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michelle.arbeitman/Dropbox/Dpr_DIP_Manuscript_for collaborators/reviewer response version/FinalSuppFiles_v2/SuppTables/"/>
    </mc:Choice>
  </mc:AlternateContent>
  <xr:revisionPtr revIDLastSave="0" documentId="13_ncr:1_{9073B88F-51A8-5947-AEA9-3790A0E5D2E2}" xr6:coauthVersionLast="46" xr6:coauthVersionMax="46" xr10:uidLastSave="{00000000-0000-0000-0000-000000000000}"/>
  <bookViews>
    <workbookView xWindow="15200" yWindow="520" windowWidth="51200" windowHeight="24700" tabRatio="889" firstSheet="5" activeTab="10" xr2:uid="{E167156D-C2E8-429B-BE1F-AFC70C8A6C8C}"/>
  </bookViews>
  <sheets>
    <sheet name="Read_Me" sheetId="19" r:id="rId1"/>
    <sheet name="Raw Data Brain" sheetId="14" r:id="rId2"/>
    <sheet name="Raw Data VNC" sheetId="13" r:id="rId3"/>
    <sheet name="Raw Scoring Data" sheetId="16" r:id="rId4"/>
    <sheet name="Scoring Data Processed" sheetId="18" r:id="rId5"/>
    <sheet name="Raw Count Data" sheetId="15" r:id="rId6"/>
    <sheet name="Cell Count Calculations" sheetId="17" r:id="rId7"/>
    <sheet name="Full Data Set" sheetId="7" r:id="rId8"/>
    <sheet name="Male Only" sheetId="8" r:id="rId9"/>
    <sheet name="Female Only" sheetId="9" r:id="rId10"/>
    <sheet name="Additional_Heatmaps" sheetId="2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227" i="20" l="1"/>
  <c r="AJ227" i="20"/>
  <c r="AI227" i="20"/>
  <c r="AH227" i="20"/>
  <c r="AG227" i="20"/>
  <c r="AF227" i="20"/>
  <c r="AE227" i="20"/>
  <c r="AD227" i="20"/>
  <c r="AK226" i="20"/>
  <c r="AJ226" i="20"/>
  <c r="AI226" i="20"/>
  <c r="AH226" i="20"/>
  <c r="AG226" i="20"/>
  <c r="AF226" i="20"/>
  <c r="AE226" i="20"/>
  <c r="AD226" i="20"/>
  <c r="AK224" i="20"/>
  <c r="AJ224" i="20"/>
  <c r="AI224" i="20"/>
  <c r="AH224" i="20"/>
  <c r="AG224" i="20"/>
  <c r="AF224" i="20"/>
  <c r="AE224" i="20"/>
  <c r="AD224" i="20"/>
  <c r="AK223" i="20"/>
  <c r="AJ223" i="20"/>
  <c r="AI223" i="20"/>
  <c r="AH223" i="20"/>
  <c r="AG223" i="20"/>
  <c r="AF223" i="20"/>
  <c r="AE223" i="20"/>
  <c r="AD223" i="20"/>
  <c r="AK221" i="20"/>
  <c r="AJ221" i="20"/>
  <c r="AI221" i="20"/>
  <c r="AH221" i="20"/>
  <c r="AG221" i="20"/>
  <c r="AF221" i="20"/>
  <c r="AE221" i="20"/>
  <c r="AD221" i="20"/>
  <c r="AK220" i="20"/>
  <c r="AJ220" i="20"/>
  <c r="AI220" i="20"/>
  <c r="AH220" i="20"/>
  <c r="AG220" i="20"/>
  <c r="AF220" i="20"/>
  <c r="AE220" i="20"/>
  <c r="AD220" i="20"/>
  <c r="AK218" i="20"/>
  <c r="AJ218" i="20"/>
  <c r="AI218" i="20"/>
  <c r="AH218" i="20"/>
  <c r="AG218" i="20"/>
  <c r="AF218" i="20"/>
  <c r="AE218" i="20"/>
  <c r="AD218" i="20"/>
  <c r="AK217" i="20"/>
  <c r="AJ217" i="20"/>
  <c r="AI217" i="20"/>
  <c r="AG217" i="20"/>
  <c r="AF217" i="20"/>
  <c r="AE217" i="20"/>
  <c r="AD217" i="20"/>
  <c r="AK215" i="20"/>
  <c r="AJ215" i="20"/>
  <c r="AI215" i="20"/>
  <c r="AH215" i="20"/>
  <c r="AG215" i="20"/>
  <c r="AF215" i="20"/>
  <c r="AE215" i="20"/>
  <c r="AD215" i="20"/>
  <c r="AK214" i="20"/>
  <c r="AJ214" i="20"/>
  <c r="AI214" i="20"/>
  <c r="AH214" i="20"/>
  <c r="AG214" i="20"/>
  <c r="AF214" i="20"/>
  <c r="AE214" i="20"/>
  <c r="AD214" i="20"/>
  <c r="AK212" i="20"/>
  <c r="AJ212" i="20"/>
  <c r="AI212" i="20"/>
  <c r="AH212" i="20"/>
  <c r="AG212" i="20"/>
  <c r="AF212" i="20"/>
  <c r="AE212" i="20"/>
  <c r="AD212" i="20"/>
  <c r="AK211" i="20"/>
  <c r="AJ211" i="20"/>
  <c r="AI211" i="20"/>
  <c r="AH211" i="20"/>
  <c r="AG211" i="20"/>
  <c r="AF211" i="20"/>
  <c r="AE211" i="20"/>
  <c r="AD211" i="20"/>
  <c r="AK209" i="20"/>
  <c r="AJ209" i="20"/>
  <c r="AI209" i="20"/>
  <c r="AH209" i="20"/>
  <c r="AG209" i="20"/>
  <c r="AF209" i="20"/>
  <c r="AE209" i="20"/>
  <c r="AD209" i="20"/>
  <c r="AK208" i="20"/>
  <c r="AJ208" i="20"/>
  <c r="AI208" i="20"/>
  <c r="AH208" i="20"/>
  <c r="AG208" i="20"/>
  <c r="AF208" i="20"/>
  <c r="AE208" i="20"/>
  <c r="AD208" i="20"/>
  <c r="AK206" i="20"/>
  <c r="AJ206" i="20"/>
  <c r="AI206" i="20"/>
  <c r="AH206" i="20"/>
  <c r="AG206" i="20"/>
  <c r="AF206" i="20"/>
  <c r="AE206" i="20"/>
  <c r="AD206" i="20"/>
  <c r="AK205" i="20"/>
  <c r="AJ205" i="20"/>
  <c r="AI205" i="20"/>
  <c r="AH205" i="20"/>
  <c r="AG205" i="20"/>
  <c r="AF205" i="20"/>
  <c r="AE205" i="20"/>
  <c r="AD205" i="20"/>
  <c r="AK203" i="20"/>
  <c r="AJ203" i="20"/>
  <c r="AI203" i="20"/>
  <c r="AH203" i="20"/>
  <c r="AG203" i="20"/>
  <c r="AF203" i="20"/>
  <c r="AE203" i="20"/>
  <c r="AD203" i="20"/>
  <c r="AK202" i="20"/>
  <c r="AJ202" i="20"/>
  <c r="AI202" i="20"/>
  <c r="AH202" i="20"/>
  <c r="AG202" i="20"/>
  <c r="AF202" i="20"/>
  <c r="AE202" i="20"/>
  <c r="AD202" i="20"/>
  <c r="AK200" i="20"/>
  <c r="AJ200" i="20"/>
  <c r="AI200" i="20"/>
  <c r="AH200" i="20"/>
  <c r="AG200" i="20"/>
  <c r="AF200" i="20"/>
  <c r="AE200" i="20"/>
  <c r="AD200" i="20"/>
  <c r="AK199" i="20"/>
  <c r="AJ199" i="20"/>
  <c r="AI199" i="20"/>
  <c r="AH199" i="20"/>
  <c r="AG199" i="20"/>
  <c r="AF199" i="20"/>
  <c r="AE199" i="20"/>
  <c r="AD199" i="20"/>
  <c r="AK197" i="20"/>
  <c r="AJ197" i="20"/>
  <c r="AI197" i="20"/>
  <c r="AH197" i="20"/>
  <c r="AG197" i="20"/>
  <c r="AF197" i="20"/>
  <c r="AE197" i="20"/>
  <c r="AD197" i="20"/>
  <c r="AK196" i="20"/>
  <c r="AJ196" i="20"/>
  <c r="AI196" i="20"/>
  <c r="AH196" i="20"/>
  <c r="AG196" i="20"/>
  <c r="AF196" i="20"/>
  <c r="AE196" i="20"/>
  <c r="AD196" i="20"/>
  <c r="AK194" i="20"/>
  <c r="AJ194" i="20"/>
  <c r="AI194" i="20"/>
  <c r="AH194" i="20"/>
  <c r="AG194" i="20"/>
  <c r="AF194" i="20"/>
  <c r="AE194" i="20"/>
  <c r="AD194" i="20"/>
  <c r="AK193" i="20"/>
  <c r="AJ193" i="20"/>
  <c r="AI193" i="20"/>
  <c r="AH193" i="20"/>
  <c r="AG193" i="20"/>
  <c r="AF193" i="20"/>
  <c r="AE193" i="20"/>
  <c r="AD193" i="20"/>
  <c r="AK191" i="20"/>
  <c r="AJ191" i="20"/>
  <c r="AI191" i="20"/>
  <c r="AH191" i="20"/>
  <c r="AG191" i="20"/>
  <c r="AF191" i="20"/>
  <c r="AE191" i="20"/>
  <c r="AD191" i="20"/>
  <c r="AK190" i="20"/>
  <c r="AJ190" i="20"/>
  <c r="AI190" i="20"/>
  <c r="AH190" i="20"/>
  <c r="AG190" i="20"/>
  <c r="AF190" i="20"/>
  <c r="AE190" i="20"/>
  <c r="AD190" i="20"/>
  <c r="AK188" i="20"/>
  <c r="AJ188" i="20"/>
  <c r="AI188" i="20"/>
  <c r="AH188" i="20"/>
  <c r="AG188" i="20"/>
  <c r="AF188" i="20"/>
  <c r="AE188" i="20"/>
  <c r="AD188" i="20"/>
  <c r="AK187" i="20"/>
  <c r="AJ187" i="20"/>
  <c r="AI187" i="20"/>
  <c r="AH187" i="20"/>
  <c r="AG187" i="20"/>
  <c r="AF187" i="20"/>
  <c r="AE187" i="20"/>
  <c r="AD187" i="20"/>
  <c r="AK185" i="20"/>
  <c r="AJ185" i="20"/>
  <c r="AI185" i="20"/>
  <c r="AH185" i="20"/>
  <c r="AG185" i="20"/>
  <c r="AF185" i="20"/>
  <c r="AE185" i="20"/>
  <c r="AD185" i="20"/>
  <c r="AK184" i="20"/>
  <c r="AJ184" i="20"/>
  <c r="AI184" i="20"/>
  <c r="AH184" i="20"/>
  <c r="AG184" i="20"/>
  <c r="AF184" i="20"/>
  <c r="AE184" i="20"/>
  <c r="AD184" i="20"/>
  <c r="AK182" i="20"/>
  <c r="AJ182" i="20"/>
  <c r="AI182" i="20"/>
  <c r="AH182" i="20"/>
  <c r="AG182" i="20"/>
  <c r="AF182" i="20"/>
  <c r="AE182" i="20"/>
  <c r="AD182" i="20"/>
  <c r="AK181" i="20"/>
  <c r="AJ181" i="20"/>
  <c r="AI181" i="20"/>
  <c r="AH181" i="20"/>
  <c r="AG181" i="20"/>
  <c r="AF181" i="20"/>
  <c r="AE181" i="20"/>
  <c r="AD181" i="20"/>
  <c r="AK179" i="20"/>
  <c r="AI179" i="20"/>
  <c r="AH179" i="20"/>
  <c r="AF179" i="20"/>
  <c r="AE179" i="20"/>
  <c r="AD179" i="20"/>
  <c r="AK178" i="20"/>
  <c r="AJ178" i="20"/>
  <c r="AI178" i="20"/>
  <c r="AH178" i="20"/>
  <c r="AG178" i="20"/>
  <c r="AF178" i="20"/>
  <c r="AE178" i="20"/>
  <c r="AD178" i="20"/>
  <c r="AK176" i="20"/>
  <c r="AJ176" i="20"/>
  <c r="AI176" i="20"/>
  <c r="AH176" i="20"/>
  <c r="AG176" i="20"/>
  <c r="AF176" i="20"/>
  <c r="AE176" i="20"/>
  <c r="AD176" i="20"/>
  <c r="AK175" i="20"/>
  <c r="AJ175" i="20"/>
  <c r="AI175" i="20"/>
  <c r="AH175" i="20"/>
  <c r="AG175" i="20"/>
  <c r="AF175" i="20"/>
  <c r="AE175" i="20"/>
  <c r="AD175" i="20"/>
  <c r="AK173" i="20"/>
  <c r="AJ173" i="20"/>
  <c r="AI173" i="20"/>
  <c r="AH173" i="20"/>
  <c r="AG173" i="20"/>
  <c r="AF173" i="20"/>
  <c r="AE173" i="20"/>
  <c r="AD173" i="20"/>
  <c r="AK172" i="20"/>
  <c r="AJ172" i="20"/>
  <c r="AI172" i="20"/>
  <c r="AH172" i="20"/>
  <c r="AG172" i="20"/>
  <c r="AF172" i="20"/>
  <c r="AE172" i="20"/>
  <c r="AD172" i="20"/>
  <c r="AK170" i="20"/>
  <c r="AJ170" i="20"/>
  <c r="AI170" i="20"/>
  <c r="AH170" i="20"/>
  <c r="AG170" i="20"/>
  <c r="AF170" i="20"/>
  <c r="AE170" i="20"/>
  <c r="AD170" i="20"/>
  <c r="AK169" i="20"/>
  <c r="AJ169" i="20"/>
  <c r="AI169" i="20"/>
  <c r="AH169" i="20"/>
  <c r="AG169" i="20"/>
  <c r="AF169" i="20"/>
  <c r="AE169" i="20"/>
  <c r="AD169" i="20"/>
  <c r="AK167" i="20"/>
  <c r="AJ167" i="20"/>
  <c r="AI167" i="20"/>
  <c r="AH167" i="20"/>
  <c r="AF167" i="20"/>
  <c r="AE167" i="20"/>
  <c r="AD167" i="20"/>
  <c r="AK166" i="20"/>
  <c r="AJ166" i="20"/>
  <c r="AI166" i="20"/>
  <c r="AH166" i="20"/>
  <c r="AG166" i="20"/>
  <c r="AF166" i="20"/>
  <c r="AE166" i="20"/>
  <c r="AD166" i="20"/>
  <c r="AK164" i="20"/>
  <c r="AJ164" i="20"/>
  <c r="AI164" i="20"/>
  <c r="AH164" i="20"/>
  <c r="AG164" i="20"/>
  <c r="AF164" i="20"/>
  <c r="AD164" i="20"/>
  <c r="AK163" i="20"/>
  <c r="AJ163" i="20"/>
  <c r="AI163" i="20"/>
  <c r="AH163" i="20"/>
  <c r="AF163" i="20"/>
  <c r="AD163" i="20"/>
  <c r="AK161" i="20"/>
  <c r="AJ161" i="20"/>
  <c r="AI161" i="20"/>
  <c r="AH161" i="20"/>
  <c r="AG161" i="20"/>
  <c r="AF161" i="20"/>
  <c r="AE161" i="20"/>
  <c r="AD161" i="20"/>
  <c r="AK160" i="20"/>
  <c r="AJ160" i="20"/>
  <c r="AI160" i="20"/>
  <c r="AH160" i="20"/>
  <c r="AG160" i="20"/>
  <c r="AF160" i="20"/>
  <c r="AE160" i="20"/>
  <c r="AD160" i="20"/>
  <c r="AK158" i="20"/>
  <c r="AJ158" i="20"/>
  <c r="AI158" i="20"/>
  <c r="AH158" i="20"/>
  <c r="AG158" i="20"/>
  <c r="AF158" i="20"/>
  <c r="AE158" i="20"/>
  <c r="AD158" i="20"/>
  <c r="AK157" i="20"/>
  <c r="AJ157" i="20"/>
  <c r="AI157" i="20"/>
  <c r="AH157" i="20"/>
  <c r="AG157" i="20"/>
  <c r="AE157" i="20"/>
  <c r="AD157" i="20"/>
  <c r="AJ141" i="20"/>
  <c r="AI141" i="20"/>
  <c r="AG141" i="20"/>
  <c r="AF141" i="20"/>
  <c r="AD141" i="20"/>
  <c r="AC141" i="20"/>
  <c r="AA141" i="20"/>
  <c r="Z141" i="20"/>
  <c r="X141" i="20"/>
  <c r="W141" i="20"/>
  <c r="U141" i="20"/>
  <c r="T141" i="20"/>
  <c r="AJ140" i="20"/>
  <c r="AI140" i="20"/>
  <c r="AG140" i="20"/>
  <c r="AF140" i="20"/>
  <c r="AD140" i="20"/>
  <c r="AC140" i="20"/>
  <c r="AA140" i="20"/>
  <c r="Z140" i="20"/>
  <c r="X140" i="20"/>
  <c r="W140" i="20"/>
  <c r="U140" i="20"/>
  <c r="T140" i="20"/>
  <c r="AJ139" i="20"/>
  <c r="AI139" i="20"/>
  <c r="AG139" i="20"/>
  <c r="AF139" i="20"/>
  <c r="AD139" i="20"/>
  <c r="AC139" i="20"/>
  <c r="AA139" i="20"/>
  <c r="Z139" i="20"/>
  <c r="X139" i="20"/>
  <c r="W139" i="20"/>
  <c r="U139" i="20"/>
  <c r="T139" i="20"/>
  <c r="AJ138" i="20"/>
  <c r="AI138" i="20"/>
  <c r="AG138" i="20"/>
  <c r="AF138" i="20"/>
  <c r="AD138" i="20"/>
  <c r="AC138" i="20"/>
  <c r="AA138" i="20"/>
  <c r="X138" i="20"/>
  <c r="W138" i="20"/>
  <c r="U138" i="20"/>
  <c r="T138" i="20"/>
  <c r="AJ137" i="20"/>
  <c r="AI137" i="20"/>
  <c r="AG137" i="20"/>
  <c r="AF137" i="20"/>
  <c r="AD137" i="20"/>
  <c r="AC137" i="20"/>
  <c r="AA137" i="20"/>
  <c r="Z137" i="20"/>
  <c r="X137" i="20"/>
  <c r="W137" i="20"/>
  <c r="U137" i="20"/>
  <c r="T137" i="20"/>
  <c r="AJ136" i="20"/>
  <c r="AI136" i="20"/>
  <c r="AG136" i="20"/>
  <c r="AF136" i="20"/>
  <c r="AD136" i="20"/>
  <c r="AC136" i="20"/>
  <c r="AA136" i="20"/>
  <c r="Z136" i="20"/>
  <c r="X136" i="20"/>
  <c r="W136" i="20"/>
  <c r="U136" i="20"/>
  <c r="T136" i="20"/>
  <c r="AJ135" i="20"/>
  <c r="AI135" i="20"/>
  <c r="AG135" i="20"/>
  <c r="AF135" i="20"/>
  <c r="AD135" i="20"/>
  <c r="AC135" i="20"/>
  <c r="AA135" i="20"/>
  <c r="Z135" i="20"/>
  <c r="X135" i="20"/>
  <c r="W135" i="20"/>
  <c r="U135" i="20"/>
  <c r="T135" i="20"/>
  <c r="AJ134" i="20"/>
  <c r="AI134" i="20"/>
  <c r="AG134" i="20"/>
  <c r="AF134" i="20"/>
  <c r="AD134" i="20"/>
  <c r="AC134" i="20"/>
  <c r="AA134" i="20"/>
  <c r="Z134" i="20"/>
  <c r="X134" i="20"/>
  <c r="W134" i="20"/>
  <c r="U134" i="20"/>
  <c r="T134" i="20"/>
  <c r="AJ133" i="20"/>
  <c r="AI133" i="20"/>
  <c r="AG133" i="20"/>
  <c r="AF133" i="20"/>
  <c r="AD133" i="20"/>
  <c r="AC133" i="20"/>
  <c r="AA133" i="20"/>
  <c r="Z133" i="20"/>
  <c r="X133" i="20"/>
  <c r="W133" i="20"/>
  <c r="U133" i="20"/>
  <c r="T133" i="20"/>
  <c r="AJ132" i="20"/>
  <c r="AI132" i="20"/>
  <c r="AG132" i="20"/>
  <c r="AF132" i="20"/>
  <c r="AD132" i="20"/>
  <c r="AC132" i="20"/>
  <c r="AA132" i="20"/>
  <c r="Z132" i="20"/>
  <c r="X132" i="20"/>
  <c r="W132" i="20"/>
  <c r="U132" i="20"/>
  <c r="T132" i="20"/>
  <c r="AJ131" i="20"/>
  <c r="AI131" i="20"/>
  <c r="AG131" i="20"/>
  <c r="AF131" i="20"/>
  <c r="AD131" i="20"/>
  <c r="AC131" i="20"/>
  <c r="AA131" i="20"/>
  <c r="Z131" i="20"/>
  <c r="X131" i="20"/>
  <c r="W131" i="20"/>
  <c r="U131" i="20"/>
  <c r="T131" i="20"/>
  <c r="AJ130" i="20"/>
  <c r="AI130" i="20"/>
  <c r="AG130" i="20"/>
  <c r="AF130" i="20"/>
  <c r="AD130" i="20"/>
  <c r="AC130" i="20"/>
  <c r="AA130" i="20"/>
  <c r="Z130" i="20"/>
  <c r="X130" i="20"/>
  <c r="W130" i="20"/>
  <c r="U130" i="20"/>
  <c r="T130" i="20"/>
  <c r="AJ129" i="20"/>
  <c r="AI129" i="20"/>
  <c r="AG129" i="20"/>
  <c r="AF129" i="20"/>
  <c r="AD129" i="20"/>
  <c r="AC129" i="20"/>
  <c r="AA129" i="20"/>
  <c r="Z129" i="20"/>
  <c r="X129" i="20"/>
  <c r="W129" i="20"/>
  <c r="U129" i="20"/>
  <c r="T129" i="20"/>
  <c r="AJ128" i="20"/>
  <c r="AI128" i="20"/>
  <c r="AG128" i="20"/>
  <c r="AF128" i="20"/>
  <c r="AD128" i="20"/>
  <c r="AC128" i="20"/>
  <c r="AA128" i="20"/>
  <c r="Z128" i="20"/>
  <c r="X128" i="20"/>
  <c r="W128" i="20"/>
  <c r="U128" i="20"/>
  <c r="T128" i="20"/>
  <c r="AJ127" i="20"/>
  <c r="AI127" i="20"/>
  <c r="AG127" i="20"/>
  <c r="AF127" i="20"/>
  <c r="AD127" i="20"/>
  <c r="AC127" i="20"/>
  <c r="AA127" i="20"/>
  <c r="Z127" i="20"/>
  <c r="X127" i="20"/>
  <c r="W127" i="20"/>
  <c r="U127" i="20"/>
  <c r="T127" i="20"/>
  <c r="AJ126" i="20"/>
  <c r="AI126" i="20"/>
  <c r="AG126" i="20"/>
  <c r="AF126" i="20"/>
  <c r="AD126" i="20"/>
  <c r="AC126" i="20"/>
  <c r="AA126" i="20"/>
  <c r="Z126" i="20"/>
  <c r="X126" i="20"/>
  <c r="W126" i="20"/>
  <c r="U126" i="20"/>
  <c r="T126" i="20"/>
  <c r="AJ125" i="20"/>
  <c r="AI125" i="20"/>
  <c r="AF125" i="20"/>
  <c r="AD125" i="20"/>
  <c r="AC125" i="20"/>
  <c r="AA125" i="20"/>
  <c r="Z125" i="20"/>
  <c r="W125" i="20"/>
  <c r="U125" i="20"/>
  <c r="T125" i="20"/>
  <c r="AJ124" i="20"/>
  <c r="AI124" i="20"/>
  <c r="AG124" i="20"/>
  <c r="AF124" i="20"/>
  <c r="AD124" i="20"/>
  <c r="AC124" i="20"/>
  <c r="AA124" i="20"/>
  <c r="Z124" i="20"/>
  <c r="X124" i="20"/>
  <c r="W124" i="20"/>
  <c r="U124" i="20"/>
  <c r="T124" i="20"/>
  <c r="AJ123" i="20"/>
  <c r="AI123" i="20"/>
  <c r="AG123" i="20"/>
  <c r="AF123" i="20"/>
  <c r="AD123" i="20"/>
  <c r="AC123" i="20"/>
  <c r="AA123" i="20"/>
  <c r="Z123" i="20"/>
  <c r="X123" i="20"/>
  <c r="W123" i="20"/>
  <c r="U123" i="20"/>
  <c r="T123" i="20"/>
  <c r="AJ122" i="20"/>
  <c r="AI122" i="20"/>
  <c r="AG122" i="20"/>
  <c r="AF122" i="20"/>
  <c r="AD122" i="20"/>
  <c r="AC122" i="20"/>
  <c r="AA122" i="20"/>
  <c r="Z122" i="20"/>
  <c r="X122" i="20"/>
  <c r="W122" i="20"/>
  <c r="U122" i="20"/>
  <c r="T122" i="20"/>
  <c r="AJ121" i="20"/>
  <c r="AI121" i="20"/>
  <c r="AG121" i="20"/>
  <c r="AF121" i="20"/>
  <c r="AD121" i="20"/>
  <c r="AC121" i="20"/>
  <c r="AA121" i="20"/>
  <c r="Z121" i="20"/>
  <c r="W121" i="20"/>
  <c r="U121" i="20"/>
  <c r="T121" i="20"/>
  <c r="AJ120" i="20"/>
  <c r="AI120" i="20"/>
  <c r="AG120" i="20"/>
  <c r="AF120" i="20"/>
  <c r="AD120" i="20"/>
  <c r="AC120" i="20"/>
  <c r="AA120" i="20"/>
  <c r="Z120" i="20"/>
  <c r="X120" i="20"/>
  <c r="U120" i="20"/>
  <c r="T120" i="20"/>
  <c r="AJ119" i="20"/>
  <c r="AI119" i="20"/>
  <c r="AG119" i="20"/>
  <c r="AF119" i="20"/>
  <c r="AD119" i="20"/>
  <c r="AC119" i="20"/>
  <c r="AA119" i="20"/>
  <c r="Z119" i="20"/>
  <c r="X119" i="20"/>
  <c r="W119" i="20"/>
  <c r="U119" i="20"/>
  <c r="T119" i="20"/>
  <c r="AJ118" i="20"/>
  <c r="AI118" i="20"/>
  <c r="AG118" i="20"/>
  <c r="AF118" i="20"/>
  <c r="AD118" i="20"/>
  <c r="AC118" i="20"/>
  <c r="AA118" i="20"/>
  <c r="Z118" i="20"/>
  <c r="X118" i="20"/>
  <c r="W118" i="20"/>
  <c r="U118" i="20"/>
  <c r="AJ114" i="20"/>
  <c r="AI114" i="20"/>
  <c r="AG114" i="20"/>
  <c r="AF114" i="20"/>
  <c r="AJ113" i="20"/>
  <c r="AI113" i="20"/>
  <c r="AG113" i="20"/>
  <c r="AF113" i="20"/>
  <c r="AJ112" i="20"/>
  <c r="AI112" i="20"/>
  <c r="AG112" i="20"/>
  <c r="AF112" i="20"/>
  <c r="AJ111" i="20"/>
  <c r="AI111" i="20"/>
  <c r="AG111" i="20"/>
  <c r="AF111" i="20"/>
  <c r="AJ110" i="20"/>
  <c r="AI110" i="20"/>
  <c r="AG110" i="20"/>
  <c r="AF110" i="20"/>
  <c r="AJ109" i="20"/>
  <c r="AI109" i="20"/>
  <c r="AG109" i="20"/>
  <c r="AF109" i="20"/>
  <c r="AJ108" i="20"/>
  <c r="AI108" i="20"/>
  <c r="AG108" i="20"/>
  <c r="AF108" i="20"/>
  <c r="AJ107" i="20"/>
  <c r="AI107" i="20"/>
  <c r="AG107" i="20"/>
  <c r="AF107" i="20"/>
  <c r="AJ106" i="20"/>
  <c r="AI106" i="20"/>
  <c r="AG106" i="20"/>
  <c r="AF106" i="20"/>
  <c r="AJ105" i="20"/>
  <c r="AI105" i="20"/>
  <c r="AG105" i="20"/>
  <c r="AF105" i="20"/>
  <c r="AJ104" i="20"/>
  <c r="AI104" i="20"/>
  <c r="AG104" i="20"/>
  <c r="AF104" i="20"/>
  <c r="AJ103" i="20"/>
  <c r="AI103" i="20"/>
  <c r="AG103" i="20"/>
  <c r="AF103" i="20"/>
  <c r="AJ102" i="20"/>
  <c r="AI102" i="20"/>
  <c r="AG102" i="20"/>
  <c r="AF102" i="20"/>
  <c r="AJ101" i="20"/>
  <c r="AI101" i="20"/>
  <c r="AG101" i="20"/>
  <c r="AF101" i="20"/>
  <c r="AJ100" i="20"/>
  <c r="AI100" i="20"/>
  <c r="AG100" i="20"/>
  <c r="AF100" i="20"/>
  <c r="AJ99" i="20"/>
  <c r="AI99" i="20"/>
  <c r="AG99" i="20"/>
  <c r="AF99" i="20"/>
  <c r="AJ98" i="20"/>
  <c r="AI98" i="20"/>
  <c r="AG98" i="20"/>
  <c r="AF98" i="20"/>
  <c r="AJ97" i="20"/>
  <c r="AI97" i="20"/>
  <c r="AG97" i="20"/>
  <c r="AF97" i="20"/>
  <c r="AJ96" i="20"/>
  <c r="AI96" i="20"/>
  <c r="AG96" i="20"/>
  <c r="AF96" i="20"/>
  <c r="AJ95" i="20"/>
  <c r="AI95" i="20"/>
  <c r="AG95" i="20"/>
  <c r="AF95" i="20"/>
  <c r="AJ94" i="20"/>
  <c r="AI94" i="20"/>
  <c r="AG94" i="20"/>
  <c r="AF94" i="20"/>
  <c r="AG93" i="20"/>
  <c r="AF93" i="20"/>
  <c r="AJ92" i="20"/>
  <c r="AI92" i="20"/>
  <c r="AG92" i="20"/>
  <c r="AF92" i="20"/>
  <c r="AJ91" i="20"/>
  <c r="AI91" i="20"/>
  <c r="AG91" i="20"/>
  <c r="AF91" i="20"/>
  <c r="AK55" i="20"/>
  <c r="AJ55" i="20"/>
  <c r="AI55" i="20"/>
  <c r="AH55" i="20"/>
  <c r="AG55" i="20"/>
  <c r="AF55" i="20"/>
  <c r="AE55" i="20"/>
  <c r="AD55" i="20"/>
  <c r="AK54" i="20"/>
  <c r="AJ54" i="20"/>
  <c r="AI54" i="20"/>
  <c r="AH54" i="20"/>
  <c r="AG54" i="20"/>
  <c r="AF54" i="20"/>
  <c r="AE54" i="20"/>
  <c r="AD54" i="20"/>
  <c r="AK53" i="20"/>
  <c r="AJ53" i="20"/>
  <c r="AI53" i="20"/>
  <c r="AH53" i="20"/>
  <c r="AG53" i="20"/>
  <c r="AF53" i="20"/>
  <c r="AE53" i="20"/>
  <c r="AD53" i="20"/>
  <c r="AK52" i="20"/>
  <c r="AJ52" i="20"/>
  <c r="AI52" i="20"/>
  <c r="AH52" i="20"/>
  <c r="AG52" i="20"/>
  <c r="AF52" i="20"/>
  <c r="AE52" i="20"/>
  <c r="AD52" i="20"/>
  <c r="AK51" i="20"/>
  <c r="AJ51" i="20"/>
  <c r="AI51" i="20"/>
  <c r="AH51" i="20"/>
  <c r="AG51" i="20"/>
  <c r="AF51" i="20"/>
  <c r="AE51" i="20"/>
  <c r="AD51" i="20"/>
  <c r="AK50" i="20"/>
  <c r="AJ50" i="20"/>
  <c r="AI50" i="20"/>
  <c r="AH50" i="20"/>
  <c r="AG50" i="20"/>
  <c r="AF50" i="20"/>
  <c r="AE50" i="20"/>
  <c r="AD50" i="20"/>
  <c r="AK49" i="20"/>
  <c r="AJ49" i="20"/>
  <c r="AI49" i="20"/>
  <c r="AH49" i="20"/>
  <c r="AG49" i="20"/>
  <c r="AF49" i="20"/>
  <c r="AE49" i="20"/>
  <c r="AD49" i="20"/>
  <c r="AK48" i="20"/>
  <c r="AJ48" i="20"/>
  <c r="AI48" i="20"/>
  <c r="AH48" i="20"/>
  <c r="AG48" i="20"/>
  <c r="AF48" i="20"/>
  <c r="AE48" i="20"/>
  <c r="AD48" i="20"/>
  <c r="AK47" i="20"/>
  <c r="AJ47" i="20"/>
  <c r="AI47" i="20"/>
  <c r="AH47" i="20"/>
  <c r="AG47" i="20"/>
  <c r="AF47" i="20"/>
  <c r="AE47" i="20"/>
  <c r="AD47" i="20"/>
  <c r="AK46" i="20"/>
  <c r="AJ46" i="20"/>
  <c r="AI46" i="20"/>
  <c r="AH46" i="20"/>
  <c r="AG46" i="20"/>
  <c r="AF46" i="20"/>
  <c r="AE46" i="20"/>
  <c r="AD46" i="20"/>
  <c r="AK45" i="20"/>
  <c r="AJ45" i="20"/>
  <c r="AI45" i="20"/>
  <c r="AH45" i="20"/>
  <c r="AG45" i="20"/>
  <c r="AF45" i="20"/>
  <c r="AE45" i="20"/>
  <c r="AD45" i="20"/>
  <c r="AK44" i="20"/>
  <c r="AJ44" i="20"/>
  <c r="AI44" i="20"/>
  <c r="AH44" i="20"/>
  <c r="AG44" i="20"/>
  <c r="AF44" i="20"/>
  <c r="AE44" i="20"/>
  <c r="AD44" i="20"/>
  <c r="AK43" i="20"/>
  <c r="AJ43" i="20"/>
  <c r="AI43" i="20"/>
  <c r="AH43" i="20"/>
  <c r="AG43" i="20"/>
  <c r="AF43" i="20"/>
  <c r="AE43" i="20"/>
  <c r="AD43" i="20"/>
  <c r="AK42" i="20"/>
  <c r="AJ42" i="20"/>
  <c r="AI42" i="20"/>
  <c r="AH42" i="20"/>
  <c r="AG42" i="20"/>
  <c r="AF42" i="20"/>
  <c r="AE42" i="20"/>
  <c r="AD42" i="20"/>
  <c r="AK41" i="20"/>
  <c r="AJ41" i="20"/>
  <c r="AI41" i="20"/>
  <c r="AH41" i="20"/>
  <c r="AG41" i="20"/>
  <c r="AF41" i="20"/>
  <c r="AE41" i="20"/>
  <c r="AD41" i="20"/>
  <c r="AK40" i="20"/>
  <c r="AJ40" i="20"/>
  <c r="AI40" i="20"/>
  <c r="AH40" i="20"/>
  <c r="AG40" i="20"/>
  <c r="AF40" i="20"/>
  <c r="AE40" i="20"/>
  <c r="AD40" i="20"/>
  <c r="AK39" i="20"/>
  <c r="AI39" i="20"/>
  <c r="AH39" i="20"/>
  <c r="AF39" i="20"/>
  <c r="AE39" i="20"/>
  <c r="AD39" i="20"/>
  <c r="AK38" i="20"/>
  <c r="AJ38" i="20"/>
  <c r="AI38" i="20"/>
  <c r="AH38" i="20"/>
  <c r="AG38" i="20"/>
  <c r="AF38" i="20"/>
  <c r="AE38" i="20"/>
  <c r="AD38" i="20"/>
  <c r="AK37" i="20"/>
  <c r="AJ37" i="20"/>
  <c r="AI37" i="20"/>
  <c r="AH37" i="20"/>
  <c r="AG37" i="20"/>
  <c r="AF37" i="20"/>
  <c r="AE37" i="20"/>
  <c r="AD37" i="20"/>
  <c r="AK36" i="20"/>
  <c r="AJ36" i="20"/>
  <c r="AI36" i="20"/>
  <c r="AH36" i="20"/>
  <c r="AG36" i="20"/>
  <c r="AF36" i="20"/>
  <c r="AE36" i="20"/>
  <c r="AD36" i="20"/>
  <c r="AK35" i="20"/>
  <c r="AJ35" i="20"/>
  <c r="AI35" i="20"/>
  <c r="AH35" i="20"/>
  <c r="AF35" i="20"/>
  <c r="AE35" i="20"/>
  <c r="AD35" i="20"/>
  <c r="AK34" i="20"/>
  <c r="AJ34" i="20"/>
  <c r="AI34" i="20"/>
  <c r="AH34" i="20"/>
  <c r="AG34" i="20"/>
  <c r="AF34" i="20"/>
  <c r="AD34" i="20"/>
  <c r="AK33" i="20"/>
  <c r="AJ33" i="20"/>
  <c r="AI33" i="20"/>
  <c r="AH33" i="20"/>
  <c r="AG33" i="20"/>
  <c r="AF33" i="20"/>
  <c r="AE33" i="20"/>
  <c r="AD33" i="20"/>
  <c r="AK32" i="20"/>
  <c r="AJ32" i="20"/>
  <c r="AI32" i="20"/>
  <c r="AH32" i="20"/>
  <c r="AG32" i="20"/>
  <c r="AF32" i="20"/>
  <c r="AE32" i="20"/>
  <c r="AD32" i="20"/>
  <c r="AK28" i="20"/>
  <c r="AJ28" i="20"/>
  <c r="AI28" i="20"/>
  <c r="AH28" i="20"/>
  <c r="AG28" i="20"/>
  <c r="AF28" i="20"/>
  <c r="AE28" i="20"/>
  <c r="AD28" i="20"/>
  <c r="AK27" i="20"/>
  <c r="AJ27" i="20"/>
  <c r="AI27" i="20"/>
  <c r="AH27" i="20"/>
  <c r="AG27" i="20"/>
  <c r="AF27" i="20"/>
  <c r="AE27" i="20"/>
  <c r="AD27" i="20"/>
  <c r="AK26" i="20"/>
  <c r="AJ26" i="20"/>
  <c r="AI26" i="20"/>
  <c r="AH26" i="20"/>
  <c r="AG26" i="20"/>
  <c r="AF26" i="20"/>
  <c r="AE26" i="20"/>
  <c r="AD26" i="20"/>
  <c r="AK25" i="20"/>
  <c r="AJ25" i="20"/>
  <c r="AI25" i="20"/>
  <c r="AG25" i="20"/>
  <c r="AF25" i="20"/>
  <c r="AE25" i="20"/>
  <c r="AD25" i="20"/>
  <c r="AK24" i="20"/>
  <c r="AJ24" i="20"/>
  <c r="AI24" i="20"/>
  <c r="AH24" i="20"/>
  <c r="AG24" i="20"/>
  <c r="AF24" i="20"/>
  <c r="AE24" i="20"/>
  <c r="AD24" i="20"/>
  <c r="AK23" i="20"/>
  <c r="AJ23" i="20"/>
  <c r="AI23" i="20"/>
  <c r="AH23" i="20"/>
  <c r="AG23" i="20"/>
  <c r="AF23" i="20"/>
  <c r="AE23" i="20"/>
  <c r="AD23" i="20"/>
  <c r="AK22" i="20"/>
  <c r="AJ22" i="20"/>
  <c r="AI22" i="20"/>
  <c r="AH22" i="20"/>
  <c r="AG22" i="20"/>
  <c r="AF22" i="20"/>
  <c r="AE22" i="20"/>
  <c r="AD22" i="20"/>
  <c r="AK21" i="20"/>
  <c r="AJ21" i="20"/>
  <c r="AI21" i="20"/>
  <c r="AH21" i="20"/>
  <c r="AG21" i="20"/>
  <c r="AF21" i="20"/>
  <c r="AE21" i="20"/>
  <c r="AD21" i="20"/>
  <c r="AK20" i="20"/>
  <c r="AJ20" i="20"/>
  <c r="AI20" i="20"/>
  <c r="AH20" i="20"/>
  <c r="AG20" i="20"/>
  <c r="AF20" i="20"/>
  <c r="AE20" i="20"/>
  <c r="AD20" i="20"/>
  <c r="AK19" i="20"/>
  <c r="AJ19" i="20"/>
  <c r="AI19" i="20"/>
  <c r="AH19" i="20"/>
  <c r="AG19" i="20"/>
  <c r="AF19" i="20"/>
  <c r="AE19" i="20"/>
  <c r="AD19" i="20"/>
  <c r="AK18" i="20"/>
  <c r="AJ18" i="20"/>
  <c r="AI18" i="20"/>
  <c r="AH18" i="20"/>
  <c r="AG18" i="20"/>
  <c r="AF18" i="20"/>
  <c r="AE18" i="20"/>
  <c r="AD18" i="20"/>
  <c r="AK17" i="20"/>
  <c r="AJ17" i="20"/>
  <c r="AI17" i="20"/>
  <c r="AH17" i="20"/>
  <c r="AG17" i="20"/>
  <c r="AF17" i="20"/>
  <c r="AE17" i="20"/>
  <c r="AD17" i="20"/>
  <c r="AK16" i="20"/>
  <c r="AJ16" i="20"/>
  <c r="AI16" i="20"/>
  <c r="AH16" i="20"/>
  <c r="AG16" i="20"/>
  <c r="AF16" i="20"/>
  <c r="AE16" i="20"/>
  <c r="AD16" i="20"/>
  <c r="AK15" i="20"/>
  <c r="AJ15" i="20"/>
  <c r="AI15" i="20"/>
  <c r="AH15" i="20"/>
  <c r="AG15" i="20"/>
  <c r="AF15" i="20"/>
  <c r="AE15" i="20"/>
  <c r="AD15" i="20"/>
  <c r="AK14" i="20"/>
  <c r="AJ14" i="20"/>
  <c r="AI14" i="20"/>
  <c r="AH14" i="20"/>
  <c r="AG14" i="20"/>
  <c r="AF14" i="20"/>
  <c r="AE14" i="20"/>
  <c r="AD14" i="20"/>
  <c r="AK13" i="20"/>
  <c r="AJ13" i="20"/>
  <c r="AI13" i="20"/>
  <c r="AH13" i="20"/>
  <c r="AG13" i="20"/>
  <c r="AF13" i="20"/>
  <c r="AE13" i="20"/>
  <c r="AD13" i="20"/>
  <c r="AK12" i="20"/>
  <c r="AJ12" i="20"/>
  <c r="AI12" i="20"/>
  <c r="AH12" i="20"/>
  <c r="AG12" i="20"/>
  <c r="AF12" i="20"/>
  <c r="AE12" i="20"/>
  <c r="AD12" i="20"/>
  <c r="AK11" i="20"/>
  <c r="AJ11" i="20"/>
  <c r="AI11" i="20"/>
  <c r="AH11" i="20"/>
  <c r="AG11" i="20"/>
  <c r="AF11" i="20"/>
  <c r="AE11" i="20"/>
  <c r="AD11" i="20"/>
  <c r="AK10" i="20"/>
  <c r="AJ10" i="20"/>
  <c r="AI10" i="20"/>
  <c r="AH10" i="20"/>
  <c r="AG10" i="20"/>
  <c r="AF10" i="20"/>
  <c r="AE10" i="20"/>
  <c r="AD10" i="20"/>
  <c r="AK9" i="20"/>
  <c r="AJ9" i="20"/>
  <c r="AI9" i="20"/>
  <c r="AH9" i="20"/>
  <c r="AG9" i="20"/>
  <c r="AF9" i="20"/>
  <c r="AE9" i="20"/>
  <c r="AD9" i="20"/>
  <c r="AK8" i="20"/>
  <c r="AJ8" i="20"/>
  <c r="AI8" i="20"/>
  <c r="AH8" i="20"/>
  <c r="AG8" i="20"/>
  <c r="AF8" i="20"/>
  <c r="AE8" i="20"/>
  <c r="AD8" i="20"/>
  <c r="AK7" i="20"/>
  <c r="AJ7" i="20"/>
  <c r="AI7" i="20"/>
  <c r="AH7" i="20"/>
  <c r="AF7" i="20"/>
  <c r="AD7" i="20"/>
  <c r="AK6" i="20"/>
  <c r="AJ6" i="20"/>
  <c r="AI6" i="20"/>
  <c r="AH6" i="20"/>
  <c r="AG6" i="20"/>
  <c r="AF6" i="20"/>
  <c r="AE6" i="20"/>
  <c r="AD6" i="20"/>
  <c r="AK5" i="20"/>
  <c r="AJ5" i="20"/>
  <c r="AI5" i="20"/>
  <c r="AH5" i="20"/>
  <c r="AG5" i="20"/>
  <c r="AE5" i="20"/>
  <c r="AD5" i="20"/>
  <c r="N25" i="9" l="1"/>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N10" i="9"/>
  <c r="M10" i="9"/>
  <c r="N9" i="9"/>
  <c r="M9" i="9"/>
  <c r="N8" i="9"/>
  <c r="M8" i="9"/>
  <c r="N7" i="9"/>
  <c r="M7" i="9"/>
  <c r="N6" i="9"/>
  <c r="M6" i="9"/>
  <c r="N5" i="9"/>
  <c r="M5" i="9"/>
  <c r="M4" i="9"/>
  <c r="N3" i="9"/>
  <c r="M3" i="9"/>
  <c r="N2" i="9"/>
  <c r="M2" i="9"/>
  <c r="N25" i="8"/>
  <c r="M25" i="8"/>
  <c r="N24" i="8"/>
  <c r="M24" i="8"/>
  <c r="N23" i="8"/>
  <c r="M23" i="8"/>
  <c r="N22" i="8"/>
  <c r="M22" i="8"/>
  <c r="N21" i="8"/>
  <c r="M21" i="8"/>
  <c r="N20" i="8"/>
  <c r="M20" i="8"/>
  <c r="N19" i="8"/>
  <c r="M19" i="8"/>
  <c r="N18" i="8"/>
  <c r="M18" i="8"/>
  <c r="N17" i="8"/>
  <c r="M17" i="8"/>
  <c r="N16" i="8"/>
  <c r="M16" i="8"/>
  <c r="N15" i="8"/>
  <c r="M15" i="8"/>
  <c r="N14" i="8"/>
  <c r="M14" i="8"/>
  <c r="N13" i="8"/>
  <c r="M13" i="8"/>
  <c r="N12" i="8"/>
  <c r="M12" i="8"/>
  <c r="N11" i="8"/>
  <c r="M11" i="8"/>
  <c r="N10" i="8"/>
  <c r="M10" i="8"/>
  <c r="N9" i="8"/>
  <c r="M9" i="8"/>
  <c r="N8" i="8"/>
  <c r="M8" i="8"/>
  <c r="N7" i="8"/>
  <c r="M7" i="8"/>
  <c r="N6" i="8"/>
  <c r="M6" i="8"/>
  <c r="N5" i="8"/>
  <c r="M5" i="8"/>
  <c r="M4" i="8"/>
  <c r="N3" i="8"/>
  <c r="M3" i="8"/>
  <c r="N2" i="8"/>
  <c r="M2" i="8"/>
  <c r="T25" i="9"/>
  <c r="S25" i="9"/>
  <c r="R25" i="9"/>
  <c r="Q25" i="9"/>
  <c r="P25" i="9"/>
  <c r="O25" i="9"/>
  <c r="T24" i="9"/>
  <c r="S24" i="9"/>
  <c r="R24" i="9"/>
  <c r="Q24" i="9"/>
  <c r="P24" i="9"/>
  <c r="O24" i="9"/>
  <c r="T23" i="9"/>
  <c r="S23" i="9"/>
  <c r="R23" i="9"/>
  <c r="Q23" i="9"/>
  <c r="P23" i="9"/>
  <c r="O23" i="9"/>
  <c r="T22" i="9"/>
  <c r="S22" i="9"/>
  <c r="R22" i="9"/>
  <c r="Q22" i="9"/>
  <c r="P22" i="9"/>
  <c r="O22" i="9"/>
  <c r="T21" i="9"/>
  <c r="S21" i="9"/>
  <c r="R21" i="9"/>
  <c r="Q21" i="9"/>
  <c r="P21" i="9"/>
  <c r="O21" i="9"/>
  <c r="T20" i="9"/>
  <c r="S20" i="9"/>
  <c r="R20" i="9"/>
  <c r="Q20" i="9"/>
  <c r="P20" i="9"/>
  <c r="O20" i="9"/>
  <c r="T19" i="9"/>
  <c r="S19" i="9"/>
  <c r="R19" i="9"/>
  <c r="Q19" i="9"/>
  <c r="P19" i="9"/>
  <c r="O19" i="9"/>
  <c r="T18" i="9"/>
  <c r="S18" i="9"/>
  <c r="R18" i="9"/>
  <c r="Q18" i="9"/>
  <c r="P18" i="9"/>
  <c r="O18" i="9"/>
  <c r="T17" i="9"/>
  <c r="S17" i="9"/>
  <c r="R17" i="9"/>
  <c r="Q17" i="9"/>
  <c r="P17" i="9"/>
  <c r="O17" i="9"/>
  <c r="T16" i="9"/>
  <c r="S16" i="9"/>
  <c r="R16" i="9"/>
  <c r="Q16" i="9"/>
  <c r="P16" i="9"/>
  <c r="O16" i="9"/>
  <c r="T15" i="9"/>
  <c r="S15" i="9"/>
  <c r="R15" i="9"/>
  <c r="Q15" i="9"/>
  <c r="P15" i="9"/>
  <c r="O15" i="9"/>
  <c r="T14" i="9"/>
  <c r="S14" i="9"/>
  <c r="R14" i="9"/>
  <c r="Q14" i="9"/>
  <c r="P14" i="9"/>
  <c r="O14" i="9"/>
  <c r="T13" i="9"/>
  <c r="S13" i="9"/>
  <c r="R13" i="9"/>
  <c r="Q13" i="9"/>
  <c r="P13" i="9"/>
  <c r="O13" i="9"/>
  <c r="T12" i="9"/>
  <c r="S12" i="9"/>
  <c r="R12" i="9"/>
  <c r="Q12" i="9"/>
  <c r="P12" i="9"/>
  <c r="O12" i="9"/>
  <c r="T11" i="9"/>
  <c r="S11" i="9"/>
  <c r="R11" i="9"/>
  <c r="Q11" i="9"/>
  <c r="P11" i="9"/>
  <c r="O11" i="9"/>
  <c r="T10" i="9"/>
  <c r="S10" i="9"/>
  <c r="R10" i="9"/>
  <c r="Q10" i="9"/>
  <c r="P10" i="9"/>
  <c r="O10" i="9"/>
  <c r="T9" i="9"/>
  <c r="R9" i="9"/>
  <c r="Q9" i="9"/>
  <c r="O9" i="9"/>
  <c r="T8" i="9"/>
  <c r="S8" i="9"/>
  <c r="R8" i="9"/>
  <c r="Q8" i="9"/>
  <c r="P8" i="9"/>
  <c r="O8" i="9"/>
  <c r="T7" i="9"/>
  <c r="S7" i="9"/>
  <c r="R7" i="9"/>
  <c r="Q7" i="9"/>
  <c r="P7" i="9"/>
  <c r="O7" i="9"/>
  <c r="T6" i="9"/>
  <c r="S6" i="9"/>
  <c r="R6" i="9"/>
  <c r="Q6" i="9"/>
  <c r="P6" i="9"/>
  <c r="O6" i="9"/>
  <c r="T5" i="9"/>
  <c r="S5" i="9"/>
  <c r="R5" i="9"/>
  <c r="Q5" i="9"/>
  <c r="O5" i="9"/>
  <c r="T4" i="9"/>
  <c r="S4" i="9"/>
  <c r="R4" i="9"/>
  <c r="Q4" i="9"/>
  <c r="P4" i="9"/>
  <c r="O4" i="9"/>
  <c r="T3" i="9"/>
  <c r="S3" i="9"/>
  <c r="R3" i="9"/>
  <c r="Q3" i="9"/>
  <c r="P3" i="9"/>
  <c r="O3" i="9"/>
  <c r="T2" i="9"/>
  <c r="S2" i="9"/>
  <c r="R2" i="9"/>
  <c r="Q2" i="9"/>
  <c r="P2" i="9"/>
  <c r="O2" i="9"/>
  <c r="T25" i="8"/>
  <c r="S25" i="8"/>
  <c r="R25" i="8"/>
  <c r="Q25" i="8"/>
  <c r="P25" i="8"/>
  <c r="O25" i="8"/>
  <c r="T24" i="8"/>
  <c r="S24" i="8"/>
  <c r="R24" i="8"/>
  <c r="Q24" i="8"/>
  <c r="P24" i="8"/>
  <c r="O24" i="8"/>
  <c r="T23" i="8"/>
  <c r="S23" i="8"/>
  <c r="R23" i="8"/>
  <c r="Q23" i="8"/>
  <c r="P23" i="8"/>
  <c r="O23" i="8"/>
  <c r="T22" i="8"/>
  <c r="S22" i="8"/>
  <c r="R22" i="8"/>
  <c r="P22" i="8"/>
  <c r="O22" i="8"/>
  <c r="T21" i="8"/>
  <c r="S21" i="8"/>
  <c r="R21" i="8"/>
  <c r="Q21" i="8"/>
  <c r="P21" i="8"/>
  <c r="O21" i="8"/>
  <c r="T20" i="8"/>
  <c r="S20" i="8"/>
  <c r="R20" i="8"/>
  <c r="Q20" i="8"/>
  <c r="P20" i="8"/>
  <c r="O20" i="8"/>
  <c r="T19" i="8"/>
  <c r="S19" i="8"/>
  <c r="R19" i="8"/>
  <c r="Q19" i="8"/>
  <c r="P19" i="8"/>
  <c r="O19" i="8"/>
  <c r="T18" i="8"/>
  <c r="S18" i="8"/>
  <c r="R18" i="8"/>
  <c r="Q18" i="8"/>
  <c r="P18" i="8"/>
  <c r="O18" i="8"/>
  <c r="T17" i="8"/>
  <c r="S17" i="8"/>
  <c r="R17" i="8"/>
  <c r="Q17" i="8"/>
  <c r="P17" i="8"/>
  <c r="O17" i="8"/>
  <c r="T16" i="8"/>
  <c r="S16" i="8"/>
  <c r="R16" i="8"/>
  <c r="Q16" i="8"/>
  <c r="P16" i="8"/>
  <c r="O16" i="8"/>
  <c r="T15" i="8"/>
  <c r="S15" i="8"/>
  <c r="R15" i="8"/>
  <c r="Q15" i="8"/>
  <c r="P15" i="8"/>
  <c r="O15" i="8"/>
  <c r="T14" i="8"/>
  <c r="S14" i="8"/>
  <c r="R14" i="8"/>
  <c r="Q14" i="8"/>
  <c r="P14" i="8"/>
  <c r="O14" i="8"/>
  <c r="T13" i="8"/>
  <c r="S13" i="8"/>
  <c r="R13" i="8"/>
  <c r="Q13" i="8"/>
  <c r="P13" i="8"/>
  <c r="O13" i="8"/>
  <c r="T12" i="8"/>
  <c r="S12" i="8"/>
  <c r="R12" i="8"/>
  <c r="Q12" i="8"/>
  <c r="P12" i="8"/>
  <c r="O12" i="8"/>
  <c r="T11" i="8"/>
  <c r="S11" i="8"/>
  <c r="R11" i="8"/>
  <c r="Q11" i="8"/>
  <c r="P11" i="8"/>
  <c r="O11" i="8"/>
  <c r="T10" i="8"/>
  <c r="S10" i="8"/>
  <c r="R10" i="8"/>
  <c r="Q10" i="8"/>
  <c r="P10" i="8"/>
  <c r="O10" i="8"/>
  <c r="T9" i="8"/>
  <c r="S9" i="8"/>
  <c r="R9" i="8"/>
  <c r="Q9" i="8"/>
  <c r="P9" i="8"/>
  <c r="O9" i="8"/>
  <c r="T8" i="8"/>
  <c r="S8" i="8"/>
  <c r="R8" i="8"/>
  <c r="Q8" i="8"/>
  <c r="P8" i="8"/>
  <c r="O8" i="8"/>
  <c r="T7" i="8"/>
  <c r="S7" i="8"/>
  <c r="R7" i="8"/>
  <c r="Q7" i="8"/>
  <c r="P7" i="8"/>
  <c r="O7" i="8"/>
  <c r="T6" i="8"/>
  <c r="S6" i="8"/>
  <c r="R6" i="8"/>
  <c r="Q6" i="8"/>
  <c r="P6" i="8"/>
  <c r="O6" i="8"/>
  <c r="T5" i="8"/>
  <c r="S5" i="8"/>
  <c r="R5" i="8"/>
  <c r="Q5" i="8"/>
  <c r="P5" i="8"/>
  <c r="O5" i="8"/>
  <c r="T4" i="8"/>
  <c r="S4" i="8"/>
  <c r="R4" i="8"/>
  <c r="Q4" i="8"/>
  <c r="O4" i="8"/>
  <c r="T3" i="8"/>
  <c r="S3" i="8"/>
  <c r="R3" i="8"/>
  <c r="Q3" i="8"/>
  <c r="P3" i="8"/>
  <c r="O3" i="8"/>
  <c r="T2" i="8"/>
  <c r="S2" i="8"/>
  <c r="R2" i="8"/>
  <c r="Q2" i="8"/>
  <c r="P2" i="8"/>
  <c r="O33" i="7"/>
  <c r="J673" i="17"/>
  <c r="J674" i="17" s="1"/>
  <c r="I673" i="17"/>
  <c r="I674" i="17" s="1"/>
  <c r="H673" i="17"/>
  <c r="H674" i="17" s="1"/>
  <c r="G673" i="17"/>
  <c r="G674" i="17" s="1"/>
  <c r="F673" i="17"/>
  <c r="F674" i="17" s="1"/>
  <c r="E673" i="17"/>
  <c r="E674" i="17" s="1"/>
  <c r="J659" i="17"/>
  <c r="J660" i="17" s="1"/>
  <c r="I659" i="17"/>
  <c r="I660" i="17" s="1"/>
  <c r="H659" i="17"/>
  <c r="H660" i="17" s="1"/>
  <c r="G659" i="17"/>
  <c r="G660" i="17" s="1"/>
  <c r="F659" i="17"/>
  <c r="F660" i="17" s="1"/>
  <c r="E659" i="17"/>
  <c r="E660" i="17" s="1"/>
  <c r="H646" i="17"/>
  <c r="J645" i="17"/>
  <c r="J646" i="17" s="1"/>
  <c r="I645" i="17"/>
  <c r="I646" i="17" s="1"/>
  <c r="H645" i="17"/>
  <c r="G645" i="17"/>
  <c r="G646" i="17" s="1"/>
  <c r="F645" i="17"/>
  <c r="F646" i="17" s="1"/>
  <c r="E645" i="17"/>
  <c r="E646" i="17" s="1"/>
  <c r="J631" i="17"/>
  <c r="J632" i="17" s="1"/>
  <c r="I631" i="17"/>
  <c r="I632" i="17" s="1"/>
  <c r="H631" i="17"/>
  <c r="H632" i="17" s="1"/>
  <c r="G631" i="17"/>
  <c r="G632" i="17" s="1"/>
  <c r="F631" i="17"/>
  <c r="F632" i="17" s="1"/>
  <c r="E631" i="17"/>
  <c r="E632" i="17" s="1"/>
  <c r="J617" i="17"/>
  <c r="J618" i="17" s="1"/>
  <c r="I617" i="17"/>
  <c r="I618" i="17" s="1"/>
  <c r="H617" i="17"/>
  <c r="H618" i="17" s="1"/>
  <c r="G617" i="17"/>
  <c r="G618" i="17" s="1"/>
  <c r="F617" i="17"/>
  <c r="F618" i="17" s="1"/>
  <c r="E617" i="17"/>
  <c r="E618" i="17" s="1"/>
  <c r="J603" i="17"/>
  <c r="J604" i="17" s="1"/>
  <c r="I603" i="17"/>
  <c r="I604" i="17" s="1"/>
  <c r="H603" i="17"/>
  <c r="H604" i="17" s="1"/>
  <c r="G603" i="17"/>
  <c r="G604" i="17" s="1"/>
  <c r="F603" i="17"/>
  <c r="F604" i="17" s="1"/>
  <c r="E603" i="17"/>
  <c r="E604" i="17" s="1"/>
  <c r="H590" i="17"/>
  <c r="J589" i="17"/>
  <c r="J590" i="17" s="1"/>
  <c r="I589" i="17"/>
  <c r="I590" i="17" s="1"/>
  <c r="H589" i="17"/>
  <c r="G589" i="17"/>
  <c r="G590" i="17" s="1"/>
  <c r="F589" i="17"/>
  <c r="F590" i="17" s="1"/>
  <c r="E589" i="17"/>
  <c r="E590" i="17" s="1"/>
  <c r="H576" i="17"/>
  <c r="J575" i="17"/>
  <c r="J576" i="17" s="1"/>
  <c r="I575" i="17"/>
  <c r="I576" i="17" s="1"/>
  <c r="H575" i="17"/>
  <c r="G575" i="17"/>
  <c r="G576" i="17" s="1"/>
  <c r="F575" i="17"/>
  <c r="F576" i="17" s="1"/>
  <c r="E575" i="17"/>
  <c r="E576" i="17" s="1"/>
  <c r="J561" i="17"/>
  <c r="J562" i="17" s="1"/>
  <c r="I561" i="17"/>
  <c r="I562" i="17" s="1"/>
  <c r="H561" i="17"/>
  <c r="H562" i="17" s="1"/>
  <c r="G561" i="17"/>
  <c r="G562" i="17" s="1"/>
  <c r="F561" i="17"/>
  <c r="F562" i="17" s="1"/>
  <c r="E561" i="17"/>
  <c r="E562" i="17" s="1"/>
  <c r="J547" i="17"/>
  <c r="J548" i="17" s="1"/>
  <c r="I547" i="17"/>
  <c r="I548" i="17" s="1"/>
  <c r="H547" i="17"/>
  <c r="H548" i="17" s="1"/>
  <c r="G547" i="17"/>
  <c r="G548" i="17" s="1"/>
  <c r="F547" i="17"/>
  <c r="F548" i="17" s="1"/>
  <c r="E547" i="17"/>
  <c r="E548" i="17" s="1"/>
  <c r="J533" i="17"/>
  <c r="J534" i="17" s="1"/>
  <c r="I533" i="17"/>
  <c r="I534" i="17" s="1"/>
  <c r="H533" i="17"/>
  <c r="H534" i="17" s="1"/>
  <c r="G533" i="17"/>
  <c r="G534" i="17" s="1"/>
  <c r="F533" i="17"/>
  <c r="F534" i="17" s="1"/>
  <c r="E533" i="17"/>
  <c r="E534" i="17" s="1"/>
  <c r="H520" i="17"/>
  <c r="J519" i="17"/>
  <c r="J520" i="17" s="1"/>
  <c r="I519" i="17"/>
  <c r="I520" i="17" s="1"/>
  <c r="H519" i="17"/>
  <c r="G519" i="17"/>
  <c r="G520" i="17" s="1"/>
  <c r="F519" i="17"/>
  <c r="F520" i="17" s="1"/>
  <c r="E519" i="17"/>
  <c r="E520" i="17" s="1"/>
  <c r="J505" i="17"/>
  <c r="J506" i="17" s="1"/>
  <c r="I505" i="17"/>
  <c r="I506" i="17" s="1"/>
  <c r="H505" i="17"/>
  <c r="H506" i="17" s="1"/>
  <c r="G505" i="17"/>
  <c r="G506" i="17" s="1"/>
  <c r="F505" i="17"/>
  <c r="F506" i="17" s="1"/>
  <c r="E505" i="17"/>
  <c r="E506" i="17" s="1"/>
  <c r="J491" i="17"/>
  <c r="J492" i="17" s="1"/>
  <c r="I491" i="17"/>
  <c r="I492" i="17" s="1"/>
  <c r="H491" i="17"/>
  <c r="H492" i="17" s="1"/>
  <c r="G491" i="17"/>
  <c r="G492" i="17" s="1"/>
  <c r="F491" i="17"/>
  <c r="F492" i="17" s="1"/>
  <c r="E491" i="17"/>
  <c r="E492" i="17" s="1"/>
  <c r="H478" i="17"/>
  <c r="J477" i="17"/>
  <c r="J478" i="17" s="1"/>
  <c r="I477" i="17"/>
  <c r="I478" i="17" s="1"/>
  <c r="H477" i="17"/>
  <c r="G477" i="17"/>
  <c r="G478" i="17" s="1"/>
  <c r="F477" i="17"/>
  <c r="F478" i="17" s="1"/>
  <c r="E477" i="17"/>
  <c r="E478" i="17" s="1"/>
  <c r="J463" i="17"/>
  <c r="J464" i="17" s="1"/>
  <c r="I463" i="17"/>
  <c r="I464" i="17" s="1"/>
  <c r="H463" i="17"/>
  <c r="H464" i="17" s="1"/>
  <c r="G463" i="17"/>
  <c r="G464" i="17" s="1"/>
  <c r="F463" i="17"/>
  <c r="F464" i="17" s="1"/>
  <c r="E463" i="17"/>
  <c r="E464" i="17" s="1"/>
  <c r="F450" i="17"/>
  <c r="J449" i="17"/>
  <c r="J450" i="17" s="1"/>
  <c r="I449" i="17"/>
  <c r="I450" i="17" s="1"/>
  <c r="H449" i="17"/>
  <c r="H450" i="17" s="1"/>
  <c r="G449" i="17"/>
  <c r="G450" i="17" s="1"/>
  <c r="F449" i="17"/>
  <c r="E449" i="17"/>
  <c r="E450" i="17" s="1"/>
  <c r="J435" i="17"/>
  <c r="J436" i="17" s="1"/>
  <c r="I435" i="17"/>
  <c r="I436" i="17" s="1"/>
  <c r="H435" i="17"/>
  <c r="H436" i="17" s="1"/>
  <c r="G435" i="17"/>
  <c r="G436" i="17" s="1"/>
  <c r="F435" i="17"/>
  <c r="F436" i="17" s="1"/>
  <c r="E435" i="17"/>
  <c r="E436" i="17" s="1"/>
  <c r="J421" i="17"/>
  <c r="J422" i="17" s="1"/>
  <c r="I421" i="17"/>
  <c r="I422" i="17" s="1"/>
  <c r="H421" i="17"/>
  <c r="H422" i="17" s="1"/>
  <c r="G421" i="17"/>
  <c r="G422" i="17" s="1"/>
  <c r="F421" i="17"/>
  <c r="F422" i="17" s="1"/>
  <c r="E421" i="17"/>
  <c r="E422" i="17" s="1"/>
  <c r="J407" i="17"/>
  <c r="J408" i="17" s="1"/>
  <c r="I407" i="17"/>
  <c r="I408" i="17" s="1"/>
  <c r="H407" i="17"/>
  <c r="H408" i="17" s="1"/>
  <c r="G407" i="17"/>
  <c r="G408" i="17" s="1"/>
  <c r="F407" i="17"/>
  <c r="F408" i="17" s="1"/>
  <c r="E407" i="17"/>
  <c r="E408" i="17" s="1"/>
  <c r="J393" i="17"/>
  <c r="J394" i="17" s="1"/>
  <c r="I393" i="17"/>
  <c r="I394" i="17" s="1"/>
  <c r="H393" i="17"/>
  <c r="H394" i="17" s="1"/>
  <c r="G393" i="17"/>
  <c r="G394" i="17" s="1"/>
  <c r="F393" i="17"/>
  <c r="F394" i="17" s="1"/>
  <c r="E393" i="17"/>
  <c r="E394" i="17" s="1"/>
  <c r="J379" i="17"/>
  <c r="J380" i="17" s="1"/>
  <c r="I379" i="17"/>
  <c r="I380" i="17" s="1"/>
  <c r="H379" i="17"/>
  <c r="H380" i="17" s="1"/>
  <c r="G379" i="17"/>
  <c r="G380" i="17" s="1"/>
  <c r="F379" i="17"/>
  <c r="F380" i="17" s="1"/>
  <c r="E379" i="17"/>
  <c r="E380" i="17" s="1"/>
  <c r="E366" i="17"/>
  <c r="J365" i="17"/>
  <c r="J366" i="17" s="1"/>
  <c r="I365" i="17"/>
  <c r="I366" i="17" s="1"/>
  <c r="H365" i="17"/>
  <c r="H366" i="17" s="1"/>
  <c r="G365" i="17"/>
  <c r="G366" i="17" s="1"/>
  <c r="F365" i="17"/>
  <c r="F366" i="17" s="1"/>
  <c r="E365" i="17"/>
  <c r="E352" i="17"/>
  <c r="J351" i="17"/>
  <c r="J352" i="17" s="1"/>
  <c r="I351" i="17"/>
  <c r="I352" i="17" s="1"/>
  <c r="H351" i="17"/>
  <c r="H352" i="17" s="1"/>
  <c r="G351" i="17"/>
  <c r="G352" i="17" s="1"/>
  <c r="F351" i="17"/>
  <c r="F352" i="17" s="1"/>
  <c r="E351" i="17"/>
  <c r="J337" i="17"/>
  <c r="J338" i="17" s="1"/>
  <c r="I337" i="17"/>
  <c r="I338" i="17" s="1"/>
  <c r="H337" i="17"/>
  <c r="H338" i="17" s="1"/>
  <c r="G337" i="17"/>
  <c r="G338" i="17" s="1"/>
  <c r="F337" i="17"/>
  <c r="F338" i="17" s="1"/>
  <c r="E337" i="17"/>
  <c r="E338" i="17" s="1"/>
  <c r="J323" i="17"/>
  <c r="J324" i="17" s="1"/>
  <c r="I323" i="17"/>
  <c r="I324" i="17" s="1"/>
  <c r="H323" i="17"/>
  <c r="H324" i="17" s="1"/>
  <c r="G323" i="17"/>
  <c r="G324" i="17" s="1"/>
  <c r="F323" i="17"/>
  <c r="F324" i="17" s="1"/>
  <c r="E323" i="17"/>
  <c r="E324" i="17" s="1"/>
  <c r="J309" i="17"/>
  <c r="J310" i="17" s="1"/>
  <c r="I309" i="17"/>
  <c r="I310" i="17" s="1"/>
  <c r="H309" i="17"/>
  <c r="H310" i="17" s="1"/>
  <c r="G309" i="17"/>
  <c r="G310" i="17" s="1"/>
  <c r="F309" i="17"/>
  <c r="F310" i="17" s="1"/>
  <c r="E309" i="17"/>
  <c r="E310" i="17" s="1"/>
  <c r="J295" i="17"/>
  <c r="J296" i="17" s="1"/>
  <c r="I295" i="17"/>
  <c r="I296" i="17" s="1"/>
  <c r="H295" i="17"/>
  <c r="H296" i="17" s="1"/>
  <c r="G295" i="17"/>
  <c r="G296" i="17" s="1"/>
  <c r="F295" i="17"/>
  <c r="F296" i="17" s="1"/>
  <c r="E295" i="17"/>
  <c r="E296" i="17" s="1"/>
  <c r="J281" i="17"/>
  <c r="J282" i="17" s="1"/>
  <c r="I281" i="17"/>
  <c r="I282" i="17" s="1"/>
  <c r="H281" i="17"/>
  <c r="H282" i="17" s="1"/>
  <c r="G281" i="17"/>
  <c r="G282" i="17" s="1"/>
  <c r="F281" i="17"/>
  <c r="F282" i="17" s="1"/>
  <c r="E281" i="17"/>
  <c r="E282" i="17" s="1"/>
  <c r="J267" i="17"/>
  <c r="J268" i="17" s="1"/>
  <c r="I267" i="17"/>
  <c r="I268" i="17" s="1"/>
  <c r="H267" i="17"/>
  <c r="H268" i="17" s="1"/>
  <c r="G267" i="17"/>
  <c r="G268" i="17" s="1"/>
  <c r="F267" i="17"/>
  <c r="F268" i="17" s="1"/>
  <c r="E267" i="17"/>
  <c r="E268" i="17" s="1"/>
  <c r="J253" i="17"/>
  <c r="J254" i="17" s="1"/>
  <c r="I253" i="17"/>
  <c r="I254" i="17" s="1"/>
  <c r="H253" i="17"/>
  <c r="H254" i="17" s="1"/>
  <c r="G253" i="17"/>
  <c r="G254" i="17" s="1"/>
  <c r="F253" i="17"/>
  <c r="F254" i="17" s="1"/>
  <c r="E253" i="17"/>
  <c r="E254" i="17" s="1"/>
  <c r="J239" i="17"/>
  <c r="J240" i="17" s="1"/>
  <c r="I239" i="17"/>
  <c r="I240" i="17" s="1"/>
  <c r="H239" i="17"/>
  <c r="H240" i="17" s="1"/>
  <c r="G239" i="17"/>
  <c r="G240" i="17" s="1"/>
  <c r="F239" i="17"/>
  <c r="F240" i="17" s="1"/>
  <c r="E239" i="17"/>
  <c r="E240" i="17" s="1"/>
  <c r="J225" i="17"/>
  <c r="J226" i="17" s="1"/>
  <c r="I225" i="17"/>
  <c r="I226" i="17" s="1"/>
  <c r="H225" i="17"/>
  <c r="H226" i="17" s="1"/>
  <c r="G225" i="17"/>
  <c r="G226" i="17" s="1"/>
  <c r="F225" i="17"/>
  <c r="F226" i="17" s="1"/>
  <c r="E225" i="17"/>
  <c r="E226" i="17" s="1"/>
  <c r="J211" i="17"/>
  <c r="J212" i="17" s="1"/>
  <c r="I211" i="17"/>
  <c r="H211" i="17"/>
  <c r="H212" i="17" s="1"/>
  <c r="G211" i="17"/>
  <c r="G212" i="17" s="1"/>
  <c r="F211" i="17"/>
  <c r="E211" i="17"/>
  <c r="E212" i="17" s="1"/>
  <c r="J197" i="17"/>
  <c r="J198" i="17" s="1"/>
  <c r="I197" i="17"/>
  <c r="I198" i="17" s="1"/>
  <c r="H197" i="17"/>
  <c r="H198" i="17" s="1"/>
  <c r="G197" i="17"/>
  <c r="G198" i="17" s="1"/>
  <c r="F197" i="17"/>
  <c r="F198" i="17" s="1"/>
  <c r="E197" i="17"/>
  <c r="E198" i="17" s="1"/>
  <c r="J183" i="17"/>
  <c r="J184" i="17" s="1"/>
  <c r="I183" i="17"/>
  <c r="I184" i="17" s="1"/>
  <c r="H183" i="17"/>
  <c r="H184" i="17" s="1"/>
  <c r="G183" i="17"/>
  <c r="G184" i="17" s="1"/>
  <c r="F183" i="17"/>
  <c r="F184" i="17" s="1"/>
  <c r="E183" i="17"/>
  <c r="E184" i="17" s="1"/>
  <c r="S13" i="7"/>
  <c r="R13" i="7"/>
  <c r="Q13" i="7"/>
  <c r="P13" i="7"/>
  <c r="O13" i="7"/>
  <c r="N13" i="7"/>
  <c r="J169" i="17"/>
  <c r="J170" i="17" s="1"/>
  <c r="I169" i="17"/>
  <c r="I170" i="17" s="1"/>
  <c r="H169" i="17"/>
  <c r="H170" i="17" s="1"/>
  <c r="G169" i="17"/>
  <c r="G170" i="17" s="1"/>
  <c r="F169" i="17"/>
  <c r="F170" i="17" s="1"/>
  <c r="E169" i="17"/>
  <c r="E170" i="17" s="1"/>
  <c r="J155" i="17"/>
  <c r="J156" i="17" s="1"/>
  <c r="I155" i="17"/>
  <c r="I156" i="17" s="1"/>
  <c r="H155" i="17"/>
  <c r="H156" i="17" s="1"/>
  <c r="G155" i="17"/>
  <c r="G156" i="17" s="1"/>
  <c r="F155" i="17"/>
  <c r="F156" i="17" s="1"/>
  <c r="E155" i="17"/>
  <c r="E156" i="17" s="1"/>
  <c r="J141" i="17"/>
  <c r="J142" i="17" s="1"/>
  <c r="I141" i="17"/>
  <c r="I142" i="17" s="1"/>
  <c r="H141" i="17"/>
  <c r="H142" i="17" s="1"/>
  <c r="G141" i="17"/>
  <c r="G142" i="17" s="1"/>
  <c r="F141" i="17"/>
  <c r="F142" i="17" s="1"/>
  <c r="E141" i="17"/>
  <c r="E142" i="17" s="1"/>
  <c r="I128" i="17"/>
  <c r="J127" i="17"/>
  <c r="J128" i="17" s="1"/>
  <c r="I127" i="17"/>
  <c r="H127" i="17"/>
  <c r="H128" i="17" s="1"/>
  <c r="G127" i="17"/>
  <c r="G128" i="17" s="1"/>
  <c r="F127" i="17"/>
  <c r="F128" i="17" s="1"/>
  <c r="E127" i="17"/>
  <c r="E128" i="17" s="1"/>
  <c r="J113" i="17"/>
  <c r="J114" i="17" s="1"/>
  <c r="I113" i="17"/>
  <c r="I114" i="17" s="1"/>
  <c r="H113" i="17"/>
  <c r="H114" i="17" s="1"/>
  <c r="G113" i="17"/>
  <c r="G114" i="17" s="1"/>
  <c r="F113" i="17"/>
  <c r="F114" i="17" s="1"/>
  <c r="E113" i="17"/>
  <c r="E114" i="17" s="1"/>
  <c r="J99" i="17"/>
  <c r="J100" i="17" s="1"/>
  <c r="I99" i="17"/>
  <c r="I100" i="17" s="1"/>
  <c r="H99" i="17"/>
  <c r="H100" i="17" s="1"/>
  <c r="G99" i="17"/>
  <c r="G100" i="17" s="1"/>
  <c r="F99" i="17"/>
  <c r="E99" i="17"/>
  <c r="E100" i="17" s="1"/>
  <c r="J85" i="17"/>
  <c r="J86" i="17" s="1"/>
  <c r="I85" i="17"/>
  <c r="I86" i="17" s="1"/>
  <c r="H85" i="17"/>
  <c r="H86" i="17" s="1"/>
  <c r="G85" i="17"/>
  <c r="G86" i="17" s="1"/>
  <c r="F85" i="17"/>
  <c r="F86" i="17" s="1"/>
  <c r="E85" i="17"/>
  <c r="E86" i="17" s="1"/>
  <c r="H72" i="17"/>
  <c r="J71" i="17"/>
  <c r="J72" i="17" s="1"/>
  <c r="I71" i="17"/>
  <c r="I72" i="17" s="1"/>
  <c r="H71" i="17"/>
  <c r="G71" i="17"/>
  <c r="G72" i="17" s="1"/>
  <c r="F71" i="17"/>
  <c r="F72" i="17" s="1"/>
  <c r="E71" i="17"/>
  <c r="E72" i="17" s="1"/>
  <c r="S5" i="7"/>
  <c r="R5" i="7"/>
  <c r="Q5" i="7"/>
  <c r="P5" i="7"/>
  <c r="O5" i="7"/>
  <c r="N5" i="7"/>
  <c r="J57" i="17"/>
  <c r="J58" i="17" s="1"/>
  <c r="I57" i="17"/>
  <c r="I58" i="17" s="1"/>
  <c r="H57" i="17"/>
  <c r="H58" i="17" s="1"/>
  <c r="G57" i="17"/>
  <c r="G58" i="17" s="1"/>
  <c r="F57" i="17"/>
  <c r="F58" i="17" s="1"/>
  <c r="E57" i="17"/>
  <c r="E58" i="17" s="1"/>
  <c r="I44" i="17"/>
  <c r="J43" i="17"/>
  <c r="J44" i="17" s="1"/>
  <c r="I43" i="17"/>
  <c r="H43" i="17"/>
  <c r="H44" i="17" s="1"/>
  <c r="G43" i="17"/>
  <c r="G44" i="17" s="1"/>
  <c r="F43" i="17"/>
  <c r="F44" i="17" s="1"/>
  <c r="E43" i="17"/>
  <c r="E44" i="17" s="1"/>
  <c r="J29" i="17"/>
  <c r="J30" i="17" s="1"/>
  <c r="I29" i="17"/>
  <c r="I30" i="17" s="1"/>
  <c r="H29" i="17"/>
  <c r="H30" i="17" s="1"/>
  <c r="G29" i="17"/>
  <c r="G30" i="17" s="1"/>
  <c r="F29" i="17"/>
  <c r="F30" i="17" s="1"/>
  <c r="E29" i="17"/>
  <c r="J15" i="17"/>
  <c r="J16" i="17" s="1"/>
  <c r="I15" i="17"/>
  <c r="I16" i="17" s="1"/>
  <c r="H15" i="17"/>
  <c r="H16" i="17" s="1"/>
  <c r="G15" i="17"/>
  <c r="G16" i="17" s="1"/>
  <c r="F15" i="17"/>
  <c r="F16" i="17" s="1"/>
  <c r="E15" i="17"/>
  <c r="E16" i="17" s="1"/>
  <c r="D666" i="17" l="1"/>
  <c r="D667" i="17" s="1"/>
  <c r="C666" i="17"/>
  <c r="C667" i="17" s="1"/>
  <c r="D652" i="17"/>
  <c r="D653" i="17" s="1"/>
  <c r="C652" i="17"/>
  <c r="C653" i="17" s="1"/>
  <c r="D638" i="17"/>
  <c r="D639" i="17" s="1"/>
  <c r="C638" i="17"/>
  <c r="C639" i="17" s="1"/>
  <c r="D624" i="17"/>
  <c r="D625" i="17" s="1"/>
  <c r="C624" i="17"/>
  <c r="C625" i="17" s="1"/>
  <c r="D611" i="17"/>
  <c r="C611" i="17"/>
  <c r="D596" i="17"/>
  <c r="D597" i="17" s="1"/>
  <c r="C596" i="17"/>
  <c r="C597" i="17" s="1"/>
  <c r="D582" i="17"/>
  <c r="D583" i="17" s="1"/>
  <c r="C582" i="17"/>
  <c r="C583" i="17" s="1"/>
  <c r="D568" i="17"/>
  <c r="D569" i="17" s="1"/>
  <c r="C568" i="17"/>
  <c r="C569" i="17" s="1"/>
  <c r="D554" i="17"/>
  <c r="D555" i="17" s="1"/>
  <c r="C554" i="17"/>
  <c r="C555" i="17" s="1"/>
  <c r="D541" i="17"/>
  <c r="C540" i="17"/>
  <c r="C541" i="17" s="1"/>
  <c r="D526" i="17"/>
  <c r="D527" i="17" s="1"/>
  <c r="C526" i="17"/>
  <c r="C527" i="17" s="1"/>
  <c r="D512" i="17"/>
  <c r="D513" i="17" s="1"/>
  <c r="C512" i="17"/>
  <c r="C513" i="17" s="1"/>
  <c r="D499" i="17"/>
  <c r="C499" i="17"/>
  <c r="C485" i="17"/>
  <c r="D484" i="17"/>
  <c r="D485" i="17" s="1"/>
  <c r="C484" i="17"/>
  <c r="D470" i="17"/>
  <c r="D471" i="17" s="1"/>
  <c r="C470" i="17"/>
  <c r="C471" i="17" s="1"/>
  <c r="C457" i="17"/>
  <c r="D456" i="17"/>
  <c r="D457" i="17" s="1"/>
  <c r="D442" i="17"/>
  <c r="D443" i="17" s="1"/>
  <c r="C442" i="17"/>
  <c r="C443" i="17" s="1"/>
  <c r="D428" i="17"/>
  <c r="D429" i="17" s="1"/>
  <c r="C428" i="17"/>
  <c r="C429" i="17" s="1"/>
  <c r="D414" i="17"/>
  <c r="D415" i="17" s="1"/>
  <c r="C414" i="17"/>
  <c r="C415" i="17" s="1"/>
  <c r="D400" i="17"/>
  <c r="D401" i="17" s="1"/>
  <c r="C400" i="17"/>
  <c r="C401" i="17" s="1"/>
  <c r="D386" i="17"/>
  <c r="D387" i="17" s="1"/>
  <c r="C386" i="17"/>
  <c r="C387" i="17" s="1"/>
  <c r="D372" i="17"/>
  <c r="D373" i="17" s="1"/>
  <c r="C372" i="17"/>
  <c r="C373" i="17" s="1"/>
  <c r="D358" i="17"/>
  <c r="D359" i="17" s="1"/>
  <c r="C358" i="17"/>
  <c r="C359" i="17" s="1"/>
  <c r="D344" i="17"/>
  <c r="D345" i="17" s="1"/>
  <c r="C344" i="17"/>
  <c r="C345" i="17" s="1"/>
  <c r="D330" i="17"/>
  <c r="D331" i="17" s="1"/>
  <c r="C330" i="17"/>
  <c r="C331" i="17" s="1"/>
  <c r="D316" i="17"/>
  <c r="D317" i="17" s="1"/>
  <c r="C316" i="17"/>
  <c r="C317" i="17" s="1"/>
  <c r="C303" i="17"/>
  <c r="D302" i="17"/>
  <c r="D303" i="17" s="1"/>
  <c r="D289" i="17"/>
  <c r="C289" i="17"/>
  <c r="D274" i="17"/>
  <c r="D275" i="17" s="1"/>
  <c r="C274" i="17"/>
  <c r="C275" i="17" s="1"/>
  <c r="D260" i="17"/>
  <c r="D261" i="17" s="1"/>
  <c r="C260" i="17"/>
  <c r="C261" i="17" s="1"/>
  <c r="D246" i="17"/>
  <c r="D247" i="17" s="1"/>
  <c r="C246" i="17"/>
  <c r="C247" i="17" s="1"/>
  <c r="D232" i="17"/>
  <c r="D233" i="17" s="1"/>
  <c r="C232" i="17"/>
  <c r="C233" i="17" s="1"/>
  <c r="D219" i="17"/>
  <c r="C218" i="17"/>
  <c r="C219" i="17" s="1"/>
  <c r="D204" i="17"/>
  <c r="D205" i="17" s="1"/>
  <c r="C204" i="17"/>
  <c r="C205" i="17" s="1"/>
  <c r="D190" i="17"/>
  <c r="D191" i="17" s="1"/>
  <c r="C190" i="17"/>
  <c r="C191" i="17" s="1"/>
  <c r="D176" i="17"/>
  <c r="D177" i="17" s="1"/>
  <c r="C176" i="17"/>
  <c r="C177" i="17" s="1"/>
  <c r="D162" i="17"/>
  <c r="D163" i="17" s="1"/>
  <c r="C162" i="17"/>
  <c r="C163" i="17" s="1"/>
  <c r="D148" i="17"/>
  <c r="D149" i="17" s="1"/>
  <c r="C148" i="17"/>
  <c r="C149" i="17" s="1"/>
  <c r="D134" i="17"/>
  <c r="D135" i="17" s="1"/>
  <c r="C134" i="17"/>
  <c r="C135" i="17" s="1"/>
  <c r="D120" i="17"/>
  <c r="D121" i="17" s="1"/>
  <c r="C120" i="17"/>
  <c r="C121" i="17" s="1"/>
  <c r="D106" i="17"/>
  <c r="D107" i="17" s="1"/>
  <c r="C106" i="17"/>
  <c r="C107" i="17" s="1"/>
  <c r="D93" i="17"/>
  <c r="C93" i="17"/>
  <c r="D78" i="17"/>
  <c r="C78" i="17"/>
  <c r="C79" i="17" s="1"/>
  <c r="D64" i="17"/>
  <c r="C64" i="17"/>
  <c r="C65" i="17" s="1"/>
  <c r="D50" i="17"/>
  <c r="D51" i="17" s="1"/>
  <c r="C50" i="17"/>
  <c r="C51" i="17" s="1"/>
  <c r="D36" i="17"/>
  <c r="D37" i="17" s="1"/>
  <c r="C36" i="17"/>
  <c r="C37" i="17" s="1"/>
  <c r="D22" i="17"/>
  <c r="D23" i="17" s="1"/>
  <c r="C22" i="17"/>
  <c r="C23" i="17" s="1"/>
  <c r="D8" i="17"/>
  <c r="D9" i="17" s="1"/>
  <c r="C8" i="17"/>
  <c r="C9" i="17" s="1"/>
  <c r="C427" i="18" l="1"/>
  <c r="L397" i="18"/>
  <c r="H391" i="18"/>
  <c r="G391" i="18"/>
  <c r="D391" i="18"/>
  <c r="M385" i="18"/>
  <c r="L385" i="18"/>
  <c r="K379" i="18"/>
  <c r="H379" i="18"/>
  <c r="F379" i="18"/>
  <c r="C379" i="18"/>
  <c r="K367" i="18"/>
  <c r="D367" i="18"/>
  <c r="M361" i="18"/>
  <c r="I355" i="18"/>
  <c r="C355" i="18"/>
  <c r="M349" i="18"/>
  <c r="H343" i="18"/>
  <c r="L337" i="18"/>
  <c r="M337" i="18"/>
  <c r="D307" i="18"/>
  <c r="C307" i="18"/>
  <c r="F295" i="18"/>
  <c r="H295" i="18"/>
  <c r="D295" i="18"/>
  <c r="L289" i="18"/>
  <c r="C283" i="18"/>
  <c r="M277" i="18"/>
  <c r="L277" i="18"/>
  <c r="H271" i="18"/>
  <c r="G271" i="18"/>
  <c r="F271" i="18"/>
  <c r="D271" i="18"/>
  <c r="M265" i="18"/>
  <c r="I259" i="18"/>
  <c r="D259" i="18"/>
  <c r="H247" i="18"/>
  <c r="M241" i="18"/>
  <c r="L241" i="18"/>
  <c r="C235" i="18"/>
  <c r="D223" i="18"/>
  <c r="C223" i="18"/>
  <c r="H199" i="18"/>
  <c r="D199" i="18"/>
  <c r="D187" i="18"/>
  <c r="M193" i="18"/>
  <c r="L193" i="18"/>
  <c r="H187" i="18"/>
  <c r="C187" i="18"/>
  <c r="L181" i="18"/>
  <c r="I175" i="18"/>
  <c r="H175" i="18"/>
  <c r="D175" i="18"/>
  <c r="C151" i="18"/>
  <c r="H139" i="18"/>
  <c r="L145" i="18"/>
  <c r="C139" i="18"/>
  <c r="M133" i="18"/>
  <c r="L133" i="18"/>
  <c r="H127" i="18"/>
  <c r="G127" i="18"/>
  <c r="M121" i="18"/>
  <c r="L121" i="18"/>
  <c r="C115" i="18"/>
  <c r="M109" i="18"/>
  <c r="L109" i="18"/>
  <c r="H103" i="18"/>
  <c r="G103" i="18"/>
  <c r="F103" i="18"/>
  <c r="C103" i="18"/>
  <c r="D91" i="18"/>
  <c r="L97" i="18"/>
  <c r="I91" i="18"/>
  <c r="M85" i="18"/>
  <c r="H79" i="18"/>
  <c r="M73" i="18"/>
  <c r="L73" i="18"/>
  <c r="M61" i="18"/>
  <c r="L61" i="18"/>
  <c r="H43" i="18"/>
  <c r="D43" i="18"/>
  <c r="H31" i="18"/>
  <c r="E19" i="18"/>
  <c r="D19" i="18"/>
  <c r="M13" i="18" l="1"/>
  <c r="L13" i="18"/>
  <c r="E7" i="18"/>
  <c r="D7" i="18"/>
  <c r="S49" i="7" l="1"/>
  <c r="R49" i="7"/>
  <c r="Q49" i="7"/>
  <c r="P49" i="7"/>
  <c r="O49" i="7"/>
  <c r="N49" i="7"/>
  <c r="D49" i="7"/>
  <c r="C49" i="7"/>
  <c r="S48" i="7"/>
  <c r="R48" i="7"/>
  <c r="Q48" i="7"/>
  <c r="P48" i="7"/>
  <c r="O48" i="7"/>
  <c r="N48" i="7"/>
  <c r="D48" i="7"/>
  <c r="C48" i="7"/>
  <c r="S47" i="7"/>
  <c r="R47" i="7"/>
  <c r="Q47" i="7"/>
  <c r="P47" i="7"/>
  <c r="O47" i="7"/>
  <c r="N47" i="7"/>
  <c r="D47" i="7"/>
  <c r="C47" i="7"/>
  <c r="S46" i="7"/>
  <c r="R46" i="7"/>
  <c r="Q46" i="7"/>
  <c r="P46" i="7"/>
  <c r="O46" i="7"/>
  <c r="N46" i="7"/>
  <c r="D46" i="7"/>
  <c r="C46" i="7"/>
  <c r="S45" i="7"/>
  <c r="R45" i="7"/>
  <c r="Q45" i="7"/>
  <c r="P45" i="7"/>
  <c r="O45" i="7"/>
  <c r="N45" i="7"/>
  <c r="D45" i="7"/>
  <c r="C45" i="7"/>
  <c r="S44" i="7"/>
  <c r="R44" i="7"/>
  <c r="Q44" i="7"/>
  <c r="P44" i="7"/>
  <c r="O44" i="7"/>
  <c r="N44" i="7"/>
  <c r="D44" i="7"/>
  <c r="C44" i="7"/>
  <c r="S43" i="7"/>
  <c r="R43" i="7"/>
  <c r="Q43" i="7"/>
  <c r="O43" i="7"/>
  <c r="N43" i="7"/>
  <c r="D43" i="7"/>
  <c r="C43" i="7"/>
  <c r="S42" i="7"/>
  <c r="R42" i="7"/>
  <c r="Q42" i="7"/>
  <c r="P42" i="7"/>
  <c r="O42" i="7"/>
  <c r="N42" i="7"/>
  <c r="D42" i="7"/>
  <c r="C42" i="7"/>
  <c r="S41" i="7"/>
  <c r="R41" i="7"/>
  <c r="Q41" i="7"/>
  <c r="P41" i="7"/>
  <c r="O41" i="7"/>
  <c r="N41" i="7"/>
  <c r="D41" i="7"/>
  <c r="C41" i="7"/>
  <c r="S40" i="7"/>
  <c r="R40" i="7"/>
  <c r="Q40" i="7"/>
  <c r="P40" i="7"/>
  <c r="O40" i="7"/>
  <c r="N40" i="7"/>
  <c r="D40" i="7"/>
  <c r="C40" i="7"/>
  <c r="S39" i="7"/>
  <c r="R39" i="7"/>
  <c r="Q39" i="7"/>
  <c r="P39" i="7"/>
  <c r="O39" i="7"/>
  <c r="N39" i="7"/>
  <c r="D39" i="7"/>
  <c r="C39" i="7"/>
  <c r="S38" i="7"/>
  <c r="R38" i="7"/>
  <c r="Q38" i="7"/>
  <c r="P38" i="7"/>
  <c r="O38" i="7"/>
  <c r="N38" i="7"/>
  <c r="D38" i="7"/>
  <c r="C38" i="7"/>
  <c r="S37" i="7"/>
  <c r="R37" i="7"/>
  <c r="Q37" i="7"/>
  <c r="P37" i="7"/>
  <c r="O37" i="7"/>
  <c r="N37" i="7"/>
  <c r="D37" i="7"/>
  <c r="C37" i="7"/>
  <c r="S36" i="7"/>
  <c r="R36" i="7"/>
  <c r="Q36" i="7"/>
  <c r="P36" i="7"/>
  <c r="O36" i="7"/>
  <c r="N36" i="7"/>
  <c r="D36" i="7"/>
  <c r="C36" i="7"/>
  <c r="S35" i="7"/>
  <c r="R35" i="7"/>
  <c r="Q35" i="7"/>
  <c r="P35" i="7"/>
  <c r="O35" i="7"/>
  <c r="N35" i="7"/>
  <c r="D35" i="7"/>
  <c r="C35" i="7"/>
  <c r="S34" i="7"/>
  <c r="R34" i="7"/>
  <c r="Q34" i="7"/>
  <c r="P34" i="7"/>
  <c r="O34" i="7"/>
  <c r="N34" i="7"/>
  <c r="D34" i="7"/>
  <c r="C34" i="7"/>
  <c r="S33" i="7"/>
  <c r="R33" i="7"/>
  <c r="Q33" i="7"/>
  <c r="P33" i="7"/>
  <c r="N33" i="7"/>
  <c r="D33" i="7"/>
  <c r="C33" i="7"/>
  <c r="S32" i="7"/>
  <c r="R32" i="7"/>
  <c r="Q32" i="7"/>
  <c r="P32" i="7"/>
  <c r="O32" i="7"/>
  <c r="N32" i="7"/>
  <c r="D32" i="7"/>
  <c r="C32" i="7"/>
  <c r="S31" i="7"/>
  <c r="R31" i="7"/>
  <c r="Q31" i="7"/>
  <c r="P31" i="7"/>
  <c r="O31" i="7"/>
  <c r="N31" i="7"/>
  <c r="D31" i="7"/>
  <c r="C31" i="7"/>
  <c r="S30" i="7"/>
  <c r="R30" i="7"/>
  <c r="Q30" i="7"/>
  <c r="P30" i="7"/>
  <c r="O30" i="7"/>
  <c r="N30" i="7"/>
  <c r="D30" i="7"/>
  <c r="C30" i="7"/>
  <c r="S29" i="7"/>
  <c r="R29" i="7"/>
  <c r="Q29" i="7"/>
  <c r="P29" i="7"/>
  <c r="O29" i="7"/>
  <c r="N29" i="7"/>
  <c r="D29" i="7"/>
  <c r="C29" i="7"/>
  <c r="S28" i="7"/>
  <c r="R28" i="7"/>
  <c r="Q28" i="7"/>
  <c r="P28" i="7"/>
  <c r="O28" i="7"/>
  <c r="N28" i="7"/>
  <c r="D28" i="7"/>
  <c r="C28" i="7"/>
  <c r="S27" i="7"/>
  <c r="R27" i="7"/>
  <c r="Q27" i="7"/>
  <c r="P27" i="7"/>
  <c r="O27" i="7"/>
  <c r="N27" i="7"/>
  <c r="D27" i="7"/>
  <c r="C27" i="7"/>
  <c r="S26" i="7"/>
  <c r="R26" i="7"/>
  <c r="Q26" i="7"/>
  <c r="P26" i="7"/>
  <c r="O26" i="7"/>
  <c r="N26" i="7"/>
  <c r="D26" i="7"/>
  <c r="C26" i="7"/>
  <c r="S25" i="7"/>
  <c r="R25" i="7"/>
  <c r="Q25" i="7"/>
  <c r="P25" i="7"/>
  <c r="O25" i="7"/>
  <c r="N25" i="7"/>
  <c r="D25" i="7"/>
  <c r="C25" i="7"/>
  <c r="S24" i="7"/>
  <c r="R24" i="7"/>
  <c r="Q24" i="7"/>
  <c r="P24" i="7"/>
  <c r="O24" i="7"/>
  <c r="N24" i="7"/>
  <c r="D24" i="7"/>
  <c r="C24" i="7"/>
  <c r="S23" i="7"/>
  <c r="R23" i="7"/>
  <c r="Q23" i="7"/>
  <c r="P23" i="7"/>
  <c r="O23" i="7"/>
  <c r="N23" i="7"/>
  <c r="D23" i="7"/>
  <c r="C23" i="7"/>
  <c r="S22" i="7"/>
  <c r="R22" i="7"/>
  <c r="Q22" i="7"/>
  <c r="P22" i="7"/>
  <c r="O22" i="7"/>
  <c r="N22" i="7"/>
  <c r="D22" i="7"/>
  <c r="C22" i="7"/>
  <c r="S21" i="7"/>
  <c r="R21" i="7"/>
  <c r="Q21" i="7"/>
  <c r="P21" i="7"/>
  <c r="O21" i="7"/>
  <c r="N21" i="7"/>
  <c r="D21" i="7"/>
  <c r="C21" i="7"/>
  <c r="S20" i="7"/>
  <c r="R20" i="7"/>
  <c r="Q20" i="7"/>
  <c r="P20" i="7"/>
  <c r="O20" i="7"/>
  <c r="N20" i="7"/>
  <c r="D20" i="7"/>
  <c r="C20" i="7"/>
  <c r="S19" i="7"/>
  <c r="R19" i="7"/>
  <c r="Q19" i="7"/>
  <c r="P19" i="7"/>
  <c r="O19" i="7"/>
  <c r="N19" i="7"/>
  <c r="D19" i="7"/>
  <c r="C19" i="7"/>
  <c r="S18" i="7"/>
  <c r="R18" i="7"/>
  <c r="Q18" i="7"/>
  <c r="P18" i="7"/>
  <c r="O18" i="7"/>
  <c r="N18" i="7"/>
  <c r="D18" i="7"/>
  <c r="C18" i="7"/>
  <c r="S17" i="7"/>
  <c r="R17" i="7"/>
  <c r="Q17" i="7"/>
  <c r="P17" i="7"/>
  <c r="O17" i="7"/>
  <c r="N17" i="7"/>
  <c r="D17" i="7"/>
  <c r="C17" i="7"/>
  <c r="S16" i="7"/>
  <c r="Q16" i="7"/>
  <c r="P16" i="7"/>
  <c r="N16" i="7"/>
  <c r="D16" i="7"/>
  <c r="C16" i="7"/>
  <c r="S15" i="7"/>
  <c r="R15" i="7"/>
  <c r="Q15" i="7"/>
  <c r="P15" i="7"/>
  <c r="O15" i="7"/>
  <c r="N15" i="7"/>
  <c r="D15" i="7"/>
  <c r="C15" i="7"/>
  <c r="S14" i="7"/>
  <c r="R14" i="7"/>
  <c r="Q14" i="7"/>
  <c r="P14" i="7"/>
  <c r="O14" i="7"/>
  <c r="N14" i="7"/>
  <c r="D14" i="7"/>
  <c r="C14" i="7"/>
  <c r="D13" i="7"/>
  <c r="C13" i="7"/>
  <c r="S12" i="7"/>
  <c r="R12" i="7"/>
  <c r="Q12" i="7"/>
  <c r="P12" i="7"/>
  <c r="O12" i="7"/>
  <c r="N12" i="7"/>
  <c r="D12" i="7"/>
  <c r="C12" i="7"/>
  <c r="S11" i="7"/>
  <c r="R11" i="7"/>
  <c r="Q11" i="7"/>
  <c r="P11" i="7"/>
  <c r="O11" i="7"/>
  <c r="N11" i="7"/>
  <c r="D11" i="7"/>
  <c r="C11" i="7"/>
  <c r="S10" i="7"/>
  <c r="R10" i="7"/>
  <c r="Q10" i="7"/>
  <c r="P10" i="7"/>
  <c r="O10" i="7"/>
  <c r="N10" i="7"/>
  <c r="D10" i="7"/>
  <c r="C10" i="7"/>
  <c r="S9" i="7"/>
  <c r="R9" i="7"/>
  <c r="Q9" i="7"/>
  <c r="P9" i="7"/>
  <c r="O9" i="7"/>
  <c r="N9" i="7"/>
  <c r="D9" i="7"/>
  <c r="C9" i="7"/>
  <c r="S8" i="7"/>
  <c r="R8" i="7"/>
  <c r="Q8" i="7"/>
  <c r="P8" i="7"/>
  <c r="N8" i="7"/>
  <c r="D8" i="7"/>
  <c r="C8" i="7"/>
  <c r="S7" i="7"/>
  <c r="R7" i="7"/>
  <c r="Q7" i="7"/>
  <c r="P7" i="7"/>
  <c r="N7" i="7"/>
  <c r="C7" i="7"/>
  <c r="S6" i="7"/>
  <c r="R6" i="7"/>
  <c r="Q6" i="7"/>
  <c r="P6" i="7"/>
  <c r="O6" i="7"/>
  <c r="N6" i="7"/>
  <c r="C6" i="7"/>
  <c r="D5" i="7"/>
  <c r="C5" i="7"/>
  <c r="S4" i="7"/>
  <c r="R4" i="7"/>
  <c r="Q4" i="7"/>
  <c r="P4" i="7"/>
  <c r="O4" i="7"/>
  <c r="N4" i="7"/>
  <c r="D4" i="7"/>
  <c r="C4" i="7"/>
  <c r="S3" i="7"/>
  <c r="R3" i="7"/>
  <c r="Q3" i="7"/>
  <c r="P3" i="7"/>
  <c r="O3" i="7"/>
  <c r="D3" i="7"/>
  <c r="C3" i="7"/>
  <c r="S2" i="7"/>
  <c r="R2" i="7"/>
  <c r="Q2" i="7"/>
  <c r="P2" i="7"/>
  <c r="O2" i="7"/>
  <c r="N2" i="7"/>
  <c r="D2" i="7"/>
  <c r="C2" i="7"/>
  <c r="I161" i="13" l="1"/>
  <c r="I160" i="13"/>
  <c r="I159" i="13"/>
  <c r="I158" i="13"/>
  <c r="I157" i="13"/>
  <c r="I156" i="13"/>
  <c r="I155" i="13"/>
  <c r="I154" i="13"/>
  <c r="I153" i="13"/>
  <c r="I152" i="13"/>
  <c r="I141" i="13"/>
  <c r="I140" i="13"/>
  <c r="I139" i="13"/>
  <c r="I138" i="13"/>
  <c r="I137" i="13"/>
  <c r="I136" i="13"/>
  <c r="I135" i="13"/>
  <c r="I134" i="13"/>
  <c r="I133" i="13"/>
  <c r="I132" i="13"/>
  <c r="I131" i="13"/>
  <c r="I130" i="13"/>
  <c r="I129" i="13"/>
  <c r="I128" i="13"/>
  <c r="I127" i="13"/>
  <c r="I126" i="13"/>
  <c r="I125" i="13"/>
  <c r="I124" i="13"/>
  <c r="I123" i="13"/>
  <c r="I122" i="13"/>
  <c r="I121" i="13"/>
  <c r="I120" i="13"/>
  <c r="I119" i="13"/>
  <c r="I118" i="13"/>
  <c r="I117" i="13"/>
  <c r="I116" i="13"/>
  <c r="I115" i="13"/>
  <c r="I114" i="13"/>
  <c r="I113" i="13"/>
  <c r="I112" i="13"/>
  <c r="I101" i="13"/>
  <c r="I100" i="13"/>
  <c r="I99" i="13"/>
  <c r="I98" i="13"/>
  <c r="I97" i="13"/>
  <c r="I96" i="13"/>
  <c r="I95" i="13"/>
  <c r="I94" i="13"/>
  <c r="I93" i="13"/>
  <c r="I92" i="13"/>
  <c r="I221" i="13"/>
  <c r="I220" i="13"/>
  <c r="I219" i="13"/>
  <c r="I218" i="13"/>
  <c r="I217" i="13"/>
  <c r="I216" i="13"/>
  <c r="I215" i="13"/>
  <c r="I214" i="13"/>
  <c r="I213" i="13"/>
  <c r="I212" i="13"/>
  <c r="I191" i="13"/>
  <c r="I190" i="13"/>
  <c r="I189" i="13"/>
  <c r="I188" i="13"/>
  <c r="I187" i="13"/>
  <c r="I186" i="13"/>
  <c r="I185" i="13"/>
  <c r="I184" i="13"/>
  <c r="I183" i="13"/>
  <c r="I182" i="13"/>
  <c r="I151" i="13"/>
  <c r="I150" i="13"/>
  <c r="I149" i="13"/>
  <c r="I148" i="13"/>
  <c r="I147" i="13"/>
  <c r="I146" i="13"/>
  <c r="I145" i="13"/>
  <c r="I144" i="13"/>
  <c r="I143" i="13"/>
  <c r="I111" i="13"/>
  <c r="I109" i="13"/>
  <c r="I106" i="13"/>
  <c r="I105" i="13"/>
  <c r="I104" i="13"/>
  <c r="I103" i="13"/>
  <c r="I102" i="13"/>
  <c r="I81" i="13"/>
  <c r="I80" i="13"/>
  <c r="I79" i="13"/>
  <c r="I78" i="13"/>
  <c r="I77" i="13"/>
  <c r="I76" i="13"/>
  <c r="I75" i="13"/>
  <c r="I74" i="13"/>
  <c r="I73" i="13"/>
  <c r="I71" i="13"/>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2" i="13"/>
  <c r="I41" i="13"/>
  <c r="I40" i="13"/>
  <c r="I39" i="13"/>
  <c r="I38" i="13"/>
  <c r="I36" i="13"/>
  <c r="I35" i="13"/>
  <c r="I34" i="13"/>
  <c r="I32" i="13"/>
  <c r="I31" i="13"/>
  <c r="I30" i="13"/>
  <c r="I29" i="13"/>
  <c r="I28" i="13"/>
  <c r="I27" i="13"/>
  <c r="I26" i="13"/>
  <c r="I25" i="13"/>
  <c r="I24" i="13"/>
  <c r="I23" i="13"/>
  <c r="I22" i="13"/>
  <c r="I21" i="13"/>
  <c r="I19" i="13"/>
  <c r="I18" i="13"/>
  <c r="I17" i="13"/>
  <c r="I16" i="13"/>
  <c r="I15" i="13"/>
  <c r="I14" i="13"/>
  <c r="I13" i="13"/>
  <c r="I12" i="13"/>
  <c r="I11" i="13"/>
  <c r="I10" i="13"/>
  <c r="I9" i="13"/>
  <c r="I8" i="13"/>
  <c r="I7" i="13"/>
  <c r="I6" i="13"/>
  <c r="I5" i="13"/>
  <c r="I4" i="13"/>
  <c r="I3" i="13"/>
  <c r="I2" i="13"/>
  <c r="I241" i="13"/>
  <c r="I240" i="13"/>
  <c r="I239" i="13"/>
  <c r="I238" i="13"/>
  <c r="I237" i="13"/>
  <c r="I236" i="13"/>
  <c r="I235" i="13"/>
  <c r="I234" i="13"/>
  <c r="I233" i="13"/>
  <c r="I232" i="13"/>
  <c r="I231" i="13"/>
  <c r="I230" i="13"/>
  <c r="I229" i="13"/>
  <c r="I228" i="13"/>
  <c r="I227" i="13"/>
  <c r="I226" i="13"/>
  <c r="I225" i="13"/>
  <c r="I224" i="13"/>
  <c r="I223" i="13"/>
  <c r="I222" i="13"/>
  <c r="I211" i="13"/>
  <c r="I210" i="13"/>
  <c r="I209" i="13"/>
  <c r="I208" i="13"/>
  <c r="I206" i="13"/>
  <c r="I205" i="13"/>
  <c r="I204" i="13"/>
  <c r="I203" i="13"/>
  <c r="I202" i="13"/>
  <c r="I201" i="13"/>
  <c r="I200" i="13"/>
  <c r="I199" i="13"/>
  <c r="I198" i="13"/>
  <c r="I197" i="13"/>
  <c r="I196" i="13"/>
  <c r="I195" i="13"/>
  <c r="I194" i="13"/>
  <c r="I193" i="13"/>
  <c r="I181" i="13"/>
  <c r="I179" i="13"/>
  <c r="I178" i="13"/>
  <c r="I177" i="13"/>
  <c r="I176" i="13"/>
  <c r="I175" i="13"/>
  <c r="I174" i="13"/>
  <c r="I173" i="13"/>
  <c r="I172" i="13"/>
  <c r="I171" i="13"/>
  <c r="I170" i="13"/>
  <c r="I168" i="13"/>
  <c r="I167" i="13"/>
  <c r="I166" i="13"/>
  <c r="I165" i="13"/>
  <c r="I164" i="13"/>
  <c r="I162" i="13"/>
  <c r="I91" i="13"/>
  <c r="I89" i="13"/>
  <c r="I88" i="13"/>
  <c r="I87" i="13"/>
  <c r="I86" i="13"/>
  <c r="I85" i="13"/>
  <c r="I83" i="13"/>
  <c r="I82" i="13"/>
</calcChain>
</file>

<file path=xl/sharedStrings.xml><?xml version="1.0" encoding="utf-8"?>
<sst xmlns="http://schemas.openxmlformats.org/spreadsheetml/2006/main" count="14330" uniqueCount="1863">
  <si>
    <t>mcAL (cell body count)</t>
  </si>
  <si>
    <t>mAL neuron (present/ absent)</t>
  </si>
  <si>
    <t>Top (cell body count)</t>
  </si>
  <si>
    <t>T1 (cell body count)</t>
  </si>
  <si>
    <t>T2 wing (cell body count)</t>
  </si>
  <si>
    <t>T2 (cell body count)</t>
  </si>
  <si>
    <t>T3 (cell body count)</t>
  </si>
  <si>
    <t>Abdominal ganglion (cell body count)</t>
  </si>
  <si>
    <t>VNC total cell count</t>
  </si>
  <si>
    <t>dpr 1 female brain 1</t>
  </si>
  <si>
    <t>I7</t>
  </si>
  <si>
    <t>4-7day_dpr1gal4_fruFLP_uas_stop_mcd8gfp female</t>
  </si>
  <si>
    <t>no</t>
  </si>
  <si>
    <t>loop absent; sparse expression</t>
  </si>
  <si>
    <t>dpr 1 female brain 2</t>
  </si>
  <si>
    <t>J9</t>
  </si>
  <si>
    <t>4-7day_dpr1gal4_fruFLP_uas_stop_mcd8gfp female 2</t>
  </si>
  <si>
    <t>loop absent</t>
  </si>
  <si>
    <t>missing right eye lobe</t>
  </si>
  <si>
    <t>dpr 1 female brain 3</t>
  </si>
  <si>
    <t>F2</t>
  </si>
  <si>
    <t>4-7day_dpr1gal4_fruFLP_uas_stop_mcd8gfp female 3</t>
  </si>
  <si>
    <t>very very light loop; lots of expression</t>
  </si>
  <si>
    <t>dpr 1 female brain 4</t>
  </si>
  <si>
    <t>K8</t>
  </si>
  <si>
    <t>4-7day_dpr1gal4_fruFLP_uas_stop_mcd8gfp female 4</t>
  </si>
  <si>
    <t>dpr 1 female brain 5</t>
  </si>
  <si>
    <t>H6</t>
  </si>
  <si>
    <t>4-7day_dpr1gal4_fruFLP_uas_stop_mcd8gfp female 5</t>
  </si>
  <si>
    <t>dpr 1 female VNC 1</t>
  </si>
  <si>
    <t>K6</t>
  </si>
  <si>
    <t>4-7day_dpr1gal4_fruFLP_uas_stop_mcd8gfp female VNC</t>
  </si>
  <si>
    <t>dpr 1 female VNC 2</t>
  </si>
  <si>
    <t>J7</t>
  </si>
  <si>
    <t>4-7day_dpr1gal4_fruFLP_uas_stop_mcd8gfp female VNC 2</t>
  </si>
  <si>
    <t>dpr 1 female VNC 3</t>
  </si>
  <si>
    <t>H9</t>
  </si>
  <si>
    <t>4-7day_dpr1gal4_fruFLP_uas_stop_mcd8gfp female VNC 3</t>
  </si>
  <si>
    <t>dpr 1 female VNC 4</t>
  </si>
  <si>
    <t>A1</t>
  </si>
  <si>
    <t>4-7day_dpr1gal4_fruFLP_uas_stop_mcd8gfp female VNC 4</t>
  </si>
  <si>
    <t>many cell bodies but all clustered around T2 wing and Abg</t>
  </si>
  <si>
    <t>dpr 1 female VNC 5</t>
  </si>
  <si>
    <t>O8</t>
  </si>
  <si>
    <t>4-7day_dpr1gal4_fruFLP_uas_stop_mcd8gfp female VNC 5</t>
  </si>
  <si>
    <t>dpr 1 male brain 1</t>
  </si>
  <si>
    <t>K1</t>
  </si>
  <si>
    <t>4-7day_dpr1gal4_fruFLP_uas_stop_mcd8gfp male</t>
  </si>
  <si>
    <t>loop present</t>
  </si>
  <si>
    <t>dpr 1 male brain 2</t>
  </si>
  <si>
    <t>K7</t>
  </si>
  <si>
    <t>4-7day_dpr1gal4_fruFLP_uas_stop_mcd8gfp male 2</t>
  </si>
  <si>
    <t>dpr 1 male brain 3</t>
  </si>
  <si>
    <t>D2</t>
  </si>
  <si>
    <t>4-7day_dpr1gal4_fruFLP_uas_stop_mcd8gfp male 3</t>
  </si>
  <si>
    <t xml:space="preserve">sparse expression; loop present </t>
  </si>
  <si>
    <t>dpr 1 male brain 4</t>
  </si>
  <si>
    <t>B1</t>
  </si>
  <si>
    <t>4-7day_dpr1gal4_fruFLP_uas_stop_mcd8gfp male 4</t>
  </si>
  <si>
    <t xml:space="preserve">sparse expression, loop present </t>
  </si>
  <si>
    <t>all present; extended arch</t>
  </si>
  <si>
    <t>dpr 1 male brain 5</t>
  </si>
  <si>
    <t>O2</t>
  </si>
  <si>
    <t>4-7day_dpr1gal4_fruFLP_uas_stop_mcd8gfp male 5</t>
  </si>
  <si>
    <t xml:space="preserve">loop present </t>
  </si>
  <si>
    <t>dpr 1 male VNC 1</t>
  </si>
  <si>
    <t>L1</t>
  </si>
  <si>
    <t>4-7day_dpr1gal4_fruFLP_uas_stop_mcd8gfp male VNC</t>
  </si>
  <si>
    <t>dpr 1 male VNC 2</t>
  </si>
  <si>
    <t>H5</t>
  </si>
  <si>
    <t>4-7day_dpr1gal4_fruFLP_uas_stop_mcd8gfp male VNC 2</t>
  </si>
  <si>
    <t>yes</t>
  </si>
  <si>
    <t>dpr 1 male VNC 3</t>
  </si>
  <si>
    <t>P3</t>
  </si>
  <si>
    <t>4-7day_dpr1gal4_fruFLP_uas_stop_mcd8gfp male VNC 3</t>
  </si>
  <si>
    <t>dpr 1 male VNC 4</t>
  </si>
  <si>
    <t>M3</t>
  </si>
  <si>
    <t>4-7day_dpr1gal4_fruFLP_uas_stop_mcd8gfp male VNC 4</t>
  </si>
  <si>
    <t>dpr 1 male VNC 5</t>
  </si>
  <si>
    <t>C2</t>
  </si>
  <si>
    <t>4-7day_dpr1gal4_fruFLP_uas_stop_mcd8gfp male VNC 5</t>
  </si>
  <si>
    <t>abg lots of projections</t>
  </si>
  <si>
    <t>dpr 10 female brain 1</t>
  </si>
  <si>
    <t>L4</t>
  </si>
  <si>
    <t>4d_female_dpr10_55810_fruflp_1_20180917</t>
  </si>
  <si>
    <t>dpr 10 female brain 2</t>
  </si>
  <si>
    <t>E4</t>
  </si>
  <si>
    <t>4d_female_dpr10_55810_fruflp_2_20180917</t>
  </si>
  <si>
    <t>very very light loop present; sparse expression</t>
  </si>
  <si>
    <t>all present but very thin</t>
  </si>
  <si>
    <t>dpr 10 female brain 3</t>
  </si>
  <si>
    <t>Q2</t>
  </si>
  <si>
    <t>4d_female_dpr10_55810_fruflp_3_20180917</t>
  </si>
  <si>
    <t>loop absent; not much expression</t>
  </si>
  <si>
    <t>dpr 10 female brain 4</t>
  </si>
  <si>
    <t>M1</t>
  </si>
  <si>
    <t>4d_female_dpr10_55810_fruflp_4_20180917</t>
  </si>
  <si>
    <t>dpr 10 female brain 5</t>
  </si>
  <si>
    <t>Q5</t>
  </si>
  <si>
    <t>6d_female_dpr10_55810_fruflp_5_20180918</t>
  </si>
  <si>
    <t>dpr 10 female VNC 1</t>
  </si>
  <si>
    <t>P5</t>
  </si>
  <si>
    <t>6d_female_dpr10_VNC_55810_fruflp_1_20181005</t>
  </si>
  <si>
    <t>dpr 10 female VNC 2</t>
  </si>
  <si>
    <t>N6</t>
  </si>
  <si>
    <t>6d_female_dpr10_VNC_55810_fruflp_2_20181005</t>
  </si>
  <si>
    <t>dpr 10 female VNC 3</t>
  </si>
  <si>
    <t>M4</t>
  </si>
  <si>
    <t>6d_female_dpr10_VNC_55810_fruflp_3_20181005</t>
  </si>
  <si>
    <t>dpr 10 female VNC 4</t>
  </si>
  <si>
    <t>J5</t>
  </si>
  <si>
    <t>7d_female_dpr10_VNC_55810_fruflp_5_20190220</t>
  </si>
  <si>
    <t>dpr 10 female VNC 5</t>
  </si>
  <si>
    <t>E8</t>
  </si>
  <si>
    <t>7d_female_dpr10_VNC_55810_fruflp_6_20190220</t>
  </si>
  <si>
    <t>dpr 10 male brain 1</t>
  </si>
  <si>
    <t>B8</t>
  </si>
  <si>
    <t>4d_male_dpr10_55810_fruflp_1_20180917</t>
  </si>
  <si>
    <t>sparse expression; loop present</t>
  </si>
  <si>
    <t>all present (extended arch)</t>
  </si>
  <si>
    <t>dpr 10 male brain 2</t>
  </si>
  <si>
    <t>H7</t>
  </si>
  <si>
    <t>4d_male_dpr10_55810_fruflp_2_20180917</t>
  </si>
  <si>
    <t>dpr 10 male brain 3</t>
  </si>
  <si>
    <t>I2</t>
  </si>
  <si>
    <t>7d_male_dpr10_55810_fruflp_4_20190217</t>
  </si>
  <si>
    <t>dpr 10 male brain 4</t>
  </si>
  <si>
    <t>B9</t>
  </si>
  <si>
    <t>7d_male_dpr10_55810_fruflp_5_20190217</t>
  </si>
  <si>
    <t>all present (extended arch; light rings)</t>
  </si>
  <si>
    <t>dpr 10 male brain 5</t>
  </si>
  <si>
    <t>F3</t>
  </si>
  <si>
    <t>7d_male_dpr10_55810_fruflp_6_20190217</t>
  </si>
  <si>
    <t>long arch, junction present</t>
  </si>
  <si>
    <t>dpr 10 male VNC 1</t>
  </si>
  <si>
    <t>J1</t>
  </si>
  <si>
    <t>6d_male_dpr10_VNC_55810_fruflp_1_20181023</t>
  </si>
  <si>
    <t>dpr 10 male VNC 2</t>
  </si>
  <si>
    <t>F9</t>
  </si>
  <si>
    <t>6d_male_dpr10_VNC_55810_fruflp_2_20181023</t>
  </si>
  <si>
    <t>dpr 10 male VNC 3</t>
  </si>
  <si>
    <t>D3</t>
  </si>
  <si>
    <t>7d_male_dpr10_VNC_55810_fruflp_3_20190220</t>
  </si>
  <si>
    <t>dpr 10 male VNC 4</t>
  </si>
  <si>
    <t>H1</t>
  </si>
  <si>
    <t>7d_male_dpr10_VNC_55810_fruflp_5_20190220</t>
  </si>
  <si>
    <t>dpr 10 male VNC 5</t>
  </si>
  <si>
    <t>Q8</t>
  </si>
  <si>
    <t>7d_male_dpr10_VNC_55810_fruflp_6_20190220</t>
  </si>
  <si>
    <t>dpr 11 female brain 1</t>
  </si>
  <si>
    <t>O4</t>
  </si>
  <si>
    <t>4-7day_dpr11gal4_fruFLP_uas_stop_mcd8gfp female</t>
  </si>
  <si>
    <t>dpr 11 female brain 2</t>
  </si>
  <si>
    <t>C8</t>
  </si>
  <si>
    <t>4-7day_dpr11gal4_fruFLP_uas_stop_mcd8gfp female 2</t>
  </si>
  <si>
    <t>sparse expression; loop absent</t>
  </si>
  <si>
    <t>dpr 11 female brain 3</t>
  </si>
  <si>
    <t>H3</t>
  </si>
  <si>
    <t>4-7day_dpr11gal4_fruFLP_uas_stop_mcd8gfp female 3</t>
  </si>
  <si>
    <t>loop absent; large cell body at bottom of SOG; lots of expression</t>
  </si>
  <si>
    <t>dpr 11 female brain 4</t>
  </si>
  <si>
    <t>N5</t>
  </si>
  <si>
    <t>4-7day_dpr11gal4_fruFLP_uas_stop_mcd8gfp female 4</t>
  </si>
  <si>
    <t>dpr 11 female brain 5</t>
  </si>
  <si>
    <t>R3</t>
  </si>
  <si>
    <t>4-7day_dpr11gal4_fruFLP_uas_stop_mcd8gfp female 5</t>
  </si>
  <si>
    <t>dpr 11 female VNC 1</t>
  </si>
  <si>
    <t>Q3</t>
  </si>
  <si>
    <t>4-7day_dpr11gal4_fruFLP_uas_stop_mcd8gfp female VNC</t>
  </si>
  <si>
    <t>dpr 11 female VNC 2</t>
  </si>
  <si>
    <t>Q6</t>
  </si>
  <si>
    <t>4-7day_dpr11gal4_fruFLP_uas_stop_mcd8gfp female VNC 2</t>
  </si>
  <si>
    <t>dpr 11 female VNC 3</t>
  </si>
  <si>
    <t>O6</t>
  </si>
  <si>
    <t>4-7day_dpr11gal4_fruFLP_uas_stop_mcd8gfp female VNC 3</t>
  </si>
  <si>
    <t>dpr 11 female VNC 4</t>
  </si>
  <si>
    <t>L9</t>
  </si>
  <si>
    <t>4-7day_dpr11gal4_fruFLP_uas_stop_mcd8gfp female VNC 4</t>
  </si>
  <si>
    <t>dpr 11 female VNC 5</t>
  </si>
  <si>
    <t>Q4</t>
  </si>
  <si>
    <t>4-7day_dpr11gal4_fruFLP_uas_stop_mcd8gfp female VNC 5</t>
  </si>
  <si>
    <t>dpr 11 male brain 1</t>
  </si>
  <si>
    <t>cell bodies in SOG (loop present)</t>
  </si>
  <si>
    <t>dpr 11 male brain 2</t>
  </si>
  <si>
    <t>N2</t>
  </si>
  <si>
    <t>loop present (very bright)</t>
  </si>
  <si>
    <t>dpr 11 male brain 3</t>
  </si>
  <si>
    <t>P8</t>
  </si>
  <si>
    <t xml:space="preserve">loop present; </t>
  </si>
  <si>
    <t>dpr 11 male brain 4</t>
  </si>
  <si>
    <t>all present; thick rings, thick junction</t>
  </si>
  <si>
    <t>dpr 11 male brain 5</t>
  </si>
  <si>
    <t>dpr 11 male VNC 1</t>
  </si>
  <si>
    <t>I9</t>
  </si>
  <si>
    <t>4-7day_dpr11gal4_fruFLP_uas_stop_mcd8gfp male VNC</t>
  </si>
  <si>
    <t>dpr 11 male VNC 2</t>
  </si>
  <si>
    <t>K2</t>
  </si>
  <si>
    <t>4-7day_dpr11gal4_fruFLP_uas_stop_mcd8gfp male VNC 2</t>
  </si>
  <si>
    <t>dpr 11 male VNC 3</t>
  </si>
  <si>
    <t>Q7</t>
  </si>
  <si>
    <t>4-7day_dpr11gal4_fruFLP_uas_stop_mcd8gfp male VNC 3</t>
  </si>
  <si>
    <t>Abg very dense</t>
  </si>
  <si>
    <t>dpr 11 male VNC 4</t>
  </si>
  <si>
    <t>J3</t>
  </si>
  <si>
    <t>4-7day_dpr11gal4_fruFLP_uas_stop_mcd8gfp male VNC 4</t>
  </si>
  <si>
    <t>dpr 11 male VNC 5</t>
  </si>
  <si>
    <t>E2</t>
  </si>
  <si>
    <t>4-7day_dpr11gal4_fruFLP_uas_stop_mcd8gfp male VNC 5</t>
  </si>
  <si>
    <t>yes (light)</t>
  </si>
  <si>
    <t>dpr 14 female brain 1</t>
  </si>
  <si>
    <t>C7</t>
  </si>
  <si>
    <t>4-7daysDpr14GAL4_UASstopsmGDPmycstop_FruFLP female</t>
  </si>
  <si>
    <t>dpr 14 female brain 2</t>
  </si>
  <si>
    <t>C9</t>
  </si>
  <si>
    <t>4-7daysDpr14GAL4_UASstopsmGDPmycstop_FruFLP female 3</t>
  </si>
  <si>
    <t xml:space="preserve">hard to see bc all expression is so dim but arch present and nothing else </t>
  </si>
  <si>
    <t>dpr 14 female brain 3</t>
  </si>
  <si>
    <t>L5</t>
  </si>
  <si>
    <t>4-7daysDpr14GAL4_UASstopsmGDPmycstop_FruFLP female 4</t>
  </si>
  <si>
    <t>dpr 14 female brain 4</t>
  </si>
  <si>
    <t>I6</t>
  </si>
  <si>
    <t>4-7daysDpr14GAL4_UASstopsmGDPmycstop_FruFLP female 5</t>
  </si>
  <si>
    <t>dpr 14 female brain 5</t>
  </si>
  <si>
    <t>O5</t>
  </si>
  <si>
    <t>4-7daysDpr14GAL4_UASstopsmGDPmycstop_FruFLP female 6</t>
  </si>
  <si>
    <t>dpr 14 female VNC 1</t>
  </si>
  <si>
    <t>I3</t>
  </si>
  <si>
    <t>4-7daysDpr14GAL4_UASstopsmGDPmycstop_FruFLP female VNC</t>
  </si>
  <si>
    <t>dpr 14 female VNC 2</t>
  </si>
  <si>
    <t>R4</t>
  </si>
  <si>
    <t>4-7daysDpr14GAL4_UASstopsmGDPmycstop_FruFLP female VNC 2</t>
  </si>
  <si>
    <t>dpr 14 female VNC 3</t>
  </si>
  <si>
    <t>G7</t>
  </si>
  <si>
    <t>4-7daysDpr14GAL4_UASstopsmGDPmycstop_FruFLP female VNC 3</t>
  </si>
  <si>
    <t>dpr 14 female VNC 4</t>
  </si>
  <si>
    <t>I1</t>
  </si>
  <si>
    <t>4-7daysDpr14GAL4_UASstopsmGDPmycstop_FruFLP female VNC 4</t>
  </si>
  <si>
    <t>dpr 14 female VNC 5</t>
  </si>
  <si>
    <t>F5</t>
  </si>
  <si>
    <t>4-7daysDpr14GAL4_UASstopsmGDPmycstop_FruFLP female VNC 5</t>
  </si>
  <si>
    <t>dpr 14 male brain 1</t>
  </si>
  <si>
    <t>C3</t>
  </si>
  <si>
    <t>4-7daysDpr14GAL4_UASstopsmGDPmycstop_FruFLP male 3</t>
  </si>
  <si>
    <t>yes projections; loop present</t>
  </si>
  <si>
    <t>dpr 14 male brain 2</t>
  </si>
  <si>
    <t>G1</t>
  </si>
  <si>
    <t>4-7daysDpr14GAL4_UASstopsmGDPmycstop_FruFLP male 4</t>
  </si>
  <si>
    <t xml:space="preserve">long arch present; all others absent </t>
  </si>
  <si>
    <t>dpr 14 male brain 3</t>
  </si>
  <si>
    <t>M7</t>
  </si>
  <si>
    <t>4-7daysDpr14GAL4_UASstopsmGDPmycstop_FruFLP male 5</t>
  </si>
  <si>
    <t>loop present; sparse expression</t>
  </si>
  <si>
    <t>dpr 14 male brain 4</t>
  </si>
  <si>
    <t>C6</t>
  </si>
  <si>
    <t>4-7daysDpr14GAL4_UASstopsmGDPmycstop_FruFLP male 6</t>
  </si>
  <si>
    <t>dpr 14 male brain 5</t>
  </si>
  <si>
    <t>E5</t>
  </si>
  <si>
    <t>4-7daysDpr14GAL4_UASstopsmGDPmycstop_FruFLP male 7</t>
  </si>
  <si>
    <t>loop present; expression in SOG</t>
  </si>
  <si>
    <t xml:space="preserve">long arch and junction present </t>
  </si>
  <si>
    <t>dpr 14 male VNC 1</t>
  </si>
  <si>
    <t>A8</t>
  </si>
  <si>
    <t>4-7daysDpr14GAL4_UASstopsmGDPmycstop_FruFLP male VNC</t>
  </si>
  <si>
    <t>dpr 14 male VNC 2</t>
  </si>
  <si>
    <t>P6</t>
  </si>
  <si>
    <t>4-7daysDpr14GAL4_UASstopsmGDPmycstop_FruFLP male VNC 2</t>
  </si>
  <si>
    <t>dpr 14 male VNC 3</t>
  </si>
  <si>
    <t>J4</t>
  </si>
  <si>
    <t>4-7daysDpr14GAL4_UASstopsmGDPmycstop_FruFLP male VNC 3</t>
  </si>
  <si>
    <t>dpr 14 male VNC 4</t>
  </si>
  <si>
    <t>F7</t>
  </si>
  <si>
    <t>4-7daysDpr14GAL4_UASstopsmGDPmycstop_FruFLP male VNC 4</t>
  </si>
  <si>
    <t>dpr 14 male VNC 5</t>
  </si>
  <si>
    <t>E3</t>
  </si>
  <si>
    <t>4-7daysDpr14GAL4_UASstopsmGDPmycstop_FruFLP male VNC 5</t>
  </si>
  <si>
    <t>dpr 15 female brain 1</t>
  </si>
  <si>
    <t>O3</t>
  </si>
  <si>
    <t>4-7day_dpr15gal4_fruFLP_uas_stop_mcd8gfp female</t>
  </si>
  <si>
    <t>dpr 15 female brain 2</t>
  </si>
  <si>
    <t>C1</t>
  </si>
  <si>
    <t>4-7day_dpr15gal4_fruFLP_uas_stop_mcd8gfp female 2</t>
  </si>
  <si>
    <t>projections; loop absent</t>
  </si>
  <si>
    <t>dpr 15 female brain 3</t>
  </si>
  <si>
    <t>K5</t>
  </si>
  <si>
    <t>4-7day_dpr15gal4_fruFLP_uas_stop_mcd8gfp female 3</t>
  </si>
  <si>
    <t>loop absent; lots of expression</t>
  </si>
  <si>
    <t>dpr 15 female brain 4</t>
  </si>
  <si>
    <t>B5</t>
  </si>
  <si>
    <t>4-7day_dpr15gal4_fruFLP_uas_stop_mcd8gfp female 4</t>
  </si>
  <si>
    <t>all present but thin and light; arch very thin and short</t>
  </si>
  <si>
    <t>dpr 15 female brain 5</t>
  </si>
  <si>
    <t>N1</t>
  </si>
  <si>
    <t>4-7day_dpr15gal4_fruFLP_uas_stop_mcd8gfp female 5</t>
  </si>
  <si>
    <t>loop absent; sparse expression and 1 large cell body at bottom of SOG</t>
  </si>
  <si>
    <t>dpr 15 female VNC 1</t>
  </si>
  <si>
    <t>E6</t>
  </si>
  <si>
    <t>4-7day_dpr15gal4_fruFLP_uas_stop_mcd8gfp female VNC</t>
  </si>
  <si>
    <t>dpr 15 female VNC 2</t>
  </si>
  <si>
    <t>A3</t>
  </si>
  <si>
    <t>4-7day_dpr15gal4_fruFLP_uas_stop_mcd8gfp female VNC 2</t>
  </si>
  <si>
    <t>dpr 15 female VNC 3</t>
  </si>
  <si>
    <t>A9</t>
  </si>
  <si>
    <t>4-7day_dpr15gal4_fruFLP_uas_stop_mcd8gfp female VNC 3</t>
  </si>
  <si>
    <t>dpr 15 female VNC 4</t>
  </si>
  <si>
    <t>A6</t>
  </si>
  <si>
    <t>4-7day_dpr15gal4_fruFLP_uas_stop_mcd8gfp female VNC 4</t>
  </si>
  <si>
    <t>dpr 15 female VNC 5</t>
  </si>
  <si>
    <t>F8</t>
  </si>
  <si>
    <t>4-7day_dpr15gal4_fruFLP_uas_stop_mcd8gfp female VNC 5</t>
  </si>
  <si>
    <t>dpr 15 male brain 1</t>
  </si>
  <si>
    <t>I4</t>
  </si>
  <si>
    <t>4-7day_dpr15gal4_fruFLP_uas_stop_mcd8gfp male</t>
  </si>
  <si>
    <t>dpr 15 male brain 2</t>
  </si>
  <si>
    <t>G9</t>
  </si>
  <si>
    <t>4-7day_dpr15gal4_fruFLP_uas_stop_mcd8gfp male 2</t>
  </si>
  <si>
    <t>dpr 15 male brain 3</t>
  </si>
  <si>
    <t>R5</t>
  </si>
  <si>
    <t>4-7day_dpr15gal4_fruFLP_uas_stop_mcd8gfp male 4</t>
  </si>
  <si>
    <t>faint loop present; not much expression elsewhere</t>
  </si>
  <si>
    <t>dpr 15 male brain 4</t>
  </si>
  <si>
    <t>O1</t>
  </si>
  <si>
    <t>4-7day_dpr15gal4_fruFLP_uas_stop_mcd8gfp male 5</t>
  </si>
  <si>
    <t>dpr 15 male brain 5</t>
  </si>
  <si>
    <t>B7</t>
  </si>
  <si>
    <t>4-7day_dpr15gal4_fruFLP_uas_stop_mcd8gfp male 6</t>
  </si>
  <si>
    <t>all present (thick ring and junction)</t>
  </si>
  <si>
    <t>dpr 15 male VNC 1</t>
  </si>
  <si>
    <t>N4</t>
  </si>
  <si>
    <t>4-7day_dpr15gal4_fruFLP_uas_stop_mcd8gfp male VNC</t>
  </si>
  <si>
    <t>dpr 15 male VNC 2</t>
  </si>
  <si>
    <t>J2</t>
  </si>
  <si>
    <t>4-7day_dpr15gal4_fruFLP_uas_stop_mcd8gfp male VNC 2</t>
  </si>
  <si>
    <t>dpr 15 male VNC 3</t>
  </si>
  <si>
    <t>P4</t>
  </si>
  <si>
    <t>4-7day_dpr15gal4_fruFLP_uas_stop_mcd8gfp male VNC 3</t>
  </si>
  <si>
    <t>dpr 15 male VNC 4</t>
  </si>
  <si>
    <t>J8</t>
  </si>
  <si>
    <t>4-7day_dpr15gal4_fruFLP_uas_stop_mcd8gfp male VNC 4</t>
  </si>
  <si>
    <t>very bright abg</t>
  </si>
  <si>
    <t>dpr 15 male VNC 5</t>
  </si>
  <si>
    <t>O9</t>
  </si>
  <si>
    <t>4-7day_dpr15gal4_fruFLP_uas_stop_mcd8gfp male VNC 5</t>
  </si>
  <si>
    <t>dpr 17 female brain 1</t>
  </si>
  <si>
    <t>K3</t>
  </si>
  <si>
    <t>4-7day_dpr17gal4_fruFLP_uas_stop_mcd8gfp female 2</t>
  </si>
  <si>
    <t>loop absent; lots of expression, large cell body at bottom of SOG</t>
  </si>
  <si>
    <t>dpr 17 female brain 2</t>
  </si>
  <si>
    <t>M9</t>
  </si>
  <si>
    <t>4-7day_dpr17gal4_fruFLP_uas_stop_mcd8gfp female 3</t>
  </si>
  <si>
    <t>loop absent; sparse expression and large cell bodies at bottom of SOG</t>
  </si>
  <si>
    <t>dpr 17 female brain 3</t>
  </si>
  <si>
    <t>P9</t>
  </si>
  <si>
    <t>4-7day_dpr17gal4_fruFLP_uas_stop_mcd8gfp female 4</t>
  </si>
  <si>
    <t>loop absent, sparse expression and large cell body at bottom</t>
  </si>
  <si>
    <t>dpr 17 female brain 4</t>
  </si>
  <si>
    <t>G2</t>
  </si>
  <si>
    <t>4-7day_dpr17gal4_fruFLP_uas_stop_mcd8gfp female 5</t>
  </si>
  <si>
    <t>dpr 17 female brain 5</t>
  </si>
  <si>
    <t>B6</t>
  </si>
  <si>
    <t>4-7day_dpr17gal4_fruFLP_uas_stop_mcd8gfp female 6</t>
  </si>
  <si>
    <t>sparse expression, loop absent</t>
  </si>
  <si>
    <t xml:space="preserve">junction absent; rest are thin </t>
  </si>
  <si>
    <t>dpr 17 female VNC 1</t>
  </si>
  <si>
    <t>A2</t>
  </si>
  <si>
    <t>4-7day_dpr17gal4_fruFLP_uas_stop_mcd8gfp female VNC</t>
  </si>
  <si>
    <t>dpr 17 female VNC 2</t>
  </si>
  <si>
    <t>L7</t>
  </si>
  <si>
    <t>4-7day_dpr17gal4_fruFLP_uas_stop_mcd8gfp female VNC 2</t>
  </si>
  <si>
    <t>dpr 17 female VNC 3</t>
  </si>
  <si>
    <t>Q1</t>
  </si>
  <si>
    <t>4-7day_dpr17gal4_fruFLP_uas_stop_mcd8gfp female VNC 3</t>
  </si>
  <si>
    <t>dpr 17 female VNC 4</t>
  </si>
  <si>
    <t>L3</t>
  </si>
  <si>
    <t>4-7day_dpr17gal4_fruFLP_uas_stop_mcd8gfp female VNC 4</t>
  </si>
  <si>
    <t>dpr 17 female VNC 5</t>
  </si>
  <si>
    <t>P7</t>
  </si>
  <si>
    <t>4-7day_dpr17gal4_fruFLP_uas_stop_mcd8gfp female VNC 5</t>
  </si>
  <si>
    <t>dpr 17 male brain 1</t>
  </si>
  <si>
    <t>J6</t>
  </si>
  <si>
    <t>4-7day_dpr17gal4_fruFLP_uas_stop_mcd8gfp male</t>
  </si>
  <si>
    <t>loop present (light)</t>
  </si>
  <si>
    <t>dpr 17 male brain 2</t>
  </si>
  <si>
    <t>E7</t>
  </si>
  <si>
    <t>4-7day_dpr17gal4_fruFLP_uas_stop_mcd8gfp male 2</t>
  </si>
  <si>
    <t xml:space="preserve">thick ring, long arch, all present </t>
  </si>
  <si>
    <t>dpr 17 male brain 3</t>
  </si>
  <si>
    <t>D8</t>
  </si>
  <si>
    <t>4-7day_dpr17gal4_fruFLP_uas_stop_mcd8gfp male 3</t>
  </si>
  <si>
    <t>dpr 17 male brain 4</t>
  </si>
  <si>
    <t>R7</t>
  </si>
  <si>
    <t>4-7day_dpr17gal4_fruFLP_uas_stop_mcd8gfp male 4</t>
  </si>
  <si>
    <t>dpr 17 male brain 5</t>
  </si>
  <si>
    <t>R2</t>
  </si>
  <si>
    <t>4-7day_dpr17gal4_fruFLP_uas_stop_mcd8gfp male 5</t>
  </si>
  <si>
    <t>faint loop present; not much expression otherwise</t>
  </si>
  <si>
    <t>dpr 17 male VNC 1</t>
  </si>
  <si>
    <t>L6</t>
  </si>
  <si>
    <t>4-7day_dpr17gal4_fruFLP_uas_stop_mcd8gfp male VNC</t>
  </si>
  <si>
    <t>dpr 17 male VNC 2</t>
  </si>
  <si>
    <t>R6</t>
  </si>
  <si>
    <t>4-7day_dpr17gal4_fruFLP_uas_stop_mcd8gfp male VNC 2</t>
  </si>
  <si>
    <t>dpr 17 male VNC 3</t>
  </si>
  <si>
    <t>N8</t>
  </si>
  <si>
    <t>4-7day_dpr17gal4_fruFLP_uas_stop_mcd8gfp male VNC 3</t>
  </si>
  <si>
    <t xml:space="preserve">Abg bright </t>
  </si>
  <si>
    <t>dpr 17 male VNC 4</t>
  </si>
  <si>
    <t>K4</t>
  </si>
  <si>
    <t>4-7day_dpr17gal4_fruFLP_uas_stop_mcd8gfp male VNC 4</t>
  </si>
  <si>
    <t>dpr 17 male VNC 5</t>
  </si>
  <si>
    <t>D4</t>
  </si>
  <si>
    <t>4-7day_dpr17gal4_fruFLP_uas_stop_mcd8gfp male VNC 5</t>
  </si>
  <si>
    <t>dpr 3 female brain 1</t>
  </si>
  <si>
    <t>H2</t>
  </si>
  <si>
    <t>4-7day_dpr3gal4_fruFLP_uas_stop_mcd8gfp female</t>
  </si>
  <si>
    <t>loop absent; 2 large cell bodies at bottom of SOG</t>
  </si>
  <si>
    <t>dpr 3 female brain 2</t>
  </si>
  <si>
    <t>I8</t>
  </si>
  <si>
    <t>4-7day_dpr3gal4_fruFLP_uas_stop_mcd8gfp female 2</t>
  </si>
  <si>
    <t>dpr 3 female brain 3</t>
  </si>
  <si>
    <t>L8</t>
  </si>
  <si>
    <t>4-7day_dpr3gal4_fruFLP_uas_stop_mcd8gfp female 3</t>
  </si>
  <si>
    <t>dpr 3 female brain 4</t>
  </si>
  <si>
    <t>N3</t>
  </si>
  <si>
    <t>4-7day_dpr3gal4_fruFLP_uas_stop_mcd8gfp female 4</t>
  </si>
  <si>
    <t>dpr 3 female brain 5</t>
  </si>
  <si>
    <t>D5</t>
  </si>
  <si>
    <t>4-7day_dpr3gal4_fruFLP_uas_stop_mcd8gfp female 5</t>
  </si>
  <si>
    <t>dpr 3 female VNC 1</t>
  </si>
  <si>
    <t>L2</t>
  </si>
  <si>
    <t>4-7day_dpr3gal4_fruFLP_uas_stop_mcd8gfp female VNC</t>
  </si>
  <si>
    <t>dpr 3 female VNC 2</t>
  </si>
  <si>
    <t>M2</t>
  </si>
  <si>
    <t>4-7day_dpr3gal4_fruFLP_uas_stop_mcd8gfp female VNC 2</t>
  </si>
  <si>
    <t>dpr 3 female VNC 3</t>
  </si>
  <si>
    <t>G6</t>
  </si>
  <si>
    <t>4-7day_dpr3gal4_fruFLP_uas_stop_mcd8gfp female VNC 3</t>
  </si>
  <si>
    <t>dpr 3 female VNC 4</t>
  </si>
  <si>
    <t>M6</t>
  </si>
  <si>
    <t>4-7day_dpr3gal4_fruFLP_uas_stop_mcd8gfp female VNC 4</t>
  </si>
  <si>
    <t>dpr 3 female VNC 5</t>
  </si>
  <si>
    <t>F1</t>
  </si>
  <si>
    <t>4-7day_dpr3gal4_fruFLP_uas_stop_mcd8gfp female VNC 5</t>
  </si>
  <si>
    <t>dpr 3 male brain 1</t>
  </si>
  <si>
    <t>D9</t>
  </si>
  <si>
    <t>4-7day_dpr3gal4_fruFLP_uas_stop_mcd8gfp male</t>
  </si>
  <si>
    <t>very very light loop</t>
  </si>
  <si>
    <t>dpr 3 male brain 2</t>
  </si>
  <si>
    <t>R1</t>
  </si>
  <si>
    <t>4-7day_dpr3gal4_fruFLP_uas_stop_mcd8gfp male 2</t>
  </si>
  <si>
    <t>very faint loop present; not much expression</t>
  </si>
  <si>
    <t>dpr 3 male brain 3</t>
  </si>
  <si>
    <t>G8</t>
  </si>
  <si>
    <t>4-7day_dpr3gal4_fruFLP_uas_stop_mcd8gfp male 3</t>
  </si>
  <si>
    <t>dpr 3 male brain 4</t>
  </si>
  <si>
    <t>E9</t>
  </si>
  <si>
    <t>4-7day_dpr3gal4_fruFLP_uas_stop_mcd8gfp male 4</t>
  </si>
  <si>
    <t xml:space="preserve">very faint loop present </t>
  </si>
  <si>
    <t xml:space="preserve">long arch, all present </t>
  </si>
  <si>
    <t>dpr 3 male brain 5</t>
  </si>
  <si>
    <t>N7</t>
  </si>
  <si>
    <t>4-7day_dpr3gal4_fruFLP_uas_stop_mcd8gfp male 5</t>
  </si>
  <si>
    <t>loop absent; lots of expression in SOG</t>
  </si>
  <si>
    <t>dpr 3 male VNC 1</t>
  </si>
  <si>
    <t>C5</t>
  </si>
  <si>
    <t>4-7day_dpr3gal4_fruFLP_uas_stop_mcd8gfp male VNC</t>
  </si>
  <si>
    <t>dpr 3 male VNC 2</t>
  </si>
  <si>
    <t>A4</t>
  </si>
  <si>
    <t>4-7day_dpr3gal4_fruFLP_uas_stop_mcd8gfp male VNC 2</t>
  </si>
  <si>
    <t>dpr 3 male VNC 3</t>
  </si>
  <si>
    <t>I5</t>
  </si>
  <si>
    <t>4-7day_dpr3gal4_fruFLP_uas_stop_mcd8gfp male VNC 3</t>
  </si>
  <si>
    <t>dpr 3 male VNC 4</t>
  </si>
  <si>
    <t>F4</t>
  </si>
  <si>
    <t>4-7day_dpr3gal4_fruFLP_uas_stop_mcd8gfp male VNC 4</t>
  </si>
  <si>
    <t>dpr 3 male VNC 5</t>
  </si>
  <si>
    <t>H4</t>
  </si>
  <si>
    <t>4-7day_dpr3gal4_fruFLP_uas_stop_mcd8gfp male VNC 5</t>
  </si>
  <si>
    <t>dpr 8 female brain 1</t>
  </si>
  <si>
    <t>K9</t>
  </si>
  <si>
    <t>4-7day_dpr8gal4_fruFLP_uas_stop_mcd8gfp female</t>
  </si>
  <si>
    <t xml:space="preserve">loop absent </t>
  </si>
  <si>
    <t>dpr 8 female brain 2</t>
  </si>
  <si>
    <t>P2</t>
  </si>
  <si>
    <t>4-7day_dpr8gal4_fruFLP_uas_stop_mcd8gfp female 2</t>
  </si>
  <si>
    <t>loop absent; lots of expression and large cell body at bottom</t>
  </si>
  <si>
    <t>dpr 8 female brain 3</t>
  </si>
  <si>
    <t>Q9</t>
  </si>
  <si>
    <t>4-7day_dpr8gal4_fruFLP_uas_stop_mcd8gfp female 3</t>
  </si>
  <si>
    <t>dpr 8 female brain 4</t>
  </si>
  <si>
    <t>B2</t>
  </si>
  <si>
    <t>4-7day_dpr8gal4_fruFLP_uas_stop_mcd8gfp female 4</t>
  </si>
  <si>
    <t>dpr 8 female brain 5</t>
  </si>
  <si>
    <t>B4</t>
  </si>
  <si>
    <t>4-7day_dpr8gal4_fruFLP_uas_stop_mcd8gfp female 5</t>
  </si>
  <si>
    <t>dpr 8 female VNC 1</t>
  </si>
  <si>
    <t>M5</t>
  </si>
  <si>
    <t>4-7day_dpr8gal4_fruFLP_uas_stop_mcd8gfp female VNC</t>
  </si>
  <si>
    <t>dpr 8 female VNC 2</t>
  </si>
  <si>
    <t>O7</t>
  </si>
  <si>
    <t>4-7day_dpr8gal4_fruFLP_uas_stop_mcd8gfp female VNC 2</t>
  </si>
  <si>
    <t>dpr 8 female VNC 3</t>
  </si>
  <si>
    <t>D1</t>
  </si>
  <si>
    <t>4-7day_dpr8gal4_fruFLP_uas_stop_mcd8gfp female VNC 3</t>
  </si>
  <si>
    <t>dpr 8 female VNC 4</t>
  </si>
  <si>
    <t>G3</t>
  </si>
  <si>
    <t>4-7day_dpr8gal4_fruFLP_uas_stop_mcd8gfp female VNC 4</t>
  </si>
  <si>
    <t xml:space="preserve">very very faint </t>
  </si>
  <si>
    <t>dpr 8 female VNC 5</t>
  </si>
  <si>
    <t>C4</t>
  </si>
  <si>
    <t>4-7day_dpr8gal4_fruFLP_uas_stop_mcd8gfp female VNC 5</t>
  </si>
  <si>
    <t>dpr 8 male brain 1</t>
  </si>
  <si>
    <t>B3</t>
  </si>
  <si>
    <t>4-7day_dpr8gal4_fruFLP_uas_stop_mcd8gfp male</t>
  </si>
  <si>
    <t>dpr 8 male brain 2</t>
  </si>
  <si>
    <t>D7</t>
  </si>
  <si>
    <t>4-7day_dpr8gal4_fruFLP_uas_stop_mcd8gfp male 2</t>
  </si>
  <si>
    <t>dpr 8 male brain 3</t>
  </si>
  <si>
    <t>M8</t>
  </si>
  <si>
    <t>4-7day_dpr8gal4_fruFLP_uas_stop_mcd8gfp male 3</t>
  </si>
  <si>
    <t>dpr 8 male brain 4</t>
  </si>
  <si>
    <t>D6</t>
  </si>
  <si>
    <t>4-7day_dpr8gal4_fruFLP_uas_stop_mcd8gfp male 4</t>
  </si>
  <si>
    <t>all present; long arch, thick junction</t>
  </si>
  <si>
    <t>dpr 8 male brain 5</t>
  </si>
  <si>
    <t>H8</t>
  </si>
  <si>
    <t>4-7day_dpr8gal4_fruFLP_uas_stop_mcd8gfp male 5</t>
  </si>
  <si>
    <t>dpr 8 male VNC 1</t>
  </si>
  <si>
    <t>G4</t>
  </si>
  <si>
    <t>4-7day_dpr8gal4_fruFLP_uas_stop_mcd8gfp male VNC</t>
  </si>
  <si>
    <t>dpr 8 male VNC 2</t>
  </si>
  <si>
    <t>A7</t>
  </si>
  <si>
    <t>4-7day_dpr8gal4_fruFLP_uas_stop_mcd8gfp male VNC 2</t>
  </si>
  <si>
    <t>dpr 8 male VNC 3</t>
  </si>
  <si>
    <t>P1</t>
  </si>
  <si>
    <t>4-7day_dpr8gal4_fruFLP_uas_stop_mcd8gfp male VNC 3</t>
  </si>
  <si>
    <t>dpr 8 male VNC 4</t>
  </si>
  <si>
    <t>A5</t>
  </si>
  <si>
    <t>4-7day_dpr8gal4_fruFLP_uas_stop_mcd8gfp male VNC 4</t>
  </si>
  <si>
    <t>dpr 8 male VNC 5</t>
  </si>
  <si>
    <t>N9</t>
  </si>
  <si>
    <t>4-7day_dpr8gal4_fruFLP_uas_stop_mcd8gfp male VNC 5</t>
  </si>
  <si>
    <t>4d_female_DIPalpha_55810_fruflp_4_20180920</t>
  </si>
  <si>
    <t>absent</t>
  </si>
  <si>
    <t>maybe loop present?</t>
  </si>
  <si>
    <t>none</t>
  </si>
  <si>
    <t>4d_female_DIPalpha_55810_fruflp_1_20180917</t>
  </si>
  <si>
    <t xml:space="preserve">only short arch present </t>
  </si>
  <si>
    <t>4d_female_DIPalpha_55810_fruflp_5_20180921</t>
  </si>
  <si>
    <t>loop absent; U shaped neuron present</t>
  </si>
  <si>
    <t>short arch only</t>
  </si>
  <si>
    <t>4d_female_DIPalpha_55810_fruflp_2_20180918</t>
  </si>
  <si>
    <t>4d_female_DIPalpha_55810_fruflp_3_20180919</t>
  </si>
  <si>
    <t>short arch</t>
  </si>
  <si>
    <t>BB6</t>
  </si>
  <si>
    <t>midline crossing</t>
  </si>
  <si>
    <t>BB8</t>
  </si>
  <si>
    <t>too faint</t>
  </si>
  <si>
    <t>DD6</t>
  </si>
  <si>
    <t>FF9</t>
  </si>
  <si>
    <t>GG7</t>
  </si>
  <si>
    <t>4d_male_DIPalpha_55810_fruflp_4_20180920</t>
  </si>
  <si>
    <t>4d_male_DIPalpha_55810_fruflp_1_20180917</t>
  </si>
  <si>
    <t>4d_male_DIPalpha_55810_fruflp_6_20180921</t>
  </si>
  <si>
    <t>4d_male_DIPalpha_55810_fruflp_3_20180919</t>
  </si>
  <si>
    <t>4d_male_DIPalpha_55810_fruflp_2_20180918</t>
  </si>
  <si>
    <t>CC0</t>
  </si>
  <si>
    <t>CC6</t>
  </si>
  <si>
    <t>EE3</t>
  </si>
  <si>
    <t>FF8</t>
  </si>
  <si>
    <t>GG6</t>
  </si>
  <si>
    <t>4-7day_DIPBetagal4_fruFLP_uas_stop_mcd8gfp female5</t>
  </si>
  <si>
    <t>posterior neurons like J1, also like aSP-g (harder to tell here)</t>
  </si>
  <si>
    <t>4-7day_DIPBetagal4_fruFLP_uas_stop_mcd8gfp female1</t>
  </si>
  <si>
    <t>P0</t>
  </si>
  <si>
    <t>bright posterior neuron (like J1)</t>
  </si>
  <si>
    <t>4-7day_DIPBetagal4_fruFLP_uas_stop_mcd8gfp female2</t>
  </si>
  <si>
    <t>aSP-K slice 34</t>
  </si>
  <si>
    <t>4-7day_DIPBetagal4_fruFLP_uas_stop_mcd8gfp female3</t>
  </si>
  <si>
    <t>R0</t>
  </si>
  <si>
    <t>aSP-k right side slice 36</t>
  </si>
  <si>
    <t>4-7day_DIPBetagal4_fruFLP_uas_stop_mcd8gfp female4</t>
  </si>
  <si>
    <t>R9</t>
  </si>
  <si>
    <t>aSP-g neurons slice 45 (right side), bright posterior neurons --bifurcates one axon goes to optic lobe one goes across brain</t>
  </si>
  <si>
    <t>AA0</t>
  </si>
  <si>
    <t>NA</t>
  </si>
  <si>
    <t>AA6</t>
  </si>
  <si>
    <t>BB2</t>
  </si>
  <si>
    <t>no midline crossing</t>
  </si>
  <si>
    <t>EE8</t>
  </si>
  <si>
    <t>FF6</t>
  </si>
  <si>
    <t>4-7day_DIPBetagal4_fruFLP_uas_stop_mcd8gfp male5</t>
  </si>
  <si>
    <t>loop present; sparse expression in SOG</t>
  </si>
  <si>
    <t>large cell bodies between crepine. Compare area of ~31 in dors ant mid to ~69 here, bright posterior neurons --bifurcates one axon goes to optic lobe one goes across brain</t>
  </si>
  <si>
    <t>4-7day_DIPBetagal4_fruFLP_uas_stop_mcd8gfp male2</t>
  </si>
  <si>
    <t>4-7day_DIPBetagal4_fruFLP_uas_stop_mcd8gfp male1</t>
  </si>
  <si>
    <t>N0</t>
  </si>
  <si>
    <t>4-7day_DIPBetagal4_fruFLP_uas_stop_mcd8gfp male3</t>
  </si>
  <si>
    <t>Q0</t>
  </si>
  <si>
    <t>4-7day_DIPBetagal4_fruFLP_uas_stop_mcd8gfp male4</t>
  </si>
  <si>
    <t>AA4</t>
  </si>
  <si>
    <t>CC9</t>
  </si>
  <si>
    <t>DD3</t>
  </si>
  <si>
    <t>FF4</t>
  </si>
  <si>
    <t>meso tri</t>
  </si>
  <si>
    <t>GG5</t>
  </si>
  <si>
    <t>6d_female_DIPdelta_55810_fruflp_6_20180926</t>
  </si>
  <si>
    <t>6d_female_DIPdelta_55810_fruflp_16_20180929</t>
  </si>
  <si>
    <t>6d_female_DIPdelta_55810_fruflp_2_20180925</t>
  </si>
  <si>
    <t>6d_female_DIPdelta_55810_fruflp_7_20180927</t>
  </si>
  <si>
    <t>6d_female_DIPdelta_55810_fruflp_15_20180928</t>
  </si>
  <si>
    <t>AA8</t>
  </si>
  <si>
    <t>CC5</t>
  </si>
  <si>
    <t>EE4</t>
  </si>
  <si>
    <t>HH3</t>
  </si>
  <si>
    <t>meso</t>
  </si>
  <si>
    <t>HH5</t>
  </si>
  <si>
    <t>6d_male_DIPdelta_55810_fruflp_7_20180929</t>
  </si>
  <si>
    <t>J0</t>
  </si>
  <si>
    <t>6d_male_DIPdelta_55810_fruflp_6_20180928</t>
  </si>
  <si>
    <t>6d_male_DIPdelta_55810_fruflp_2_20180925</t>
  </si>
  <si>
    <t>6d_male_DIPdelta_55810_fruflp_4_20180927</t>
  </si>
  <si>
    <t>6d_male_DIPdelta_55810_fruflp_3_20180926</t>
  </si>
  <si>
    <t>DD8</t>
  </si>
  <si>
    <t>EE5</t>
  </si>
  <si>
    <t>FF2</t>
  </si>
  <si>
    <t>HH0</t>
  </si>
  <si>
    <t>HH6</t>
  </si>
  <si>
    <t>4-7day_DIPEpsilongal4_fruFLP_uas_stop_mcd8gfp female3</t>
  </si>
  <si>
    <t>4-7day_DIPEpsilongal4_fruFLP_uas_stop_mcd8gfp female1</t>
  </si>
  <si>
    <t>4-7day_DIPEpsilongal4_fruFLP_uas_stop_mcd8gfp female5</t>
  </si>
  <si>
    <t>4-7day_DIPEpsilongal4_fruFLP_uas_stop_mcd8gfp female2</t>
  </si>
  <si>
    <t>4-7day_DIPEpsilongal4_fruFLP_uas_stop_mcd8gfp female4</t>
  </si>
  <si>
    <t>BB1</t>
  </si>
  <si>
    <t>BB4</t>
  </si>
  <si>
    <t>FF0</t>
  </si>
  <si>
    <t>FF5</t>
  </si>
  <si>
    <t>HH2</t>
  </si>
  <si>
    <t>4-7day_DIPEpsilongal4_fruFLP_uas_stop_mcd8gfp male7</t>
  </si>
  <si>
    <t>4-7day_DIPEpsilongal4_fruFLP_uas_stop_mcd8gfp male1</t>
  </si>
  <si>
    <t>4-7day_DIPEpsilongal4_fruFLP_uas_stop_mcd8gfp male6</t>
  </si>
  <si>
    <t>M0</t>
  </si>
  <si>
    <t>4-7day_DIPEpsilongal4_fruFLP_uas_stop_mcd8gfp male2</t>
  </si>
  <si>
    <t>4-7day_DIPEpsilongal4_fruFLP_uas_stop_mcd8gfp male4</t>
  </si>
  <si>
    <t>AA2</t>
  </si>
  <si>
    <t>AA9</t>
  </si>
  <si>
    <t>BB3</t>
  </si>
  <si>
    <t>bright cluster at tip of Abg</t>
  </si>
  <si>
    <t>BB7</t>
  </si>
  <si>
    <t>DD0</t>
  </si>
  <si>
    <t>different posterior neurons (from J1) looks like aSP-g neurons -- no bifurcation</t>
  </si>
  <si>
    <t>present</t>
  </si>
  <si>
    <t>aSP-k neurons both sides slice 53</t>
  </si>
  <si>
    <t>aSP-k neurons both sides slice 52</t>
  </si>
  <si>
    <t>fan body</t>
  </si>
  <si>
    <t>AA5</t>
  </si>
  <si>
    <t>DD9</t>
  </si>
  <si>
    <t>faint</t>
  </si>
  <si>
    <t>EE6</t>
  </si>
  <si>
    <t>GG8</t>
  </si>
  <si>
    <t>HH7</t>
  </si>
  <si>
    <t>faint loop present</t>
  </si>
  <si>
    <t>very faint loop present</t>
  </si>
  <si>
    <t>posterior neurons looks like aSP-K</t>
  </si>
  <si>
    <t>aSP-K neurons left side slice 48</t>
  </si>
  <si>
    <t>aSP-k both sides slice 42</t>
  </si>
  <si>
    <t>AA7</t>
  </si>
  <si>
    <t>BB9</t>
  </si>
  <si>
    <t>CC7</t>
  </si>
  <si>
    <t>DD5</t>
  </si>
  <si>
    <t>HH9</t>
  </si>
  <si>
    <t>K0</t>
  </si>
  <si>
    <t>aSP-K slice 35</t>
  </si>
  <si>
    <t>CC1</t>
  </si>
  <si>
    <t>CC4</t>
  </si>
  <si>
    <t>EE1</t>
  </si>
  <si>
    <t>FF1</t>
  </si>
  <si>
    <t>GG4</t>
  </si>
  <si>
    <t>aSP-k both sides slice 44</t>
  </si>
  <si>
    <t>R8</t>
  </si>
  <si>
    <t>aSP-k neurons slice 38</t>
  </si>
  <si>
    <t>AA3</t>
  </si>
  <si>
    <t>BB0</t>
  </si>
  <si>
    <t>CC3</t>
  </si>
  <si>
    <t>DD4</t>
  </si>
  <si>
    <t>HH1</t>
  </si>
  <si>
    <t>4-7day_DIPThetagal4_fruFLP_uas_stop_mcd8gfp female3</t>
  </si>
  <si>
    <t>PN-right antennal lobe</t>
  </si>
  <si>
    <t>4-7day_DIPThetagal4_fruFLP_uas_stop_mcd8gfp female4</t>
  </si>
  <si>
    <t>posterior neurons but can't tell what type</t>
  </si>
  <si>
    <t>4-7day_DIPThetagal4_fruFLP_uas_stop_mcd8gfp female2</t>
  </si>
  <si>
    <t>4-7day_DIPThetagal4_fruFLP_uas_stop_mcd8gfp female1</t>
  </si>
  <si>
    <t>present, faint</t>
  </si>
  <si>
    <t>aSP-g bifurcation, long on left side slice 31</t>
  </si>
  <si>
    <t>4-7day_DIPThetagal4_fruFLP_uas_stop_mcd8gfp female5</t>
  </si>
  <si>
    <t>AA1</t>
  </si>
  <si>
    <t>CC2</t>
  </si>
  <si>
    <t>EE2</t>
  </si>
  <si>
    <t>GG0</t>
  </si>
  <si>
    <t>GG9</t>
  </si>
  <si>
    <t>4-7day_DIPThetagal4_fruFLP_uas_stop_mcd8gfp male4</t>
  </si>
  <si>
    <t>4-7day_DIPThetagal4_fruFLP_uas_stop_mcd8gfp male3</t>
  </si>
  <si>
    <t>very bright loop present</t>
  </si>
  <si>
    <t>aSP-K neurons both sides slice 38</t>
  </si>
  <si>
    <t>4-7day_DIPThetagal4_fruFLP_uas_stop_mcd8gfp male2</t>
  </si>
  <si>
    <t>aSP-K slice 38</t>
  </si>
  <si>
    <t>4-7day_DIPThetagal4_fruFLP_uas_stop_mcd8gfp male1</t>
  </si>
  <si>
    <t>4-7day_DIPThetagal4_fruFLP_uas_stop_mcd8gfp male7</t>
  </si>
  <si>
    <t>CC8</t>
  </si>
  <si>
    <t>DD1</t>
  </si>
  <si>
    <t>DD7</t>
  </si>
  <si>
    <t>EE9</t>
  </si>
  <si>
    <t>GG2</t>
  </si>
  <si>
    <t>4-7day_DIPZetagal4_fruFLP_uas_stop_mcd8gfp female6</t>
  </si>
  <si>
    <t>L0</t>
  </si>
  <si>
    <t>aSP-g bifurcation? Slice 43 right side</t>
  </si>
  <si>
    <t>4-7day_DIPZetagal4_fruFLP_uas_stop_mcd8gfp female1</t>
  </si>
  <si>
    <t>interesting neuron slice 32 right side--can't identify</t>
  </si>
  <si>
    <t>4-7day_DIPZetagal4_fruFLP_uas_stop_mcd8gfp female2</t>
  </si>
  <si>
    <t>4-7day_DIPZetagal4_fruFLP_uas_stop_mcd8gfp female4</t>
  </si>
  <si>
    <t>aSP-h right side slice 41</t>
  </si>
  <si>
    <t>4-7day_DIPZetagal4_fruFLP_uas_stop_mcd8gfp female3</t>
  </si>
  <si>
    <t>thin ring, thin junction, no cresent,long arch</t>
  </si>
  <si>
    <t>DIPzeta_Female_VNC_3</t>
  </si>
  <si>
    <t>BB5</t>
  </si>
  <si>
    <t>DIPzeta_Female_VNC_2</t>
  </si>
  <si>
    <t>DD2</t>
  </si>
  <si>
    <t>DIPzeta_Female_VNC_4</t>
  </si>
  <si>
    <t>GG3</t>
  </si>
  <si>
    <t>DIPzeta_Female_VNC_1</t>
  </si>
  <si>
    <t>HH4</t>
  </si>
  <si>
    <t>DIPzeta_Female_VNC_5</t>
  </si>
  <si>
    <t>HH8</t>
  </si>
  <si>
    <t>4-7day_DIPZetagal4_fruFLP_uas_stop_mcd8gfp male2</t>
  </si>
  <si>
    <t>4-7day_DIPZetagal4_fruFLP_uas_stop_mcd8gfp male4</t>
  </si>
  <si>
    <t xml:space="preserve">thick rings, junction absent; N/A for arch and junction bc tissue cut </t>
  </si>
  <si>
    <t>4-7day_DIPZetagal4_fruFLP_uas_stop_mcd8gfp male1</t>
  </si>
  <si>
    <t>4-7day_DIPZetagal4_fruFLP_uas_stop_mcd8gfp male3</t>
  </si>
  <si>
    <t>4-7day_DIPZetagal4_fruFLP_uas_stop_mcd8gfp male5</t>
  </si>
  <si>
    <t>DIPzeta_male_VNC_1</t>
  </si>
  <si>
    <t>EE0</t>
  </si>
  <si>
    <t>small, faint</t>
  </si>
  <si>
    <t>DIPzeta_male_VNC_4</t>
  </si>
  <si>
    <t>EE7</t>
  </si>
  <si>
    <t>DIPzeta_male_VNC_2</t>
  </si>
  <si>
    <t>FF3</t>
  </si>
  <si>
    <t>DIPzeta_male_VNC_5</t>
  </si>
  <si>
    <t>FF7</t>
  </si>
  <si>
    <t>DIPzeta_male_VNC_3</t>
  </si>
  <si>
    <t>GG1</t>
  </si>
  <si>
    <t>4-7day_dpr12gal4_fruFLP_uas_stop_mcd8gfp female 5</t>
  </si>
  <si>
    <t>BS_B9</t>
  </si>
  <si>
    <t>Absent</t>
  </si>
  <si>
    <t>No, you can see the median bundle neurons project downwards but the loop is not seen in the stacks or in the 3D projection</t>
  </si>
  <si>
    <t>Yes, present expression is not dense but it is bright</t>
  </si>
  <si>
    <t>Yes</t>
  </si>
  <si>
    <t>4-7day_dpr12gal4_fruFLP_uas_stop_mcd8gfp female 4</t>
  </si>
  <si>
    <t>BS_E8</t>
  </si>
  <si>
    <t>Loop is absent</t>
  </si>
  <si>
    <t>Yes, all are very faint and the arch is female like where it is thinner as it goes down into the junction and ring</t>
  </si>
  <si>
    <t>4-7day_dpr12gal4_fruFLP_uas_stop_mcd8gfp female</t>
  </si>
  <si>
    <t>BS_S3</t>
  </si>
  <si>
    <t>4-7day_dpr12gal4_fruFLP_uas_stop_mcd8gfp female 2</t>
  </si>
  <si>
    <t>BS_T5</t>
  </si>
  <si>
    <t xml:space="preserve">Loop is present but not completed in the SOG </t>
  </si>
  <si>
    <t>4-7day_dpr12gal4_fruFLP_uas_stop_mcd8gfp female 3</t>
  </si>
  <si>
    <t>BS_T7</t>
  </si>
  <si>
    <t>Loop is present but not completed in the SOG and is very faint in expression</t>
  </si>
  <si>
    <t>Present</t>
  </si>
  <si>
    <t>4-7day_dpr12gal4_fruFLP_uas_stop_mcd8gfp female VNC 3</t>
  </si>
  <si>
    <t>BS_B6</t>
  </si>
  <si>
    <t>4-7day_dpr12gal4_fruFLP_uas_stop_mcd8gfp female VNC</t>
  </si>
  <si>
    <t>BS_C3</t>
  </si>
  <si>
    <t>No</t>
  </si>
  <si>
    <t>4-7day_dpr12gal4_fruFLP_uas_stop_mcd8gfp female VNC 2</t>
  </si>
  <si>
    <t>BS_D7</t>
  </si>
  <si>
    <t>4-7day_dpr12gal4_fruFLP_uas_stop_mcd8gfp female VNC 5</t>
  </si>
  <si>
    <t>BS_N3</t>
  </si>
  <si>
    <t>4-7day_dpr12gal4_fruFLP_uas_stop_mcd8gfp female VNC 4</t>
  </si>
  <si>
    <t>BS_N6</t>
  </si>
  <si>
    <t>4-7day_dpr12gal4_fruFLP_uas_stop_mcd8gfp male 5</t>
  </si>
  <si>
    <t>BS_H2</t>
  </si>
  <si>
    <t>Yes, Faint</t>
  </si>
  <si>
    <t>Yes, but faint and male-like</t>
  </si>
  <si>
    <t>4-7day_dpr12gal4_fruFLP_uas_stop_mcd8gfp male v2</t>
  </si>
  <si>
    <t>BS_P6</t>
  </si>
  <si>
    <t>Present!</t>
  </si>
  <si>
    <t>Loop is present</t>
  </si>
  <si>
    <t>4-7day_dpr12gal4_fruFLP_uas_stop_mcd8gfp male 3</t>
  </si>
  <si>
    <t>BS_R5</t>
  </si>
  <si>
    <t>4-7day_dpr12gal4_fruFLP_uas_stop_mcd8gfp male 4</t>
  </si>
  <si>
    <t>BS_S9</t>
  </si>
  <si>
    <t xml:space="preserve">thick arch expression (male-like) and all other components of the complex are present but slightly more faint in expression </t>
  </si>
  <si>
    <t>4-7day_dpr12gal4_fruFLP_uas_stop_mcd8gfp male</t>
  </si>
  <si>
    <t>BS_G3</t>
  </si>
  <si>
    <t>Yes, all</t>
  </si>
  <si>
    <t>4-7day_dpr12gal4_fruFLP_uas_stop_mcd8gfp male VNC 6</t>
  </si>
  <si>
    <t>BS_H3</t>
  </si>
  <si>
    <t>4-7day_dpr12gal4_fruFLP_uas_stop_mcd8gfp male VNC 5</t>
  </si>
  <si>
    <t>BS_H4</t>
  </si>
  <si>
    <t>4-7day_dpr12gal4_fruFLP_uas_stop_mcd8gfp male VNC 4</t>
  </si>
  <si>
    <t>BS_K5</t>
  </si>
  <si>
    <t>4-7day_dpr12gal4_fruFLP_uas_stop_mcd8gfp male VNC 3</t>
  </si>
  <si>
    <t>BS_M4</t>
  </si>
  <si>
    <t>4-7day_dpr12gal4_fruFLP_uas_stop_mcd8gfp male VNC</t>
  </si>
  <si>
    <t>BS_N1</t>
  </si>
  <si>
    <t>4-7day_dpr16gal4_fruFLP_uas_stop_mcd8gfp female 3</t>
  </si>
  <si>
    <t>BS_D4</t>
  </si>
  <si>
    <t>Small loop is present, projections downwards from the median bundle very fain though but there is branching present in the SOG</t>
  </si>
  <si>
    <t xml:space="preserve">Yes, all the parts are present the junction is the brightest </t>
  </si>
  <si>
    <t>4-7day_dpr16gal4_fruFLP_uas_stop_mcd8gfp female 2</t>
  </si>
  <si>
    <t>BS_K1</t>
  </si>
  <si>
    <t>Loop is absent but faint branching in the SOG</t>
  </si>
  <si>
    <t xml:space="preserve">All parts of the junction are present </t>
  </si>
  <si>
    <t>4-7day_dpr16gal4_fruFLP_uas_stop_mcd8gfp female 6</t>
  </si>
  <si>
    <t>BS_N8</t>
  </si>
  <si>
    <t>4-7day_dpr16gal4_fruFLP_uas_stop_mcd8gfp female 4 v2</t>
  </si>
  <si>
    <t>BS_J1</t>
  </si>
  <si>
    <t>Yes, all present(female-like)</t>
  </si>
  <si>
    <t>4-7day_dpr16gal4_fruFLP_uas_stop_mcd8gfp female</t>
  </si>
  <si>
    <t>BS_F2</t>
  </si>
  <si>
    <t>Loop is very faint but there is branching in the SOG</t>
  </si>
  <si>
    <t>Yes, all the junctions is bright and the arch is thin</t>
  </si>
  <si>
    <t>4-7day_dpr16gal4_fruFLP_uas_stop_mcd8gfp female VNC 4</t>
  </si>
  <si>
    <t>BS_A2</t>
  </si>
  <si>
    <t>Yes? the expression makes the similar triangular shape but over the various stacks</t>
  </si>
  <si>
    <t>4-7day_dpr16gal4_fruFLP_uas_stop_mcd8gfp female VNC 5</t>
  </si>
  <si>
    <t>BS_G2</t>
  </si>
  <si>
    <t>4-7day_dpr16gal4_fruFLP_uas_stop_mcd8gfp female VNC 2</t>
  </si>
  <si>
    <t>BS_H6</t>
  </si>
  <si>
    <t>4-7day_dpr16gal4_fruFLP_uas_stop_mcd8gfp female VNC 3</t>
  </si>
  <si>
    <t>BS_M3</t>
  </si>
  <si>
    <t>4-7day_dpr16gal4_fruFLP_uas_stop_mcd8gfp female VNC</t>
  </si>
  <si>
    <t>BS_T6</t>
  </si>
  <si>
    <t>4-7day_dpr16gal4_fruFLP_uas_stop_mcd8gfp male 2</t>
  </si>
  <si>
    <t>BS_A9</t>
  </si>
  <si>
    <t>there is a cut in the brain in the SOG are but the loop is present because you can see the two halves of the semi circle you just cant see the connection because of the cut and cant get a good idea of the SOG  expression due to the cut</t>
  </si>
  <si>
    <t xml:space="preserve">Yes, all the parts of the complex are present and the arch is thick in expression as it goes down to the junction which is male-like </t>
  </si>
  <si>
    <t>4-7day_dpr16gal4_fruFLP_uas_stop_mcd8gfp male 5</t>
  </si>
  <si>
    <t>BS_K9</t>
  </si>
  <si>
    <t>Present, faint</t>
  </si>
  <si>
    <t>All present but very faint</t>
  </si>
  <si>
    <t xml:space="preserve">Poor image quality </t>
  </si>
  <si>
    <t>4-7day_dpr16gal4_fruFLP_uas_stop_mcd8gfp male 3</t>
  </si>
  <si>
    <t>BS_M8</t>
  </si>
  <si>
    <t>Loop is present and thick and bright in expression</t>
  </si>
  <si>
    <t>All parts of the complex are present and thick and bright in expression (male-like)</t>
  </si>
  <si>
    <t>No, branching expression in that area of the brain</t>
  </si>
  <si>
    <t>4-7day_dpr16gal4_fruFLP_uas_stop_mcd8gfp male</t>
  </si>
  <si>
    <t>BS_N2</t>
  </si>
  <si>
    <t>Yes, present</t>
  </si>
  <si>
    <t>Yes, all parts of complex are present and thick/bright in expression (male-like)</t>
  </si>
  <si>
    <t>4-7day_dpr16gal4_fruFLP_uas_stop_mcd8gfp male 4</t>
  </si>
  <si>
    <t>BS_T1</t>
  </si>
  <si>
    <t>Loop is present and branching in the SOG</t>
  </si>
  <si>
    <t>4-7day_dpr16gal4_fruFLP_uas_stop_mcd8gfp male VNC 4</t>
  </si>
  <si>
    <t>BS_D1</t>
  </si>
  <si>
    <t>4-7day_dpr16gal4_fruFLP_uas_stop_mcd8gfp male VNC 2</t>
  </si>
  <si>
    <t>BS_H9</t>
  </si>
  <si>
    <t>4-7day_dpr16gal4_fruFLP_uas_stop_mcd8gfp male VNC 3</t>
  </si>
  <si>
    <t>BS_K8</t>
  </si>
  <si>
    <t>4-7day_dpr16gal4_fruFLP_uas_stop_mcd8gfp male VNC 5</t>
  </si>
  <si>
    <t>BS_P2</t>
  </si>
  <si>
    <t>4-7day_dpr16gal4_fruFLP_uas_stop_mcd8gfp male VNC</t>
  </si>
  <si>
    <t>BS_S1</t>
  </si>
  <si>
    <t>4-7daysDpr18GAL4_UASstopsmGDPmycstop_FruFLP female</t>
  </si>
  <si>
    <t>BS_J9</t>
  </si>
  <si>
    <t>Loop absent branching present in SOG</t>
  </si>
  <si>
    <t>4-7daysDpr18GAL4_UASstopsmGDPmycstop_FruFLP female 5</t>
  </si>
  <si>
    <t>BS_K7</t>
  </si>
  <si>
    <t>Yes, but very faint and mostly seen completed in one stack lots of branching in the SOG</t>
  </si>
  <si>
    <t>Yes, all parts are present however there is an additional "ring" like expression above the ring of the complex</t>
  </si>
  <si>
    <t>No, but branching expression in that area of the brain</t>
  </si>
  <si>
    <t>4-7daysDpr18GAL4_UASstopsmGDPmycstop_FruFLP female 2</t>
  </si>
  <si>
    <t>BS_Q2</t>
  </si>
  <si>
    <t>Absent, cuts in the SOG</t>
  </si>
  <si>
    <t>Yes, all parts of the complex are present, faint in expression where it is hard to see if the arch completes as it meets the junction or if the ring completes</t>
  </si>
  <si>
    <t>4-7daysDpr18GAL4_UASstopsmGDPmycstop_FruFLP female 4</t>
  </si>
  <si>
    <t>BS_C8</t>
  </si>
  <si>
    <t>Loop is absent but there is expression in the SOG more on the right side of the brain visible in the 3D projection</t>
  </si>
  <si>
    <t>4-7daysDpr18GAL4_UASstopsmGDPmycstop_FruFLP female 3</t>
  </si>
  <si>
    <t>BS_G7</t>
  </si>
  <si>
    <t>Yes, all present (female-like)</t>
  </si>
  <si>
    <t>4-7daysDpr18GAL4_UASstopsmGDPmycstop_FruFLP female VNC</t>
  </si>
  <si>
    <t>BS_A1</t>
  </si>
  <si>
    <t>4-7daysDpr18GAL4_UASstopsmGDPmycstop_FruFLP female VNC 4</t>
  </si>
  <si>
    <t>BS_A4</t>
  </si>
  <si>
    <t>4-7daysDpr18GAL4_UASstopsmGDPmycstop_FruFLP female VNC 5</t>
  </si>
  <si>
    <t>BS_O7</t>
  </si>
  <si>
    <t>4-7daysDpr18GAL4_UASstopsmGDPmycstop_FruFLP female VNC 3</t>
  </si>
  <si>
    <t>BS_P9</t>
  </si>
  <si>
    <t>4-7daysDpr18GAL4_UASstopsmGDPmycstop_FruFLP female VNC 2</t>
  </si>
  <si>
    <t>BS_Q1</t>
  </si>
  <si>
    <t>4-7daysDpr18GAL4_UASstopsmGDPmycstop_FruFLP male 4</t>
  </si>
  <si>
    <t>BS_D9</t>
  </si>
  <si>
    <t xml:space="preserve">Loop is present </t>
  </si>
  <si>
    <t xml:space="preserve">Yes, all arch is thick (male-like) </t>
  </si>
  <si>
    <t>4-7daysDpr18GAL4_UASstopsmGDPmycstop_FruFLP male 5</t>
  </si>
  <si>
    <t>BS_M1</t>
  </si>
  <si>
    <t>Present, dark/thick</t>
  </si>
  <si>
    <t>All parts of the complex are present and male like expression pattern with the arch being thick in expression as it moves to the junction</t>
  </si>
  <si>
    <t>4-7daysDpr18GAL4_UASstopsmGDPmycstop_FruFLP male 6</t>
  </si>
  <si>
    <t>BS_M2</t>
  </si>
  <si>
    <t>4-7daysDpr18GAL4_UASstopsmGDPmycstop_FruFLP male 3</t>
  </si>
  <si>
    <t>BS_O2</t>
  </si>
  <si>
    <t>loop is present in the SOG</t>
  </si>
  <si>
    <t xml:space="preserve">All parts of the complex are present the junction is the thickest in expression all of the complex is faint in expression </t>
  </si>
  <si>
    <t>4-7daysDpr18GAL4_UASstopsmGDPmycstop_FruFLP male</t>
  </si>
  <si>
    <t>BS_S8</t>
  </si>
  <si>
    <t>4-7daysDpr18GAL4_UASstopsmGDPmycstop_FruFLP male VNC 3</t>
  </si>
  <si>
    <t>BS_C1</t>
  </si>
  <si>
    <t>4-7daysDpr18GAL4_UASstopsmGDPmycstop_FruFLP male VNC 4</t>
  </si>
  <si>
    <t>BS_E6</t>
  </si>
  <si>
    <t>4-7daysDpr18GAL4_UASstopsmGDPmycstop_FruFLP male VNC 5</t>
  </si>
  <si>
    <t>BS_E7</t>
  </si>
  <si>
    <t>4-7daysDpr18GAL4_UASstopsmGDPmycstop_FruFLP male VNC 2</t>
  </si>
  <si>
    <t>BS_O6</t>
  </si>
  <si>
    <t>4-7daysDpr18GAL4_UASstopsmGDPmycstop_FruFLP male VNC</t>
  </si>
  <si>
    <t>BS_P1</t>
  </si>
  <si>
    <t>4-7day_dpr2gal4_fruFLP_uas_stop_mcd8gfp female 2</t>
  </si>
  <si>
    <t>BS_A3</t>
  </si>
  <si>
    <t>Found the loop to be present when scrolling through the stack, it is very faint/absent in the 3D image SOG does not have a lot of expression</t>
  </si>
  <si>
    <t>Yes, all the junction is very bright and congested compared to the other parts and the arch expression fade, tapers toward the junction</t>
  </si>
  <si>
    <t>4-7day_dpr2gal4_fruFLP_uas_stop_mcd8gfp female 5</t>
  </si>
  <si>
    <t>BS_D5</t>
  </si>
  <si>
    <t>Yes, all are present expression is brighter on the right side of the brain compared to the left which is very faint (confocal)</t>
  </si>
  <si>
    <t>4-7day_dpr2gal4_fruFLP_uas_stop_mcd8gfp female 4</t>
  </si>
  <si>
    <t>BS_E1</t>
  </si>
  <si>
    <t>Yes, all are present though the arch is thin (female-like)</t>
  </si>
  <si>
    <t>4-7day_dpr2gal4_fruFLP_uas_stop_mcd8gfp female 3</t>
  </si>
  <si>
    <t>BS_Q4</t>
  </si>
  <si>
    <t>All parts of the complex are present but more faint in expression compared to the glomeruli and the arch is think in expression(female-like)</t>
  </si>
  <si>
    <t>4-7day_dpr2gal4_fruFLP_uas_stop_mcd8gfp female</t>
  </si>
  <si>
    <t>BS_S7</t>
  </si>
  <si>
    <t xml:space="preserve">Loop is present and there is branching in the SOG </t>
  </si>
  <si>
    <t>4-7day_dpr2gal4_fruFLP_uas_stop_mcd8gfp female VNC</t>
  </si>
  <si>
    <t>BS_B2</t>
  </si>
  <si>
    <t>4-7day_dpr2gal4_fruFLP_uas_stop_mcd8gfp female VNC 3</t>
  </si>
  <si>
    <t>BS_E3</t>
  </si>
  <si>
    <t>4-7day_dpr2gal4_fruFLP_uas_stop_mcd8gfp female VNC 2</t>
  </si>
  <si>
    <t>BS_E9</t>
  </si>
  <si>
    <t>4-7day_dpr2gal4_fruFLP_uas_stop_mcd8gfp female VNC 5</t>
  </si>
  <si>
    <t>BS_O5</t>
  </si>
  <si>
    <t>4-7day_dpr2gal4_fruFLP_uas_stop_mcd8gfp female VNC 4</t>
  </si>
  <si>
    <t>BS_T4</t>
  </si>
  <si>
    <t>4-7day_dpr2gal4_fruFLP_uas_stop_mcd8gfp male 6</t>
  </si>
  <si>
    <t>BS_A5</t>
  </si>
  <si>
    <t xml:space="preserve">The loop is present but faint however, there are many cell bodies in the SOG area of the brain </t>
  </si>
  <si>
    <t xml:space="preserve">Yes, all the parts are present the arch tapers down into the junction so the expression fades, the junction is very bright compared to the rest of the ring </t>
  </si>
  <si>
    <t>4-7day_dpr2gal4_fruFLP_uas_stop_mcd8gfp male 2</t>
  </si>
  <si>
    <t>BS_F1</t>
  </si>
  <si>
    <t>Yes, all parts of the complex are present The arch is thick (male-like)</t>
  </si>
  <si>
    <t>4-7day_dpr2gal4_fruFLP_uas_stop_mcd8gfp male 5</t>
  </si>
  <si>
    <t>BS_O8</t>
  </si>
  <si>
    <t>All parts of the complex are present, the arch, junction, and ring are thicker in expression all parts are even in expression levels which is bright</t>
  </si>
  <si>
    <t>4-7day_dpr2gal4_fruFLP_uas_stop_mcd8gfp male 3</t>
  </si>
  <si>
    <t>BS_P4</t>
  </si>
  <si>
    <t xml:space="preserve">All parts of the complex are present and thick and bright in expression </t>
  </si>
  <si>
    <t>4-7day_dpr2gal4_fruFLP_uas_stop_mcd8gfp male</t>
  </si>
  <si>
    <t>BS_Q6</t>
  </si>
  <si>
    <t>Yes, the all the parts of the complex are present the arch is thick in expression (male-like)</t>
  </si>
  <si>
    <t>4-7day_dpr2gal4_fruFLP_uas_stop_mcd8gfp male VNC</t>
  </si>
  <si>
    <t>BS_B1</t>
  </si>
  <si>
    <t xml:space="preserve">Finally very confident that the triangle and midline crossing is present </t>
  </si>
  <si>
    <t>4-7day_dpr2gal4_fruFLP_uas_stop_mcd8gfp male VNC 4</t>
  </si>
  <si>
    <t>BS_C4</t>
  </si>
  <si>
    <t>4-7day_dpr2gal4_fruFLP_uas_stop_mcd8gfp male VNC 3</t>
  </si>
  <si>
    <t>BS_M5</t>
  </si>
  <si>
    <t>4-7day_dpr2gal4_fruFLP_uas_stop_mcd8gfp male VNC 5</t>
  </si>
  <si>
    <t>BS_O9</t>
  </si>
  <si>
    <t>4-7day_dpr2gal4_fruFLP_uas_stop_mcd8gfp male VNC 2</t>
  </si>
  <si>
    <t>BS_R7</t>
  </si>
  <si>
    <t>4-7daysDpr4GAL4_UASstopsmGDPmycstop_FruFLP female VNC 4</t>
  </si>
  <si>
    <t>BS_J4</t>
  </si>
  <si>
    <t>4-7daysDpr4GAL4_UASstopsmGDPmycstop_FruFLP female VNC 7</t>
  </si>
  <si>
    <t>BS_J5</t>
  </si>
  <si>
    <t>4-7daysDpr4GAL4_UASstopsmGDPmycstop_FruFLP female VNC 5</t>
  </si>
  <si>
    <t>BS_O4</t>
  </si>
  <si>
    <t>4-7daysDpr4GAL4_UASstopsmGDPmycstop_FruFLP female VNC 3</t>
  </si>
  <si>
    <t>BS_Q7</t>
  </si>
  <si>
    <t>4-7daysDpr4GAL4_UASstopsmGDPmycstop_FruFLP female VNC 6</t>
  </si>
  <si>
    <t>BS_T2</t>
  </si>
  <si>
    <t>4-7daysDpr4GAL4_UASstopsmGDPmycstop_FruFLP female</t>
  </si>
  <si>
    <t>BS_M7</t>
  </si>
  <si>
    <t>4-7daysDpr4GAL4_UASstopsmGDPmycstop_FruFLP female 5</t>
  </si>
  <si>
    <t>BS_B3</t>
  </si>
  <si>
    <t xml:space="preserve">There is no loop but there is faint expression/branching in the SOG </t>
  </si>
  <si>
    <t>Yes present but not dense in expression</t>
  </si>
  <si>
    <t>4-7daysDpr4GAL4_UASstopsmGDPmycstop_FruFLP female 2</t>
  </si>
  <si>
    <t>BS_B7</t>
  </si>
  <si>
    <t xml:space="preserve">Yes, all the parts of the complex are present but all are very faint in expression </t>
  </si>
  <si>
    <t xml:space="preserve">Yes, the expression is present but not as dense as other dpr lines </t>
  </si>
  <si>
    <t>4-7daysDpr4GAL4_UASstopsmGDPmycstop_FruFLP female 4</t>
  </si>
  <si>
    <t>BS_C5</t>
  </si>
  <si>
    <t>there is a very small loop from the median bundle neurons but it is very faint and not very low in the SOG in the 3D projection there is visible branching in the SOG at the bottom</t>
  </si>
  <si>
    <t>Yes, present but not dense</t>
  </si>
  <si>
    <t>4-7daysDpr4GAL4_UASstopsmGDPmycstop_FruFLP female 3</t>
  </si>
  <si>
    <t>BS_H5</t>
  </si>
  <si>
    <t>Yes, all parts of the complex are present HOWEVER, the ring is very faint and there is an additional "ring" on top of the ring that is the ring of the complex</t>
  </si>
  <si>
    <t>4-7daysDpr4GAL4_UASstopsmGDPmycstop_FruFLP male 6</t>
  </si>
  <si>
    <t>BS_C2</t>
  </si>
  <si>
    <t xml:space="preserve">Absent </t>
  </si>
  <si>
    <t>The loop is present</t>
  </si>
  <si>
    <t>4-7daysDpr4GAL4_UASstopsmGDPmycstop_FruFLP male</t>
  </si>
  <si>
    <t>BS_F7</t>
  </si>
  <si>
    <t>Loop is present in the SOG</t>
  </si>
  <si>
    <t>4-7daysDpr4GAL4_UASstopsmGDPmycstop_FruFLP male 3</t>
  </si>
  <si>
    <t>BS_M9</t>
  </si>
  <si>
    <t>4-7daysDpr4GAL4_UASstopsmGDPmycstop_FruFLP male 4</t>
  </si>
  <si>
    <t>BS_N7</t>
  </si>
  <si>
    <t>Loop is present in the SOG along with some branching</t>
  </si>
  <si>
    <t xml:space="preserve">All the parts of the complex are present but faint in expression compared to the mushroom body </t>
  </si>
  <si>
    <t>4-7daysDpr4GAL4_UASstopsmGDPmycstop_FruFLP male 5</t>
  </si>
  <si>
    <t>BS_R4</t>
  </si>
  <si>
    <t>4-7daysDpr4GAL4_UASstopsmGDPmycstop_FruFLP male VNC 4</t>
  </si>
  <si>
    <t>BS_B8</t>
  </si>
  <si>
    <t>4-7daysDpr4GAL4_UASstopsmGDPmycstop_FruFLP male VNC 6</t>
  </si>
  <si>
    <t>BS_C7</t>
  </si>
  <si>
    <t>4-7daysDpr4GAL4_UASstopsmGDPmycstop_FruFLP male VNC 5</t>
  </si>
  <si>
    <t>BS_G8</t>
  </si>
  <si>
    <t>Yes, thick expression</t>
  </si>
  <si>
    <t>4-7daysDpr4GAL4_UASstopsmGDPmycstop_FruFLP male VNC 3</t>
  </si>
  <si>
    <t>BS_J6</t>
  </si>
  <si>
    <t>4-7daysDpr4GAL4_UASstopsmGDPmycstop_FruFLP male VNC</t>
  </si>
  <si>
    <t>BS_P5</t>
  </si>
  <si>
    <t>6d_female_dpr5_55810_fruflp_3_20180919</t>
  </si>
  <si>
    <t>BS_E4</t>
  </si>
  <si>
    <t>Yes, Present but very faint</t>
  </si>
  <si>
    <t>6d_female_dpr5_55810_fruflp_6_20180919</t>
  </si>
  <si>
    <t>BS_H7</t>
  </si>
  <si>
    <t>Loop present but very faint</t>
  </si>
  <si>
    <t>All parts are present HOWEVER all but the junction is very very faint</t>
  </si>
  <si>
    <t>6d_female_dpr5_55810_fruflp_4_20180919</t>
  </si>
  <si>
    <t>BS_K3</t>
  </si>
  <si>
    <t>No loop is present some branching in the SOG but also there is a cut in the brain in the SOG separating it</t>
  </si>
  <si>
    <t>Yes, all present all faint but the junction</t>
  </si>
  <si>
    <t>6d_female_dpr5_55810_fruflp_5_20180919</t>
  </si>
  <si>
    <t>BS_Q8</t>
  </si>
  <si>
    <t>6d_female_dpr5_55810_fruflp_7.1_20180919</t>
  </si>
  <si>
    <t>BS_R8</t>
  </si>
  <si>
    <t xml:space="preserve">Loop is absent </t>
  </si>
  <si>
    <t>All the parts of the complex are present but the arch and ring are very thin in expression (female-like) also very faint in expression level compared to the mushroom body</t>
  </si>
  <si>
    <t>6d_female_dpr5_VNC_55810_fruflp_5_20181002</t>
  </si>
  <si>
    <t>BS_F8</t>
  </si>
  <si>
    <t>6d_female_dpr5_VNC_55810_fruflp_2_20181002</t>
  </si>
  <si>
    <t>BS_K4</t>
  </si>
  <si>
    <t>6d_female_dpr5_VNC_55810_fruflp_7_20181002</t>
  </si>
  <si>
    <t>BS_O3</t>
  </si>
  <si>
    <t>6d_female_dpr5_VNC_55810_fruflp_6_20181002</t>
  </si>
  <si>
    <t>BS_P3</t>
  </si>
  <si>
    <t>6d_female_dpr5_VNC_55810_fruflp_4_20181002</t>
  </si>
  <si>
    <t>BS_S2</t>
  </si>
  <si>
    <t>6d_male_dpr5_55810_fruflp_5_20180919</t>
  </si>
  <si>
    <t>BS_C9</t>
  </si>
  <si>
    <t>Yes loop is present</t>
  </si>
  <si>
    <t xml:space="preserve">Yes, all though the expression is more faint </t>
  </si>
  <si>
    <t>6d_male_dpr5_55810_fruflp_4_20180919</t>
  </si>
  <si>
    <t>BS_E5</t>
  </si>
  <si>
    <t>6d_male_dpr5_55810_fruflp_1_20180919</t>
  </si>
  <si>
    <t>BS_J2</t>
  </si>
  <si>
    <t>Yes, all present/faint</t>
  </si>
  <si>
    <t>6d_male_dpr5_55810_fruflp_2_20180919</t>
  </si>
  <si>
    <t>BS_J8</t>
  </si>
  <si>
    <t>Loop present</t>
  </si>
  <si>
    <t>Yes, all present but very faint</t>
  </si>
  <si>
    <t>6d_male_dpr5_55810_fruflp_3_20180919</t>
  </si>
  <si>
    <t>BS_N4</t>
  </si>
  <si>
    <t>Loop is present in the SOG but faint in expression similar to how the complex was faint in expression compared to the mushroom body where it is hard to make out the completed circle</t>
  </si>
  <si>
    <t>All the parts of the complex are present (male-like) but the expression is very faint compared to the mushroom body expression</t>
  </si>
  <si>
    <t xml:space="preserve">7d_male_dpr5_VNC_55810_fruflp_5_20190218
</t>
  </si>
  <si>
    <t>BS_A6</t>
  </si>
  <si>
    <t>7d_male_dpr5_VNC_55810_fruflp_4_20190218</t>
  </si>
  <si>
    <t>BS_F4</t>
  </si>
  <si>
    <t>6d_male_dpr5_VNC_55810_fruflp_2_20181002</t>
  </si>
  <si>
    <t>BS_J3</t>
  </si>
  <si>
    <t>6d_male_dpr5_VNC_55810_fruflp_1_20181002</t>
  </si>
  <si>
    <t>BS_Q3</t>
  </si>
  <si>
    <t>6d_male_dpr5_VNC_55810_fruflp_3_20181002</t>
  </si>
  <si>
    <t>BS_Q5</t>
  </si>
  <si>
    <t>4-7day_dpr6gal4_fruFLP_uas_stop_mcd8gfp female 4</t>
  </si>
  <si>
    <t>BS_D2</t>
  </si>
  <si>
    <t>4-7day_dpr6gal4_fruFLP_uas_stop_mcd8gfp female 3</t>
  </si>
  <si>
    <t>BS_E2</t>
  </si>
  <si>
    <t>4-7day_dpr6gal4_fruFLP_uas_stop_mcd8gfp female 5</t>
  </si>
  <si>
    <t>BS_H8</t>
  </si>
  <si>
    <t>4-7day_dpr6gal4_fruFLP_uas_stop_mcd8gfp female</t>
  </si>
  <si>
    <t>BS_N9</t>
  </si>
  <si>
    <t xml:space="preserve">Yes, all parts of the complex are present the arch expression thins in expression as it tapers down towards the junction </t>
  </si>
  <si>
    <t>4-7day_dpr6gal4_fruFLP_uas_stop_mcd8gfp female 2</t>
  </si>
  <si>
    <t>BS_T3</t>
  </si>
  <si>
    <t>Loop is present but very faint in expression there is also branching in the SOG</t>
  </si>
  <si>
    <t>4-7day_dpr6gal4_fruFLP_uas_stop_mcd8gfp female VNC 3</t>
  </si>
  <si>
    <t>BS_D3</t>
  </si>
  <si>
    <t>4-7day_dpr6gal4_fruFLP_uas_stop_mcd8gfp female VNC 7</t>
  </si>
  <si>
    <t>BS_D8</t>
  </si>
  <si>
    <t>4-7day_dpr6gal4_fruFLP_uas_stop_mcd8gfp female VNC</t>
  </si>
  <si>
    <t>BS_G1</t>
  </si>
  <si>
    <t>4-7day_dpr6gal4_fruFLP_uas_stop_mcd8gfp female VNC 4</t>
  </si>
  <si>
    <t>BS_G4</t>
  </si>
  <si>
    <t>4-7day_dpr6gal4_fruFLP_uas_stop_mcd8gfp female VNC 6</t>
  </si>
  <si>
    <t>BS_G9</t>
  </si>
  <si>
    <t>4-7day_dpr6gal4_fruFLP_uas_stop_mcd8gfp male 5</t>
  </si>
  <si>
    <t>BS_F5</t>
  </si>
  <si>
    <t>Yes all are present the arch is very thick (male-like) the junction is very bright and the ring is very thick and bright the most dense complex we have seen</t>
  </si>
  <si>
    <t>4-7day_dpr6gal4_fruFLP_uas_stop_mcd8gfp male 3</t>
  </si>
  <si>
    <t>BS_F9</t>
  </si>
  <si>
    <t>4-7day_dpr6gal4_fruFLP_uas_stop_mcd8gfp male 4</t>
  </si>
  <si>
    <t>BS_R3</t>
  </si>
  <si>
    <t>All the parts of the complex are present the junction has the brightest expression pattern compared to the rest of the complex the complex expression is thick (male-like)</t>
  </si>
  <si>
    <t>4-7day_dpr6gal4_fruFLP_uas_stop_mcd8gfp male 7</t>
  </si>
  <si>
    <t>BS_R6</t>
  </si>
  <si>
    <t>4-7day_dpr6gal4_fruFLP_uas_stop_mcd8gfp male 2</t>
  </si>
  <si>
    <t>BS_S4</t>
  </si>
  <si>
    <t>4-7day_dpr6gal4_fruFLP_uas_stop_mcd8gfp male VNC 4</t>
  </si>
  <si>
    <t>BS_A7</t>
  </si>
  <si>
    <t>4-7day_dpr6gal4_fruFLP_uas_stop_mcd8gfp male VNC 3</t>
  </si>
  <si>
    <t>BS_F6</t>
  </si>
  <si>
    <t>4-7day_dpr6gal4_fruFLP_uas_stop_mcd8gfp male VNC</t>
  </si>
  <si>
    <t>BS_K2</t>
  </si>
  <si>
    <t>4-7day_dpr6gal4_fruFLP_uas_stop_mcd8gfp male VNC 5</t>
  </si>
  <si>
    <t>BS_O1</t>
  </si>
  <si>
    <t>4-7day_dpr6gal4_fruFLP_uas_stop_mcd8gfp male VNC 2</t>
  </si>
  <si>
    <t>BS_P8</t>
  </si>
  <si>
    <t>4-7day_dpr9gal4_fruFLP_uas_stop_mcd8gfp female 3</t>
  </si>
  <si>
    <t>BS_A8</t>
  </si>
  <si>
    <t>Absent, there are no cell bodies above the glomeruli to contribute to the crossing over or the loop which also seem absent or faint</t>
  </si>
  <si>
    <t xml:space="preserve">The loop is no obviously present when looking at the 3D projection when looking through the stacks it is very very faint but it can see seen in the SOG, a circle coming from the median bundle neurons </t>
  </si>
  <si>
    <t>4-7day_dpr9gal4_fruFLP_uas_stop_mcd8gfp female 5</t>
  </si>
  <si>
    <t>BS_F3</t>
  </si>
  <si>
    <t>Yes, all arch is thin</t>
  </si>
  <si>
    <t>4-7day_dpr9gal4_fruFLP_uas_stop_mcd8gfp female 4</t>
  </si>
  <si>
    <t>BS_K6</t>
  </si>
  <si>
    <t>Very faint loop mostly made of branching in the SOG</t>
  </si>
  <si>
    <t>Yes, all parts present looks male like in the 3D (thick) but female like in the stacks (thins)</t>
  </si>
  <si>
    <t>4-7day_dpr9gal4_fruFLP_uas_stop_mcd8gfp female 2</t>
  </si>
  <si>
    <t>BS_R1</t>
  </si>
  <si>
    <t>Very faint can only be seen in the stacks</t>
  </si>
  <si>
    <t>Yes all parts of the complex are present there is a cut in the top left side of the brain so it is hard to draw conclusions about the arch but all are present</t>
  </si>
  <si>
    <t>4-7day_dpr9gal4_fruFLP_uas_stop_mcd8gfp female</t>
  </si>
  <si>
    <t>BS_B5</t>
  </si>
  <si>
    <t xml:space="preserve">The loop is very faint in expression so it is only seen in the stacks when scrolling through not in the 3D image </t>
  </si>
  <si>
    <t>4-7day_dpr9gal4_fruFLP_uas_stop_mcd8gfp female VNC 3</t>
  </si>
  <si>
    <t>BS_C6</t>
  </si>
  <si>
    <t>4-7day_dpr9gal4_fruFLP_uas_stop_mcd8gfp female VNC</t>
  </si>
  <si>
    <t>BS_H1</t>
  </si>
  <si>
    <t>4-7day_dpr9gal4_fruFLP_uas_stop_mcd8gfp female VNC 2</t>
  </si>
  <si>
    <t>BS_N5</t>
  </si>
  <si>
    <t>4-7day_dpr9gal4_fruFLP_uas_stop_mcd8gfp female VNC 5</t>
  </si>
  <si>
    <t>BS_R2</t>
  </si>
  <si>
    <t>4-7day_dpr9gal4_fruFLP_uas_stop_mcd8gfp female VNC 4</t>
  </si>
  <si>
    <t>BS_R9</t>
  </si>
  <si>
    <t>4-7day_dpr9gal4_fruFLP_uas_stop_mcd8gfp male 3</t>
  </si>
  <si>
    <t>BS_B4</t>
  </si>
  <si>
    <t>the loop is present and very thick and bright in expression it can easily be found when looking through the stacks or at the 3D projection</t>
  </si>
  <si>
    <t>4-7day_dpr9gal4_fruFLP_uas_stop_mcd8gfp male 2</t>
  </si>
  <si>
    <t>BS_D6</t>
  </si>
  <si>
    <t>Yes, all the complex is present very bright in expression</t>
  </si>
  <si>
    <t>4-7day_dpr9gal4_fruFLP_uas_stop_mcd8gfp male 4</t>
  </si>
  <si>
    <t>BS_G6</t>
  </si>
  <si>
    <t>Yes, all present (male-like)</t>
  </si>
  <si>
    <t>4-7day_dpr9gal4_fruFLP_uas_stop_mcd8gfp male 7</t>
  </si>
  <si>
    <t>BS_S5</t>
  </si>
  <si>
    <t>4-7day_dpr9gal4_fruFLP_uas_stop_mcd8gfp male 8</t>
  </si>
  <si>
    <t>BS_S6</t>
  </si>
  <si>
    <t>4-7day_dpr9gal4_fruFLP_uas_stop_mcd8gfp male VNC 4</t>
  </si>
  <si>
    <t>BS_G5</t>
  </si>
  <si>
    <t>4-7day_dpr9gal4_fruFLP_uas_stop_mcd8gfp male VNC</t>
  </si>
  <si>
    <t>BS_J7</t>
  </si>
  <si>
    <t>No, moves from the center to the outside</t>
  </si>
  <si>
    <t>4-7day_dpr9gal4_fruFLP_uas_stop_mcd8gfp male VNC 5</t>
  </si>
  <si>
    <t>BS_M6</t>
  </si>
  <si>
    <t>4-7day_dpr9gal4_fruFLP_uas_stop_mcd8gfp male VNC 2</t>
  </si>
  <si>
    <t>BS_P7</t>
  </si>
  <si>
    <t>4-7day_dpr9gal4_fruFLP_uas_stop_mcd8gfp male VNC 3</t>
  </si>
  <si>
    <t>BS_Q9</t>
  </si>
  <si>
    <t>Genotype/Sex</t>
  </si>
  <si>
    <t>DIP-alpha female</t>
  </si>
  <si>
    <t>DIP-alpha male</t>
  </si>
  <si>
    <t>DIP-beta female</t>
  </si>
  <si>
    <t>DIP-beta male</t>
  </si>
  <si>
    <t>DIP-delta female</t>
  </si>
  <si>
    <t>DIP-delta male</t>
  </si>
  <si>
    <t>DIP-epsilon female</t>
  </si>
  <si>
    <t>DIP-epsilon male</t>
  </si>
  <si>
    <t>DIP-eta female</t>
  </si>
  <si>
    <t>DIP-eta male</t>
  </si>
  <si>
    <t>DIP-gamma female</t>
  </si>
  <si>
    <t>DIP-gamma male</t>
  </si>
  <si>
    <t>DIP-theta female</t>
  </si>
  <si>
    <t>DIP-theta male</t>
  </si>
  <si>
    <t>DIP-zeta female</t>
  </si>
  <si>
    <t>DIP-zeta male</t>
  </si>
  <si>
    <t>dpr-1 female</t>
  </si>
  <si>
    <t>dpr-1 male</t>
  </si>
  <si>
    <t>dpr-2 female</t>
  </si>
  <si>
    <t>dpr-2 male</t>
  </si>
  <si>
    <t>dpr-3 female</t>
  </si>
  <si>
    <t>dpr-3 male</t>
  </si>
  <si>
    <t>dpr-4 female</t>
  </si>
  <si>
    <t>dpr-4 male</t>
  </si>
  <si>
    <t>dpr-5 female</t>
  </si>
  <si>
    <t>dpr-5 male</t>
  </si>
  <si>
    <t>dpr-6 female</t>
  </si>
  <si>
    <t>dpr-6 male</t>
  </si>
  <si>
    <t>dpr-8 female</t>
  </si>
  <si>
    <t>dpr-8 male</t>
  </si>
  <si>
    <t>dpr-9 female</t>
  </si>
  <si>
    <t>dpr-9 male</t>
  </si>
  <si>
    <t>dpr-10 female</t>
  </si>
  <si>
    <t>dpr-10 male</t>
  </si>
  <si>
    <t>dpr-11 female</t>
  </si>
  <si>
    <t>dpr-11 male</t>
  </si>
  <si>
    <t>dpr-12 female</t>
  </si>
  <si>
    <t>dpr-12 male</t>
  </si>
  <si>
    <t>dpr-14 female</t>
  </si>
  <si>
    <t>dpr-14 male</t>
  </si>
  <si>
    <t>dpr-15 female</t>
  </si>
  <si>
    <t>dpr-15 male</t>
  </si>
  <si>
    <t>dpr-16 female</t>
  </si>
  <si>
    <t>dpr-16 male</t>
  </si>
  <si>
    <t>dpr-17 female</t>
  </si>
  <si>
    <t>dpr-17 male</t>
  </si>
  <si>
    <t>dpr-18 female</t>
  </si>
  <si>
    <t>dpr-18 male</t>
  </si>
  <si>
    <t>Anterior Midbrain (cell body count)</t>
  </si>
  <si>
    <t>Abdominal Ganglion (cell body count)</t>
  </si>
  <si>
    <t>Abbreviated genotype</t>
  </si>
  <si>
    <t>DIP alpha female brain 1</t>
  </si>
  <si>
    <t>DIP alpha female brain 2</t>
  </si>
  <si>
    <t>DIP alpha female brain 3</t>
  </si>
  <si>
    <t>DIP alpha female brain 4</t>
  </si>
  <si>
    <t>DIP alpha female brain 5</t>
  </si>
  <si>
    <t>DIP alpha male brain 1</t>
  </si>
  <si>
    <t>DIP alpha male brain 2</t>
  </si>
  <si>
    <t>DIP alpha male brain 3</t>
  </si>
  <si>
    <t>DIP alpha male brain 4</t>
  </si>
  <si>
    <t>DIP alpha male brain 5</t>
  </si>
  <si>
    <t>DIP beta female brain 1</t>
  </si>
  <si>
    <t>DIP beta female brain 2</t>
  </si>
  <si>
    <t>DIP beta female brain 3</t>
  </si>
  <si>
    <t>DIP beta female brain 4</t>
  </si>
  <si>
    <t>DIP beta female brain 5</t>
  </si>
  <si>
    <t>DIP beta male brain 1</t>
  </si>
  <si>
    <t>DIP beta male brain 2</t>
  </si>
  <si>
    <t>DIP beta male brain 3</t>
  </si>
  <si>
    <t>DIP beta male brain 4</t>
  </si>
  <si>
    <t>DIP beta male brain 5</t>
  </si>
  <si>
    <t>DIP delta female brain 1</t>
  </si>
  <si>
    <t>DIP delta female brain 2</t>
  </si>
  <si>
    <t>DIP delta female brain 3</t>
  </si>
  <si>
    <t>DIP delta female brain 4</t>
  </si>
  <si>
    <t>DIP delta female brain 5</t>
  </si>
  <si>
    <t>DIP delta male brain 1</t>
  </si>
  <si>
    <t>DIP delta male brain 2</t>
  </si>
  <si>
    <t>DIP delta male brain 3</t>
  </si>
  <si>
    <t>DIP delta male brain 4</t>
  </si>
  <si>
    <t>DIP delta male brain 5</t>
  </si>
  <si>
    <t>DIP epsilon female brain 1</t>
  </si>
  <si>
    <t>DIP epsilon female brain 2</t>
  </si>
  <si>
    <t>DIP epsilon female brain 3</t>
  </si>
  <si>
    <t>DIP epsilon female brain 4</t>
  </si>
  <si>
    <t>DIP epsilon female brain 5</t>
  </si>
  <si>
    <t>DIP epsilon male brain 1</t>
  </si>
  <si>
    <t>DIP epsilon male brain 2</t>
  </si>
  <si>
    <t>DIP epsilon male brain 3</t>
  </si>
  <si>
    <t>DIP epsilon male brain 4</t>
  </si>
  <si>
    <t>DIP epsilon male brain 5</t>
  </si>
  <si>
    <t>DIP eta female brain 1</t>
  </si>
  <si>
    <t>DIP eta female brain 2</t>
  </si>
  <si>
    <t>DIP eta female brain 3</t>
  </si>
  <si>
    <t>DIP eta female brain 4</t>
  </si>
  <si>
    <t>DIP eta female brain 5</t>
  </si>
  <si>
    <t>DIP eta male brain 1</t>
  </si>
  <si>
    <t>DIP eta male brain 2</t>
  </si>
  <si>
    <t>DIP eta male brain 3</t>
  </si>
  <si>
    <t>DIP eta male brain 4</t>
  </si>
  <si>
    <t>DIP eta male brain 5</t>
  </si>
  <si>
    <t>DIP gamma female brain 1</t>
  </si>
  <si>
    <t>DIP gamma female brain 2</t>
  </si>
  <si>
    <t>DIP gamma female brain 3</t>
  </si>
  <si>
    <t>DIP gamma female brain 4</t>
  </si>
  <si>
    <t>DIP gamma female brain 5</t>
  </si>
  <si>
    <t>DIP gamma male brain 1</t>
  </si>
  <si>
    <t>DIP gamma male brain 2</t>
  </si>
  <si>
    <t>DIP gamma male brain 3</t>
  </si>
  <si>
    <t>DIP gamma male brain 4</t>
  </si>
  <si>
    <t>DIP gamma male brain 5</t>
  </si>
  <si>
    <t>DIP theta female brain 1</t>
  </si>
  <si>
    <t>DIP theta female brain 2</t>
  </si>
  <si>
    <t>DIP theta female brain 3</t>
  </si>
  <si>
    <t>DIP theta female brain 4</t>
  </si>
  <si>
    <t>DIP theta female brain 5</t>
  </si>
  <si>
    <t>DIP theta male brain 1</t>
  </si>
  <si>
    <t>DIP theta male brain 2</t>
  </si>
  <si>
    <t>DIP theta male brain 3</t>
  </si>
  <si>
    <t>DIP theta male brain 4</t>
  </si>
  <si>
    <t>DIP theta male brain 5</t>
  </si>
  <si>
    <t>DIP zeta female brain 1</t>
  </si>
  <si>
    <t>DIP zeta female brain 2</t>
  </si>
  <si>
    <t>DIP zeta female brain 3</t>
  </si>
  <si>
    <t>DIP zeta female brain 4</t>
  </si>
  <si>
    <t>DIP zeta female brain 5</t>
  </si>
  <si>
    <t>DIP zeta male brain 1</t>
  </si>
  <si>
    <t>DIP zeta male brain 2</t>
  </si>
  <si>
    <t>DIP zeta male brain 3</t>
  </si>
  <si>
    <t>DIP zeta male brain 4</t>
  </si>
  <si>
    <t>DIP zeta male brain 5</t>
  </si>
  <si>
    <t>dpr 12 female brain 1</t>
  </si>
  <si>
    <t>dpr 12 female brain 2</t>
  </si>
  <si>
    <t>dpr 12 female brain 3</t>
  </si>
  <si>
    <t>dpr 12 female brain 4</t>
  </si>
  <si>
    <t>dpr 12 female brain 5</t>
  </si>
  <si>
    <t>dpr 12 male brain 1</t>
  </si>
  <si>
    <t>dpr 12 male brain 2</t>
  </si>
  <si>
    <t>dpr 12 male brain 3</t>
  </si>
  <si>
    <t>dpr 12 male brain 4</t>
  </si>
  <si>
    <t>dpr 12 male brain 5</t>
  </si>
  <si>
    <t>dpr 16 female brain 1</t>
  </si>
  <si>
    <t>dpr 16 female brain 2</t>
  </si>
  <si>
    <t>dpr 16 female brain 3</t>
  </si>
  <si>
    <t>dpr 16 female brain 4</t>
  </si>
  <si>
    <t>dpr 16 female brain 5</t>
  </si>
  <si>
    <t>dpr 16 male brain 1</t>
  </si>
  <si>
    <t>dpr 16 male brain 2</t>
  </si>
  <si>
    <t>dpr 16 male brain 3</t>
  </si>
  <si>
    <t>dpr 16 male brain 4</t>
  </si>
  <si>
    <t>dpr 16 male brain 5</t>
  </si>
  <si>
    <t>dpr 18 female brain 1</t>
  </si>
  <si>
    <t>dpr 18 female brain 2</t>
  </si>
  <si>
    <t>dpr 18 female brain 3</t>
  </si>
  <si>
    <t>dpr 18 female brain 4</t>
  </si>
  <si>
    <t>dpr 18 female brain 5</t>
  </si>
  <si>
    <t>dpr 18  male brain 1</t>
  </si>
  <si>
    <t>dpr 18  male brain 2</t>
  </si>
  <si>
    <t>dpr 18  male brain 3</t>
  </si>
  <si>
    <t>dpr 18  male brain 4</t>
  </si>
  <si>
    <t>dpr 18  male brain 5</t>
  </si>
  <si>
    <t>dpr 2 female brain 1</t>
  </si>
  <si>
    <t>dpr 2 female brain 2</t>
  </si>
  <si>
    <t>dpr 2 female brain 3</t>
  </si>
  <si>
    <t>dpr 2 female brain 4</t>
  </si>
  <si>
    <t>dpr 2 female brain 5</t>
  </si>
  <si>
    <t>dpr 2 male brain 1</t>
  </si>
  <si>
    <t>dpr 2 male brain 2</t>
  </si>
  <si>
    <t>dpr 2 male brain 3</t>
  </si>
  <si>
    <t>dpr 2 male brain 4</t>
  </si>
  <si>
    <t>dpr 2 male brain 5</t>
  </si>
  <si>
    <t>dpr 4 female brain 1</t>
  </si>
  <si>
    <t>dpr 4 female brain 2</t>
  </si>
  <si>
    <t>dpr 4 female brain 3</t>
  </si>
  <si>
    <t>dpr 4 female brain 4</t>
  </si>
  <si>
    <t>dpr 4 female brain 5</t>
  </si>
  <si>
    <t>dpr 4 male brain 1</t>
  </si>
  <si>
    <t>dpr 4 male brain 2</t>
  </si>
  <si>
    <t>dpr 4 male brain 3</t>
  </si>
  <si>
    <t>dpr 4 male brain 4</t>
  </si>
  <si>
    <t>dpr 4 male brain 5</t>
  </si>
  <si>
    <t>dpr 5 female brain 1</t>
  </si>
  <si>
    <t>dpr 5 female brain 2</t>
  </si>
  <si>
    <t>dpr 5 female brain 3</t>
  </si>
  <si>
    <t>dpr 5 female brain 4</t>
  </si>
  <si>
    <t>dpr 5 female brain 5</t>
  </si>
  <si>
    <t>dpr 5 male brain 1</t>
  </si>
  <si>
    <t>dpr 5 male brain 2</t>
  </si>
  <si>
    <t>dpr 5 male brain 3</t>
  </si>
  <si>
    <t>dpr 5 male brain 4</t>
  </si>
  <si>
    <t>dpr 5 male brain 5</t>
  </si>
  <si>
    <t>dpr 6 female brain 1</t>
  </si>
  <si>
    <t>dpr 6 female brain 2</t>
  </si>
  <si>
    <t>dpr 6 female brain 3</t>
  </si>
  <si>
    <t>dpr 6 female brain 4</t>
  </si>
  <si>
    <t>dpr 6 female brain 5</t>
  </si>
  <si>
    <t>dpr 6 male brain 1</t>
  </si>
  <si>
    <t>dpr 6 male brain 2</t>
  </si>
  <si>
    <t>dpr 6 male brain 3</t>
  </si>
  <si>
    <t>dpr 6 male brain 4</t>
  </si>
  <si>
    <t>dpr 6 male brain 5</t>
  </si>
  <si>
    <t>dpr 9 female brain 1</t>
  </si>
  <si>
    <t>dpr 9 female brain 2</t>
  </si>
  <si>
    <t>dpr 9 female brain 3</t>
  </si>
  <si>
    <t>dpr 9 female brain 4</t>
  </si>
  <si>
    <t>dpr 9 female brain 5</t>
  </si>
  <si>
    <t>dpr 9 male brain 1</t>
  </si>
  <si>
    <t>dpr 9 male brain 2</t>
  </si>
  <si>
    <t>dpr 9 male brain 3</t>
  </si>
  <si>
    <t>dpr 9 male brain 4</t>
  </si>
  <si>
    <t>dpr 9 male brain 5</t>
  </si>
  <si>
    <t>tritocerebral loop and/or SOG expression (present/ absent)</t>
  </si>
  <si>
    <t>Mushroom body expression (present/ absent)</t>
  </si>
  <si>
    <t>Midline Crossing in VNC (present/ absent)</t>
  </si>
  <si>
    <t>Mesothoracic Triangle Neurons (present/ absent)</t>
  </si>
  <si>
    <t>DIP alpha female VNC 1</t>
  </si>
  <si>
    <t>DIP alpha female VNC 2</t>
  </si>
  <si>
    <t>DIP alpha female VNC 3</t>
  </si>
  <si>
    <t>DIP alpha female VNC 4</t>
  </si>
  <si>
    <t>DIP alpha female VNC 5</t>
  </si>
  <si>
    <t>DIP alpha male VNC 1</t>
  </si>
  <si>
    <t>DIP alpha male VNC 2</t>
  </si>
  <si>
    <t>DIP alpha male VNC 3</t>
  </si>
  <si>
    <t>DIP alpha male VNC 4</t>
  </si>
  <si>
    <t>DIP alpha male VNC 5</t>
  </si>
  <si>
    <t>DIP beta female VNC 1</t>
  </si>
  <si>
    <t>DIP beta female VNC 2</t>
  </si>
  <si>
    <t>DIP beta female VNC 3</t>
  </si>
  <si>
    <t>DIP beta female VNC 4</t>
  </si>
  <si>
    <t>DIP beta female VNC 5</t>
  </si>
  <si>
    <t>DIP beta male VNC 1</t>
  </si>
  <si>
    <t>DIP beta male VNC 2</t>
  </si>
  <si>
    <t>DIP beta male VNC 3</t>
  </si>
  <si>
    <t>DIP beta male VNC 4</t>
  </si>
  <si>
    <t>DIP beta male VNC 5</t>
  </si>
  <si>
    <t>DIP delta female VNC 1</t>
  </si>
  <si>
    <t>DIP delta female VNC 2</t>
  </si>
  <si>
    <t>DIP delta female VNC 3</t>
  </si>
  <si>
    <t>DIP delta female VNC 4</t>
  </si>
  <si>
    <t>DIP delta female VNC 5</t>
  </si>
  <si>
    <t>DIP delta male VNC 1</t>
  </si>
  <si>
    <t>DIP delta male VNC 2</t>
  </si>
  <si>
    <t>DIP delta male VNC 3</t>
  </si>
  <si>
    <t>DIP delta male VNC 4</t>
  </si>
  <si>
    <t>DIP delta male VNC 5</t>
  </si>
  <si>
    <t>DIP epsilon female VNC 1</t>
  </si>
  <si>
    <t>DIP epsilon female VNC 2</t>
  </si>
  <si>
    <t>DIP epsilon female VNC 3</t>
  </si>
  <si>
    <t>DIP epsilon female VNC 4</t>
  </si>
  <si>
    <t>DIP epsilon female VNC 5</t>
  </si>
  <si>
    <t>DIP epsilon male VNC 1</t>
  </si>
  <si>
    <t>DIP epsilon male VNC 2</t>
  </si>
  <si>
    <t>DIP epsilon male VNC 3</t>
  </si>
  <si>
    <t>DIP epsilon male VNC 4</t>
  </si>
  <si>
    <t>DIP epsilon male VNC 5</t>
  </si>
  <si>
    <t>DIP eta female VNC 1</t>
  </si>
  <si>
    <t>DIP eta female VNC 2</t>
  </si>
  <si>
    <t>DIP eta female VNC 3</t>
  </si>
  <si>
    <t>DIP eta female VNC 4</t>
  </si>
  <si>
    <t>DIP eta female VNC 5</t>
  </si>
  <si>
    <t>DIP eta male VNC 1</t>
  </si>
  <si>
    <t>DIP eta male VNC 2</t>
  </si>
  <si>
    <t>DIP eta male VNC 3</t>
  </si>
  <si>
    <t>DIP eta male VNC 4</t>
  </si>
  <si>
    <t>DIP eta male VNC 5</t>
  </si>
  <si>
    <t>DIP gamma female VNC 1</t>
  </si>
  <si>
    <t>DIP gamma female VNC 2</t>
  </si>
  <si>
    <t>DIP gamma female VNC 3</t>
  </si>
  <si>
    <t>DIP gamma female VNC 4</t>
  </si>
  <si>
    <t>DIP gamma female VNC 5</t>
  </si>
  <si>
    <t>DIP gamma male VNC 1</t>
  </si>
  <si>
    <t>DIP gamma male VNC 2</t>
  </si>
  <si>
    <t>DIP gamma male VNC 3</t>
  </si>
  <si>
    <t>DIP gamma male VNC 4</t>
  </si>
  <si>
    <t>DIP gamma male VNC 5</t>
  </si>
  <si>
    <t>DIP theta female VNC 1</t>
  </si>
  <si>
    <t>DIP theta female VNC 2</t>
  </si>
  <si>
    <t>DIP theta female VNC 3</t>
  </si>
  <si>
    <t>DIP theta female VNC 4</t>
  </si>
  <si>
    <t>DIP theta female VNC 5</t>
  </si>
  <si>
    <t>DIP theta male VNC 1</t>
  </si>
  <si>
    <t>DIP theta male VNC 2</t>
  </si>
  <si>
    <t>DIP theta male VNC 3</t>
  </si>
  <si>
    <t>DIP theta male VNC 4</t>
  </si>
  <si>
    <t>DIP theta male VNC 5</t>
  </si>
  <si>
    <t>DIP zeta female VNC 1</t>
  </si>
  <si>
    <t>DIP zeta female VNC 2</t>
  </si>
  <si>
    <t>DIP zeta female VNC 3</t>
  </si>
  <si>
    <t>DIP zeta female VNC 4</t>
  </si>
  <si>
    <t>DIP zeta female VNC 5</t>
  </si>
  <si>
    <t>DIP zeta male VNC 1</t>
  </si>
  <si>
    <t>DIP zeta male VNC 2</t>
  </si>
  <si>
    <t>DIP zeta male VNC 3</t>
  </si>
  <si>
    <t>DIP zeta male VNC 4</t>
  </si>
  <si>
    <t>DIP zeta male VNC 5</t>
  </si>
  <si>
    <t>dpr 2 female VNC 1</t>
  </si>
  <si>
    <t>dpr 2 female VNC 2</t>
  </si>
  <si>
    <t>dpr 2 female VNC 3</t>
  </si>
  <si>
    <t>dpr 2 female VNC 4</t>
  </si>
  <si>
    <t>dpr 2 female VNC 5</t>
  </si>
  <si>
    <t>dpr 2 male VNC 1</t>
  </si>
  <si>
    <t>dpr 2 male VNC 2</t>
  </si>
  <si>
    <t>dpr 2 male VNC 3</t>
  </si>
  <si>
    <t>dpr 2 male VNC 4</t>
  </si>
  <si>
    <t>dpr 2 male VNC 5</t>
  </si>
  <si>
    <t>dpr 4 female VNC 1</t>
  </si>
  <si>
    <t>dpr 4 female VNC 2</t>
  </si>
  <si>
    <t>dpr 4 female VNC 3</t>
  </si>
  <si>
    <t>dpr 4 female VNC 4</t>
  </si>
  <si>
    <t>dpr 4 female VNC 5</t>
  </si>
  <si>
    <t>dpr 4 male VNC 1</t>
  </si>
  <si>
    <t>dpr 4 male VNC 2</t>
  </si>
  <si>
    <t>dpr 4 male VNC 3</t>
  </si>
  <si>
    <t>dpr 4 male VNC 4</t>
  </si>
  <si>
    <t>dpr 4 male VNC 5</t>
  </si>
  <si>
    <t>dpr 5 female VNC 1</t>
  </si>
  <si>
    <t>dpr 5 female VNC 2</t>
  </si>
  <si>
    <t>dpr 5 female VNC 3</t>
  </si>
  <si>
    <t>dpr 5 female VNC 4</t>
  </si>
  <si>
    <t>dpr 5 female VNC 5</t>
  </si>
  <si>
    <t>dpr 5 male VNC 1</t>
  </si>
  <si>
    <t>dpr 5 male VNC 2</t>
  </si>
  <si>
    <t>dpr 5 male VNC 3</t>
  </si>
  <si>
    <t>dpr 5 male VNC 4</t>
  </si>
  <si>
    <t>dpr 5 male VNC 5</t>
  </si>
  <si>
    <t>dpr 6 female VNC 1</t>
  </si>
  <si>
    <t>dpr 6 female VNC 2</t>
  </si>
  <si>
    <t>dpr 6 female VNC 3</t>
  </si>
  <si>
    <t>dpr 6 female VNC 4</t>
  </si>
  <si>
    <t>dpr 6 female VNC 5</t>
  </si>
  <si>
    <t>dpr 6 male VNC 1</t>
  </si>
  <si>
    <t>dpr 6 male VNC 2</t>
  </si>
  <si>
    <t>dpr 6 male VNC 3</t>
  </si>
  <si>
    <t>dpr 6 male VNC 4</t>
  </si>
  <si>
    <t>dpr 6 male VNC 5</t>
  </si>
  <si>
    <t>dpr 9 female VNC 1</t>
  </si>
  <si>
    <t>dpr 9 female VNC 2</t>
  </si>
  <si>
    <t>dpr 9 female VNC 3</t>
  </si>
  <si>
    <t>dpr 9 female VNC 4</t>
  </si>
  <si>
    <t>dpr 9 female VNC 5</t>
  </si>
  <si>
    <t>dpr 9 male VNC 1</t>
  </si>
  <si>
    <t>dpr 9 male VNC 2</t>
  </si>
  <si>
    <t>dpr 9 male VNC 3</t>
  </si>
  <si>
    <t>dpr 9 male VNC 4</t>
  </si>
  <si>
    <t>dpr 9 male VNC 5</t>
  </si>
  <si>
    <t>dpr 12 female VNC 1</t>
  </si>
  <si>
    <t>dpr 12 female VNC 2</t>
  </si>
  <si>
    <t>dpr 12 female VNC 3</t>
  </si>
  <si>
    <t>dpr 12 female VNC 4</t>
  </si>
  <si>
    <t>dpr 12 female VNC 5</t>
  </si>
  <si>
    <t>dpr 12 male VNC 1</t>
  </si>
  <si>
    <t>dpr 12 male VNC 2</t>
  </si>
  <si>
    <t>dpr 12 male VNC 3</t>
  </si>
  <si>
    <t>dpr 12 male VNC 4</t>
  </si>
  <si>
    <t>dpr 12 male VNC 5</t>
  </si>
  <si>
    <t>dpr 16 female VNC 1</t>
  </si>
  <si>
    <t>dpr 16 female VNC 2</t>
  </si>
  <si>
    <t>dpr 16 female VNC 3</t>
  </si>
  <si>
    <t>dpr 16 female VNC 4</t>
  </si>
  <si>
    <t>dpr 16 female VNC 5</t>
  </si>
  <si>
    <t>dpr 16 male VNC 1</t>
  </si>
  <si>
    <t>dpr 16 male VNC 2</t>
  </si>
  <si>
    <t>dpr 16 male VNC 3</t>
  </si>
  <si>
    <t>dpr 16 male VNC 4</t>
  </si>
  <si>
    <t>dpr 16 male VNC 5</t>
  </si>
  <si>
    <t>dpr 18 female VNC 1</t>
  </si>
  <si>
    <t>dpr 18 female VNC 2</t>
  </si>
  <si>
    <t>dpr 18 female VNC 3</t>
  </si>
  <si>
    <t>dpr 18 female VNC 4</t>
  </si>
  <si>
    <t>dpr 18 female VNC 5</t>
  </si>
  <si>
    <t>dpr 18 male VNC 1</t>
  </si>
  <si>
    <t>dpr 18 male VNC 2</t>
  </si>
  <si>
    <t>dpr 18 male VNC 3</t>
  </si>
  <si>
    <t>dpr 18 male VNC 4</t>
  </si>
  <si>
    <t>dpr 18 male VNC 5</t>
  </si>
  <si>
    <t>E1</t>
  </si>
  <si>
    <t>4-7day_dpr11gal4_fruFLP_uas_stop_mcd8gfp male</t>
  </si>
  <si>
    <t>4-7day_dpr11gal4_fruFLP_uas_stop_mcd8gfp male 2</t>
  </si>
  <si>
    <t>4-7day_dpr11gal4_fruFLP_uas_stop_mcd8gfp male 3</t>
  </si>
  <si>
    <t>F6</t>
  </si>
  <si>
    <t>4-7day_dpr11gal4_fruFLP_uas_stop_mcd8gfp male 4</t>
  </si>
  <si>
    <t>G5</t>
  </si>
  <si>
    <t>4-7day_dpr11gal4_fruFLP_uas_stop_mcd8gfp male 5</t>
  </si>
  <si>
    <t xml:space="preserve">present </t>
  </si>
  <si>
    <t>LPC: Arch (absent/present)</t>
  </si>
  <si>
    <t>LPC: Junction (absent/present)</t>
  </si>
  <si>
    <t>tritocerebral loop (present/ absent)</t>
  </si>
  <si>
    <t>Midline Crossing (present/ absent)</t>
  </si>
  <si>
    <t>LPC: Rings (absent/present)</t>
  </si>
  <si>
    <t>Numerical Scoring Observation</t>
  </si>
  <si>
    <t>Averaged cell body counts</t>
  </si>
  <si>
    <t>Dividing by highest count</t>
  </si>
  <si>
    <t>Highest Cell Body Count</t>
  </si>
  <si>
    <t>Anterior Midbrain</t>
  </si>
  <si>
    <t>mcAL</t>
  </si>
  <si>
    <t>VNC Top</t>
  </si>
  <si>
    <t>VNC T1</t>
  </si>
  <si>
    <t>VNC T2 wing</t>
  </si>
  <si>
    <t>VNC T2</t>
  </si>
  <si>
    <t>VNC T3</t>
  </si>
  <si>
    <t>Abdominal ganglion</t>
  </si>
  <si>
    <t>Lateral protocerebral complex: Arch (present/ absent)</t>
  </si>
  <si>
    <t>Lateral protocerebral complex: Ring (present/ absent)</t>
  </si>
  <si>
    <t>Lateral protocerebral complex: Junction (present/ absent)</t>
  </si>
  <si>
    <t>Tritocerebral Loop (present/ absent)</t>
  </si>
  <si>
    <t>A key for columns D-J is provided in 'items scored' in Read_Me sheet, with definitions for abbreviations</t>
  </si>
  <si>
    <t>A key for columns D-L is provided in 'items scored' in Read_Me sheet, with definitions for abbreviations</t>
  </si>
  <si>
    <t xml:space="preserve">Internal Lab Notation: Blinded Image File name </t>
  </si>
  <si>
    <t>light loop present</t>
  </si>
  <si>
    <t>unscorable</t>
  </si>
  <si>
    <t>image quality too poor to count</t>
  </si>
  <si>
    <t xml:space="preserve">Present, there is lots of cell bodies above the glomeruli that can contribute to the projects that cross the brain and move down into the loop </t>
  </si>
  <si>
    <t>No, Really faint branching present</t>
  </si>
  <si>
    <t>Poor image quality</t>
  </si>
  <si>
    <t xml:space="preserve"> faint</t>
  </si>
  <si>
    <t xml:space="preserve">poor image quality </t>
  </si>
  <si>
    <t xml:space="preserve"> poor image quality</t>
  </si>
  <si>
    <t>poor image quality</t>
  </si>
  <si>
    <t>Internal Lab Notation: Confocal Image File Name</t>
  </si>
  <si>
    <t>DA1: Antennal lobe glomeruli expression (present/ absent)</t>
  </si>
  <si>
    <t>VA1v: Antennal lobe glomeruli expression (present/ absent)</t>
  </si>
  <si>
    <t>6d_female_DIPGamma_55810_fruflp_3_20180925</t>
  </si>
  <si>
    <t>6d_female_DIPGamma_55810_fruflp_4_20180925</t>
  </si>
  <si>
    <t>6d_female_DIPGamma_55810_fruflp_5_20180925</t>
  </si>
  <si>
    <t>6d_female_DIPGamma_55810_fruflp_6_20180925</t>
  </si>
  <si>
    <t>6d_female_DIPGamma_55810_fruflp_7_20180925</t>
  </si>
  <si>
    <t>6d_male_DIPGamma_55810_fruflp_2_20180918</t>
  </si>
  <si>
    <t>6d_male_DIPGamma_55810_fruflp_4_20180918</t>
  </si>
  <si>
    <t>6d_male_DIPGamma_55810_fruflp_5_20180918</t>
  </si>
  <si>
    <t>6d_male_DIPGamma_55810_fruflp_7_20180918</t>
  </si>
  <si>
    <t>6d_male_DIPGamma_55810_fruflp_8_20180918</t>
  </si>
  <si>
    <t>4d_female_DIPeta_55810_fruflp_1_20190313</t>
  </si>
  <si>
    <t>4d_female_DIPeta_55810_fruflp_2_20180918</t>
  </si>
  <si>
    <t>4d_female_DIPeta_55810_fruflp_3_20180918</t>
  </si>
  <si>
    <t>6d_female_DIPeta_55810_fruflp_4_20180918</t>
  </si>
  <si>
    <t>6d_female_DIPeta_55810_fruflp_5_20180918</t>
  </si>
  <si>
    <t>6d_male_DIPeta_55810_fruflp_1_20180918</t>
  </si>
  <si>
    <t>6d_male_DIPeta_55810_fruflp_2_20180918</t>
  </si>
  <si>
    <t>6d_male_DIPeta_55810_fruflp_3_20180918</t>
  </si>
  <si>
    <t>6d_male_DIPeta_55810_fruflp_4_20180918</t>
  </si>
  <si>
    <t>6d_male_DIPeta_55810_fruflp_5_20180918</t>
  </si>
  <si>
    <t>Comments</t>
  </si>
  <si>
    <t>4-7day_DIPBetagal4_fruFLP_uas_stop_mcd8gfp male VNC 1</t>
  </si>
  <si>
    <t>4-7day_DIPBetagal4_fruFLP_uas_stop_mcd8gfp male VNC 2</t>
  </si>
  <si>
    <t>4-7day_DIPBetagal4_fruFLP_uas_stop_mcd8gfp male VNC 3</t>
  </si>
  <si>
    <t>4-7day_DIPBetagal4_fruFLP_uas_stop_mcd8gfp male VNC 4</t>
  </si>
  <si>
    <t>4-7day_DIPBetagal4_fruFLP_uas_stop_mcd8gfp male VNC 5</t>
  </si>
  <si>
    <t>4-7day_DIPBetagal4_fruFLP_uas_stop_mcd8gfp female 1</t>
  </si>
  <si>
    <t>4-7day_DIPBetagal4_fruFLP_uas_stop_mcd8gfp female 2</t>
  </si>
  <si>
    <t>4-7day_DIPBetagal4_fruFLP_uas_stop_mcd8gfp female 3</t>
  </si>
  <si>
    <t>4-7day_DIPBetagal4_fruFLP_uas_stop_mcd8gfp female 4</t>
  </si>
  <si>
    <t>4-7day_DIPBetagal4_fruFLP_uas_stop_mcd8gfp female 5</t>
  </si>
  <si>
    <t>4-7day_DIPepsilongal4_fruFLP_uas_stop_mcd8gfp male VNC 1</t>
  </si>
  <si>
    <t>4-7day_DIPepsilongal4_fruFLP_uas_stop_mcd8gfp male VNC 2</t>
  </si>
  <si>
    <t>4-7day_DIPepsilongal4_fruFLP_uas_stop_mcd8gfp male VNC 3</t>
  </si>
  <si>
    <t>4-7day_DIPepsilongal4_fruFLP_uas_stop_mcd8gfp male VNC 4</t>
  </si>
  <si>
    <t>4-7day_DIPepsilongal4_fruFLP_uas_stop_mcd8gfp male VNC 5</t>
  </si>
  <si>
    <t>4-7day_DIPepsilongal4_fruFLP_uas_stop_mcd8gfp female VNC 1</t>
  </si>
  <si>
    <t>4-7day_DIPepsilongal4_fruFLP_uas_stop_mcd8gfp female VNC 2</t>
  </si>
  <si>
    <t>4-7day_DIPepsilongal4_fruFLP_uas_stop_mcd8gfp female VNC 3</t>
  </si>
  <si>
    <t>4-7day_DIPepsilongal4_fruFLP_uas_stop_mcd8gfp female VNC 4</t>
  </si>
  <si>
    <t>4-7day_DIPepsilongal4_fruFLP_uas_stop_mcd8gfp female VNC 5</t>
  </si>
  <si>
    <t>4-7day_DIPthetagal4_fruFLP_uas_stop_mcd8gfp male VNC 7</t>
  </si>
  <si>
    <t>4-7day_DIPthetagal4_fruFLP_uas_stop_mcd8gfp male VNC 8</t>
  </si>
  <si>
    <t>4-7day_DIPthetagal4_fruFLP_uas_stop_mcd8gfp male VNC 3</t>
  </si>
  <si>
    <t>4-7day_DIPthetagal4_fruFLP_uas_stop_mcd8gfp male VNC 4</t>
  </si>
  <si>
    <t>4-7day_DIPthetagal4_fruFLP_uas_stop_mcd8gfp male VNC 5</t>
  </si>
  <si>
    <t>4-7day_DIPthetagal4_fruFLP_uas_stop_mcd8gfp female VNC 1</t>
  </si>
  <si>
    <t>4-7day_DIPthetagal4_fruFLP_uas_stop_mcd8gfp female VNC 2</t>
  </si>
  <si>
    <t>4-7day_DIPthetagal4_fruFLP_uas_stop_mcd8gfp female VNC 3</t>
  </si>
  <si>
    <t>4-7day_DIPthetagal4_fruFLP_uas_stop_mcd8gfp female VNC 4</t>
  </si>
  <si>
    <t>4-7day_DIPthetagal4_fruFLP_uas_stop_mcd8gfp female VNC 5</t>
  </si>
  <si>
    <t>4-7day_DIPzetagal4_fruFLP_uas_stop_mcd8gfp male VNC 1</t>
  </si>
  <si>
    <t>4-7day_DIPzetagal4_fruFLP_uas_stop_mcd8gfp male VNC 2</t>
  </si>
  <si>
    <t>4-7day_DIPzetagal4_fruFLP_uas_stop_mcd8gfp male VNC 3</t>
  </si>
  <si>
    <t>4-7day_DIPzetagal4_fruFLP_uas_stop_mcd8gfp male VNC 4</t>
  </si>
  <si>
    <t>4-7day_DIPzetagal4_fruFLP_uas_stop_mcd8gfp male VNC 5</t>
  </si>
  <si>
    <t>4-7day_DIPzetagal4_fruFLP_uas_stop_mcd8gfp female VNC 1</t>
  </si>
  <si>
    <t>4-7day_DIPzetagal4_fruFLP_uas_stop_mcd8gfp female VNC 2</t>
  </si>
  <si>
    <t>4-7day_DIPzetagal4_fruFLP_uas_stop_mcd8gfp female VNC 3</t>
  </si>
  <si>
    <t>4-7day_DIPzetagal4_fruFLP_uas_stop_mcd8gfp female VNC 4</t>
  </si>
  <si>
    <t>4-7day_DIPzetagal4_fruFLP_uas_stop_mcd8gfp female VNC 5</t>
  </si>
  <si>
    <t>6d_male_VNC_DIPeta_55810_fruflp_7_20180918</t>
  </si>
  <si>
    <t>6d_male_VNC_DIPeta_55810_fruflp_2_20180918</t>
  </si>
  <si>
    <t>6d_male_VNC_DIPeta_55810_fruflp_3_20181005</t>
  </si>
  <si>
    <t>6d_male_VNC_DIPeta_55810_fruflp_4_20180918</t>
  </si>
  <si>
    <t>6d_male_VNC_DIPeta_55810_fruflp_5_20180918</t>
  </si>
  <si>
    <t>6d_female_DIPeta_vnc_55810_fruflp_1_20181005</t>
  </si>
  <si>
    <t>6d_female_DIPeta_vnc_55810_fruflp_2_20181005</t>
  </si>
  <si>
    <t>4d_female_DIPeta_vnc_55810_fruflp_3_20181005</t>
  </si>
  <si>
    <t>4d_female_DIPeta_vnc_55810_fruflp_4_20181005</t>
  </si>
  <si>
    <t>4d_female_DIPeta_vnc_55810_fruflp_5_20181005</t>
  </si>
  <si>
    <t>6d__male_DIPgamma_VNC_55810_fruflp_1_20180918</t>
  </si>
  <si>
    <t>6d__male_DIPgamma_VNC_55810_fruflp_2_20180918</t>
  </si>
  <si>
    <t>6d__male_DIPgamma_VNC_55810_fruflp_3_20180918</t>
  </si>
  <si>
    <t>6d__male_DIPgamma_VNC_55810_fruflp_4_20180918</t>
  </si>
  <si>
    <t>6d__male_DIPgamma_VNC_55810_fruflp_5_20180918</t>
  </si>
  <si>
    <t>6d__female_DIPgamma_VNC_55810_fruflp_1_20180918</t>
  </si>
  <si>
    <t>6d__female_DIPgamma_VNC_55810_fruflp_2_20180918</t>
  </si>
  <si>
    <t>6d__female_DIPgamma_VNC_55810_fruflp_3_20180918</t>
  </si>
  <si>
    <t>6d__female_DIPgamma_VNC_55810_fruflp_4_20180918</t>
  </si>
  <si>
    <t>7d__female_DIPgamma_VNC_55810_fruflp_5_20190220</t>
  </si>
  <si>
    <t>6d_male_DIPdelta_VNC_55810_fruflp_1_20181005</t>
  </si>
  <si>
    <t>6d_male_DIPdelta_VNC_55810_fruflp_2_20181005</t>
  </si>
  <si>
    <t>6d_male_DIPdelta_VNC_55810_fruflp_4_20190201</t>
  </si>
  <si>
    <t>6d_male_DIPdelta_VNC_55810_fruflp_5_20190201</t>
  </si>
  <si>
    <t>6d_female_DIPdelta_VNC_55810_fruflp_1_20181005</t>
  </si>
  <si>
    <t>6d_female_DIPdelta_VNC_55810_fruflp_2_20181005</t>
  </si>
  <si>
    <t>6d_female_DIPdelta_VNC_55810_fruflp_3_20190201</t>
  </si>
  <si>
    <t>6d_female_DIPdelta_VNC_55810_fruflp_4_20190201</t>
  </si>
  <si>
    <t>6d_female_DIPdelta_VNC_55810_fruflp_5_20190201</t>
  </si>
  <si>
    <t>6d_male_DIPdelta_VNC_55810_fruflp_6_20190201</t>
  </si>
  <si>
    <t>6d_male_vnc_DIPalpha_55810_fruflp_1_20181106</t>
  </si>
  <si>
    <t>6d_male_vnc_DIPalpha_55810_fruflp_2_20181106</t>
  </si>
  <si>
    <t>6d_male_vnc_DIPalpha_55810_fruflp_3_20181106</t>
  </si>
  <si>
    <t>6d_male_vnc_DIPalpha_55810_fruflp_4_20181106</t>
  </si>
  <si>
    <t>6d_male_vnc_DIPalpha_55810_fruflp_5_20181106</t>
  </si>
  <si>
    <t>6d_female_vnc_DIPalpha_55810_fruflp_6_20181106</t>
  </si>
  <si>
    <t>6d_female_vnc_DIPalpha_55810_fruflp_2_20181106</t>
  </si>
  <si>
    <t>6d_female_vnc_DIPalpha_55810_fruflp_3_20181106</t>
  </si>
  <si>
    <t>6d_female_vnc_DIPalpha_55810_fruflp_4_20181106</t>
  </si>
  <si>
    <t>6d_female_vnc_DIPalpha_55810_fruflp_5_20181106</t>
  </si>
  <si>
    <t xml:space="preserve">short arch, ring, junction, crescent present </t>
  </si>
  <si>
    <t>thin rings, thick junction, thin arch, crescent absent</t>
  </si>
  <si>
    <t>thin rings, thin junction, thin crescent, thin arch</t>
  </si>
  <si>
    <t>thin ring, thin junction, crescent absent, short arch</t>
  </si>
  <si>
    <t>medium rings, junction present, thin crescent, long thin arch</t>
  </si>
  <si>
    <t xml:space="preserve">thick rings, long thick arch, thick junction; crescent absent </t>
  </si>
  <si>
    <t>thick ring, thick junction, thin crescent, long arch</t>
  </si>
  <si>
    <t>thick rings, thick junction, thin crescent, long arch</t>
  </si>
  <si>
    <t>very faint loop present; lots of expression</t>
  </si>
  <si>
    <t>loop absent; no expression</t>
  </si>
  <si>
    <t xml:space="preserve">thin rings, short arch, thin junction; crescent absent </t>
  </si>
  <si>
    <t xml:space="preserve">short arch, very thin rings, thin junction, thin crescent </t>
  </si>
  <si>
    <t xml:space="preserve">short arch, very thin rings, thin junction, crescent absent </t>
  </si>
  <si>
    <t>thin rings, thin junction, crescent absent, short arch</t>
  </si>
  <si>
    <t xml:space="preserve">very thin rings, short arch, thin junction, thin crescent </t>
  </si>
  <si>
    <t>thick rings, thick junction, crescent present, long arch</t>
  </si>
  <si>
    <t>short arch, very thin rings, thin junction, very thin crescent</t>
  </si>
  <si>
    <t>thin rings, thick junction, long arch, thin crescent</t>
  </si>
  <si>
    <t>thin rings, thin junction, thin crescent; short arch</t>
  </si>
  <si>
    <t>very thin rings, very thin junction, very thin crescent, thin arch</t>
  </si>
  <si>
    <t>thin rings, thin junction, thin crescent, short arch</t>
  </si>
  <si>
    <t>thin rings, thin junction, thin arch, crescent absent</t>
  </si>
  <si>
    <t>very thick rings, very thick junction, long arch, thick crescent</t>
  </si>
  <si>
    <t xml:space="preserve">long arch, thick ring, thick junction, thin crescent </t>
  </si>
  <si>
    <t xml:space="preserve">thick rings, thick junction, long arch, crescent present </t>
  </si>
  <si>
    <t xml:space="preserve">thin arch, thin rings, thin junction, thin crescent </t>
  </si>
  <si>
    <t>thin rings, thin arch, junction absent, crescent absent</t>
  </si>
  <si>
    <t>thin ring, thin junction, thin crescent, short arch</t>
  </si>
  <si>
    <t>thick rings, long arch, thick junction, crescent present</t>
  </si>
  <si>
    <t xml:space="preserve">long arch, thick rings, thick junction, crescent present </t>
  </si>
  <si>
    <t>thin rings, thick junction, no crescent, long arch</t>
  </si>
  <si>
    <t xml:space="preserve">thin arch; thin rings, thick junction, thin crescent </t>
  </si>
  <si>
    <t xml:space="preserve">thin rings, thin junction, short arch, faint crescent </t>
  </si>
  <si>
    <t>ring present, thick junction, thin crescent, thin arch</t>
  </si>
  <si>
    <t>thin rings, thick junction, thin crescent, short arch</t>
  </si>
  <si>
    <t>thin rings, junction present, crescent present, thin arch</t>
  </si>
  <si>
    <t>thick rings, thick junction, thick crescent, long arch</t>
  </si>
  <si>
    <t>long arch, thick rings, thick junction, thick crescent</t>
  </si>
  <si>
    <t>thick ring, thick junction, thick crescent, long thick arch</t>
  </si>
  <si>
    <t xml:space="preserve">thin arch, thin rings, junction and crescent present </t>
  </si>
  <si>
    <t>thin ring, thin junction, no crescent, thin arch</t>
  </si>
  <si>
    <t>thick rings, long arch, thick junction, crescent absent</t>
  </si>
  <si>
    <t>thin ring, thick junction, crescent absent, long arch</t>
  </si>
  <si>
    <t>thick rings, thick junction, no crescent, long arch</t>
  </si>
  <si>
    <t xml:space="preserve">short arch, thin rings, thin junction, crescent absent </t>
  </si>
  <si>
    <t>short arch, thin rings, junction and crescent present</t>
  </si>
  <si>
    <t xml:space="preserve">short arch, thin rings, thin junction, thin crescent </t>
  </si>
  <si>
    <t>long arch, thick rings, thick junction, thin crescent</t>
  </si>
  <si>
    <t xml:space="preserve">thin arch, thick rings, thick junction, crescent present </t>
  </si>
  <si>
    <t xml:space="preserve">long, bright arch, thick rings, thick junction, thin crescent </t>
  </si>
  <si>
    <t>No, the loop is there (coming down from the median bundle) but don't see it become full circle though there is branching present in the SOG</t>
  </si>
  <si>
    <t>Loop is present but very faint and only seen when scrolling through the stacks and not in the 3D projection</t>
  </si>
  <si>
    <t>All parts of the complex are present but the arch thins as it moves toward the junction (female-like)the arch is very bright in expression like the glomeruli but the ring is more faint but very much visible and is complete with the crescent</t>
  </si>
  <si>
    <t>Absent, while there are many cell bodies present above the glomeruli I don't believe any of them contribute to the ring in the SOG like mAL expression is shown to do</t>
  </si>
  <si>
    <t>Loop is present and only visible in the stacks (not the 3D projection) because as the expression from the median bundle project downward the expression gets more faint so once the circle meets to complex it can hardly be seen</t>
  </si>
  <si>
    <t xml:space="preserve">short arch, thin rings, junction, crescent present </t>
  </si>
  <si>
    <t xml:space="preserve">short arch, thin rings, thick junction, crescent present </t>
  </si>
  <si>
    <t>short arch, thin rings, thin junction, thin crescent</t>
  </si>
  <si>
    <t xml:space="preserve">thin arch, ring present, junction and crescent absent </t>
  </si>
  <si>
    <t xml:space="preserve">long arch, thick rings, thick junction, long crescent </t>
  </si>
  <si>
    <t xml:space="preserve">long thick arch, thick rings, thick junction, crescent present </t>
  </si>
  <si>
    <t xml:space="preserve">arch unscorable; ring, crescent, junction present </t>
  </si>
  <si>
    <t>long arch, thin rings, thick junction, thin crescent</t>
  </si>
  <si>
    <t>Loop is very faint branching is present in the SOG</t>
  </si>
  <si>
    <t xml:space="preserve">The arch of the complex is present but it is hard to see if the ring or crescent are present because all the expression in the middle of the brain are very faint and there is a lot of background in this brain image </t>
  </si>
  <si>
    <t>No, the arch is present but the junction and crescent is missing and the ring isn't complete there also seems to be a "ring" in the brain that is too high to be the ring of the lateral protocerebral complex</t>
  </si>
  <si>
    <t>I don't believe the loop is present the expression from the median bundle neurons definitely project downwards into the SOG but I don't think it creates the loop but it does(?) contribute to the SOG expression which is branching in the bottom of the brain</t>
  </si>
  <si>
    <t>No, the arch is present but faint in expression (female-like) there is an additional ring above where the typical ring is and the ring is very faint hard to see and does not have the crescent</t>
  </si>
  <si>
    <t>Loop is present and there is additional branching in the SOG</t>
  </si>
  <si>
    <t xml:space="preserve">Yes, all the parts of the complex are present the arch is the brightest (thick-male like) and into the junction is bright but the ring and crescent are more faint in comparison and the crescent expression seems elongated </t>
  </si>
  <si>
    <t>Yes, all the features of the complex are present the arch is thick (male-like) and the junction is the brightest the ring and crescent are fainter in expression(in comparison)</t>
  </si>
  <si>
    <t>all the parts of the complex are present the arch tapers down into the junction (female-like) the ring and crescent are fainter in expression compared to the mushroom body expression the arch and junction</t>
  </si>
  <si>
    <t>Loop is present but very faint in both the stacks and the 3D projection</t>
  </si>
  <si>
    <t xml:space="preserve">Not all the parts of the complex are present, the arch is seen faintly tapering towards the junction which is bright but it is hard to see a completed ring or crescent </t>
  </si>
  <si>
    <t>Yes, all the parts of the complex are present arch tapers down into the junction (female-like?)</t>
  </si>
  <si>
    <t>Loop is present but very faint and only seen when scrolling through the stacks and not in the 3D projection, there is branching in the SOG</t>
  </si>
  <si>
    <t>A small loop is present in the SOG connecting the midline expression together mostly branching expression is visible in the SOG</t>
  </si>
  <si>
    <t>Thick arch expression (male-like) as it moves toward the junction which is larger in surface area. The ring and crescent are present but the crescent extends further down the brain than typical. All parts of the same expression level (brightness)</t>
  </si>
  <si>
    <t>All the parts of the complex are present(male-like) the arch is thick in expression as it moves to the junction which is bright in expression (similar to the arch but brighter than the ring and crescent)</t>
  </si>
  <si>
    <t>All parts of the complex are present the arch is thick in expression as it moves to the junction and the ring and crescent which are all bright and thick in expression</t>
  </si>
  <si>
    <t>thin rings, thin arch, junction present, crescent absent</t>
  </si>
  <si>
    <t>short arch, thin rings, thin junction, crescent absent</t>
  </si>
  <si>
    <t>short arch, ring, junction, crescent present</t>
  </si>
  <si>
    <t xml:space="preserve">long arch, thick ring, thick junction, crescent </t>
  </si>
  <si>
    <t>long arch, ring present, thick junction, crescent present</t>
  </si>
  <si>
    <t xml:space="preserve">thin arch, thin rings, junction present, very thin crescent </t>
  </si>
  <si>
    <t xml:space="preserve">Yes, all the parts of the complex are present. The arch is think in expression as it tapers down to the junction which is brighter and slightly more dense(organized) on the right side compared to the left </t>
  </si>
  <si>
    <t>Yes, all the parts of the complex are present the arch tapers down in expression as it gets to the junction very female like the junction is very bright in expression and very large, in the 3D image and when scrolling through the stacks there looks like there is a "ring" present above the ring of the lateral protocerebral complex which is present so the top part of that ring of the complex is very thick and bright since it is part od two different rings</t>
  </si>
  <si>
    <t xml:space="preserve">Yes, there are cell bodies above the glomeruli that contribute to the loop in the SOG and there is expression going cross up the brain on the other side </t>
  </si>
  <si>
    <t>Yes, all the parts are present the junction is very bright in this brain as the expression comes down from the arch and into the ring the arch is thicker on one side of the brain as it tapers down to the junction which is male like though the other side thins, tapers down</t>
  </si>
  <si>
    <t>All the parts of the complex are present the arch is thick in expression (male-like) the ring and crescent are present the expression level is more faint compared to the mushroom body but very much visible still</t>
  </si>
  <si>
    <t>The arch is very thick in expression as it moves down towards the junction (male-like) the junction is also large in expression (both the arch and the junction are faint in expression compared tot he mushroom body but very much visible) but the ring and crescent are very faint in expression where its hard to see if the ring completes and if the crescent is present</t>
  </si>
  <si>
    <t>thin arch, thin rings, thick junction, no crescent</t>
  </si>
  <si>
    <t>thin arch, thin rings, thin junction, crescent absent</t>
  </si>
  <si>
    <t>thin arch, thin rings, no junction, no crescent</t>
  </si>
  <si>
    <t>very faint light rings, thin junction, no crescent, arch unscorable</t>
  </si>
  <si>
    <t>thin arch, thin rings, crescent, junction present</t>
  </si>
  <si>
    <t>long arch, ring and crescent present; thick junction</t>
  </si>
  <si>
    <t>very thin arch, rings, junction, crescent</t>
  </si>
  <si>
    <t xml:space="preserve">short arch; thin rings, junction and crescent present </t>
  </si>
  <si>
    <t xml:space="preserve">long arch; thick rings, thick junction, long thick crescent </t>
  </si>
  <si>
    <t xml:space="preserve">long arch, thick rings, thick junction, thin crescent </t>
  </si>
  <si>
    <t>thick rings, thick junction, crescent present, long thick arch</t>
  </si>
  <si>
    <t>Yes, all the parts of the complex are very light/faint in expression the arch fades into the junction which isn't very obvious (female like) and the ring and crescent are very light</t>
  </si>
  <si>
    <t>The arch is present but thins as it moves towards the junction (female-like) the ring and crescent are very faint in expression which makes it hard to determine if the ring is complete and if the crescent is present</t>
  </si>
  <si>
    <t>All parts of the complex are present the arch is thin as it moves to the junction all parts of the complex are light in expression compared to the glomeruli and mushroom body</t>
  </si>
  <si>
    <t>Yes, all parts of the complex are present but faint in expression levels compared to the mushroom body</t>
  </si>
  <si>
    <t>All the parts of the complex are present the arch tapers down into the junction/ ring (female-like) all parts of the complex are very faint in expression compared to the mushroom body expression</t>
  </si>
  <si>
    <t>very light expression in all; short arch present, thin ring on left side, no junction nor crescent</t>
  </si>
  <si>
    <t>thin arch, very thin ring, junction and crescent absent</t>
  </si>
  <si>
    <t xml:space="preserve">thin arch, thin rings, junction present; crescent absent </t>
  </si>
  <si>
    <t>loop absent; lots of projection</t>
  </si>
  <si>
    <t xml:space="preserve">short arch, can faintly see rings and junction but no crescent </t>
  </si>
  <si>
    <t>arch present; very light ring on left side with crescent and junction</t>
  </si>
  <si>
    <t>long arch present; ring, junction, crescent all absent</t>
  </si>
  <si>
    <t>arch present but very light; ring, junction, crescent very light and thin</t>
  </si>
  <si>
    <t xml:space="preserve">short arch, thin rings, thin junction, no crescent </t>
  </si>
  <si>
    <t>short arch, thin rings, thin crescent, thin junction</t>
  </si>
  <si>
    <t xml:space="preserve">short arch, thin ring, thin junction, thin crescent </t>
  </si>
  <si>
    <t xml:space="preserve">long, thick arch; thick rings, thick junction, crescent present </t>
  </si>
  <si>
    <t>long arch, thick rings, junction and crescent present</t>
  </si>
  <si>
    <t>long thick arch, thick rings, thick junction, crescent absent</t>
  </si>
  <si>
    <t>No,  but there is branching present in the mushroom body area of the brain</t>
  </si>
  <si>
    <t>Yes, all parts of the complex are present the arch expression thins in expression as it tapers down towards the junction of the complex bright in expression level</t>
  </si>
  <si>
    <t>No, but there is numerous cell bodies/ expression in that area of the brain (upper) it is symmetrical over the midline of the brain but not dense like a mushroom body or as long (eyebrows)</t>
  </si>
  <si>
    <t xml:space="preserve">thin arch, thin rings, thick junction, thick crescent </t>
  </si>
  <si>
    <t>brain missing left eye lobe</t>
  </si>
  <si>
    <t xml:space="preserve">short arch, thin ring, thick junction, thin crescent </t>
  </si>
  <si>
    <t>light thin rings, junction present, very thin crescent, very thin arch</t>
  </si>
  <si>
    <t xml:space="preserve">short arch, thin ring, junction and crescent present </t>
  </si>
  <si>
    <t>thin arch, very thick rings, very thick junction, thin crescent</t>
  </si>
  <si>
    <t>thick long arch, thick rings, thick junction, thin crescent</t>
  </si>
  <si>
    <t>long arch, thick rings, thick junction, crescent present</t>
  </si>
  <si>
    <t xml:space="preserve">Arch is very faint almost missing but junction, ring, and crescent present </t>
  </si>
  <si>
    <t xml:space="preserve">Yes, all the junction is larger than usual and the additional "ring" above the ring of the complex is present but it is not a complete circle it is missing the expression on the top </t>
  </si>
  <si>
    <t>All parts of the complex are present the junction is the brightest and the arch is not thick, it tapers down into the junction</t>
  </si>
  <si>
    <t xml:space="preserve">No, not quite mushrooms body because it is not horizontal and in the spot above the glomeruli but instead its at a slight angle </t>
  </si>
  <si>
    <t xml:space="preserve">Interesting expression pattern </t>
  </si>
  <si>
    <t xml:space="preserve">All parts of the complex are present the arch is thin in expression (female-like) as it moves toward the junction the ring and crescent are present but very faint in expression the ring also goes into the loop in the OSG which I feel like I haven't noticed before and other (crimic) brains </t>
  </si>
  <si>
    <t xml:space="preserve">Lateral protocerebral complex features present/ absent (ring, arch, junction, crescent) </t>
  </si>
  <si>
    <t>Antennal lobe glomeruli expression (present/ absent)</t>
  </si>
  <si>
    <t>No, Branching doesn't meet in the middle</t>
  </si>
  <si>
    <t>forceps present</t>
  </si>
  <si>
    <t>No, The loop is there (coming down from the median bundle) but don't see it become full circle though there is branching present in the SOG</t>
  </si>
  <si>
    <t xml:space="preserve">brain ripped so can't see arch; ring, crescent, junction present </t>
  </si>
  <si>
    <t>very faint light rings, thin junction, no crescent, can't score arch bc brain ripped at top</t>
  </si>
  <si>
    <t>LPC: Crescent (absent/present)</t>
  </si>
  <si>
    <t>Lateral protocerebral complex: Crescent (present/ absent)</t>
  </si>
  <si>
    <t>Antennal Lobe Glomeruli expression in VA1v (present/ absent)</t>
  </si>
  <si>
    <t>Antennal Lobe Glomeruli expression in DA1 (present/ absent)</t>
  </si>
  <si>
    <t>mAL neuron (present/absent)</t>
  </si>
  <si>
    <t>DA1 present on one side</t>
  </si>
  <si>
    <t>DA1 present</t>
  </si>
  <si>
    <t>DA1 and VA1v present</t>
  </si>
  <si>
    <t>Present in both DA1 (intense) and both VA1vs</t>
  </si>
  <si>
    <t>Present in both DA1 and both VA1vs</t>
  </si>
  <si>
    <t>DA1 present VA1v absent</t>
  </si>
  <si>
    <t>Present in both DA1 (faint) and both VA1vs</t>
  </si>
  <si>
    <t>Present in both VA1vs absent in DA1</t>
  </si>
  <si>
    <t>MALE DATA</t>
  </si>
  <si>
    <t>Antennal lobe glomeruli expression in DA1</t>
  </si>
  <si>
    <t>FEMALE DATA</t>
  </si>
  <si>
    <t>Data separated by the phenotype scored with male and female data side by side</t>
  </si>
  <si>
    <t>Data for each Dpr/DIP with male and female rows together</t>
  </si>
  <si>
    <t>Full data set that is color-coded using the color scale feature in excel conditional formatting--data from full data set tab</t>
  </si>
  <si>
    <t>For a feature to be considered present "consistently" in the text, there is a score value of 0.5 or greater in the full data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</si>
</sst>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b/>
      <sz val="11"/>
      <color theme="1"/>
      <name val="Calibri"/>
      <family val="2"/>
      <scheme val="minor"/>
    </font>
    <font>
      <sz val="10"/>
      <name val="Arial"/>
      <family val="2"/>
    </font>
    <font>
      <sz val="10"/>
      <color theme="1"/>
      <name val="Arial"/>
      <family val="2"/>
    </font>
    <font>
      <sz val="11"/>
      <color rgb="FF000000"/>
      <name val="Calibri"/>
      <family val="2"/>
    </font>
    <font>
      <sz val="10"/>
      <color rgb="FF000000"/>
      <name val="Arial"/>
      <family val="2"/>
    </font>
    <font>
      <sz val="10"/>
      <color rgb="FF000000"/>
      <name val="Roboto"/>
    </font>
    <font>
      <sz val="11"/>
      <color rgb="FF000000"/>
      <name val="Calibri"/>
      <family val="2"/>
    </font>
    <font>
      <sz val="10"/>
      <color theme="1"/>
      <name val="Arial"/>
      <family val="2"/>
    </font>
    <font>
      <sz val="8"/>
      <name val="Calibri"/>
      <family val="2"/>
      <scheme val="minor"/>
    </font>
    <font>
      <sz val="11"/>
      <color rgb="FF000000"/>
      <name val="Calibri"/>
      <family val="2"/>
      <scheme val="minor"/>
    </font>
    <font>
      <b/>
      <sz val="10"/>
      <color theme="1"/>
      <name val="Arial"/>
      <family val="2"/>
    </font>
    <font>
      <b/>
      <sz val="10"/>
      <name val="Arial"/>
      <family val="2"/>
    </font>
    <font>
      <b/>
      <sz val="11"/>
      <color rgb="FF000000"/>
      <name val="Calibri"/>
      <family val="2"/>
    </font>
    <font>
      <sz val="10"/>
      <color theme="1"/>
      <name val="Arial Unicode MS"/>
      <family val="2"/>
    </font>
    <font>
      <b/>
      <sz val="12"/>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4" tint="0.59999389629810485"/>
        <bgColor indexed="64"/>
      </patternFill>
    </fill>
    <fill>
      <patternFill patternType="solid">
        <fgColor rgb="FFFFC2FF"/>
        <bgColor indexed="64"/>
      </patternFill>
    </fill>
  </fills>
  <borders count="1">
    <border>
      <left/>
      <right/>
      <top/>
      <bottom/>
      <diagonal/>
    </border>
  </borders>
  <cellStyleXfs count="1">
    <xf numFmtId="0" fontId="0" fillId="0" borderId="0"/>
  </cellStyleXfs>
  <cellXfs count="75">
    <xf numFmtId="0" fontId="0" fillId="0" borderId="0" xfId="0"/>
    <xf numFmtId="0" fontId="2" fillId="0" borderId="0" xfId="0" applyFont="1" applyAlignment="1">
      <alignment wrapText="1"/>
    </xf>
    <xf numFmtId="0" fontId="3" fillId="0" borderId="0" xfId="0" applyFont="1" applyAlignment="1">
      <alignment wrapText="1"/>
    </xf>
    <xf numFmtId="0" fontId="3" fillId="0" borderId="0" xfId="0" applyFont="1"/>
    <xf numFmtId="0" fontId="4" fillId="0" borderId="0" xfId="0" applyFont="1"/>
    <xf numFmtId="0" fontId="4" fillId="0" borderId="0" xfId="0" applyFont="1" applyAlignment="1">
      <alignment horizontal="fill"/>
    </xf>
    <xf numFmtId="0" fontId="4" fillId="0" borderId="0" xfId="0" applyFont="1" applyAlignment="1">
      <alignment horizontal="right"/>
    </xf>
    <xf numFmtId="0" fontId="5" fillId="0" borderId="0" xfId="0" applyFont="1"/>
    <xf numFmtId="0" fontId="6" fillId="2" borderId="0" xfId="0" applyFont="1" applyFill="1"/>
    <xf numFmtId="0" fontId="2" fillId="0" borderId="0" xfId="0" applyFont="1"/>
    <xf numFmtId="0" fontId="0" fillId="0" borderId="0" xfId="0" applyAlignment="1">
      <alignment shrinkToFit="1"/>
    </xf>
    <xf numFmtId="0" fontId="7" fillId="0" borderId="0" xfId="0" applyFont="1"/>
    <xf numFmtId="0" fontId="8" fillId="0" borderId="0" xfId="0" applyFont="1"/>
    <xf numFmtId="0" fontId="8" fillId="0" borderId="0" xfId="0" applyFont="1" applyAlignment="1">
      <alignment wrapText="1"/>
    </xf>
    <xf numFmtId="0" fontId="2" fillId="3" borderId="0" xfId="0" applyFont="1" applyFill="1" applyAlignment="1">
      <alignment wrapText="1"/>
    </xf>
    <xf numFmtId="0" fontId="2" fillId="0" borderId="0" xfId="0" applyFont="1" applyFill="1" applyAlignment="1">
      <alignment wrapText="1"/>
    </xf>
    <xf numFmtId="0" fontId="3" fillId="0" borderId="0" xfId="0" applyFont="1" applyAlignment="1"/>
    <xf numFmtId="0" fontId="0" fillId="0" borderId="0" xfId="0" applyFill="1" applyAlignment="1">
      <alignment shrinkToFit="1"/>
    </xf>
    <xf numFmtId="0" fontId="10" fillId="0" borderId="0" xfId="0" applyFont="1"/>
    <xf numFmtId="0" fontId="3" fillId="0" borderId="0" xfId="0" applyFont="1" applyBorder="1"/>
    <xf numFmtId="0" fontId="8" fillId="0" borderId="0" xfId="0" applyFont="1" applyAlignment="1"/>
    <xf numFmtId="2" fontId="0" fillId="0" borderId="0" xfId="0" applyNumberFormat="1"/>
    <xf numFmtId="0" fontId="2" fillId="0" borderId="0" xfId="0" applyFont="1" applyFill="1" applyAlignment="1"/>
    <xf numFmtId="0" fontId="0" fillId="0" borderId="0" xfId="0" applyFont="1"/>
    <xf numFmtId="0" fontId="0" fillId="0" borderId="0" xfId="0" applyFont="1" applyBorder="1"/>
    <xf numFmtId="0" fontId="1" fillId="0" borderId="0" xfId="0" applyFont="1"/>
    <xf numFmtId="0" fontId="1" fillId="0" borderId="0" xfId="0" applyFont="1" applyAlignment="1">
      <alignment shrinkToFit="1"/>
    </xf>
    <xf numFmtId="0" fontId="11" fillId="0" borderId="0" xfId="0" applyFont="1"/>
    <xf numFmtId="2" fontId="1" fillId="0" borderId="0" xfId="0" applyNumberFormat="1" applyFont="1" applyAlignment="1">
      <alignment horizontal="left" indent="8"/>
    </xf>
    <xf numFmtId="2" fontId="1" fillId="0" borderId="0" xfId="0" applyNumberFormat="1" applyFont="1"/>
    <xf numFmtId="0" fontId="11" fillId="3" borderId="0" xfId="0" applyFont="1" applyFill="1"/>
    <xf numFmtId="0" fontId="12" fillId="3" borderId="0" xfId="0" applyFont="1" applyFill="1" applyAlignment="1">
      <alignment wrapText="1"/>
    </xf>
    <xf numFmtId="0" fontId="11" fillId="3" borderId="0" xfId="0" applyFont="1" applyFill="1" applyAlignment="1">
      <alignment wrapText="1"/>
    </xf>
    <xf numFmtId="0" fontId="13" fillId="0" borderId="0" xfId="0" applyFont="1" applyAlignment="1">
      <alignment horizontal="right"/>
    </xf>
    <xf numFmtId="0" fontId="0" fillId="0" borderId="0" xfId="0" applyAlignment="1">
      <alignment horizontal="left" indent="3"/>
    </xf>
    <xf numFmtId="0" fontId="4" fillId="0" borderId="0" xfId="0" applyFont="1" applyAlignment="1">
      <alignment horizontal="left" indent="3"/>
    </xf>
    <xf numFmtId="0" fontId="4" fillId="0" borderId="0" xfId="0" applyFont="1" applyAlignment="1">
      <alignment horizontal="left" indent="9"/>
    </xf>
    <xf numFmtId="0" fontId="0" fillId="0" borderId="0" xfId="0" applyFont="1" applyAlignment="1">
      <alignment horizontal="left" indent="9"/>
    </xf>
    <xf numFmtId="0" fontId="0" fillId="0" borderId="0" xfId="0" applyFont="1" applyAlignment="1">
      <alignment horizontal="left" indent="3"/>
    </xf>
    <xf numFmtId="0" fontId="13" fillId="0" borderId="0" xfId="0" applyFont="1"/>
    <xf numFmtId="164" fontId="0" fillId="0" borderId="0" xfId="0" applyNumberFormat="1"/>
    <xf numFmtId="0" fontId="0" fillId="0" borderId="0" xfId="0" applyAlignment="1">
      <alignment horizontal="left" indent="4"/>
    </xf>
    <xf numFmtId="0" fontId="0" fillId="0" borderId="0" xfId="0" applyAlignment="1">
      <alignment horizontal="left" indent="5"/>
    </xf>
    <xf numFmtId="0" fontId="0" fillId="0" borderId="0" xfId="0" applyAlignment="1">
      <alignment horizontal="left" indent="6"/>
    </xf>
    <xf numFmtId="0" fontId="0" fillId="0" borderId="0" xfId="0" applyAlignment="1">
      <alignment horizontal="left" indent="8"/>
    </xf>
    <xf numFmtId="0" fontId="3" fillId="0" borderId="0" xfId="0" applyFont="1" applyAlignment="1">
      <alignment horizontal="left" indent="3"/>
    </xf>
    <xf numFmtId="0" fontId="3" fillId="0" borderId="0" xfId="0" applyFont="1" applyAlignment="1">
      <alignment horizontal="left" indent="4"/>
    </xf>
    <xf numFmtId="0" fontId="3" fillId="0" borderId="0" xfId="0" applyFont="1" applyAlignment="1">
      <alignment horizontal="left" indent="6"/>
    </xf>
    <xf numFmtId="0" fontId="3" fillId="0" borderId="0" xfId="0" applyFont="1" applyAlignment="1">
      <alignment horizontal="left" indent="8"/>
    </xf>
    <xf numFmtId="0" fontId="8" fillId="0" borderId="0" xfId="0" applyFont="1" applyAlignment="1">
      <alignment horizontal="left" indent="3"/>
    </xf>
    <xf numFmtId="0" fontId="8" fillId="0" borderId="0" xfId="0" applyFont="1" applyAlignment="1">
      <alignment horizontal="left" indent="4"/>
    </xf>
    <xf numFmtId="0" fontId="8" fillId="0" borderId="0" xfId="0" applyFont="1" applyAlignment="1">
      <alignment horizontal="left" indent="5"/>
    </xf>
    <xf numFmtId="0" fontId="8" fillId="0" borderId="0" xfId="0" applyFont="1" applyAlignment="1">
      <alignment horizontal="left" indent="6"/>
    </xf>
    <xf numFmtId="0" fontId="8" fillId="0" borderId="0" xfId="0" applyFont="1" applyAlignment="1">
      <alignment horizontal="left" indent="8"/>
    </xf>
    <xf numFmtId="0" fontId="4" fillId="0" borderId="0" xfId="0" applyFont="1" applyAlignment="1">
      <alignment horizontal="left" indent="4"/>
    </xf>
    <xf numFmtId="0" fontId="4" fillId="0" borderId="0" xfId="0" applyFont="1" applyAlignment="1">
      <alignment horizontal="left" indent="5"/>
    </xf>
    <xf numFmtId="0" fontId="4" fillId="0" borderId="0" xfId="0" applyFont="1" applyAlignment="1">
      <alignment horizontal="left" indent="8"/>
    </xf>
    <xf numFmtId="0" fontId="1" fillId="0" borderId="0" xfId="0" applyFont="1" applyAlignment="1">
      <alignment horizontal="left" indent="10"/>
    </xf>
    <xf numFmtId="0" fontId="11" fillId="0" borderId="0" xfId="0" applyFont="1" applyAlignment="1">
      <alignment horizontal="left" indent="10"/>
    </xf>
    <xf numFmtId="0" fontId="11" fillId="0" borderId="0" xfId="0" applyFont="1" applyAlignment="1">
      <alignment horizontal="left" indent="12"/>
    </xf>
    <xf numFmtId="0" fontId="1" fillId="0" borderId="0" xfId="0" applyFont="1" applyAlignment="1">
      <alignment horizontal="left" indent="12"/>
    </xf>
    <xf numFmtId="0" fontId="14" fillId="0" borderId="0" xfId="0" applyFont="1" applyAlignment="1">
      <alignment vertical="center"/>
    </xf>
    <xf numFmtId="0" fontId="0" fillId="0" borderId="0" xfId="0" applyFill="1"/>
    <xf numFmtId="0" fontId="0" fillId="0" borderId="0" xfId="0" applyAlignment="1">
      <alignment vertical="center"/>
    </xf>
    <xf numFmtId="0" fontId="0" fillId="0" borderId="0" xfId="0" applyBorder="1"/>
    <xf numFmtId="0" fontId="8" fillId="0" borderId="0" xfId="0" applyFont="1" applyBorder="1"/>
    <xf numFmtId="0" fontId="3" fillId="0" borderId="0" xfId="0" applyFont="1" applyBorder="1" applyAlignment="1"/>
    <xf numFmtId="0" fontId="15" fillId="0" borderId="0" xfId="0" applyFont="1"/>
    <xf numFmtId="0" fontId="3" fillId="4" borderId="0" xfId="0" applyFont="1" applyFill="1" applyAlignment="1">
      <alignment wrapText="1"/>
    </xf>
    <xf numFmtId="0" fontId="0" fillId="4" borderId="0" xfId="0" applyFill="1"/>
    <xf numFmtId="0" fontId="3" fillId="5" borderId="0" xfId="0" applyFont="1" applyFill="1" applyAlignment="1">
      <alignment wrapText="1"/>
    </xf>
    <xf numFmtId="0" fontId="0" fillId="5" borderId="0" xfId="0" applyFill="1"/>
    <xf numFmtId="2" fontId="0" fillId="5" borderId="0" xfId="0" applyNumberFormat="1" applyFill="1"/>
    <xf numFmtId="2" fontId="0" fillId="4" borderId="0" xfId="0" applyNumberFormat="1" applyFill="1"/>
    <xf numFmtId="0" fontId="1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0</xdr:col>
      <xdr:colOff>161923</xdr:colOff>
      <xdr:row>0</xdr:row>
      <xdr:rowOff>95250</xdr:rowOff>
    </xdr:from>
    <xdr:to>
      <xdr:col>14</xdr:col>
      <xdr:colOff>219074</xdr:colOff>
      <xdr:row>65</xdr:row>
      <xdr:rowOff>133350</xdr:rowOff>
    </xdr:to>
    <xdr:sp macro="" textlink="">
      <xdr:nvSpPr>
        <xdr:cNvPr id="2" name="TextBox 1">
          <a:extLst>
            <a:ext uri="{FF2B5EF4-FFF2-40B4-BE49-F238E27FC236}">
              <a16:creationId xmlns:a16="http://schemas.microsoft.com/office/drawing/2014/main" id="{4FE055D7-4C6E-4A7F-A4B4-D9C2875534BD}"/>
            </a:ext>
          </a:extLst>
        </xdr:cNvPr>
        <xdr:cNvSpPr txBox="1"/>
      </xdr:nvSpPr>
      <xdr:spPr>
        <a:xfrm>
          <a:off x="161923" y="95250"/>
          <a:ext cx="8591551" cy="124206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rPr>
            <a:t>Dpr/DIP</a:t>
          </a:r>
          <a:r>
            <a:rPr lang="en-US" sz="1100" baseline="0">
              <a:solidFill>
                <a:sysClr val="windowText" lastClr="000000"/>
              </a:solidFill>
              <a:latin typeface="+mn-lt"/>
            </a:rPr>
            <a:t> Image Analysis Summary Sheet Read Me:</a:t>
          </a:r>
        </a:p>
        <a:p>
          <a:endParaRPr lang="en-US" sz="1100" baseline="0">
            <a:solidFill>
              <a:sysClr val="windowText" lastClr="000000"/>
            </a:solidFill>
            <a:latin typeface="+mn-lt"/>
          </a:endParaRPr>
        </a:p>
        <a:p>
          <a:r>
            <a:rPr lang="en-US" sz="1100" baseline="0">
              <a:solidFill>
                <a:sysClr val="windowText" lastClr="000000"/>
              </a:solidFill>
              <a:latin typeface="+mn-lt"/>
            </a:rPr>
            <a:t>1. Raw Data Brain: raw data and observation notes only for areas of the brain scored/counted</a:t>
          </a:r>
        </a:p>
        <a:p>
          <a:r>
            <a:rPr lang="en-US" sz="1100" baseline="0">
              <a:solidFill>
                <a:sysClr val="windowText" lastClr="000000"/>
              </a:solidFill>
              <a:latin typeface="+mn-lt"/>
            </a:rPr>
            <a:t>2. Raw Data VNC: raw data and observation notes for areas of the VNC scored/ counted </a:t>
          </a:r>
        </a:p>
        <a:p>
          <a:r>
            <a:rPr lang="en-US" sz="1100" baseline="0">
              <a:solidFill>
                <a:sysClr val="windowText" lastClr="000000"/>
              </a:solidFill>
              <a:latin typeface="+mn-lt"/>
            </a:rPr>
            <a:t>3. Raw Scoring Data: raw scoring observations of areas in both brain and VNC scored </a:t>
          </a:r>
        </a:p>
        <a:p>
          <a:r>
            <a:rPr lang="en-US" sz="1100" baseline="0">
              <a:solidFill>
                <a:sysClr val="windowText" lastClr="000000"/>
              </a:solidFill>
              <a:latin typeface="+mn-lt"/>
            </a:rPr>
            <a:t>4. Scoring Data Processed: assigning numerical values between 0 and 1 to scoring observations</a:t>
          </a:r>
        </a:p>
        <a:p>
          <a:r>
            <a:rPr lang="en-US" sz="1100" baseline="0">
              <a:solidFill>
                <a:sysClr val="windowText" lastClr="000000"/>
              </a:solidFill>
              <a:latin typeface="+mn-lt"/>
            </a:rPr>
            <a:t>5. Raw Count Data: raw cell counts for areas in both the brain and VNC</a:t>
          </a:r>
        </a:p>
        <a:p>
          <a:r>
            <a:rPr lang="en-US" sz="1100" baseline="0">
              <a:solidFill>
                <a:sysClr val="windowText" lastClr="000000"/>
              </a:solidFill>
              <a:latin typeface="+mn-lt"/>
            </a:rPr>
            <a:t>6. Cell Count Calculations: math done to cell counts so they were between 0 and 1</a:t>
          </a:r>
        </a:p>
        <a:p>
          <a:r>
            <a:rPr lang="en-US" sz="1100" baseline="0">
              <a:solidFill>
                <a:sysClr val="windowText" lastClr="000000"/>
              </a:solidFill>
              <a:latin typeface="+mn-lt"/>
            </a:rPr>
            <a:t>7. Full Data Set: both male and female image analysis data with scoring observations and cell counts as values between 0 and 1</a:t>
          </a:r>
        </a:p>
        <a:p>
          <a:r>
            <a:rPr lang="en-US" sz="1100" baseline="0">
              <a:solidFill>
                <a:sysClr val="windowText" lastClr="000000"/>
              </a:solidFill>
              <a:latin typeface="+mn-lt"/>
            </a:rPr>
            <a:t>8. Male Only: image analysis results for males (used to create heatmaps)</a:t>
          </a:r>
        </a:p>
        <a:p>
          <a:r>
            <a:rPr lang="en-US" sz="1100" baseline="0">
              <a:solidFill>
                <a:sysClr val="windowText" lastClr="000000"/>
              </a:solidFill>
              <a:latin typeface="+mn-lt"/>
            </a:rPr>
            <a:t>9. Female only: image analysis results for females (used to create heatmap)</a:t>
          </a:r>
        </a:p>
        <a:p>
          <a:r>
            <a:rPr lang="en-US" sz="1100" baseline="0">
              <a:solidFill>
                <a:sysClr val="windowText" lastClr="000000"/>
              </a:solidFill>
              <a:latin typeface="+mn-lt"/>
            </a:rPr>
            <a:t>10. Heatmap_Behavior_Plot: supplemental figure of the heatmap and behavior plot where the count data and scoring data has been separated </a:t>
          </a:r>
        </a:p>
        <a:p>
          <a:endParaRPr lang="en-US" sz="1100" baseline="0">
            <a:solidFill>
              <a:sysClr val="windowText" lastClr="000000"/>
            </a:solidFill>
            <a:latin typeface="+mn-lt"/>
          </a:endParaRPr>
        </a:p>
        <a:p>
          <a:r>
            <a:rPr lang="en-US" sz="1100">
              <a:solidFill>
                <a:sysClr val="windowText" lastClr="000000"/>
              </a:solidFill>
              <a:effectLst/>
              <a:latin typeface="+mn-lt"/>
              <a:ea typeface="+mn-ea"/>
              <a:cs typeface="+mn-cs"/>
            </a:rPr>
            <a:t>All dprs and DIPs with expression in intersecting neurons were scored for the following features: </a:t>
          </a:r>
        </a:p>
        <a:p>
          <a:pPr lvl="0"/>
          <a:r>
            <a:rPr lang="en-US" sz="1100">
              <a:solidFill>
                <a:sysClr val="windowText" lastClr="000000"/>
              </a:solidFill>
              <a:effectLst/>
              <a:latin typeface="+mn-lt"/>
              <a:ea typeface="+mn-ea"/>
              <a:cs typeface="+mn-cs"/>
            </a:rPr>
            <a:t>•Anterior midbrain (cell body count)</a:t>
          </a:r>
        </a:p>
        <a:p>
          <a:pPr lvl="0"/>
          <a:r>
            <a:rPr lang="en-US" sz="1100">
              <a:solidFill>
                <a:sysClr val="windowText" lastClr="000000"/>
              </a:solidFill>
              <a:effectLst/>
              <a:latin typeface="+mn-lt"/>
              <a:ea typeface="+mn-ea"/>
              <a:cs typeface="+mn-cs"/>
            </a:rPr>
            <a:t>•mcAL (cell body count)</a:t>
          </a:r>
        </a:p>
        <a:p>
          <a:pPr lvl="0"/>
          <a:r>
            <a:rPr lang="en-US" sz="1100">
              <a:solidFill>
                <a:sysClr val="windowText" lastClr="000000"/>
              </a:solidFill>
              <a:effectLst/>
              <a:latin typeface="+mn-lt"/>
              <a:ea typeface="+mn-ea"/>
              <a:cs typeface="+mn-cs"/>
            </a:rPr>
            <a:t>•mAL (present/absent)</a:t>
          </a:r>
        </a:p>
        <a:p>
          <a:pPr lvl="1"/>
          <a:r>
            <a:rPr lang="en-US" sz="1100">
              <a:solidFill>
                <a:sysClr val="windowText" lastClr="000000"/>
              </a:solidFill>
              <a:effectLst/>
              <a:latin typeface="+mn-lt"/>
              <a:ea typeface="+mn-ea"/>
              <a:cs typeface="+mn-cs"/>
            </a:rPr>
            <a:t>•This was scored for but </a:t>
          </a:r>
          <a:r>
            <a:rPr lang="en-US" sz="1100" u="sng">
              <a:solidFill>
                <a:sysClr val="windowText" lastClr="000000"/>
              </a:solidFill>
              <a:effectLst/>
              <a:latin typeface="+mn-lt"/>
              <a:ea typeface="+mn-ea"/>
              <a:cs typeface="+mn-cs"/>
            </a:rPr>
            <a:t>not</a:t>
          </a:r>
          <a:r>
            <a:rPr lang="en-US" sz="1100">
              <a:solidFill>
                <a:sysClr val="windowText" lastClr="000000"/>
              </a:solidFill>
              <a:effectLst/>
              <a:latin typeface="+mn-lt"/>
              <a:ea typeface="+mn-ea"/>
              <a:cs typeface="+mn-cs"/>
            </a:rPr>
            <a:t> included in the analysis</a:t>
          </a:r>
        </a:p>
        <a:p>
          <a:pPr lvl="0"/>
          <a:r>
            <a:rPr lang="en-US" sz="1100">
              <a:solidFill>
                <a:sysClr val="windowText" lastClr="000000"/>
              </a:solidFill>
              <a:effectLst/>
              <a:latin typeface="+mn-lt"/>
              <a:ea typeface="+mn-ea"/>
              <a:cs typeface="+mn-cs"/>
            </a:rPr>
            <a:t>•Tritocerebral Loop (present/ absent)</a:t>
          </a:r>
        </a:p>
        <a:p>
          <a:pPr lvl="0"/>
          <a:r>
            <a:rPr lang="en-US" sz="1100">
              <a:solidFill>
                <a:sysClr val="windowText" lastClr="000000"/>
              </a:solidFill>
              <a:effectLst/>
              <a:latin typeface="+mn-lt"/>
              <a:ea typeface="+mn-ea"/>
              <a:cs typeface="+mn-cs"/>
            </a:rPr>
            <a:t>•Lateral protocerebral complex features (present/ absent) including: </a:t>
          </a:r>
        </a:p>
        <a:p>
          <a:pPr lvl="1"/>
          <a:r>
            <a:rPr lang="en-US" sz="1100">
              <a:solidFill>
                <a:sysClr val="windowText" lastClr="000000"/>
              </a:solidFill>
              <a:effectLst/>
              <a:latin typeface="+mn-lt"/>
              <a:ea typeface="+mn-ea"/>
              <a:cs typeface="+mn-cs"/>
            </a:rPr>
            <a:t>•Arch</a:t>
          </a:r>
        </a:p>
        <a:p>
          <a:pPr lvl="1"/>
          <a:r>
            <a:rPr lang="en-US" sz="1100">
              <a:solidFill>
                <a:sysClr val="windowText" lastClr="000000"/>
              </a:solidFill>
              <a:effectLst/>
              <a:latin typeface="+mn-lt"/>
              <a:ea typeface="+mn-ea"/>
              <a:cs typeface="+mn-cs"/>
            </a:rPr>
            <a:t>•Ring</a:t>
          </a:r>
        </a:p>
        <a:p>
          <a:pPr lvl="1"/>
          <a:r>
            <a:rPr lang="en-US" sz="1100">
              <a:solidFill>
                <a:sysClr val="windowText" lastClr="000000"/>
              </a:solidFill>
              <a:effectLst/>
              <a:latin typeface="+mn-lt"/>
              <a:ea typeface="+mn-ea"/>
              <a:cs typeface="+mn-cs"/>
            </a:rPr>
            <a:t>•Junction</a:t>
          </a:r>
        </a:p>
        <a:p>
          <a:pPr lvl="1"/>
          <a:r>
            <a:rPr lang="en-US" sz="1100">
              <a:solidFill>
                <a:sysClr val="windowText" lastClr="000000"/>
              </a:solidFill>
              <a:effectLst/>
              <a:latin typeface="+mn-lt"/>
              <a:ea typeface="+mn-ea"/>
              <a:cs typeface="+mn-cs"/>
            </a:rPr>
            <a:t>•Crescent</a:t>
          </a:r>
        </a:p>
        <a:p>
          <a:pPr lvl="0"/>
          <a:r>
            <a:rPr lang="en-US" sz="1100">
              <a:solidFill>
                <a:sysClr val="windowText" lastClr="000000"/>
              </a:solidFill>
              <a:effectLst/>
              <a:latin typeface="+mn-lt"/>
              <a:ea typeface="+mn-ea"/>
              <a:cs typeface="+mn-cs"/>
            </a:rPr>
            <a:t>•Expression in the Antennal Lobe Glomeruli (present/ absent)</a:t>
          </a:r>
        </a:p>
        <a:p>
          <a:pPr lvl="1"/>
          <a:r>
            <a:rPr lang="en-US" sz="1100">
              <a:solidFill>
                <a:sysClr val="windowText" lastClr="000000"/>
              </a:solidFill>
              <a:effectLst/>
              <a:latin typeface="+mn-lt"/>
              <a:ea typeface="+mn-ea"/>
              <a:cs typeface="+mn-cs"/>
            </a:rPr>
            <a:t>•This was further divided into 2</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categories</a:t>
          </a:r>
        </a:p>
        <a:p>
          <a:pPr lvl="2"/>
          <a:r>
            <a:rPr lang="en-US" sz="1100">
              <a:solidFill>
                <a:sysClr val="windowText" lastClr="000000"/>
              </a:solidFill>
              <a:effectLst/>
              <a:latin typeface="+mn-lt"/>
              <a:ea typeface="+mn-ea"/>
              <a:cs typeface="+mn-cs"/>
            </a:rPr>
            <a:t>•Expression in DA1</a:t>
          </a:r>
          <a:r>
            <a:rPr lang="en-US" sz="1100" baseline="0">
              <a:solidFill>
                <a:sysClr val="windowText" lastClr="000000"/>
              </a:solidFill>
              <a:effectLst/>
              <a:latin typeface="+mn-lt"/>
              <a:ea typeface="+mn-ea"/>
              <a:cs typeface="+mn-cs"/>
            </a:rPr>
            <a:t> of the Glomeruli</a:t>
          </a:r>
          <a:endParaRPr lang="en-US" sz="1100">
            <a:solidFill>
              <a:sysClr val="windowText" lastClr="000000"/>
            </a:solidFill>
            <a:effectLst/>
            <a:latin typeface="+mn-lt"/>
            <a:ea typeface="+mn-ea"/>
            <a:cs typeface="+mn-cs"/>
          </a:endParaRPr>
        </a:p>
        <a:p>
          <a:pPr lvl="2"/>
          <a:r>
            <a:rPr lang="en-US" sz="1100">
              <a:solidFill>
                <a:sysClr val="windowText" lastClr="000000"/>
              </a:solidFill>
              <a:effectLst/>
              <a:latin typeface="+mn-lt"/>
              <a:ea typeface="+mn-ea"/>
              <a:cs typeface="+mn-cs"/>
            </a:rPr>
            <a:t>•Expression in VA1v of</a:t>
          </a:r>
          <a:r>
            <a:rPr lang="en-US" sz="1100" baseline="0">
              <a:solidFill>
                <a:sysClr val="windowText" lastClr="000000"/>
              </a:solidFill>
              <a:effectLst/>
              <a:latin typeface="+mn-lt"/>
              <a:ea typeface="+mn-ea"/>
              <a:cs typeface="+mn-cs"/>
            </a:rPr>
            <a:t> the Glomeruli</a:t>
          </a:r>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•Expression in the Mushroom Body (present/ absent)</a:t>
          </a:r>
        </a:p>
        <a:p>
          <a:pPr lvl="0"/>
          <a:r>
            <a:rPr lang="en-US" sz="1100">
              <a:solidFill>
                <a:sysClr val="windowText" lastClr="000000"/>
              </a:solidFill>
              <a:effectLst/>
              <a:latin typeface="+mn-lt"/>
              <a:ea typeface="+mn-ea"/>
              <a:cs typeface="+mn-cs"/>
            </a:rPr>
            <a:t>•Midline crossing in VNC (present/ absent)</a:t>
          </a:r>
        </a:p>
        <a:p>
          <a:pPr lvl="0"/>
          <a:r>
            <a:rPr lang="en-US" sz="1100">
              <a:solidFill>
                <a:sysClr val="windowText" lastClr="000000"/>
              </a:solidFill>
              <a:effectLst/>
              <a:latin typeface="+mn-lt"/>
              <a:ea typeface="+mn-ea"/>
              <a:cs typeface="+mn-cs"/>
            </a:rPr>
            <a:t>•Mesothoracic Triangle neurons (present/ absent)</a:t>
          </a:r>
        </a:p>
        <a:p>
          <a:pPr lvl="0"/>
          <a:r>
            <a:rPr lang="en-US" sz="1100">
              <a:solidFill>
                <a:sysClr val="windowText" lastClr="000000"/>
              </a:solidFill>
              <a:effectLst/>
              <a:latin typeface="+mn-lt"/>
              <a:ea typeface="+mn-ea"/>
              <a:cs typeface="+mn-cs"/>
            </a:rPr>
            <a:t>•VNC Top (cell body count)</a:t>
          </a:r>
        </a:p>
        <a:p>
          <a:pPr lvl="0"/>
          <a:r>
            <a:rPr lang="en-US" sz="1100">
              <a:solidFill>
                <a:sysClr val="windowText" lastClr="000000"/>
              </a:solidFill>
              <a:effectLst/>
              <a:latin typeface="+mn-lt"/>
              <a:ea typeface="+mn-ea"/>
              <a:cs typeface="+mn-cs"/>
            </a:rPr>
            <a:t>•VNC T1 (cell body count)</a:t>
          </a:r>
        </a:p>
        <a:p>
          <a:pPr lvl="0"/>
          <a:r>
            <a:rPr lang="en-US" sz="1100">
              <a:solidFill>
                <a:sysClr val="windowText" lastClr="000000"/>
              </a:solidFill>
              <a:effectLst/>
              <a:latin typeface="+mn-lt"/>
              <a:ea typeface="+mn-ea"/>
              <a:cs typeface="+mn-cs"/>
            </a:rPr>
            <a:t>•VNC T2 wing (cell body count)</a:t>
          </a:r>
        </a:p>
        <a:p>
          <a:pPr lvl="0"/>
          <a:r>
            <a:rPr lang="en-US" sz="1100">
              <a:solidFill>
                <a:sysClr val="windowText" lastClr="000000"/>
              </a:solidFill>
              <a:effectLst/>
              <a:latin typeface="+mn-lt"/>
              <a:ea typeface="+mn-ea"/>
              <a:cs typeface="+mn-cs"/>
            </a:rPr>
            <a:t>•VNC T2 (cell body count)</a:t>
          </a:r>
        </a:p>
        <a:p>
          <a:pPr lvl="0"/>
          <a:r>
            <a:rPr lang="en-US" sz="1100">
              <a:solidFill>
                <a:sysClr val="windowText" lastClr="000000"/>
              </a:solidFill>
              <a:effectLst/>
              <a:latin typeface="+mn-lt"/>
              <a:ea typeface="+mn-ea"/>
              <a:cs typeface="+mn-cs"/>
            </a:rPr>
            <a:t>•VNC T3 (cell body count)</a:t>
          </a:r>
        </a:p>
        <a:p>
          <a:pPr lvl="0"/>
          <a:r>
            <a:rPr lang="en-US" sz="1100">
              <a:solidFill>
                <a:sysClr val="windowText" lastClr="000000"/>
              </a:solidFill>
              <a:effectLst/>
              <a:latin typeface="+mn-lt"/>
              <a:ea typeface="+mn-ea"/>
              <a:cs typeface="+mn-cs"/>
            </a:rPr>
            <a:t>•VNC Abdominal Ganglion (cell body count)</a:t>
          </a:r>
        </a:p>
        <a:p>
          <a:pPr lvl="0"/>
          <a:r>
            <a:rPr lang="en-US" sz="1100">
              <a:solidFill>
                <a:sysClr val="windowText" lastClr="000000"/>
              </a:solidFill>
              <a:effectLst/>
              <a:latin typeface="+mn-lt"/>
              <a:ea typeface="+mn-ea"/>
              <a:cs typeface="+mn-cs"/>
            </a:rPr>
            <a:t>Example images shown down below:</a:t>
          </a:r>
        </a:p>
        <a:p>
          <a:endParaRPr lang="en-US" sz="1100" baseline="0">
            <a:solidFill>
              <a:schemeClr val="bg1"/>
            </a:solidFill>
          </a:endParaRPr>
        </a:p>
      </xdr:txBody>
    </xdr:sp>
    <xdr:clientData/>
  </xdr:twoCellAnchor>
  <xdr:twoCellAnchor editAs="oneCell">
    <xdr:from>
      <xdr:col>0</xdr:col>
      <xdr:colOff>85725</xdr:colOff>
      <xdr:row>34</xdr:row>
      <xdr:rowOff>95250</xdr:rowOff>
    </xdr:from>
    <xdr:to>
      <xdr:col>13</xdr:col>
      <xdr:colOff>180975</xdr:colOff>
      <xdr:row>64</xdr:row>
      <xdr:rowOff>47625</xdr:rowOff>
    </xdr:to>
    <xdr:pic>
      <xdr:nvPicPr>
        <xdr:cNvPr id="4" name="Graphic 3">
          <a:extLst>
            <a:ext uri="{FF2B5EF4-FFF2-40B4-BE49-F238E27FC236}">
              <a16:creationId xmlns:a16="http://schemas.microsoft.com/office/drawing/2014/main" id="{398F1B4E-C9E7-4E40-BC32-5FBF5F09C4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725" y="6572250"/>
          <a:ext cx="8020050" cy="5667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1</xdr:colOff>
      <xdr:row>16</xdr:row>
      <xdr:rowOff>152400</xdr:rowOff>
    </xdr:to>
    <xdr:sp macro="" textlink="">
      <xdr:nvSpPr>
        <xdr:cNvPr id="3" name="TextBox 2">
          <a:extLst>
            <a:ext uri="{FF2B5EF4-FFF2-40B4-BE49-F238E27FC236}">
              <a16:creationId xmlns:a16="http://schemas.microsoft.com/office/drawing/2014/main" id="{A406B2A0-0BA8-406F-82A4-CA1DF0CC5347}"/>
            </a:ext>
          </a:extLst>
        </xdr:cNvPr>
        <xdr:cNvSpPr txBox="1"/>
      </xdr:nvSpPr>
      <xdr:spPr>
        <a:xfrm>
          <a:off x="1" y="1"/>
          <a:ext cx="1866900" cy="44862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Female only- image analysis results for females (used to create heatmap)</a:t>
          </a: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Omitting mAL which was not used in the analysis which was scored for</a:t>
          </a: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This</a:t>
          </a:r>
          <a:r>
            <a:rPr lang="en-US" baseline="0">
              <a:solidFill>
                <a:sysClr val="windowText" lastClr="000000"/>
              </a:solidFill>
              <a:effectLst/>
            </a:rPr>
            <a:t> sheet was u</a:t>
          </a:r>
          <a:r>
            <a:rPr lang="en-US">
              <a:solidFill>
                <a:sysClr val="windowText" lastClr="000000"/>
              </a:solidFill>
              <a:effectLst/>
            </a:rPr>
            <a:t>sed to create</a:t>
          </a:r>
          <a:r>
            <a:rPr lang="en-US" baseline="0">
              <a:solidFill>
                <a:sysClr val="windowText" lastClr="000000"/>
              </a:solidFill>
              <a:effectLst/>
            </a:rPr>
            <a:t> the female heatmap of figure XX featured in this paper</a:t>
          </a:r>
          <a:endParaRPr lang="en-US">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30</xdr:row>
      <xdr:rowOff>190500</xdr:rowOff>
    </xdr:from>
    <xdr:to>
      <xdr:col>13</xdr:col>
      <xdr:colOff>276225</xdr:colOff>
      <xdr:row>33</xdr:row>
      <xdr:rowOff>76200</xdr:rowOff>
    </xdr:to>
    <xdr:sp macro="" textlink="">
      <xdr:nvSpPr>
        <xdr:cNvPr id="12" name="TextBox 11">
          <a:extLst>
            <a:ext uri="{FF2B5EF4-FFF2-40B4-BE49-F238E27FC236}">
              <a16:creationId xmlns:a16="http://schemas.microsoft.com/office/drawing/2014/main" id="{F4FA05A4-FE59-44C8-B374-28FF3394803E}"/>
            </a:ext>
          </a:extLst>
        </xdr:cNvPr>
        <xdr:cNvSpPr txBox="1"/>
      </xdr:nvSpPr>
      <xdr:spPr>
        <a:xfrm>
          <a:off x="38100" y="7143750"/>
          <a:ext cx="79343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Meta-analysis of image analysis data and behavior data with the heatmaps of </a:t>
          </a:r>
          <a:r>
            <a:rPr lang="en-US" sz="1100" i="1"/>
            <a:t>dpr/DIP </a:t>
          </a:r>
          <a:r>
            <a:rPr lang="en-US" sz="1100" i="0"/>
            <a:t>Ո</a:t>
          </a:r>
          <a:r>
            <a:rPr lang="en-US" sz="1100"/>
            <a:t> </a:t>
          </a:r>
          <a:r>
            <a:rPr lang="en-US" sz="1100" i="1"/>
            <a:t>fruP1</a:t>
          </a:r>
          <a:r>
            <a:rPr lang="en-US" sz="1100"/>
            <a:t> expression patterns in the male adult CNS separated by methodology of scoring. (A) Displays the image analysis results of  areas counted for cell bodies and (B) displays the data for the morphological features scored for presence/absence.  For each row, the minimum (blue), middle (white) and maximum (red) values are indicated. The top of the heatmaps show the relationships across the expression patterns of the dprs and DIPs, with a dendrogram for each methodology of scoring. The summary of phenotypic analyses of male sexual behaviors, using either activating or silencing effector genes (see Figures XX), is shown below each heatmap. The dot indicates a significant change in behavior (p&lt;0.05, unless indicated). </a:t>
          </a:r>
          <a:r>
            <a:rPr lang="en-US" sz="1100">
              <a:solidFill>
                <a:schemeClr val="dk1"/>
              </a:solidFill>
              <a:effectLst/>
              <a:latin typeface="+mn-lt"/>
              <a:ea typeface="+mn-ea"/>
              <a:cs typeface="+mn-cs"/>
            </a:rPr>
            <a:t>For male flies displaying strong motor defects other silencing behavioral phenotypes are not shown. The</a:t>
          </a:r>
          <a:r>
            <a:rPr lang="en-US" sz="1100"/>
            <a:t> black X indicates the cross was lethal and not tested behaviorally. (C) Heatmap</a:t>
          </a:r>
          <a:r>
            <a:rPr lang="en-US" sz="1100" baseline="0"/>
            <a:t> showing the similarities and differences between male and females based on the image data. </a:t>
          </a:r>
          <a:endParaRPr lang="en-US" sz="1100"/>
        </a:p>
      </xdr:txBody>
    </xdr:sp>
    <xdr:clientData/>
  </xdr:twoCellAnchor>
  <xdr:twoCellAnchor>
    <xdr:from>
      <xdr:col>0</xdr:col>
      <xdr:colOff>19050</xdr:colOff>
      <xdr:row>0</xdr:row>
      <xdr:rowOff>95250</xdr:rowOff>
    </xdr:from>
    <xdr:to>
      <xdr:col>14</xdr:col>
      <xdr:colOff>361950</xdr:colOff>
      <xdr:row>30</xdr:row>
      <xdr:rowOff>133349</xdr:rowOff>
    </xdr:to>
    <xdr:sp macro="" textlink="">
      <xdr:nvSpPr>
        <xdr:cNvPr id="6" name="TextBox 5">
          <a:extLst>
            <a:ext uri="{FF2B5EF4-FFF2-40B4-BE49-F238E27FC236}">
              <a16:creationId xmlns:a16="http://schemas.microsoft.com/office/drawing/2014/main" id="{B7F7D0CC-2268-42D4-802A-52E0E706E0C1}"/>
            </a:ext>
          </a:extLst>
        </xdr:cNvPr>
        <xdr:cNvSpPr txBox="1"/>
      </xdr:nvSpPr>
      <xdr:spPr>
        <a:xfrm>
          <a:off x="19050" y="95250"/>
          <a:ext cx="8629650" cy="6991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18</xdr:col>
      <xdr:colOff>1</xdr:colOff>
      <xdr:row>30</xdr:row>
      <xdr:rowOff>1</xdr:rowOff>
    </xdr:from>
    <xdr:to>
      <xdr:col>18</xdr:col>
      <xdr:colOff>1</xdr:colOff>
      <xdr:row>46</xdr:row>
      <xdr:rowOff>152400</xdr:rowOff>
    </xdr:to>
    <xdr:sp macro="" textlink="">
      <xdr:nvSpPr>
        <xdr:cNvPr id="5" name="TextBox 4">
          <a:extLst>
            <a:ext uri="{FF2B5EF4-FFF2-40B4-BE49-F238E27FC236}">
              <a16:creationId xmlns:a16="http://schemas.microsoft.com/office/drawing/2014/main" id="{B3C86B59-C192-8144-8E3B-1F89557B5E02}"/>
            </a:ext>
          </a:extLst>
        </xdr:cNvPr>
        <xdr:cNvSpPr txBox="1"/>
      </xdr:nvSpPr>
      <xdr:spPr>
        <a:xfrm>
          <a:off x="1" y="7150101"/>
          <a:ext cx="0" cy="44576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Female only- image analysis results for females (used to create heatmap)</a:t>
          </a: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Omitting mAL which was not used in the analysis which was scored for</a:t>
          </a: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This</a:t>
          </a:r>
          <a:r>
            <a:rPr lang="en-US" baseline="0">
              <a:solidFill>
                <a:sysClr val="windowText" lastClr="000000"/>
              </a:solidFill>
              <a:effectLst/>
            </a:rPr>
            <a:t> sheet was u</a:t>
          </a:r>
          <a:r>
            <a:rPr lang="en-US">
              <a:solidFill>
                <a:sysClr val="windowText" lastClr="000000"/>
              </a:solidFill>
              <a:effectLst/>
            </a:rPr>
            <a:t>sed to create</a:t>
          </a:r>
          <a:r>
            <a:rPr lang="en-US" baseline="0">
              <a:solidFill>
                <a:sysClr val="windowText" lastClr="000000"/>
              </a:solidFill>
              <a:effectLst/>
            </a:rPr>
            <a:t> the female heatmap of figure XX featured in this paper</a:t>
          </a:r>
          <a:endParaRPr lang="en-US">
            <a:solidFill>
              <a:sysClr val="windowText" lastClr="000000"/>
            </a:solidFill>
            <a:effectLst/>
          </a:endParaRPr>
        </a:p>
      </xdr:txBody>
    </xdr:sp>
    <xdr:clientData/>
  </xdr:twoCellAnchor>
  <xdr:twoCellAnchor>
    <xdr:from>
      <xdr:col>18</xdr:col>
      <xdr:colOff>1</xdr:colOff>
      <xdr:row>61</xdr:row>
      <xdr:rowOff>1</xdr:rowOff>
    </xdr:from>
    <xdr:to>
      <xdr:col>18</xdr:col>
      <xdr:colOff>1</xdr:colOff>
      <xdr:row>77</xdr:row>
      <xdr:rowOff>152400</xdr:rowOff>
    </xdr:to>
    <xdr:sp macro="" textlink="">
      <xdr:nvSpPr>
        <xdr:cNvPr id="7" name="TextBox 6">
          <a:extLst>
            <a:ext uri="{FF2B5EF4-FFF2-40B4-BE49-F238E27FC236}">
              <a16:creationId xmlns:a16="http://schemas.microsoft.com/office/drawing/2014/main" id="{F6079D37-47C6-C349-AD8D-49036D805FBE}"/>
            </a:ext>
          </a:extLst>
        </xdr:cNvPr>
        <xdr:cNvSpPr txBox="1"/>
      </xdr:nvSpPr>
      <xdr:spPr>
        <a:xfrm>
          <a:off x="1625601" y="14503401"/>
          <a:ext cx="0" cy="42798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Female only- image analysis results for females (used to create heatmap)</a:t>
          </a: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Omitting mAL which was not used in the analysis which was scored for</a:t>
          </a: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This</a:t>
          </a:r>
          <a:r>
            <a:rPr lang="en-US" baseline="0">
              <a:solidFill>
                <a:sysClr val="windowText" lastClr="000000"/>
              </a:solidFill>
              <a:effectLst/>
            </a:rPr>
            <a:t> sheet was u</a:t>
          </a:r>
          <a:r>
            <a:rPr lang="en-US">
              <a:solidFill>
                <a:sysClr val="windowText" lastClr="000000"/>
              </a:solidFill>
              <a:effectLst/>
            </a:rPr>
            <a:t>sed to create</a:t>
          </a:r>
          <a:r>
            <a:rPr lang="en-US" baseline="0">
              <a:solidFill>
                <a:sysClr val="windowText" lastClr="000000"/>
              </a:solidFill>
              <a:effectLst/>
            </a:rPr>
            <a:t> the female heatmap of figure XX featured in this paper</a:t>
          </a:r>
          <a:endParaRPr lang="en-US">
            <a:solidFill>
              <a:sysClr val="windowText" lastClr="000000"/>
            </a:solidFill>
            <a:effectLst/>
          </a:endParaRPr>
        </a:p>
      </xdr:txBody>
    </xdr:sp>
    <xdr:clientData/>
  </xdr:twoCellAnchor>
  <xdr:twoCellAnchor>
    <xdr:from>
      <xdr:col>18</xdr:col>
      <xdr:colOff>1</xdr:colOff>
      <xdr:row>89</xdr:row>
      <xdr:rowOff>1</xdr:rowOff>
    </xdr:from>
    <xdr:to>
      <xdr:col>18</xdr:col>
      <xdr:colOff>1</xdr:colOff>
      <xdr:row>105</xdr:row>
      <xdr:rowOff>152400</xdr:rowOff>
    </xdr:to>
    <xdr:sp macro="" textlink="">
      <xdr:nvSpPr>
        <xdr:cNvPr id="8" name="TextBox 7">
          <a:extLst>
            <a:ext uri="{FF2B5EF4-FFF2-40B4-BE49-F238E27FC236}">
              <a16:creationId xmlns:a16="http://schemas.microsoft.com/office/drawing/2014/main" id="{8CD17EBB-81A3-0D4C-B900-A54A0CE13554}"/>
            </a:ext>
          </a:extLst>
        </xdr:cNvPr>
        <xdr:cNvSpPr txBox="1"/>
      </xdr:nvSpPr>
      <xdr:spPr>
        <a:xfrm>
          <a:off x="1625601" y="21069301"/>
          <a:ext cx="0" cy="44576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Female only- image analysis results for females (used to create heatmap)</a:t>
          </a: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Omitting mAL which was not used in the analysis which was scored for</a:t>
          </a: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This</a:t>
          </a:r>
          <a:r>
            <a:rPr lang="en-US" baseline="0">
              <a:solidFill>
                <a:sysClr val="windowText" lastClr="000000"/>
              </a:solidFill>
              <a:effectLst/>
            </a:rPr>
            <a:t> sheet was u</a:t>
          </a:r>
          <a:r>
            <a:rPr lang="en-US">
              <a:solidFill>
                <a:sysClr val="windowText" lastClr="000000"/>
              </a:solidFill>
              <a:effectLst/>
            </a:rPr>
            <a:t>sed to create</a:t>
          </a:r>
          <a:r>
            <a:rPr lang="en-US" baseline="0">
              <a:solidFill>
                <a:sysClr val="windowText" lastClr="000000"/>
              </a:solidFill>
              <a:effectLst/>
            </a:rPr>
            <a:t> the female heatmap of figure XX featured in this paper</a:t>
          </a:r>
          <a:endParaRPr lang="en-US">
            <a:solidFill>
              <a:sysClr val="windowText" lastClr="000000"/>
            </a:solidFill>
            <a:effectLst/>
          </a:endParaRPr>
        </a:p>
      </xdr:txBody>
    </xdr:sp>
    <xdr:clientData/>
  </xdr:twoCellAnchor>
  <xdr:twoCellAnchor>
    <xdr:from>
      <xdr:col>18</xdr:col>
      <xdr:colOff>1</xdr:colOff>
      <xdr:row>116</xdr:row>
      <xdr:rowOff>1</xdr:rowOff>
    </xdr:from>
    <xdr:to>
      <xdr:col>18</xdr:col>
      <xdr:colOff>1</xdr:colOff>
      <xdr:row>132</xdr:row>
      <xdr:rowOff>152400</xdr:rowOff>
    </xdr:to>
    <xdr:sp macro="" textlink="">
      <xdr:nvSpPr>
        <xdr:cNvPr id="9" name="TextBox 8">
          <a:extLst>
            <a:ext uri="{FF2B5EF4-FFF2-40B4-BE49-F238E27FC236}">
              <a16:creationId xmlns:a16="http://schemas.microsoft.com/office/drawing/2014/main" id="{BE15B162-378A-0E4B-BCED-791FDB703E41}"/>
            </a:ext>
          </a:extLst>
        </xdr:cNvPr>
        <xdr:cNvSpPr txBox="1"/>
      </xdr:nvSpPr>
      <xdr:spPr>
        <a:xfrm>
          <a:off x="1625601" y="27609801"/>
          <a:ext cx="0" cy="39242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Female only- image analysis results for females (used to create heatmap)</a:t>
          </a: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Omitting mAL which was not used in the analysis which was scored for</a:t>
          </a: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This</a:t>
          </a:r>
          <a:r>
            <a:rPr lang="en-US" baseline="0">
              <a:solidFill>
                <a:sysClr val="windowText" lastClr="000000"/>
              </a:solidFill>
              <a:effectLst/>
            </a:rPr>
            <a:t> sheet was u</a:t>
          </a:r>
          <a:r>
            <a:rPr lang="en-US">
              <a:solidFill>
                <a:sysClr val="windowText" lastClr="000000"/>
              </a:solidFill>
              <a:effectLst/>
            </a:rPr>
            <a:t>sed to create</a:t>
          </a:r>
          <a:r>
            <a:rPr lang="en-US" baseline="0">
              <a:solidFill>
                <a:sysClr val="windowText" lastClr="000000"/>
              </a:solidFill>
              <a:effectLst/>
            </a:rPr>
            <a:t> the female heatmap of figure XX featured in this paper</a:t>
          </a:r>
          <a:endParaRPr lang="en-US">
            <a:solidFill>
              <a:sysClr val="windowText" lastClr="000000"/>
            </a:solidFill>
            <a:effectLst/>
          </a:endParaRPr>
        </a:p>
      </xdr:txBody>
    </xdr:sp>
    <xdr:clientData/>
  </xdr:twoCellAnchor>
  <xdr:twoCellAnchor editAs="oneCell">
    <xdr:from>
      <xdr:col>0</xdr:col>
      <xdr:colOff>346075</xdr:colOff>
      <xdr:row>0</xdr:row>
      <xdr:rowOff>165100</xdr:rowOff>
    </xdr:from>
    <xdr:to>
      <xdr:col>13</xdr:col>
      <xdr:colOff>562952</xdr:colOff>
      <xdr:row>28</xdr:row>
      <xdr:rowOff>69850</xdr:rowOff>
    </xdr:to>
    <xdr:pic>
      <xdr:nvPicPr>
        <xdr:cNvPr id="16" name="Picture 15">
          <a:extLst>
            <a:ext uri="{FF2B5EF4-FFF2-40B4-BE49-F238E27FC236}">
              <a16:creationId xmlns:a16="http://schemas.microsoft.com/office/drawing/2014/main" id="{5CD3C3A9-7E98-4201-8437-0122A8867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075" y="165100"/>
          <a:ext cx="8992577" cy="643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657225</xdr:rowOff>
    </xdr:from>
    <xdr:to>
      <xdr:col>0</xdr:col>
      <xdr:colOff>1866899</xdr:colOff>
      <xdr:row>28</xdr:row>
      <xdr:rowOff>180975</xdr:rowOff>
    </xdr:to>
    <xdr:sp macro="" textlink="">
      <xdr:nvSpPr>
        <xdr:cNvPr id="3" name="TextBox 2">
          <a:extLst>
            <a:ext uri="{FF2B5EF4-FFF2-40B4-BE49-F238E27FC236}">
              <a16:creationId xmlns:a16="http://schemas.microsoft.com/office/drawing/2014/main" id="{F136DE42-E941-4443-A683-8AB38E825BD9}"/>
            </a:ext>
          </a:extLst>
        </xdr:cNvPr>
        <xdr:cNvSpPr txBox="1"/>
      </xdr:nvSpPr>
      <xdr:spPr>
        <a:xfrm>
          <a:off x="0" y="657225"/>
          <a:ext cx="1866899" cy="54864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effectLst/>
              <a:latin typeface="+mn-lt"/>
              <a:ea typeface="+mn-ea"/>
              <a:cs typeface="+mn-cs"/>
            </a:rPr>
            <a:t>Raw Data Brain- raw data and observation notes only for areas of the brain scored/counted</a:t>
          </a:r>
        </a:p>
        <a:p>
          <a:r>
            <a:rPr lang="en-US" sz="1100" baseline="0">
              <a:solidFill>
                <a:sysClr val="windowText" lastClr="000000"/>
              </a:solidFill>
              <a:effectLst/>
              <a:latin typeface="+mn-lt"/>
              <a:ea typeface="+mn-ea"/>
              <a:cs typeface="+mn-cs"/>
            </a:rPr>
            <a:t>Abbreviated Genotype: simplified genotype name indicating brain data</a:t>
          </a:r>
        </a:p>
        <a:p>
          <a:r>
            <a:rPr lang="en-US" sz="1100" baseline="0">
              <a:solidFill>
                <a:sysClr val="windowText" lastClr="000000"/>
              </a:solidFill>
              <a:effectLst/>
              <a:latin typeface="+mn-lt"/>
              <a:ea typeface="+mn-ea"/>
              <a:cs typeface="+mn-cs"/>
            </a:rPr>
            <a:t>C through I represent the areas of the brain that were either counted for cell body number or scored for the presence/absence of morphological feature named</a:t>
          </a:r>
        </a:p>
        <a:p>
          <a:r>
            <a:rPr lang="en-US" sz="1100" baseline="0">
              <a:solidFill>
                <a:sysClr val="windowText" lastClr="000000"/>
              </a:solidFill>
              <a:effectLst/>
              <a:latin typeface="+mn-lt"/>
              <a:ea typeface="+mn-ea"/>
              <a:cs typeface="+mn-cs"/>
            </a:rPr>
            <a:t>Other comments: notes/observations made during the analysis</a:t>
          </a:r>
        </a:p>
        <a:p>
          <a:r>
            <a:rPr lang="en-US" sz="1100" baseline="0">
              <a:solidFill>
                <a:sysClr val="windowText" lastClr="000000"/>
              </a:solidFill>
              <a:effectLst/>
              <a:latin typeface="+mn-lt"/>
              <a:ea typeface="+mn-ea"/>
              <a:cs typeface="+mn-cs"/>
            </a:rPr>
            <a:t>Some images were labeled "unscorable" or "poor image quality" as a result of damage or mounting issues and were not used in the analysis</a:t>
          </a:r>
        </a:p>
        <a:p>
          <a:r>
            <a:rPr lang="en-US" sz="1100" baseline="0">
              <a:solidFill>
                <a:sysClr val="windowText" lastClr="000000"/>
              </a:solidFill>
              <a:effectLst/>
              <a:latin typeface="+mn-lt"/>
              <a:ea typeface="+mn-ea"/>
              <a:cs typeface="+mn-cs"/>
            </a:rPr>
            <a:t>Internal Lab Notation;</a:t>
          </a: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a:p>
          <a:endParaRPr lang="en-US" sz="1100" baseline="0">
            <a:solidFill>
              <a:schemeClr val="bg1"/>
            </a:solidFill>
            <a:effectLst/>
            <a:latin typeface="+mn-lt"/>
            <a:ea typeface="+mn-ea"/>
            <a:cs typeface="+mn-cs"/>
          </a:endParaRP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4</xdr:row>
      <xdr:rowOff>158749</xdr:rowOff>
    </xdr:from>
    <xdr:to>
      <xdr:col>0</xdr:col>
      <xdr:colOff>1984374</xdr:colOff>
      <xdr:row>30</xdr:row>
      <xdr:rowOff>15875</xdr:rowOff>
    </xdr:to>
    <xdr:sp macro="" textlink="">
      <xdr:nvSpPr>
        <xdr:cNvPr id="3" name="TextBox 2">
          <a:extLst>
            <a:ext uri="{FF2B5EF4-FFF2-40B4-BE49-F238E27FC236}">
              <a16:creationId xmlns:a16="http://schemas.microsoft.com/office/drawing/2014/main" id="{46E099C0-D98B-48D4-9975-7A3E8F4D41AC}"/>
            </a:ext>
          </a:extLst>
        </xdr:cNvPr>
        <xdr:cNvSpPr txBox="1"/>
      </xdr:nvSpPr>
      <xdr:spPr>
        <a:xfrm>
          <a:off x="12700" y="1670049"/>
          <a:ext cx="1971674" cy="51403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effectLst/>
              <a:latin typeface="+mn-lt"/>
              <a:ea typeface="+mn-ea"/>
              <a:cs typeface="+mn-cs"/>
            </a:rPr>
            <a:t>Raw Data VNC- raw data and observation notes for areas of the VNC scored/ counted</a:t>
          </a:r>
        </a:p>
        <a:p>
          <a:r>
            <a:rPr lang="en-US" sz="1100" baseline="0">
              <a:solidFill>
                <a:sysClr val="windowText" lastClr="000000"/>
              </a:solidFill>
              <a:effectLst/>
              <a:latin typeface="+mn-lt"/>
              <a:ea typeface="+mn-ea"/>
              <a:cs typeface="+mn-cs"/>
            </a:rPr>
            <a:t>Abbreviated Genotype: simplified genotype name indicating VNCs</a:t>
          </a:r>
        </a:p>
        <a:p>
          <a:r>
            <a:rPr lang="en-US" sz="1100" baseline="0">
              <a:solidFill>
                <a:sysClr val="windowText" lastClr="000000"/>
              </a:solidFill>
              <a:effectLst/>
              <a:latin typeface="+mn-lt"/>
              <a:ea typeface="+mn-ea"/>
              <a:cs typeface="+mn-cs"/>
            </a:rPr>
            <a:t>C through K represent the areas of the VNC that were either counted for cell body number or scored for the presence/absence of morphological feature named</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Other comments: notes/observations made during the analysis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Some images were labeled "unscorable" or "poor image quality" as a result of damage or mounting issues and were not used in the analysis</a:t>
          </a:r>
          <a:endParaRPr lang="en-US"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Internal Lab Notation;</a:t>
          </a: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117474</xdr:rowOff>
    </xdr:from>
    <xdr:to>
      <xdr:col>1</xdr:col>
      <xdr:colOff>0</xdr:colOff>
      <xdr:row>28</xdr:row>
      <xdr:rowOff>25400</xdr:rowOff>
    </xdr:to>
    <xdr:sp macro="" textlink="">
      <xdr:nvSpPr>
        <xdr:cNvPr id="3" name="TextBox 2">
          <a:extLst>
            <a:ext uri="{FF2B5EF4-FFF2-40B4-BE49-F238E27FC236}">
              <a16:creationId xmlns:a16="http://schemas.microsoft.com/office/drawing/2014/main" id="{43932AEA-8DAE-4ECB-9C1B-DE5340533A51}"/>
            </a:ext>
          </a:extLst>
        </xdr:cNvPr>
        <xdr:cNvSpPr txBox="1"/>
      </xdr:nvSpPr>
      <xdr:spPr>
        <a:xfrm>
          <a:off x="0" y="1577974"/>
          <a:ext cx="2311400" cy="46704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effectLst/>
              <a:latin typeface="+mn-lt"/>
              <a:ea typeface="+mn-ea"/>
              <a:cs typeface="+mn-cs"/>
            </a:rPr>
            <a:t>Raw Scoring Data- raw scoring observations of areas in both brain and VNC scored </a:t>
          </a:r>
        </a:p>
        <a:p>
          <a:r>
            <a:rPr lang="en-US" sz="1100" baseline="0">
              <a:solidFill>
                <a:sysClr val="windowText" lastClr="000000"/>
              </a:solidFill>
              <a:effectLst/>
              <a:latin typeface="+mn-lt"/>
              <a:ea typeface="+mn-ea"/>
              <a:cs typeface="+mn-cs"/>
            </a:rPr>
            <a:t>Abbreviated Genotype: simplified genotype name indicating brain or VNC sample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 through I represent the areas of the brain and VNC that were scored for the presence/absence of morphological feature named</a:t>
          </a:r>
        </a:p>
        <a:p>
          <a:r>
            <a:rPr lang="en-US" sz="1100" baseline="0">
              <a:solidFill>
                <a:sysClr val="windowText" lastClr="000000"/>
              </a:solidFill>
              <a:effectLst/>
              <a:latin typeface="+mn-lt"/>
              <a:ea typeface="+mn-ea"/>
              <a:cs typeface="+mn-cs"/>
            </a:rPr>
            <a:t>Each cell contains the raw observations made for each image sample</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Some images were labeled "unscorable" or "poor image quality" as a result of damage or mounting issues and were not used in the analysis</a:t>
          </a:r>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Internal Lab Notation;</a:t>
          </a: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a:p>
          <a:endParaRPr lang="en-US">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819149</xdr:rowOff>
    </xdr:from>
    <xdr:to>
      <xdr:col>0</xdr:col>
      <xdr:colOff>2085975</xdr:colOff>
      <xdr:row>26</xdr:row>
      <xdr:rowOff>161925</xdr:rowOff>
    </xdr:to>
    <xdr:sp macro="" textlink="">
      <xdr:nvSpPr>
        <xdr:cNvPr id="3" name="TextBox 2">
          <a:extLst>
            <a:ext uri="{FF2B5EF4-FFF2-40B4-BE49-F238E27FC236}">
              <a16:creationId xmlns:a16="http://schemas.microsoft.com/office/drawing/2014/main" id="{81DC68BC-932A-45A3-97A7-A1ED858F1B51}"/>
            </a:ext>
          </a:extLst>
        </xdr:cNvPr>
        <xdr:cNvSpPr txBox="1"/>
      </xdr:nvSpPr>
      <xdr:spPr>
        <a:xfrm>
          <a:off x="0" y="819149"/>
          <a:ext cx="2085975" cy="49244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effectLst/>
              <a:latin typeface="+mn-lt"/>
              <a:ea typeface="+mn-ea"/>
              <a:cs typeface="+mn-cs"/>
            </a:rPr>
            <a:t>Scoring Data Processed- assigning numerical values between 0 and 1 to scoring observations</a:t>
          </a:r>
        </a:p>
        <a:p>
          <a:r>
            <a:rPr lang="en-US" sz="1100" baseline="0">
              <a:solidFill>
                <a:sysClr val="windowText" lastClr="000000"/>
              </a:solidFill>
              <a:effectLst/>
              <a:latin typeface="+mn-lt"/>
              <a:ea typeface="+mn-ea"/>
              <a:cs typeface="+mn-cs"/>
            </a:rPr>
            <a:t>Abbreviated Genotype: simplified genotype name indicating brain or VNC sample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 through M represent the areas of the brain and VNC that were scored for the presence/absence of morphological feature named</a:t>
          </a:r>
          <a:endParaRPr lang="en-US">
            <a:solidFill>
              <a:sysClr val="windowText" lastClr="000000"/>
            </a:solidFill>
            <a:effectLst/>
          </a:endParaRPr>
        </a:p>
        <a:p>
          <a:r>
            <a:rPr lang="en-US" sz="1100" baseline="0">
              <a:solidFill>
                <a:sysClr val="windowText" lastClr="000000"/>
              </a:solidFill>
              <a:effectLst/>
              <a:latin typeface="+mn-lt"/>
              <a:ea typeface="+mn-ea"/>
              <a:cs typeface="+mn-cs"/>
            </a:rPr>
            <a:t>Each cell contains the simplified observations made for each image sample stating if it was present or absent</a:t>
          </a:r>
        </a:p>
        <a:p>
          <a:r>
            <a:rPr lang="en-US" sz="1100" baseline="0">
              <a:solidFill>
                <a:sysClr val="windowText" lastClr="000000"/>
              </a:solidFill>
              <a:effectLst/>
              <a:latin typeface="+mn-lt"/>
              <a:ea typeface="+mn-ea"/>
              <a:cs typeface="+mn-cs"/>
            </a:rPr>
            <a:t>Numerical Scoring Observation: assigned by dividing the number of samples present for the feature over total number of samples</a:t>
          </a:r>
        </a:p>
        <a:p>
          <a:r>
            <a:rPr lang="en-US" sz="1100" baseline="0">
              <a:solidFill>
                <a:sysClr val="windowText" lastClr="000000"/>
              </a:solidFill>
              <a:effectLst/>
              <a:latin typeface="+mn-lt"/>
              <a:ea typeface="+mn-ea"/>
              <a:cs typeface="+mn-cs"/>
            </a:rPr>
            <a:t>NA indicates the sample was not included in calculation</a:t>
          </a:r>
        </a:p>
        <a:p>
          <a:r>
            <a:rPr lang="en-US" sz="1100" baseline="0">
              <a:solidFill>
                <a:sysClr val="windowText" lastClr="000000"/>
              </a:solidFill>
              <a:effectLst/>
              <a:latin typeface="+mn-lt"/>
              <a:ea typeface="+mn-ea"/>
              <a:cs typeface="+mn-cs"/>
            </a:rPr>
            <a:t>Internal Lab Notation;</a:t>
          </a:r>
          <a:endParaRPr lang="en-US">
            <a:solidFill>
              <a:sysClr val="windowText" lastClr="000000"/>
            </a:solidFill>
            <a:effectLst/>
          </a:endParaRP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47624</xdr:rowOff>
    </xdr:from>
    <xdr:to>
      <xdr:col>1</xdr:col>
      <xdr:colOff>9525</xdr:colOff>
      <xdr:row>27</xdr:row>
      <xdr:rowOff>12700</xdr:rowOff>
    </xdr:to>
    <xdr:sp macro="" textlink="">
      <xdr:nvSpPr>
        <xdr:cNvPr id="3" name="TextBox 2">
          <a:extLst>
            <a:ext uri="{FF2B5EF4-FFF2-40B4-BE49-F238E27FC236}">
              <a16:creationId xmlns:a16="http://schemas.microsoft.com/office/drawing/2014/main" id="{DEDF72C4-DEBF-4ACE-9844-B21B1D7BC8D7}"/>
            </a:ext>
          </a:extLst>
        </xdr:cNvPr>
        <xdr:cNvSpPr txBox="1"/>
      </xdr:nvSpPr>
      <xdr:spPr>
        <a:xfrm>
          <a:off x="0" y="1317624"/>
          <a:ext cx="2206625" cy="47275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effectLst/>
              <a:latin typeface="+mn-lt"/>
              <a:ea typeface="+mn-ea"/>
              <a:cs typeface="+mn-cs"/>
            </a:rPr>
            <a:t>Raw Count Data- raw cell counts for areas in both the brain and VNC</a:t>
          </a:r>
        </a:p>
        <a:p>
          <a:r>
            <a:rPr lang="en-US" sz="1100" baseline="0">
              <a:solidFill>
                <a:sysClr val="windowText" lastClr="000000"/>
              </a:solidFill>
              <a:effectLst/>
              <a:latin typeface="+mn-lt"/>
              <a:ea typeface="+mn-ea"/>
              <a:cs typeface="+mn-cs"/>
            </a:rPr>
            <a:t>Abbreviated Genotype: simplified genotype name indicating brain or VNC sample</a:t>
          </a:r>
        </a:p>
        <a:p>
          <a:r>
            <a:rPr lang="en-US" sz="1100" baseline="0">
              <a:solidFill>
                <a:sysClr val="windowText" lastClr="000000"/>
              </a:solidFill>
              <a:effectLst/>
              <a:latin typeface="+mn-lt"/>
              <a:ea typeface="+mn-ea"/>
              <a:cs typeface="+mn-cs"/>
            </a:rPr>
            <a:t>C through J represent the areas of the brain and VNC which were counted for the number of cell bodies present</a:t>
          </a:r>
        </a:p>
        <a:p>
          <a:r>
            <a:rPr lang="en-US" sz="1100" baseline="0">
              <a:solidFill>
                <a:sysClr val="windowText" lastClr="000000"/>
              </a:solidFill>
              <a:effectLst/>
              <a:latin typeface="+mn-lt"/>
              <a:ea typeface="+mn-ea"/>
              <a:cs typeface="+mn-cs"/>
            </a:rPr>
            <a:t>This sheet represents the raw cell body counts for each image sample and observations made</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Some images were labeled "unscorable" or "poor image quality" as a result of damage or mounting issues and were not used in the analysis</a:t>
          </a:r>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Internal Lab Notation;</a:t>
          </a: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114300</xdr:rowOff>
    </xdr:from>
    <xdr:to>
      <xdr:col>1</xdr:col>
      <xdr:colOff>0</xdr:colOff>
      <xdr:row>32</xdr:row>
      <xdr:rowOff>19050</xdr:rowOff>
    </xdr:to>
    <xdr:sp macro="" textlink="">
      <xdr:nvSpPr>
        <xdr:cNvPr id="3" name="TextBox 2">
          <a:extLst>
            <a:ext uri="{FF2B5EF4-FFF2-40B4-BE49-F238E27FC236}">
              <a16:creationId xmlns:a16="http://schemas.microsoft.com/office/drawing/2014/main" id="{33703A5B-2FDD-4E3C-9998-2B396B801AC6}"/>
            </a:ext>
          </a:extLst>
        </xdr:cNvPr>
        <xdr:cNvSpPr txBox="1"/>
      </xdr:nvSpPr>
      <xdr:spPr>
        <a:xfrm>
          <a:off x="0" y="1384300"/>
          <a:ext cx="2501900" cy="56197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Cell Count Calculations- math done to cell counts so they were between 0 and 1</a:t>
          </a:r>
        </a:p>
        <a:p>
          <a:r>
            <a:rPr lang="en-US" sz="1100" baseline="0">
              <a:solidFill>
                <a:sysClr val="windowText" lastClr="000000"/>
              </a:solidFill>
              <a:effectLst/>
              <a:latin typeface="+mn-lt"/>
              <a:ea typeface="+mn-ea"/>
              <a:cs typeface="+mn-cs"/>
            </a:rPr>
            <a:t>Abbreviated Genotype: simplified genotype name indicating brain or VNC sample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 through J represent the areas of the brain and VNC which were counted for the number of cell bodies present</a:t>
          </a:r>
        </a:p>
        <a:p>
          <a:r>
            <a:rPr lang="en-US" sz="1100" baseline="0">
              <a:solidFill>
                <a:sysClr val="windowText" lastClr="000000"/>
              </a:solidFill>
              <a:effectLst/>
              <a:latin typeface="+mn-lt"/>
              <a:ea typeface="+mn-ea"/>
              <a:cs typeface="+mn-cs"/>
            </a:rPr>
            <a:t>Highest Cell Body Count (in yellow) : the highest cell body count for each region of brain or VNC and is the value which the average cell count was divided by </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effectLst/>
            </a:rPr>
            <a:t>Average</a:t>
          </a:r>
          <a:r>
            <a:rPr lang="en-US" baseline="0">
              <a:solidFill>
                <a:sysClr val="windowText" lastClr="000000"/>
              </a:solidFill>
              <a:effectLst/>
            </a:rPr>
            <a:t> cell body count: average cell body count of each set of samples for each region</a:t>
          </a:r>
        </a:p>
        <a:p>
          <a:pPr marL="0" marR="0" lvl="0" indent="0" defTabSz="914400" eaLnBrk="1" fontAlgn="auto" latinLnBrk="0" hangingPunct="1">
            <a:lnSpc>
              <a:spcPct val="100000"/>
            </a:lnSpc>
            <a:spcBef>
              <a:spcPts val="0"/>
            </a:spcBef>
            <a:spcAft>
              <a:spcPts val="0"/>
            </a:spcAft>
            <a:buClrTx/>
            <a:buSzTx/>
            <a:buFontTx/>
            <a:buNone/>
            <a:tabLst/>
            <a:defRPr/>
          </a:pPr>
          <a:r>
            <a:rPr lang="en-US" baseline="0">
              <a:solidFill>
                <a:sysClr val="windowText" lastClr="000000"/>
              </a:solidFill>
              <a:effectLst/>
            </a:rPr>
            <a:t>Dividing by the highest: Dividing the average cell counts by the highest cell body count for that region so the cell body count is a value between 0 and 1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NA indicates the sample was not included in calculation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Internal Lab Notation;</a:t>
          </a:r>
          <a:endParaRPr lang="en-US">
            <a:solidFill>
              <a:sysClr val="windowText" lastClr="000000"/>
            </a:solidFill>
            <a:effectLst/>
          </a:endParaRPr>
        </a:p>
        <a:p>
          <a:r>
            <a:rPr lang="en-US" sz="1100" baseline="0">
              <a:solidFill>
                <a:sysClr val="windowText" lastClr="000000"/>
              </a:solidFill>
              <a:effectLst/>
              <a:latin typeface="+mn-lt"/>
              <a:ea typeface="+mn-ea"/>
              <a:cs typeface="+mn-cs"/>
            </a:rPr>
            <a:t>Image File Name: The blinded name of the image file</a:t>
          </a:r>
          <a:endParaRPr lang="en-US">
            <a:solidFill>
              <a:sysClr val="windowText" lastClr="000000"/>
            </a:solidFill>
            <a:effectLst/>
          </a:endParaRPr>
        </a:p>
        <a:p>
          <a:r>
            <a:rPr lang="en-US" sz="1100" baseline="0">
              <a:solidFill>
                <a:sysClr val="windowText" lastClr="000000"/>
              </a:solidFill>
              <a:effectLst/>
              <a:latin typeface="+mn-lt"/>
              <a:ea typeface="+mn-ea"/>
              <a:cs typeface="+mn-cs"/>
            </a:rPr>
            <a:t>Confocal Image File Name: unblinded file names of the 4 to 7 day old dpr-Gal4/DIP-Gal4 confocal images</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16</xdr:row>
      <xdr:rowOff>95249</xdr:rowOff>
    </xdr:to>
    <xdr:sp macro="" textlink="">
      <xdr:nvSpPr>
        <xdr:cNvPr id="3" name="TextBox 2">
          <a:extLst>
            <a:ext uri="{FF2B5EF4-FFF2-40B4-BE49-F238E27FC236}">
              <a16:creationId xmlns:a16="http://schemas.microsoft.com/office/drawing/2014/main" id="{F4950480-7CBC-48DB-A83C-442FCF6C7CD1}"/>
            </a:ext>
          </a:extLst>
        </xdr:cNvPr>
        <xdr:cNvSpPr txBox="1"/>
      </xdr:nvSpPr>
      <xdr:spPr>
        <a:xfrm>
          <a:off x="0" y="0"/>
          <a:ext cx="1819275" cy="44291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Full Data Set- both male and female image analysis data with scoring observations and cell counts as values between 0 and 1</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Displays</a:t>
          </a:r>
          <a:r>
            <a:rPr lang="en-US" sz="1100" baseline="0">
              <a:solidFill>
                <a:sysClr val="windowText" lastClr="000000"/>
              </a:solidFill>
            </a:rPr>
            <a:t> the data which the items scored for was assigned a numerical value between 0 and 1 based on the number of samples which has the specific morphological feature present</a:t>
          </a:r>
        </a:p>
        <a:p>
          <a:r>
            <a:rPr lang="en-US" sz="1100" baseline="0">
              <a:solidFill>
                <a:sysClr val="windowText" lastClr="000000"/>
              </a:solidFill>
            </a:rPr>
            <a:t>Displays the data which the cell body counts are represented as a value between 0 and 1 by taking the average cell body count of all samples and dividing by the highest cell body count for that specific region</a:t>
          </a:r>
        </a:p>
        <a:p>
          <a:r>
            <a:rPr lang="en-US" sz="1100" baseline="0">
              <a:solidFill>
                <a:sysClr val="windowText" lastClr="000000"/>
              </a:solidFill>
            </a:rPr>
            <a:t>Decimal values have been rounded down to 2 decimal places</a:t>
          </a:r>
          <a:endParaRPr 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18</xdr:row>
      <xdr:rowOff>66675</xdr:rowOff>
    </xdr:to>
    <xdr:sp macro="" textlink="">
      <xdr:nvSpPr>
        <xdr:cNvPr id="3" name="TextBox 2">
          <a:extLst>
            <a:ext uri="{FF2B5EF4-FFF2-40B4-BE49-F238E27FC236}">
              <a16:creationId xmlns:a16="http://schemas.microsoft.com/office/drawing/2014/main" id="{F159B33B-8D1D-4815-9B29-4387DC94ABE4}"/>
            </a:ext>
          </a:extLst>
        </xdr:cNvPr>
        <xdr:cNvSpPr txBox="1"/>
      </xdr:nvSpPr>
      <xdr:spPr>
        <a:xfrm>
          <a:off x="0" y="0"/>
          <a:ext cx="1800225" cy="47815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Male Only- image analysis results for males (used to create heatmaps)</a:t>
          </a:r>
          <a:endParaRPr lang="en-US">
            <a:solidFill>
              <a:sysClr val="windowText" lastClr="000000"/>
            </a:solidFill>
            <a:effectLst/>
          </a:endParaRPr>
        </a:p>
        <a:p>
          <a:r>
            <a:rPr lang="en-US" sz="1100">
              <a:solidFill>
                <a:sysClr val="windowText" lastClr="000000"/>
              </a:solidFill>
              <a:effectLst/>
              <a:latin typeface="+mn-lt"/>
              <a:ea typeface="+mn-ea"/>
              <a:cs typeface="+mn-cs"/>
            </a:rPr>
            <a:t>Displays</a:t>
          </a:r>
          <a:r>
            <a:rPr lang="en-US" sz="1100" baseline="0">
              <a:solidFill>
                <a:sysClr val="windowText" lastClr="000000"/>
              </a:solidFill>
              <a:effectLst/>
              <a:latin typeface="+mn-lt"/>
              <a:ea typeface="+mn-ea"/>
              <a:cs typeface="+mn-cs"/>
            </a:rPr>
            <a:t> the data which the items scored for was assigned a numerical value between 0 and 1 based on the number of samples which has the specific morphological feature present</a:t>
          </a:r>
          <a:endParaRPr lang="en-US">
            <a:solidFill>
              <a:sysClr val="windowText" lastClr="000000"/>
            </a:solidFill>
            <a:effectLst/>
          </a:endParaRPr>
        </a:p>
        <a:p>
          <a:r>
            <a:rPr lang="en-US" sz="1100" baseline="0">
              <a:solidFill>
                <a:sysClr val="windowText" lastClr="000000"/>
              </a:solidFill>
              <a:effectLst/>
              <a:latin typeface="+mn-lt"/>
              <a:ea typeface="+mn-ea"/>
              <a:cs typeface="+mn-cs"/>
            </a:rPr>
            <a:t>Displays the data which the cell body counts are represented as a value between 0 and 1 by taking the average cell body count of all samples and dividing by the highest cell body count for that specific region</a:t>
          </a:r>
        </a:p>
        <a:p>
          <a:r>
            <a:rPr lang="en-US" sz="1100" baseline="0">
              <a:solidFill>
                <a:sysClr val="windowText" lastClr="000000"/>
              </a:solidFill>
              <a:effectLst/>
              <a:latin typeface="+mn-lt"/>
              <a:ea typeface="+mn-ea"/>
              <a:cs typeface="+mn-cs"/>
            </a:rPr>
            <a:t>Omitting mAL which was not used in the analysis but was scored for</a:t>
          </a:r>
        </a:p>
        <a:p>
          <a:r>
            <a:rPr lang="en-US" sz="1100">
              <a:solidFill>
                <a:sysClr val="windowText" lastClr="000000"/>
              </a:solidFill>
            </a:rPr>
            <a:t>This</a:t>
          </a:r>
          <a:r>
            <a:rPr lang="en-US" sz="1100" baseline="0">
              <a:solidFill>
                <a:sysClr val="windowText" lastClr="000000"/>
              </a:solidFill>
            </a:rPr>
            <a:t> sheet was u</a:t>
          </a:r>
          <a:r>
            <a:rPr lang="en-US" sz="1100">
              <a:solidFill>
                <a:sysClr val="windowText" lastClr="000000"/>
              </a:solidFill>
            </a:rPr>
            <a:t>sed</a:t>
          </a:r>
          <a:r>
            <a:rPr lang="en-US" sz="1100" baseline="0">
              <a:solidFill>
                <a:sysClr val="windowText" lastClr="000000"/>
              </a:solidFill>
            </a:rPr>
            <a:t> to create the male heatmaps of figure XX featured in the paper</a:t>
          </a: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11C4-C948-4AAA-BFF2-2CB1D5A771F4}">
  <dimension ref="A1"/>
  <sheetViews>
    <sheetView topLeftCell="A42" workbookViewId="0">
      <selection activeCell="P1" sqref="P1"/>
    </sheetView>
  </sheetViews>
  <sheetFormatPr baseColWidth="10" defaultColWidth="8.83203125" defaultRowHeight="1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27B-B605-4044-92A5-ADF650E72CC2}">
  <dimension ref="B1:T25"/>
  <sheetViews>
    <sheetView workbookViewId="0">
      <selection activeCell="H1" sqref="H1"/>
    </sheetView>
  </sheetViews>
  <sheetFormatPr baseColWidth="10" defaultColWidth="8.83203125" defaultRowHeight="15"/>
  <cols>
    <col min="1" max="1" width="28" customWidth="1"/>
    <col min="2" max="2" width="18.33203125" bestFit="1" customWidth="1"/>
    <col min="11" max="11" width="11" customWidth="1"/>
  </cols>
  <sheetData>
    <row r="1" spans="2:20" ht="116.25" customHeight="1">
      <c r="B1" s="1" t="s">
        <v>1174</v>
      </c>
      <c r="C1" s="2" t="s">
        <v>1387</v>
      </c>
      <c r="D1" s="2" t="s">
        <v>1576</v>
      </c>
      <c r="E1" s="2" t="s">
        <v>1577</v>
      </c>
      <c r="F1" s="2" t="s">
        <v>1578</v>
      </c>
      <c r="G1" s="2" t="s">
        <v>1844</v>
      </c>
      <c r="H1" s="2" t="s">
        <v>1846</v>
      </c>
      <c r="I1" s="2" t="s">
        <v>1845</v>
      </c>
      <c r="J1" s="2" t="s">
        <v>1579</v>
      </c>
      <c r="K1" s="2" t="s">
        <v>1562</v>
      </c>
      <c r="L1" s="2" t="s">
        <v>1389</v>
      </c>
      <c r="M1" s="2" t="s">
        <v>1223</v>
      </c>
      <c r="N1" s="2" t="s">
        <v>0</v>
      </c>
      <c r="O1" s="2" t="s">
        <v>2</v>
      </c>
      <c r="P1" s="2" t="s">
        <v>3</v>
      </c>
      <c r="Q1" s="2" t="s">
        <v>4</v>
      </c>
      <c r="R1" s="2" t="s">
        <v>5</v>
      </c>
      <c r="S1" s="2" t="s">
        <v>6</v>
      </c>
      <c r="T1" s="2" t="s">
        <v>1224</v>
      </c>
    </row>
    <row r="2" spans="2:20">
      <c r="B2" t="s">
        <v>1175</v>
      </c>
      <c r="C2">
        <v>0</v>
      </c>
      <c r="D2">
        <v>0.8</v>
      </c>
      <c r="E2">
        <v>0</v>
      </c>
      <c r="F2">
        <v>0</v>
      </c>
      <c r="G2">
        <v>0</v>
      </c>
      <c r="H2">
        <v>0</v>
      </c>
      <c r="I2">
        <v>0</v>
      </c>
      <c r="J2">
        <v>0.4</v>
      </c>
      <c r="K2">
        <v>0.4</v>
      </c>
      <c r="L2">
        <v>0.2</v>
      </c>
      <c r="M2" s="21">
        <f>6.4/50</f>
        <v>0.128</v>
      </c>
      <c r="N2">
        <f>11/50</f>
        <v>0.22</v>
      </c>
      <c r="O2" s="21">
        <f>0.4/15</f>
        <v>2.6666666666666668E-2</v>
      </c>
      <c r="P2" s="21">
        <f>0.2/34</f>
        <v>5.8823529411764705E-3</v>
      </c>
      <c r="Q2" s="21">
        <f>2.8/47</f>
        <v>5.9574468085106379E-2</v>
      </c>
      <c r="R2">
        <f>2.8/35</f>
        <v>0.08</v>
      </c>
      <c r="S2" s="21">
        <f>2.8/31</f>
        <v>9.0322580645161285E-2</v>
      </c>
      <c r="T2" s="21">
        <f>2.8/55</f>
        <v>5.0909090909090904E-2</v>
      </c>
    </row>
    <row r="3" spans="2:20">
      <c r="B3" t="s">
        <v>1177</v>
      </c>
      <c r="C3">
        <v>0</v>
      </c>
      <c r="D3">
        <v>1</v>
      </c>
      <c r="E3">
        <v>1</v>
      </c>
      <c r="F3">
        <v>1</v>
      </c>
      <c r="G3">
        <v>0.6</v>
      </c>
      <c r="H3">
        <v>0</v>
      </c>
      <c r="I3">
        <v>0</v>
      </c>
      <c r="J3">
        <v>0</v>
      </c>
      <c r="K3">
        <v>0</v>
      </c>
      <c r="L3">
        <v>0</v>
      </c>
      <c r="M3" s="21">
        <f>7.6/50</f>
        <v>0.152</v>
      </c>
      <c r="N3" s="21">
        <f>12.4/50</f>
        <v>0.248</v>
      </c>
      <c r="O3" s="21">
        <f>1.6/15</f>
        <v>0.10666666666666667</v>
      </c>
      <c r="P3" s="21">
        <f>0.6/34</f>
        <v>1.7647058823529412E-2</v>
      </c>
      <c r="Q3" s="21">
        <f>11.4/47</f>
        <v>0.24255319148936172</v>
      </c>
      <c r="R3" s="21">
        <f>1.2/35</f>
        <v>3.4285714285714287E-2</v>
      </c>
      <c r="S3" s="21">
        <f>0.6/31</f>
        <v>1.935483870967742E-2</v>
      </c>
      <c r="T3" s="21">
        <f>10.2/55</f>
        <v>0.18545454545454546</v>
      </c>
    </row>
    <row r="4" spans="2:20">
      <c r="B4" t="s">
        <v>1179</v>
      </c>
      <c r="C4">
        <v>0</v>
      </c>
      <c r="D4">
        <v>0</v>
      </c>
      <c r="E4">
        <v>0</v>
      </c>
      <c r="F4">
        <v>0</v>
      </c>
      <c r="G4">
        <v>0</v>
      </c>
      <c r="H4">
        <v>0</v>
      </c>
      <c r="I4">
        <v>0</v>
      </c>
      <c r="J4">
        <v>0</v>
      </c>
      <c r="K4">
        <v>0.25</v>
      </c>
      <c r="L4">
        <v>0.4</v>
      </c>
      <c r="M4" s="21">
        <f>1.8/50</f>
        <v>3.6000000000000004E-2</v>
      </c>
      <c r="N4" s="21">
        <v>0</v>
      </c>
      <c r="O4" s="21">
        <f>1.6/15</f>
        <v>0.10666666666666667</v>
      </c>
      <c r="P4" s="21">
        <f>0.6/34</f>
        <v>1.7647058823529412E-2</v>
      </c>
      <c r="Q4" s="21">
        <f>4.4/47</f>
        <v>9.3617021276595755E-2</v>
      </c>
      <c r="R4" s="21">
        <f>5.8/35</f>
        <v>0.1657142857142857</v>
      </c>
      <c r="S4" s="21">
        <f>1.8/31</f>
        <v>5.8064516129032261E-2</v>
      </c>
      <c r="T4">
        <f>6.6/55</f>
        <v>0.12</v>
      </c>
    </row>
    <row r="5" spans="2:20">
      <c r="B5" t="s">
        <v>1181</v>
      </c>
      <c r="C5">
        <v>0</v>
      </c>
      <c r="D5">
        <v>1</v>
      </c>
      <c r="E5">
        <v>1</v>
      </c>
      <c r="F5">
        <v>1</v>
      </c>
      <c r="G5">
        <v>0.2</v>
      </c>
      <c r="H5">
        <v>0</v>
      </c>
      <c r="I5">
        <v>0</v>
      </c>
      <c r="J5">
        <v>0</v>
      </c>
      <c r="K5">
        <v>0.5</v>
      </c>
      <c r="L5">
        <v>0.5</v>
      </c>
      <c r="M5" s="21">
        <f>2.4/50</f>
        <v>4.8000000000000001E-2</v>
      </c>
      <c r="N5">
        <f>13/50</f>
        <v>0.26</v>
      </c>
      <c r="O5" s="21">
        <f>2.2/15</f>
        <v>0.14666666666666667</v>
      </c>
      <c r="P5" s="21">
        <v>0</v>
      </c>
      <c r="Q5" s="21">
        <f>11.2/47</f>
        <v>0.23829787234042552</v>
      </c>
      <c r="R5" s="21">
        <f>2/35</f>
        <v>5.7142857142857141E-2</v>
      </c>
      <c r="S5" s="21">
        <f>3.2/31</f>
        <v>0.1032258064516129</v>
      </c>
      <c r="T5" s="21">
        <f>8.5/55</f>
        <v>0.15454545454545454</v>
      </c>
    </row>
    <row r="6" spans="2:20">
      <c r="B6" t="s">
        <v>1183</v>
      </c>
      <c r="C6">
        <v>0</v>
      </c>
      <c r="D6">
        <v>1</v>
      </c>
      <c r="E6">
        <v>0.8</v>
      </c>
      <c r="F6">
        <v>0.8</v>
      </c>
      <c r="G6">
        <v>0.6</v>
      </c>
      <c r="H6">
        <v>1</v>
      </c>
      <c r="I6">
        <v>1</v>
      </c>
      <c r="J6">
        <v>0</v>
      </c>
      <c r="K6">
        <v>0.6</v>
      </c>
      <c r="L6">
        <v>0.4</v>
      </c>
      <c r="M6">
        <f>3/50</f>
        <v>0.06</v>
      </c>
      <c r="N6">
        <f>1/50</f>
        <v>0.02</v>
      </c>
      <c r="O6" s="21">
        <f>3.8/15</f>
        <v>0.2533333333333333</v>
      </c>
      <c r="P6" s="21">
        <f>1.2/34</f>
        <v>3.5294117647058823E-2</v>
      </c>
      <c r="Q6" s="21">
        <f>7.6/47</f>
        <v>0.16170212765957445</v>
      </c>
      <c r="R6" s="21">
        <f>0.8/35</f>
        <v>2.2857142857142857E-2</v>
      </c>
      <c r="S6" s="21">
        <f>1.6/31</f>
        <v>5.1612903225806452E-2</v>
      </c>
      <c r="T6" s="21">
        <f>2/55</f>
        <v>3.6363636363636362E-2</v>
      </c>
    </row>
    <row r="7" spans="2:20">
      <c r="B7" t="s">
        <v>1185</v>
      </c>
      <c r="C7">
        <v>1</v>
      </c>
      <c r="D7">
        <v>1</v>
      </c>
      <c r="E7">
        <v>1</v>
      </c>
      <c r="F7">
        <v>0.8</v>
      </c>
      <c r="G7">
        <v>0.8</v>
      </c>
      <c r="H7">
        <v>0</v>
      </c>
      <c r="I7">
        <v>0</v>
      </c>
      <c r="J7">
        <v>0</v>
      </c>
      <c r="K7" s="21">
        <v>0.66666666666666696</v>
      </c>
      <c r="L7">
        <v>0.75</v>
      </c>
      <c r="M7" s="21">
        <f>6.6/50</f>
        <v>0.13200000000000001</v>
      </c>
      <c r="N7" s="21">
        <f>15.8/50</f>
        <v>0.316</v>
      </c>
      <c r="O7" s="21">
        <f>5/15</f>
        <v>0.33333333333333331</v>
      </c>
      <c r="P7" s="21">
        <f>0.6/34</f>
        <v>1.7647058823529412E-2</v>
      </c>
      <c r="Q7" s="21">
        <f>4.8/47</f>
        <v>0.10212765957446808</v>
      </c>
      <c r="R7" s="21">
        <f>4.6/35</f>
        <v>0.13142857142857142</v>
      </c>
      <c r="S7" s="21">
        <f>6.6/31</f>
        <v>0.2129032258064516</v>
      </c>
      <c r="T7" s="21">
        <f>14.6/55</f>
        <v>0.26545454545454544</v>
      </c>
    </row>
    <row r="8" spans="2:20">
      <c r="B8" t="s">
        <v>1187</v>
      </c>
      <c r="C8">
        <v>0</v>
      </c>
      <c r="D8">
        <v>1</v>
      </c>
      <c r="E8">
        <v>1</v>
      </c>
      <c r="F8">
        <v>1</v>
      </c>
      <c r="G8">
        <v>1</v>
      </c>
      <c r="H8">
        <v>1</v>
      </c>
      <c r="I8">
        <v>0</v>
      </c>
      <c r="J8">
        <v>0</v>
      </c>
      <c r="K8">
        <v>0</v>
      </c>
      <c r="L8">
        <v>0</v>
      </c>
      <c r="M8" s="21">
        <f>12.6/50</f>
        <v>0.252</v>
      </c>
      <c r="N8">
        <f>12/50</f>
        <v>0.24</v>
      </c>
      <c r="O8">
        <f>2.4/15</f>
        <v>0.16</v>
      </c>
      <c r="P8" s="21">
        <f>1/34</f>
        <v>2.9411764705882353E-2</v>
      </c>
      <c r="Q8" s="21">
        <f>9.8/47</f>
        <v>0.20851063829787236</v>
      </c>
      <c r="R8" s="21">
        <f>2.4/35</f>
        <v>6.8571428571428575E-2</v>
      </c>
      <c r="S8" s="21">
        <f>3/31</f>
        <v>9.6774193548387094E-2</v>
      </c>
      <c r="T8" s="21">
        <f>7.2/55</f>
        <v>0.13090909090909092</v>
      </c>
    </row>
    <row r="9" spans="2:20">
      <c r="B9" t="s">
        <v>1189</v>
      </c>
      <c r="C9">
        <v>0</v>
      </c>
      <c r="D9">
        <v>1</v>
      </c>
      <c r="E9">
        <v>1</v>
      </c>
      <c r="F9">
        <v>1</v>
      </c>
      <c r="G9">
        <v>0.6</v>
      </c>
      <c r="H9">
        <v>0.2</v>
      </c>
      <c r="I9">
        <v>0</v>
      </c>
      <c r="J9">
        <v>0.2</v>
      </c>
      <c r="K9">
        <v>0.33</v>
      </c>
      <c r="L9">
        <v>0</v>
      </c>
      <c r="M9">
        <f>4/50</f>
        <v>0.08</v>
      </c>
      <c r="N9" s="21">
        <f>7.2/50</f>
        <v>0.14400000000000002</v>
      </c>
      <c r="O9" s="21">
        <f>0.25/15</f>
        <v>1.6666666666666666E-2</v>
      </c>
      <c r="P9" s="21">
        <v>0</v>
      </c>
      <c r="Q9" s="21">
        <f>5.75/47</f>
        <v>0.12234042553191489</v>
      </c>
      <c r="R9" s="21">
        <f>1.25/35</f>
        <v>3.5714285714285712E-2</v>
      </c>
      <c r="S9" s="21">
        <v>0</v>
      </c>
      <c r="T9" s="21">
        <f>5/55</f>
        <v>9.0909090909090912E-2</v>
      </c>
    </row>
    <row r="10" spans="2:20">
      <c r="B10" t="s">
        <v>1191</v>
      </c>
      <c r="C10">
        <v>0</v>
      </c>
      <c r="D10">
        <v>1</v>
      </c>
      <c r="E10">
        <v>1</v>
      </c>
      <c r="F10">
        <v>1</v>
      </c>
      <c r="G10">
        <v>0.8</v>
      </c>
      <c r="H10">
        <v>1</v>
      </c>
      <c r="I10">
        <v>1</v>
      </c>
      <c r="J10">
        <v>0.2</v>
      </c>
      <c r="K10">
        <v>0</v>
      </c>
      <c r="L10">
        <v>0</v>
      </c>
      <c r="M10" s="21">
        <f>15.8/50</f>
        <v>0.316</v>
      </c>
      <c r="N10" s="21">
        <f>21.6/50</f>
        <v>0.43200000000000005</v>
      </c>
      <c r="O10" s="21">
        <f>3.2/15</f>
        <v>0.21333333333333335</v>
      </c>
      <c r="P10" s="21">
        <f>0.75/34</f>
        <v>2.2058823529411766E-2</v>
      </c>
      <c r="Q10" s="21">
        <f>16/47</f>
        <v>0.34042553191489361</v>
      </c>
      <c r="R10" s="21">
        <f>10.2/35</f>
        <v>0.29142857142857143</v>
      </c>
      <c r="S10" s="21">
        <f>8/31</f>
        <v>0.25806451612903225</v>
      </c>
      <c r="T10" s="21">
        <f>13.4/55</f>
        <v>0.24363636363636365</v>
      </c>
    </row>
    <row r="11" spans="2:20">
      <c r="B11" t="s">
        <v>1193</v>
      </c>
      <c r="C11">
        <v>0</v>
      </c>
      <c r="D11">
        <v>1</v>
      </c>
      <c r="E11">
        <v>1</v>
      </c>
      <c r="F11">
        <v>1</v>
      </c>
      <c r="G11">
        <v>1</v>
      </c>
      <c r="H11">
        <v>1</v>
      </c>
      <c r="I11">
        <v>1</v>
      </c>
      <c r="J11">
        <v>0.6</v>
      </c>
      <c r="K11">
        <v>0</v>
      </c>
      <c r="L11">
        <v>0</v>
      </c>
      <c r="M11" s="21">
        <f>18.8/50</f>
        <v>0.376</v>
      </c>
      <c r="N11" s="21">
        <f>25.2/50</f>
        <v>0.504</v>
      </c>
      <c r="O11" s="21">
        <f>5.6/15</f>
        <v>0.37333333333333329</v>
      </c>
      <c r="P11" s="21">
        <f>4/34</f>
        <v>0.11764705882352941</v>
      </c>
      <c r="Q11" s="21">
        <f>12.2/47</f>
        <v>0.25957446808510637</v>
      </c>
      <c r="R11" s="21">
        <f>8/35</f>
        <v>0.22857142857142856</v>
      </c>
      <c r="S11" s="21">
        <f>5/31</f>
        <v>0.16129032258064516</v>
      </c>
      <c r="T11" s="21">
        <f>17/55</f>
        <v>0.30909090909090908</v>
      </c>
    </row>
    <row r="12" spans="2:20">
      <c r="B12" t="s">
        <v>1195</v>
      </c>
      <c r="C12">
        <v>0</v>
      </c>
      <c r="D12">
        <v>1</v>
      </c>
      <c r="E12">
        <v>1</v>
      </c>
      <c r="F12">
        <v>1</v>
      </c>
      <c r="G12">
        <v>0.8</v>
      </c>
      <c r="H12">
        <v>1</v>
      </c>
      <c r="I12">
        <v>1</v>
      </c>
      <c r="J12">
        <v>0</v>
      </c>
      <c r="K12">
        <v>0</v>
      </c>
      <c r="L12">
        <v>0</v>
      </c>
      <c r="M12">
        <f>20.5/50</f>
        <v>0.41</v>
      </c>
      <c r="N12">
        <f>20.5/50</f>
        <v>0.41</v>
      </c>
      <c r="O12" s="21">
        <f>7.4/15</f>
        <v>0.49333333333333335</v>
      </c>
      <c r="P12" s="21">
        <f>3/34</f>
        <v>8.8235294117647065E-2</v>
      </c>
      <c r="Q12" s="21">
        <f>11.8/47</f>
        <v>0.25106382978723407</v>
      </c>
      <c r="R12" s="21">
        <f>6/35</f>
        <v>0.17142857142857143</v>
      </c>
      <c r="S12" s="21">
        <f>8.2/31</f>
        <v>0.26451612903225802</v>
      </c>
      <c r="T12" s="21">
        <f>14.2/55</f>
        <v>0.25818181818181818</v>
      </c>
    </row>
    <row r="13" spans="2:20">
      <c r="B13" t="s">
        <v>1197</v>
      </c>
      <c r="C13">
        <v>1</v>
      </c>
      <c r="D13">
        <v>1</v>
      </c>
      <c r="E13">
        <v>0.6</v>
      </c>
      <c r="F13">
        <v>0.4</v>
      </c>
      <c r="G13">
        <v>0.4</v>
      </c>
      <c r="H13">
        <v>1</v>
      </c>
      <c r="I13">
        <v>1</v>
      </c>
      <c r="J13">
        <v>0.6</v>
      </c>
      <c r="K13">
        <v>0.4</v>
      </c>
      <c r="L13">
        <v>0.2</v>
      </c>
      <c r="M13" s="21">
        <f>11.8/50</f>
        <v>0.23600000000000002</v>
      </c>
      <c r="N13" s="21">
        <f>16.2/50</f>
        <v>0.32400000000000001</v>
      </c>
      <c r="O13">
        <f>4.5/15</f>
        <v>0.3</v>
      </c>
      <c r="P13" s="21">
        <f>5.3/34</f>
        <v>0.15588235294117647</v>
      </c>
      <c r="Q13" s="21">
        <f>14.25/47</f>
        <v>0.30319148936170215</v>
      </c>
      <c r="R13" s="21">
        <f>9.75/35</f>
        <v>0.27857142857142858</v>
      </c>
      <c r="S13" s="21">
        <f>9.5/31</f>
        <v>0.30645161290322581</v>
      </c>
      <c r="T13" s="21">
        <f>14/55</f>
        <v>0.25454545454545452</v>
      </c>
    </row>
    <row r="14" spans="2:20">
      <c r="B14" t="s">
        <v>1199</v>
      </c>
      <c r="C14">
        <v>1</v>
      </c>
      <c r="D14">
        <v>1</v>
      </c>
      <c r="E14">
        <v>0.8</v>
      </c>
      <c r="F14">
        <v>1</v>
      </c>
      <c r="G14">
        <v>0.8</v>
      </c>
      <c r="H14">
        <v>1</v>
      </c>
      <c r="I14">
        <v>0</v>
      </c>
      <c r="J14">
        <v>0.4</v>
      </c>
      <c r="K14">
        <v>0</v>
      </c>
      <c r="L14">
        <v>0</v>
      </c>
      <c r="M14">
        <f>17/50</f>
        <v>0.34</v>
      </c>
      <c r="N14" s="21">
        <f>17.6/50</f>
        <v>0.35200000000000004</v>
      </c>
      <c r="O14" s="21">
        <f>5.6/15</f>
        <v>0.37333333333333329</v>
      </c>
      <c r="P14" s="21">
        <f>5.4/34</f>
        <v>0.15882352941176472</v>
      </c>
      <c r="Q14" s="21">
        <f>18/47</f>
        <v>0.38297872340425532</v>
      </c>
      <c r="R14" s="21">
        <f>8.6/35</f>
        <v>0.24571428571428569</v>
      </c>
      <c r="S14" s="21">
        <f>8.8/31</f>
        <v>0.28387096774193549</v>
      </c>
      <c r="T14" s="21">
        <f>19.6/55</f>
        <v>0.35636363636363638</v>
      </c>
    </row>
    <row r="15" spans="2:20">
      <c r="B15" t="s">
        <v>1201</v>
      </c>
      <c r="C15">
        <v>0</v>
      </c>
      <c r="D15">
        <v>1</v>
      </c>
      <c r="E15">
        <v>1</v>
      </c>
      <c r="F15">
        <v>1</v>
      </c>
      <c r="G15">
        <v>1</v>
      </c>
      <c r="H15">
        <v>0</v>
      </c>
      <c r="I15">
        <v>0</v>
      </c>
      <c r="J15">
        <v>1</v>
      </c>
      <c r="K15">
        <v>0</v>
      </c>
      <c r="L15">
        <v>0</v>
      </c>
      <c r="M15" s="21">
        <f>12.8/50</f>
        <v>0.25600000000000001</v>
      </c>
      <c r="N15" s="21">
        <f>11.2/50</f>
        <v>0.22399999999999998</v>
      </c>
      <c r="O15" s="21">
        <f>5.6/15</f>
        <v>0.37333333333333329</v>
      </c>
      <c r="P15" s="21">
        <f>9.6/34</f>
        <v>0.28235294117647058</v>
      </c>
      <c r="Q15" s="21">
        <f>13.6/47</f>
        <v>0.28936170212765955</v>
      </c>
      <c r="R15" s="21">
        <f>8.6/35</f>
        <v>0.24571428571428569</v>
      </c>
      <c r="S15" s="21">
        <f>4.8/31</f>
        <v>0.15483870967741936</v>
      </c>
      <c r="T15" s="21">
        <f>16.75/55</f>
        <v>0.30454545454545456</v>
      </c>
    </row>
    <row r="16" spans="2:20">
      <c r="B16" t="s">
        <v>1203</v>
      </c>
      <c r="C16">
        <v>1</v>
      </c>
      <c r="D16">
        <v>1</v>
      </c>
      <c r="E16">
        <v>1</v>
      </c>
      <c r="F16">
        <v>1</v>
      </c>
      <c r="G16">
        <v>0.6</v>
      </c>
      <c r="H16">
        <v>1</v>
      </c>
      <c r="I16">
        <v>1</v>
      </c>
      <c r="J16">
        <v>0</v>
      </c>
      <c r="K16">
        <v>0</v>
      </c>
      <c r="L16">
        <v>0.2</v>
      </c>
      <c r="M16" s="21">
        <f>15.2/50</f>
        <v>0.30399999999999999</v>
      </c>
      <c r="N16" s="21">
        <f>22.2/50</f>
        <v>0.44400000000000001</v>
      </c>
      <c r="O16" s="21">
        <f>5/15</f>
        <v>0.33333333333333331</v>
      </c>
      <c r="P16" s="21">
        <f>4.4/34</f>
        <v>0.12941176470588237</v>
      </c>
      <c r="Q16" s="21">
        <f>24.4/47</f>
        <v>0.51914893617021274</v>
      </c>
      <c r="R16" s="21">
        <f>8/35</f>
        <v>0.22857142857142856</v>
      </c>
      <c r="S16" s="21">
        <f>11/31</f>
        <v>0.35483870967741937</v>
      </c>
      <c r="T16" s="21">
        <f>15.75/55</f>
        <v>0.28636363636363638</v>
      </c>
    </row>
    <row r="17" spans="2:20">
      <c r="B17" t="s">
        <v>1205</v>
      </c>
      <c r="C17">
        <v>0.8</v>
      </c>
      <c r="D17">
        <v>1</v>
      </c>
      <c r="E17">
        <v>1</v>
      </c>
      <c r="F17">
        <v>1</v>
      </c>
      <c r="G17">
        <v>1</v>
      </c>
      <c r="H17">
        <v>1</v>
      </c>
      <c r="I17">
        <v>0.8</v>
      </c>
      <c r="J17">
        <v>0.8</v>
      </c>
      <c r="K17">
        <v>0</v>
      </c>
      <c r="L17">
        <v>0</v>
      </c>
      <c r="M17">
        <f>26/50</f>
        <v>0.52</v>
      </c>
      <c r="N17" s="21">
        <f>34.2/50</f>
        <v>0.68400000000000005</v>
      </c>
      <c r="O17" s="21">
        <f>7/15</f>
        <v>0.46666666666666667</v>
      </c>
      <c r="P17" s="21">
        <f>6.4/34</f>
        <v>0.18823529411764706</v>
      </c>
      <c r="Q17">
        <f>18.8/47</f>
        <v>0.4</v>
      </c>
      <c r="R17" s="21">
        <f>9/35</f>
        <v>0.25714285714285712</v>
      </c>
      <c r="S17" s="21">
        <f>7.8/31</f>
        <v>0.25161290322580643</v>
      </c>
      <c r="T17" s="21">
        <f>19.2/55</f>
        <v>0.34909090909090906</v>
      </c>
    </row>
    <row r="18" spans="2:20">
      <c r="B18" t="s">
        <v>1207</v>
      </c>
      <c r="C18">
        <v>1</v>
      </c>
      <c r="D18">
        <v>1</v>
      </c>
      <c r="E18">
        <v>1</v>
      </c>
      <c r="F18">
        <v>0.8</v>
      </c>
      <c r="G18">
        <v>0.2</v>
      </c>
      <c r="H18">
        <v>1</v>
      </c>
      <c r="I18">
        <v>0.2</v>
      </c>
      <c r="J18">
        <v>0.2</v>
      </c>
      <c r="K18">
        <v>0.2</v>
      </c>
      <c r="L18">
        <v>0</v>
      </c>
      <c r="M18">
        <f>7/50</f>
        <v>0.14000000000000001</v>
      </c>
      <c r="N18" s="21">
        <f>11.4/50</f>
        <v>0.22800000000000001</v>
      </c>
      <c r="O18" s="21">
        <f>4.4/15</f>
        <v>0.29333333333333333</v>
      </c>
      <c r="P18" s="21">
        <f>6.4/34</f>
        <v>0.18823529411764706</v>
      </c>
      <c r="Q18" s="21">
        <f>17.2/47</f>
        <v>0.36595744680851061</v>
      </c>
      <c r="R18" s="21">
        <f>9/35</f>
        <v>0.25714285714285712</v>
      </c>
      <c r="S18" s="21">
        <f>11.5/31</f>
        <v>0.37096774193548387</v>
      </c>
      <c r="T18" s="21">
        <f>21.75/55</f>
        <v>0.39545454545454545</v>
      </c>
    </row>
    <row r="19" spans="2:20">
      <c r="B19" t="s">
        <v>1209</v>
      </c>
      <c r="C19">
        <v>0</v>
      </c>
      <c r="D19">
        <v>1</v>
      </c>
      <c r="E19">
        <v>1</v>
      </c>
      <c r="F19">
        <v>1</v>
      </c>
      <c r="G19">
        <v>1</v>
      </c>
      <c r="H19">
        <v>0.8</v>
      </c>
      <c r="I19">
        <v>1</v>
      </c>
      <c r="J19">
        <v>0</v>
      </c>
      <c r="K19">
        <v>0</v>
      </c>
      <c r="L19">
        <v>0</v>
      </c>
      <c r="M19">
        <f>29/50</f>
        <v>0.57999999999999996</v>
      </c>
      <c r="N19" s="21">
        <f>19.3333333333/50</f>
        <v>0.38666666666600003</v>
      </c>
      <c r="O19" s="21">
        <f>5.2/15</f>
        <v>0.34666666666666668</v>
      </c>
      <c r="P19" s="21">
        <f>2.2/34</f>
        <v>6.4705882352941183E-2</v>
      </c>
      <c r="Q19" s="21">
        <f>16.8/47</f>
        <v>0.35744680851063831</v>
      </c>
      <c r="R19" s="21">
        <f>10/35</f>
        <v>0.2857142857142857</v>
      </c>
      <c r="S19" s="21">
        <f>8.6/31</f>
        <v>0.27741935483870966</v>
      </c>
      <c r="T19" s="21">
        <f>13.6/55</f>
        <v>0.24727272727272726</v>
      </c>
    </row>
    <row r="20" spans="2:20">
      <c r="B20" t="s">
        <v>1211</v>
      </c>
      <c r="C20">
        <v>1</v>
      </c>
      <c r="D20">
        <v>1</v>
      </c>
      <c r="E20">
        <v>0.8</v>
      </c>
      <c r="F20">
        <v>1</v>
      </c>
      <c r="G20">
        <v>0.8</v>
      </c>
      <c r="H20">
        <v>1</v>
      </c>
      <c r="I20">
        <v>1</v>
      </c>
      <c r="J20">
        <v>0.4</v>
      </c>
      <c r="K20">
        <v>0</v>
      </c>
      <c r="L20">
        <v>0</v>
      </c>
      <c r="M20" s="21">
        <f>20.2/50</f>
        <v>0.40399999999999997</v>
      </c>
      <c r="N20" s="21">
        <f>27.8/50</f>
        <v>0.55600000000000005</v>
      </c>
      <c r="O20">
        <f>7.2/15</f>
        <v>0.48000000000000004</v>
      </c>
      <c r="P20" s="21">
        <f>7.6/34</f>
        <v>0.22352941176470587</v>
      </c>
      <c r="Q20" s="21">
        <f>19.6/47</f>
        <v>0.41702127659574473</v>
      </c>
      <c r="R20" s="21">
        <f>12.4/35</f>
        <v>0.35428571428571431</v>
      </c>
      <c r="S20" s="21">
        <f>7.4/31</f>
        <v>0.23870967741935484</v>
      </c>
      <c r="T20" s="21">
        <f>22.4/55</f>
        <v>0.40727272727272723</v>
      </c>
    </row>
    <row r="21" spans="2:20">
      <c r="B21" t="s">
        <v>1213</v>
      </c>
      <c r="C21">
        <v>1</v>
      </c>
      <c r="D21">
        <v>1</v>
      </c>
      <c r="E21">
        <v>0.8</v>
      </c>
      <c r="F21">
        <v>0.4</v>
      </c>
      <c r="G21">
        <v>0</v>
      </c>
      <c r="H21">
        <v>0.8</v>
      </c>
      <c r="I21">
        <v>0</v>
      </c>
      <c r="J21">
        <v>0</v>
      </c>
      <c r="K21">
        <v>0</v>
      </c>
      <c r="L21">
        <v>0</v>
      </c>
      <c r="M21">
        <f>2/50</f>
        <v>0.04</v>
      </c>
      <c r="N21" s="21">
        <f>7.75/50</f>
        <v>0.155</v>
      </c>
      <c r="O21">
        <f>3/15</f>
        <v>0.2</v>
      </c>
      <c r="P21">
        <f>3.4/34</f>
        <v>9.9999999999999992E-2</v>
      </c>
      <c r="Q21" s="21">
        <f>9.8/47</f>
        <v>0.20851063829787236</v>
      </c>
      <c r="R21" s="21">
        <f>4.4/35</f>
        <v>0.12571428571428572</v>
      </c>
      <c r="S21" s="21">
        <f>4.4/31</f>
        <v>0.14193548387096774</v>
      </c>
      <c r="T21" s="21">
        <f>6.25/55</f>
        <v>0.11363636363636363</v>
      </c>
    </row>
    <row r="22" spans="2:20">
      <c r="B22" t="s">
        <v>1215</v>
      </c>
      <c r="C22">
        <v>0</v>
      </c>
      <c r="D22">
        <v>1</v>
      </c>
      <c r="E22">
        <v>1</v>
      </c>
      <c r="F22">
        <v>1</v>
      </c>
      <c r="G22">
        <v>0.75</v>
      </c>
      <c r="H22">
        <v>0.6</v>
      </c>
      <c r="I22">
        <v>0</v>
      </c>
      <c r="J22">
        <v>0</v>
      </c>
      <c r="K22">
        <v>0.4</v>
      </c>
      <c r="L22">
        <v>0.4</v>
      </c>
      <c r="M22" s="21">
        <f>7.6666667/50</f>
        <v>0.15333333400000002</v>
      </c>
      <c r="N22">
        <f>9.5/50</f>
        <v>0.19</v>
      </c>
      <c r="O22">
        <f>4.2/15</f>
        <v>0.28000000000000003</v>
      </c>
      <c r="P22" s="21">
        <f>5/34</f>
        <v>0.14705882352941177</v>
      </c>
      <c r="Q22" s="21">
        <f>19/47</f>
        <v>0.40425531914893614</v>
      </c>
      <c r="R22" s="21">
        <f>7.6/35</f>
        <v>0.21714285714285714</v>
      </c>
      <c r="S22" s="21">
        <f>8.8/31</f>
        <v>0.28387096774193549</v>
      </c>
      <c r="T22" s="21">
        <f>17.2/55</f>
        <v>0.31272727272727269</v>
      </c>
    </row>
    <row r="23" spans="2:20">
      <c r="B23" t="s">
        <v>1217</v>
      </c>
      <c r="C23">
        <v>0</v>
      </c>
      <c r="D23">
        <v>1</v>
      </c>
      <c r="E23">
        <v>1</v>
      </c>
      <c r="F23">
        <v>1</v>
      </c>
      <c r="G23">
        <v>1</v>
      </c>
      <c r="H23">
        <v>0</v>
      </c>
      <c r="I23">
        <v>0</v>
      </c>
      <c r="J23">
        <v>0.6</v>
      </c>
      <c r="K23">
        <v>0.2</v>
      </c>
      <c r="L23">
        <v>0.4</v>
      </c>
      <c r="M23" s="21">
        <f>19.2/50</f>
        <v>0.38400000000000001</v>
      </c>
      <c r="N23" s="21">
        <f>29.4/50</f>
        <v>0.58799999999999997</v>
      </c>
      <c r="O23">
        <f>4.8/15</f>
        <v>0.32</v>
      </c>
      <c r="P23" s="21">
        <f>6/34</f>
        <v>0.17647058823529413</v>
      </c>
      <c r="Q23" s="21">
        <f>14/47</f>
        <v>0.2978723404255319</v>
      </c>
      <c r="R23" s="21">
        <f>7.4/35</f>
        <v>0.21142857142857144</v>
      </c>
      <c r="S23" s="21">
        <f>7.2/31</f>
        <v>0.23225806451612904</v>
      </c>
      <c r="T23" s="21">
        <f>19.2/55</f>
        <v>0.34909090909090906</v>
      </c>
    </row>
    <row r="24" spans="2:20">
      <c r="B24" t="s">
        <v>1219</v>
      </c>
      <c r="C24">
        <v>0</v>
      </c>
      <c r="D24">
        <v>1</v>
      </c>
      <c r="E24">
        <v>1</v>
      </c>
      <c r="F24">
        <v>0.8</v>
      </c>
      <c r="G24">
        <v>1</v>
      </c>
      <c r="H24">
        <v>0.8</v>
      </c>
      <c r="I24">
        <v>0</v>
      </c>
      <c r="J24">
        <v>0</v>
      </c>
      <c r="K24">
        <v>0</v>
      </c>
      <c r="L24">
        <v>0</v>
      </c>
      <c r="M24" s="21">
        <f>10.75/50</f>
        <v>0.215</v>
      </c>
      <c r="N24" s="21">
        <f>23.8/50</f>
        <v>0.47600000000000003</v>
      </c>
      <c r="O24" s="21">
        <f>5/15</f>
        <v>0.33333333333333331</v>
      </c>
      <c r="P24" s="21">
        <f>5.2/34</f>
        <v>0.15294117647058825</v>
      </c>
      <c r="Q24" s="21">
        <f>20.4/47</f>
        <v>0.43404255319148932</v>
      </c>
      <c r="R24" s="21">
        <f>9.4/35</f>
        <v>0.26857142857142857</v>
      </c>
      <c r="S24" s="21">
        <f>9.8/31</f>
        <v>0.31612903225806455</v>
      </c>
      <c r="T24" s="21">
        <f>12.4/55</f>
        <v>0.22545454545454546</v>
      </c>
    </row>
    <row r="25" spans="2:20">
      <c r="B25" t="s">
        <v>1221</v>
      </c>
      <c r="C25">
        <v>0</v>
      </c>
      <c r="D25">
        <v>0.8</v>
      </c>
      <c r="E25">
        <v>1</v>
      </c>
      <c r="F25">
        <v>1</v>
      </c>
      <c r="G25">
        <v>1</v>
      </c>
      <c r="H25">
        <v>0</v>
      </c>
      <c r="I25">
        <v>0</v>
      </c>
      <c r="J25">
        <v>0.4</v>
      </c>
      <c r="K25">
        <v>0</v>
      </c>
      <c r="L25">
        <v>0</v>
      </c>
      <c r="M25" s="40">
        <f>15/50</f>
        <v>0.3</v>
      </c>
      <c r="N25" s="21">
        <f>13.2/50</f>
        <v>0.26400000000000001</v>
      </c>
      <c r="O25">
        <f>4.8/15</f>
        <v>0.32</v>
      </c>
      <c r="P25" s="21">
        <f>4.4/34</f>
        <v>0.12941176470588237</v>
      </c>
      <c r="Q25" s="21">
        <f>11.2/47</f>
        <v>0.23829787234042552</v>
      </c>
      <c r="R25" s="21">
        <f>7.2/35</f>
        <v>0.20571428571428571</v>
      </c>
      <c r="S25" s="21">
        <f>8.2/31</f>
        <v>0.26451612903225802</v>
      </c>
      <c r="T25" s="21">
        <f>13.8/55</f>
        <v>0.25090909090909091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CD80-3545-45CD-87AB-50D3DBD6B430}">
  <dimension ref="R1:AK227"/>
  <sheetViews>
    <sheetView tabSelected="1" topLeftCell="P26" workbookViewId="0">
      <selection activeCell="H37" sqref="H37"/>
    </sheetView>
  </sheetViews>
  <sheetFormatPr baseColWidth="10" defaultColWidth="8.83203125" defaultRowHeight="15"/>
  <cols>
    <col min="6" max="6" width="9.1640625" customWidth="1"/>
    <col min="18" max="18" width="15.83203125" customWidth="1"/>
    <col min="19" max="19" width="16.6640625" customWidth="1"/>
  </cols>
  <sheetData>
    <row r="1" spans="19:37" ht="24">
      <c r="S1" s="74" t="s">
        <v>1861</v>
      </c>
    </row>
    <row r="2" spans="19:37">
      <c r="S2" t="s">
        <v>1862</v>
      </c>
    </row>
    <row r="3" spans="19:37" ht="16">
      <c r="S3" s="67" t="s">
        <v>1856</v>
      </c>
    </row>
    <row r="4" spans="19:37" ht="99">
      <c r="S4" s="1" t="s">
        <v>1174</v>
      </c>
      <c r="T4" s="68" t="s">
        <v>1387</v>
      </c>
      <c r="U4" s="68" t="s">
        <v>1576</v>
      </c>
      <c r="V4" s="68" t="s">
        <v>1577</v>
      </c>
      <c r="W4" s="68" t="s">
        <v>1578</v>
      </c>
      <c r="X4" s="68" t="s">
        <v>1844</v>
      </c>
      <c r="Y4" s="68" t="s">
        <v>1857</v>
      </c>
      <c r="Z4" s="68" t="s">
        <v>1845</v>
      </c>
      <c r="AA4" s="68" t="s">
        <v>1579</v>
      </c>
      <c r="AB4" s="68" t="s">
        <v>1562</v>
      </c>
      <c r="AC4" s="68" t="s">
        <v>1389</v>
      </c>
      <c r="AD4" s="68" t="s">
        <v>1223</v>
      </c>
      <c r="AE4" s="68" t="s">
        <v>0</v>
      </c>
      <c r="AF4" s="68" t="s">
        <v>2</v>
      </c>
      <c r="AG4" s="68" t="s">
        <v>3</v>
      </c>
      <c r="AH4" s="68" t="s">
        <v>4</v>
      </c>
      <c r="AI4" s="68" t="s">
        <v>5</v>
      </c>
      <c r="AJ4" s="68" t="s">
        <v>6</v>
      </c>
      <c r="AK4" s="68" t="s">
        <v>1224</v>
      </c>
    </row>
    <row r="5" spans="19:37">
      <c r="S5" t="s">
        <v>1176</v>
      </c>
      <c r="T5">
        <v>0</v>
      </c>
      <c r="U5" s="69">
        <v>0.2</v>
      </c>
      <c r="V5">
        <v>0</v>
      </c>
      <c r="W5">
        <v>0</v>
      </c>
      <c r="X5">
        <v>0</v>
      </c>
      <c r="Y5">
        <v>0</v>
      </c>
      <c r="Z5">
        <v>0</v>
      </c>
      <c r="AA5" s="69">
        <v>0.2</v>
      </c>
      <c r="AB5">
        <v>0</v>
      </c>
      <c r="AC5">
        <v>0</v>
      </c>
      <c r="AD5" s="21">
        <f>0.2/50</f>
        <v>4.0000000000000001E-3</v>
      </c>
      <c r="AE5" s="21">
        <f>13.2/50</f>
        <v>0.26400000000000001</v>
      </c>
      <c r="AF5">
        <v>0</v>
      </c>
      <c r="AG5" s="21">
        <f>1.2/34</f>
        <v>3.5294117647058823E-2</v>
      </c>
      <c r="AH5" s="21">
        <f>2.4/47</f>
        <v>5.106382978723404E-2</v>
      </c>
      <c r="AI5">
        <f>1.4/35</f>
        <v>0.04</v>
      </c>
      <c r="AJ5" s="21">
        <f>1.4/31</f>
        <v>4.5161290322580643E-2</v>
      </c>
      <c r="AK5" s="21">
        <f>4/55</f>
        <v>7.2727272727272724E-2</v>
      </c>
    </row>
    <row r="6" spans="19:37">
      <c r="S6" t="s">
        <v>1178</v>
      </c>
      <c r="T6">
        <v>0</v>
      </c>
      <c r="U6" s="69">
        <v>1</v>
      </c>
      <c r="V6" s="69">
        <v>1</v>
      </c>
      <c r="W6" s="69">
        <v>1</v>
      </c>
      <c r="X6" s="69">
        <v>0.8</v>
      </c>
      <c r="Y6">
        <v>0</v>
      </c>
      <c r="Z6">
        <v>0</v>
      </c>
      <c r="AA6" s="69">
        <v>0.6</v>
      </c>
      <c r="AB6" s="69">
        <v>0.75</v>
      </c>
      <c r="AC6" s="69">
        <v>0.5</v>
      </c>
      <c r="AD6" s="21">
        <f>6.4/50</f>
        <v>0.128</v>
      </c>
      <c r="AE6" s="21">
        <f>7.8/50</f>
        <v>0.156</v>
      </c>
      <c r="AF6" s="21">
        <f>2.667/15</f>
        <v>0.17779999999999999</v>
      </c>
      <c r="AG6" s="21">
        <f>2.5/34</f>
        <v>7.3529411764705885E-2</v>
      </c>
      <c r="AH6" s="21">
        <f>10/47</f>
        <v>0.21276595744680851</v>
      </c>
      <c r="AI6" s="21">
        <f>3.75/35</f>
        <v>0.10714285714285714</v>
      </c>
      <c r="AJ6" s="21">
        <f>2.5/31</f>
        <v>8.0645161290322578E-2</v>
      </c>
      <c r="AK6" s="21">
        <f>14.33/55</f>
        <v>0.26054545454545452</v>
      </c>
    </row>
    <row r="7" spans="19:37">
      <c r="S7" t="s">
        <v>1180</v>
      </c>
      <c r="T7">
        <v>0</v>
      </c>
      <c r="U7">
        <v>0</v>
      </c>
      <c r="V7">
        <v>0</v>
      </c>
      <c r="W7">
        <v>0</v>
      </c>
      <c r="X7">
        <v>0</v>
      </c>
      <c r="Y7">
        <v>0</v>
      </c>
      <c r="Z7">
        <v>0</v>
      </c>
      <c r="AA7">
        <v>0</v>
      </c>
      <c r="AB7" s="69">
        <v>0.8</v>
      </c>
      <c r="AC7" s="69">
        <v>0.2</v>
      </c>
      <c r="AD7" s="21">
        <f>1.4/50</f>
        <v>2.7999999999999997E-2</v>
      </c>
      <c r="AE7" s="21">
        <v>0</v>
      </c>
      <c r="AF7">
        <f>0.6/15</f>
        <v>0.04</v>
      </c>
      <c r="AG7" s="21">
        <v>0</v>
      </c>
      <c r="AH7" s="21">
        <f>9/47</f>
        <v>0.19148936170212766</v>
      </c>
      <c r="AI7" s="21">
        <f>15/35</f>
        <v>0.42857142857142855</v>
      </c>
      <c r="AJ7" s="21">
        <f>5/31</f>
        <v>0.16129032258064516</v>
      </c>
      <c r="AK7" s="21">
        <f>14.4/55</f>
        <v>0.26181818181818184</v>
      </c>
    </row>
    <row r="8" spans="19:37">
      <c r="S8" t="s">
        <v>1182</v>
      </c>
      <c r="T8">
        <v>0</v>
      </c>
      <c r="U8" s="69">
        <v>1</v>
      </c>
      <c r="V8" s="69">
        <v>1</v>
      </c>
      <c r="W8" s="69">
        <v>1</v>
      </c>
      <c r="X8" s="69">
        <v>1</v>
      </c>
      <c r="Y8" s="69">
        <v>0.2</v>
      </c>
      <c r="Z8">
        <v>0</v>
      </c>
      <c r="AA8" s="69">
        <v>0.2</v>
      </c>
      <c r="AB8" s="69">
        <v>0.25</v>
      </c>
      <c r="AC8">
        <v>0</v>
      </c>
      <c r="AD8" s="21">
        <f>1.2/50</f>
        <v>2.4E-2</v>
      </c>
      <c r="AE8" s="21">
        <f>10.4/50</f>
        <v>0.20800000000000002</v>
      </c>
      <c r="AF8" s="21">
        <f>0.2/15</f>
        <v>1.3333333333333334E-2</v>
      </c>
      <c r="AG8" s="21">
        <f>0.4/34</f>
        <v>1.1764705882352941E-2</v>
      </c>
      <c r="AH8" s="21">
        <f>10.6/47</f>
        <v>0.22553191489361701</v>
      </c>
      <c r="AI8" s="21">
        <f>3/35</f>
        <v>8.5714285714285715E-2</v>
      </c>
      <c r="AJ8" s="21">
        <f>2.6/31</f>
        <v>8.387096774193549E-2</v>
      </c>
      <c r="AK8" s="21">
        <f>10.25/55</f>
        <v>0.18636363636363637</v>
      </c>
    </row>
    <row r="9" spans="19:37">
      <c r="S9" t="s">
        <v>1184</v>
      </c>
      <c r="T9">
        <v>0</v>
      </c>
      <c r="U9" s="69">
        <v>1</v>
      </c>
      <c r="V9" s="69">
        <v>1</v>
      </c>
      <c r="W9" s="69">
        <v>1</v>
      </c>
      <c r="X9" s="69">
        <v>1</v>
      </c>
      <c r="Y9" s="69">
        <v>1</v>
      </c>
      <c r="Z9" s="69">
        <v>1</v>
      </c>
      <c r="AA9" s="69">
        <v>1</v>
      </c>
      <c r="AB9" s="69">
        <v>0.8</v>
      </c>
      <c r="AC9" s="69">
        <v>0.8</v>
      </c>
      <c r="AD9" s="21">
        <f>16.8/50</f>
        <v>0.33600000000000002</v>
      </c>
      <c r="AE9" s="21">
        <f>0.6/50</f>
        <v>1.2E-2</v>
      </c>
      <c r="AF9">
        <f>4.8/15</f>
        <v>0.32</v>
      </c>
      <c r="AG9" s="21">
        <f>1.2/34</f>
        <v>3.5294117647058823E-2</v>
      </c>
      <c r="AH9" s="21">
        <f>14.4/47</f>
        <v>0.30638297872340425</v>
      </c>
      <c r="AI9" s="21">
        <f>4.6/35</f>
        <v>0.13142857142857142</v>
      </c>
      <c r="AJ9" s="21">
        <f>4.8/31</f>
        <v>0.15483870967741936</v>
      </c>
      <c r="AK9">
        <f>2.2/55</f>
        <v>0.04</v>
      </c>
    </row>
    <row r="10" spans="19:37">
      <c r="S10" t="s">
        <v>1186</v>
      </c>
      <c r="T10" s="69">
        <v>1</v>
      </c>
      <c r="U10" s="69">
        <v>1</v>
      </c>
      <c r="V10" s="69">
        <v>1</v>
      </c>
      <c r="W10" s="69">
        <v>1</v>
      </c>
      <c r="X10" s="69">
        <v>0.8</v>
      </c>
      <c r="Y10">
        <v>0</v>
      </c>
      <c r="Z10">
        <v>0</v>
      </c>
      <c r="AA10" s="69">
        <v>1</v>
      </c>
      <c r="AB10" s="69">
        <v>0.33</v>
      </c>
      <c r="AC10" s="69">
        <v>0.5</v>
      </c>
      <c r="AD10" s="21">
        <f>18.2/50</f>
        <v>0.36399999999999999</v>
      </c>
      <c r="AE10" s="21">
        <f>19.6/50</f>
        <v>0.39200000000000002</v>
      </c>
      <c r="AF10" s="21">
        <f>4.75/15</f>
        <v>0.31666666666666665</v>
      </c>
      <c r="AG10" s="21">
        <f>0.25/34</f>
        <v>7.3529411764705881E-3</v>
      </c>
      <c r="AH10" s="21">
        <f>4/47</f>
        <v>8.5106382978723402E-2</v>
      </c>
      <c r="AI10" s="21">
        <f>5/35</f>
        <v>0.14285714285714285</v>
      </c>
      <c r="AJ10" s="21">
        <f>1.5/31</f>
        <v>4.8387096774193547E-2</v>
      </c>
      <c r="AK10" s="21">
        <f>13.25/55</f>
        <v>0.24090909090909091</v>
      </c>
    </row>
    <row r="11" spans="19:37">
      <c r="S11" t="s">
        <v>1188</v>
      </c>
      <c r="T11">
        <v>0</v>
      </c>
      <c r="U11" s="69">
        <v>1</v>
      </c>
      <c r="V11" s="69">
        <v>1</v>
      </c>
      <c r="W11" s="69">
        <v>1</v>
      </c>
      <c r="X11" s="69">
        <v>1</v>
      </c>
      <c r="Y11">
        <v>0</v>
      </c>
      <c r="Z11">
        <v>0</v>
      </c>
      <c r="AA11" s="69">
        <v>1</v>
      </c>
      <c r="AB11" s="69">
        <v>1</v>
      </c>
      <c r="AC11" s="69">
        <v>1</v>
      </c>
      <c r="AD11" s="21">
        <f>6.6/50</f>
        <v>0.13200000000000001</v>
      </c>
      <c r="AE11" s="21">
        <f>12.25/50</f>
        <v>0.245</v>
      </c>
      <c r="AF11" s="21">
        <f>2.6/15</f>
        <v>0.17333333333333334</v>
      </c>
      <c r="AG11" s="21">
        <f>4.2/34</f>
        <v>0.12352941176470589</v>
      </c>
      <c r="AH11" s="21">
        <f>10.2/47</f>
        <v>0.21702127659574466</v>
      </c>
      <c r="AI11" s="21">
        <f>7.2/35</f>
        <v>0.20571428571428571</v>
      </c>
      <c r="AJ11" s="21">
        <f>4/31</f>
        <v>0.12903225806451613</v>
      </c>
      <c r="AK11" s="21">
        <f>16.2/55</f>
        <v>0.29454545454545455</v>
      </c>
    </row>
    <row r="12" spans="19:37">
      <c r="S12" t="s">
        <v>1190</v>
      </c>
      <c r="T12">
        <v>0</v>
      </c>
      <c r="U12" s="69">
        <v>1</v>
      </c>
      <c r="V12" s="69">
        <v>1</v>
      </c>
      <c r="W12" s="69">
        <v>1</v>
      </c>
      <c r="X12" s="69">
        <v>0.25</v>
      </c>
      <c r="Y12">
        <v>0</v>
      </c>
      <c r="Z12">
        <v>0</v>
      </c>
      <c r="AA12" s="69">
        <v>0.8</v>
      </c>
      <c r="AB12" s="69">
        <v>0.5</v>
      </c>
      <c r="AC12" s="69">
        <v>0.25</v>
      </c>
      <c r="AD12" s="21">
        <f>3.4/50</f>
        <v>6.8000000000000005E-2</v>
      </c>
      <c r="AE12">
        <f>3/50</f>
        <v>0.06</v>
      </c>
      <c r="AF12" s="21">
        <f>1/15</f>
        <v>6.6666666666666666E-2</v>
      </c>
      <c r="AG12" s="21">
        <f>1.6/34</f>
        <v>4.7058823529411764E-2</v>
      </c>
      <c r="AH12" s="21">
        <f>3.2/47</f>
        <v>6.8085106382978725E-2</v>
      </c>
      <c r="AI12" s="21">
        <f>0.4/35</f>
        <v>1.1428571428571429E-2</v>
      </c>
      <c r="AJ12" s="21">
        <f>1/31</f>
        <v>3.2258064516129031E-2</v>
      </c>
      <c r="AK12" s="21">
        <f>3/55</f>
        <v>5.4545454545454543E-2</v>
      </c>
    </row>
    <row r="13" spans="19:37">
      <c r="S13" t="s">
        <v>1192</v>
      </c>
      <c r="T13">
        <v>0</v>
      </c>
      <c r="U13" s="69">
        <v>1</v>
      </c>
      <c r="V13" s="69">
        <v>1</v>
      </c>
      <c r="W13" s="69">
        <v>1</v>
      </c>
      <c r="X13" s="69">
        <v>1</v>
      </c>
      <c r="Y13" s="69">
        <v>1</v>
      </c>
      <c r="Z13" s="69">
        <v>1</v>
      </c>
      <c r="AA13" s="69">
        <v>1</v>
      </c>
      <c r="AB13" s="69">
        <v>1</v>
      </c>
      <c r="AC13" s="69">
        <v>1</v>
      </c>
      <c r="AD13">
        <f>23/50</f>
        <v>0.46</v>
      </c>
      <c r="AE13" s="21">
        <f>34.3/50</f>
        <v>0.68599999999999994</v>
      </c>
      <c r="AF13" s="21">
        <f>5/15</f>
        <v>0.33333333333333331</v>
      </c>
      <c r="AG13" s="21">
        <f>2.75/34</f>
        <v>8.0882352941176475E-2</v>
      </c>
      <c r="AH13" s="21">
        <f>27.3/47</f>
        <v>0.58085106382978724</v>
      </c>
      <c r="AI13" s="21">
        <f>9.5/35</f>
        <v>0.27142857142857141</v>
      </c>
      <c r="AJ13" s="21">
        <f>9.25/31</f>
        <v>0.29838709677419356</v>
      </c>
      <c r="AK13" s="21">
        <f>32/55</f>
        <v>0.58181818181818179</v>
      </c>
    </row>
    <row r="14" spans="19:37">
      <c r="S14" t="s">
        <v>1194</v>
      </c>
      <c r="T14">
        <v>0</v>
      </c>
      <c r="U14" s="69">
        <v>1</v>
      </c>
      <c r="V14" s="69">
        <v>1</v>
      </c>
      <c r="W14" s="69">
        <v>1</v>
      </c>
      <c r="X14" s="69">
        <v>1</v>
      </c>
      <c r="Y14" s="69">
        <v>1</v>
      </c>
      <c r="Z14" s="69">
        <v>1</v>
      </c>
      <c r="AA14" s="69">
        <v>1</v>
      </c>
      <c r="AB14" s="69">
        <v>0.8</v>
      </c>
      <c r="AC14" s="69">
        <v>0.8</v>
      </c>
      <c r="AD14" s="21">
        <f>26.4/50</f>
        <v>0.52800000000000002</v>
      </c>
      <c r="AE14" s="21">
        <f>41.4/50</f>
        <v>0.82799999999999996</v>
      </c>
      <c r="AF14">
        <f>6.6/15</f>
        <v>0.44</v>
      </c>
      <c r="AG14" s="21">
        <f>11.2/34</f>
        <v>0.32941176470588235</v>
      </c>
      <c r="AH14" s="21">
        <f>24.6/47</f>
        <v>0.52340425531914891</v>
      </c>
      <c r="AI14" s="21">
        <f>24.4/35</f>
        <v>0.69714285714285706</v>
      </c>
      <c r="AJ14" s="21">
        <f>12/31</f>
        <v>0.38709677419354838</v>
      </c>
      <c r="AK14" s="21">
        <f>32.6/55</f>
        <v>0.59272727272727277</v>
      </c>
    </row>
    <row r="15" spans="19:37">
      <c r="S15" t="s">
        <v>1196</v>
      </c>
      <c r="T15">
        <v>0</v>
      </c>
      <c r="U15" s="69">
        <v>1</v>
      </c>
      <c r="V15" s="69">
        <v>1</v>
      </c>
      <c r="W15" s="69">
        <v>1</v>
      </c>
      <c r="X15" s="69">
        <v>1</v>
      </c>
      <c r="Y15" s="69">
        <v>0.2</v>
      </c>
      <c r="Z15" s="69">
        <v>0.2</v>
      </c>
      <c r="AA15" s="69">
        <v>0.8</v>
      </c>
      <c r="AB15" s="69">
        <v>1</v>
      </c>
      <c r="AC15" s="69">
        <v>0.4</v>
      </c>
      <c r="AD15">
        <f>11/50</f>
        <v>0.22</v>
      </c>
      <c r="AE15" s="21">
        <f>17.6/50</f>
        <v>0.35200000000000004</v>
      </c>
      <c r="AF15" s="21">
        <f>6.4/15</f>
        <v>0.42666666666666669</v>
      </c>
      <c r="AG15" s="21">
        <f>5.25/34</f>
        <v>0.15441176470588236</v>
      </c>
      <c r="AH15" s="21">
        <f>15.75/47</f>
        <v>0.33510638297872342</v>
      </c>
      <c r="AI15" s="21">
        <f>14.2/35</f>
        <v>0.40571428571428569</v>
      </c>
      <c r="AJ15" s="21">
        <f>10.5/31</f>
        <v>0.33870967741935482</v>
      </c>
      <c r="AK15" s="21">
        <f>17.6666666666667/55</f>
        <v>0.32121212121212184</v>
      </c>
    </row>
    <row r="16" spans="19:37">
      <c r="S16" t="s">
        <v>1198</v>
      </c>
      <c r="T16" s="69">
        <v>1</v>
      </c>
      <c r="U16" s="69">
        <v>1</v>
      </c>
      <c r="V16" s="69">
        <v>1</v>
      </c>
      <c r="W16" s="69">
        <v>1</v>
      </c>
      <c r="X16" s="69">
        <v>1</v>
      </c>
      <c r="Y16" s="69">
        <v>0.8</v>
      </c>
      <c r="Z16" s="69">
        <v>0.8</v>
      </c>
      <c r="AA16" s="69">
        <v>1</v>
      </c>
      <c r="AB16" s="69">
        <v>0.8</v>
      </c>
      <c r="AC16" s="69">
        <v>1</v>
      </c>
      <c r="AD16" s="21">
        <f>12.4/50</f>
        <v>0.248</v>
      </c>
      <c r="AE16">
        <f>19/50</f>
        <v>0.38</v>
      </c>
      <c r="AF16">
        <f>6.6/15</f>
        <v>0.44</v>
      </c>
      <c r="AG16" s="21">
        <f>11/34</f>
        <v>0.3235294117647059</v>
      </c>
      <c r="AH16" s="21">
        <f>19.6/47</f>
        <v>0.41702127659574473</v>
      </c>
      <c r="AI16" s="21">
        <f>10.2/35</f>
        <v>0.29142857142857143</v>
      </c>
      <c r="AJ16" s="21">
        <f>12.2/31</f>
        <v>0.39354838709677414</v>
      </c>
      <c r="AK16" s="21">
        <f>20/55</f>
        <v>0.36363636363636365</v>
      </c>
    </row>
    <row r="17" spans="19:37">
      <c r="S17" t="s">
        <v>1200</v>
      </c>
      <c r="T17" s="69">
        <v>1</v>
      </c>
      <c r="U17" s="69">
        <v>1</v>
      </c>
      <c r="V17" s="69">
        <v>1</v>
      </c>
      <c r="W17" s="69">
        <v>1</v>
      </c>
      <c r="X17" s="69">
        <v>1</v>
      </c>
      <c r="Y17" s="69">
        <v>1</v>
      </c>
      <c r="Z17">
        <v>0</v>
      </c>
      <c r="AA17" s="69">
        <v>0.8</v>
      </c>
      <c r="AB17" s="69">
        <v>1</v>
      </c>
      <c r="AC17" s="69">
        <v>1</v>
      </c>
      <c r="AD17">
        <f>17/50</f>
        <v>0.34</v>
      </c>
      <c r="AE17" s="21">
        <f>21.6/50</f>
        <v>0.43200000000000005</v>
      </c>
      <c r="AF17" s="21">
        <f>4.6/15</f>
        <v>0.30666666666666664</v>
      </c>
      <c r="AG17" s="21">
        <f>15.2/34</f>
        <v>0.44705882352941173</v>
      </c>
      <c r="AH17" s="21">
        <f>25.2/47</f>
        <v>0.53617021276595744</v>
      </c>
      <c r="AI17" s="21">
        <f>26.2/35</f>
        <v>0.74857142857142855</v>
      </c>
      <c r="AJ17" s="21">
        <f>13/31</f>
        <v>0.41935483870967744</v>
      </c>
      <c r="AK17" s="21">
        <f>33.4/55</f>
        <v>0.6072727272727273</v>
      </c>
    </row>
    <row r="18" spans="19:37">
      <c r="S18" t="s">
        <v>1202</v>
      </c>
      <c r="T18">
        <v>0</v>
      </c>
      <c r="U18" s="69">
        <v>1</v>
      </c>
      <c r="V18" s="69">
        <v>1</v>
      </c>
      <c r="W18" s="69">
        <v>1</v>
      </c>
      <c r="X18" s="69">
        <v>1</v>
      </c>
      <c r="Y18">
        <v>0</v>
      </c>
      <c r="Z18">
        <v>0</v>
      </c>
      <c r="AA18" s="69">
        <v>1</v>
      </c>
      <c r="AB18" s="69">
        <v>0.6</v>
      </c>
      <c r="AC18" s="69">
        <v>0.8</v>
      </c>
      <c r="AD18" s="21">
        <f>32.8/50</f>
        <v>0.65599999999999992</v>
      </c>
      <c r="AE18" s="21">
        <f>23.8/50</f>
        <v>0.47600000000000003</v>
      </c>
      <c r="AF18">
        <f>6/15</f>
        <v>0.4</v>
      </c>
      <c r="AG18" s="21">
        <f>10.6/34</f>
        <v>0.31176470588235294</v>
      </c>
      <c r="AH18" s="21">
        <f>14.6/47</f>
        <v>0.31063829787234043</v>
      </c>
      <c r="AI18" s="21">
        <f>17.4/35</f>
        <v>0.49714285714285711</v>
      </c>
      <c r="AJ18" s="21">
        <f>8.6/31</f>
        <v>0.27741935483870966</v>
      </c>
      <c r="AK18" s="21">
        <f>24.6/55</f>
        <v>0.44727272727272732</v>
      </c>
    </row>
    <row r="19" spans="19:37">
      <c r="S19" t="s">
        <v>1204</v>
      </c>
      <c r="T19" s="69">
        <v>1</v>
      </c>
      <c r="U19" s="69">
        <v>1</v>
      </c>
      <c r="V19" s="69">
        <v>1</v>
      </c>
      <c r="W19" s="69">
        <v>1</v>
      </c>
      <c r="X19" s="69">
        <v>1</v>
      </c>
      <c r="Y19" s="69">
        <v>0.2</v>
      </c>
      <c r="Z19">
        <v>0</v>
      </c>
      <c r="AA19" s="69">
        <v>1</v>
      </c>
      <c r="AB19" s="69">
        <v>1</v>
      </c>
      <c r="AC19" s="69">
        <v>0.8</v>
      </c>
      <c r="AD19" s="21">
        <f>12.8/50</f>
        <v>0.25600000000000001</v>
      </c>
      <c r="AE19" s="21">
        <f>16.8/50</f>
        <v>0.33600000000000002</v>
      </c>
      <c r="AF19" s="21">
        <f>2.2/15</f>
        <v>0.14666666666666667</v>
      </c>
      <c r="AG19">
        <f>6.8/34</f>
        <v>0.19999999999999998</v>
      </c>
      <c r="AH19" s="21">
        <f>25.4/47</f>
        <v>0.54042553191489362</v>
      </c>
      <c r="AI19" s="21">
        <f>15/35</f>
        <v>0.42857142857142855</v>
      </c>
      <c r="AJ19" s="21">
        <f>11/31</f>
        <v>0.35483870967741937</v>
      </c>
      <c r="AK19" s="21">
        <f>22.4/55</f>
        <v>0.40727272727272723</v>
      </c>
    </row>
    <row r="20" spans="19:37">
      <c r="S20" t="s">
        <v>1206</v>
      </c>
      <c r="T20" s="69">
        <v>0.6</v>
      </c>
      <c r="U20" s="69">
        <v>1</v>
      </c>
      <c r="V20" s="69">
        <v>0.8</v>
      </c>
      <c r="W20" s="69">
        <v>1</v>
      </c>
      <c r="X20" s="69">
        <v>0.8</v>
      </c>
      <c r="Y20" s="69">
        <v>1</v>
      </c>
      <c r="Z20" s="69">
        <v>0.4</v>
      </c>
      <c r="AA20" s="69">
        <v>1</v>
      </c>
      <c r="AB20" s="69">
        <v>0.8</v>
      </c>
      <c r="AC20" s="69">
        <v>0.6</v>
      </c>
      <c r="AD20" s="21">
        <f>27.6/50</f>
        <v>0.55200000000000005</v>
      </c>
      <c r="AE20" s="21">
        <f>25.2/50</f>
        <v>0.504</v>
      </c>
      <c r="AF20">
        <f>6/15</f>
        <v>0.4</v>
      </c>
      <c r="AG20" s="21">
        <f>8/34</f>
        <v>0.23529411764705882</v>
      </c>
      <c r="AH20" s="21">
        <f>18.2/47</f>
        <v>0.38723404255319149</v>
      </c>
      <c r="AI20" s="21">
        <f>8.8/35</f>
        <v>0.25142857142857145</v>
      </c>
      <c r="AJ20" s="21">
        <f>10/31</f>
        <v>0.32258064516129031</v>
      </c>
      <c r="AK20" s="21">
        <f>27.6/55</f>
        <v>0.50181818181818183</v>
      </c>
    </row>
    <row r="21" spans="19:37">
      <c r="S21" t="s">
        <v>1208</v>
      </c>
      <c r="T21" s="69">
        <v>1</v>
      </c>
      <c r="U21" s="69">
        <v>1</v>
      </c>
      <c r="V21" s="69">
        <v>1</v>
      </c>
      <c r="W21" s="69">
        <v>1</v>
      </c>
      <c r="X21" s="69">
        <v>1</v>
      </c>
      <c r="Y21">
        <v>0</v>
      </c>
      <c r="Z21">
        <v>0</v>
      </c>
      <c r="AA21" s="69">
        <v>1</v>
      </c>
      <c r="AB21" s="69">
        <v>1</v>
      </c>
      <c r="AC21" s="69">
        <v>1</v>
      </c>
      <c r="AD21" s="21">
        <f>15.6/50</f>
        <v>0.312</v>
      </c>
      <c r="AE21" s="21">
        <f>9.6/50</f>
        <v>0.192</v>
      </c>
      <c r="AF21">
        <f>6/15</f>
        <v>0.4</v>
      </c>
      <c r="AG21" s="21">
        <f>4.5/34</f>
        <v>0.13235294117647059</v>
      </c>
      <c r="AH21" s="21">
        <f>16.5/47</f>
        <v>0.35106382978723405</v>
      </c>
      <c r="AI21" s="21">
        <f>19.75/35</f>
        <v>0.56428571428571428</v>
      </c>
      <c r="AJ21" s="21">
        <f>12.33/31</f>
        <v>0.39774193548387099</v>
      </c>
      <c r="AK21" s="21">
        <f>24/55</f>
        <v>0.43636363636363634</v>
      </c>
    </row>
    <row r="22" spans="19:37">
      <c r="S22" t="s">
        <v>1210</v>
      </c>
      <c r="T22">
        <v>0</v>
      </c>
      <c r="U22" s="69">
        <v>1</v>
      </c>
      <c r="V22" s="69">
        <v>1</v>
      </c>
      <c r="W22" s="69">
        <v>1</v>
      </c>
      <c r="X22" s="69">
        <v>1</v>
      </c>
      <c r="Y22" s="69">
        <v>1</v>
      </c>
      <c r="Z22" s="69">
        <v>1</v>
      </c>
      <c r="AA22" s="69">
        <v>1</v>
      </c>
      <c r="AB22" s="69">
        <v>0.75</v>
      </c>
      <c r="AC22" s="69">
        <v>0.75</v>
      </c>
      <c r="AD22">
        <f>34.5/50</f>
        <v>0.69</v>
      </c>
      <c r="AE22">
        <f>27/50</f>
        <v>0.54</v>
      </c>
      <c r="AF22">
        <f>6/15</f>
        <v>0.4</v>
      </c>
      <c r="AG22" s="21">
        <f>4.75/34</f>
        <v>0.13970588235294118</v>
      </c>
      <c r="AH22" s="21">
        <f>30.6/47</f>
        <v>0.65106382978723409</v>
      </c>
      <c r="AI22" s="21">
        <f>14.4/35</f>
        <v>0.41142857142857142</v>
      </c>
      <c r="AJ22" s="21">
        <f>16.4/31</f>
        <v>0.52903225806451604</v>
      </c>
      <c r="AK22" s="21">
        <f>22.8/55</f>
        <v>0.41454545454545455</v>
      </c>
    </row>
    <row r="23" spans="19:37">
      <c r="S23" t="s">
        <v>1212</v>
      </c>
      <c r="T23" s="69">
        <v>1</v>
      </c>
      <c r="U23" s="69">
        <v>1</v>
      </c>
      <c r="V23" s="69">
        <v>1</v>
      </c>
      <c r="W23" s="69">
        <v>1</v>
      </c>
      <c r="X23" s="69">
        <v>1</v>
      </c>
      <c r="Y23" s="69">
        <v>0.8</v>
      </c>
      <c r="Z23" s="69">
        <v>0.2</v>
      </c>
      <c r="AA23" s="69">
        <v>1</v>
      </c>
      <c r="AB23" s="69">
        <v>0.8</v>
      </c>
      <c r="AC23" s="69">
        <v>1</v>
      </c>
      <c r="AD23" s="21">
        <f>34.4/50</f>
        <v>0.68799999999999994</v>
      </c>
      <c r="AE23">
        <f>32/50</f>
        <v>0.64</v>
      </c>
      <c r="AF23" s="21">
        <f>10/15</f>
        <v>0.66666666666666663</v>
      </c>
      <c r="AG23" s="21">
        <f>20.75/34</f>
        <v>0.61029411764705888</v>
      </c>
      <c r="AH23" s="21">
        <f>21.75/47</f>
        <v>0.46276595744680848</v>
      </c>
      <c r="AI23" s="21">
        <f>26.75/35</f>
        <v>0.76428571428571423</v>
      </c>
      <c r="AJ23" s="21">
        <f>18/31</f>
        <v>0.58064516129032262</v>
      </c>
      <c r="AK23">
        <f>41.25/55</f>
        <v>0.75</v>
      </c>
    </row>
    <row r="24" spans="19:37">
      <c r="S24" t="s">
        <v>1214</v>
      </c>
      <c r="T24" s="69">
        <v>1</v>
      </c>
      <c r="U24" s="69">
        <v>1</v>
      </c>
      <c r="V24" s="69">
        <v>0.4</v>
      </c>
      <c r="W24" s="69">
        <v>0.6</v>
      </c>
      <c r="X24" s="69">
        <v>0.4</v>
      </c>
      <c r="Y24" s="69">
        <v>0.2</v>
      </c>
      <c r="Z24" s="69">
        <v>0.2</v>
      </c>
      <c r="AA24" s="69">
        <v>1</v>
      </c>
      <c r="AB24" s="69">
        <v>0.8</v>
      </c>
      <c r="AC24" s="69">
        <v>0.8</v>
      </c>
      <c r="AD24" s="21">
        <f>7.4/50</f>
        <v>0.14800000000000002</v>
      </c>
      <c r="AE24" s="21">
        <f>12.2/50</f>
        <v>0.24399999999999999</v>
      </c>
      <c r="AF24" s="21">
        <f>2.2/15</f>
        <v>0.14666666666666667</v>
      </c>
      <c r="AG24" s="21">
        <f>2.4/34</f>
        <v>7.0588235294117646E-2</v>
      </c>
      <c r="AH24">
        <f>18.8/47</f>
        <v>0.4</v>
      </c>
      <c r="AI24" s="21">
        <f>7.6/35</f>
        <v>0.21714285714285714</v>
      </c>
      <c r="AJ24" s="21">
        <f>5.8/31</f>
        <v>0.18709677419354839</v>
      </c>
      <c r="AK24">
        <f>13.2/55</f>
        <v>0.24</v>
      </c>
    </row>
    <row r="25" spans="19:37">
      <c r="S25" t="s">
        <v>1216</v>
      </c>
      <c r="T25">
        <v>0</v>
      </c>
      <c r="U25" s="69">
        <v>1</v>
      </c>
      <c r="V25" s="69">
        <v>1</v>
      </c>
      <c r="W25" s="69">
        <v>1</v>
      </c>
      <c r="X25" s="69">
        <v>0.8</v>
      </c>
      <c r="Y25" s="69">
        <v>0.4</v>
      </c>
      <c r="Z25">
        <v>0</v>
      </c>
      <c r="AA25" s="69">
        <v>1</v>
      </c>
      <c r="AB25" s="69">
        <v>0.8</v>
      </c>
      <c r="AC25" s="69">
        <v>1</v>
      </c>
      <c r="AD25" s="21">
        <f>20.2/50</f>
        <v>0.40399999999999997</v>
      </c>
      <c r="AE25" s="21">
        <f>17.4/50</f>
        <v>0.34799999999999998</v>
      </c>
      <c r="AF25" s="21">
        <f>1.25/15</f>
        <v>8.3333333333333329E-2</v>
      </c>
      <c r="AG25" s="21">
        <f>8.25/34</f>
        <v>0.24264705882352941</v>
      </c>
      <c r="AH25" s="21">
        <v>0.56382979</v>
      </c>
      <c r="AI25" s="21">
        <f>13.5/35</f>
        <v>0.38571428571428573</v>
      </c>
      <c r="AJ25">
        <f>15.5/31</f>
        <v>0.5</v>
      </c>
      <c r="AK25" s="21">
        <f>25.25/55</f>
        <v>0.45909090909090911</v>
      </c>
    </row>
    <row r="26" spans="19:37">
      <c r="S26" t="s">
        <v>1218</v>
      </c>
      <c r="T26">
        <v>0</v>
      </c>
      <c r="U26" s="69">
        <v>1</v>
      </c>
      <c r="V26" s="69">
        <v>1</v>
      </c>
      <c r="W26" s="69">
        <v>1</v>
      </c>
      <c r="X26" s="69">
        <v>1</v>
      </c>
      <c r="Y26">
        <v>0</v>
      </c>
      <c r="Z26">
        <v>0</v>
      </c>
      <c r="AA26" s="69">
        <v>1</v>
      </c>
      <c r="AB26" s="69">
        <v>0.6</v>
      </c>
      <c r="AC26" s="69">
        <v>1</v>
      </c>
      <c r="AD26">
        <f>24.5/50</f>
        <v>0.49</v>
      </c>
      <c r="AE26">
        <f>19/50</f>
        <v>0.38</v>
      </c>
      <c r="AF26">
        <f>7.2/15</f>
        <v>0.48000000000000004</v>
      </c>
      <c r="AG26" s="21">
        <f>16.6/34</f>
        <v>0.4882352941176471</v>
      </c>
      <c r="AH26" s="21">
        <f>18.6/47</f>
        <v>0.39574468085106385</v>
      </c>
      <c r="AI26" s="21">
        <f>17.8/35</f>
        <v>0.50857142857142856</v>
      </c>
      <c r="AJ26" s="21">
        <f>9.6/31</f>
        <v>0.30967741935483872</v>
      </c>
      <c r="AK26" s="21">
        <f>27.2/55</f>
        <v>0.49454545454545451</v>
      </c>
    </row>
    <row r="27" spans="19:37">
      <c r="S27" t="s">
        <v>1220</v>
      </c>
      <c r="T27">
        <v>0</v>
      </c>
      <c r="U27" s="69">
        <v>1</v>
      </c>
      <c r="V27" s="69">
        <v>1</v>
      </c>
      <c r="W27" s="69">
        <v>1</v>
      </c>
      <c r="X27" s="69">
        <v>1</v>
      </c>
      <c r="Y27">
        <v>0</v>
      </c>
      <c r="Z27">
        <v>0</v>
      </c>
      <c r="AA27" s="69">
        <v>1</v>
      </c>
      <c r="AB27" s="69">
        <v>0.4</v>
      </c>
      <c r="AC27" s="69">
        <v>1</v>
      </c>
      <c r="AD27">
        <f>7.5/50</f>
        <v>0.15</v>
      </c>
      <c r="AE27" s="40">
        <f>15/50</f>
        <v>0.3</v>
      </c>
      <c r="AF27" s="21">
        <f>5/15</f>
        <v>0.33333333333333331</v>
      </c>
      <c r="AG27" s="21">
        <f>5.5/34</f>
        <v>0.16176470588235295</v>
      </c>
      <c r="AH27" s="21">
        <f>11.5/47</f>
        <v>0.24468085106382978</v>
      </c>
      <c r="AI27">
        <f>7/35</f>
        <v>0.2</v>
      </c>
      <c r="AJ27" s="21">
        <f>7.25/31</f>
        <v>0.23387096774193547</v>
      </c>
      <c r="AK27" s="21">
        <f>14.25/55</f>
        <v>0.25909090909090909</v>
      </c>
    </row>
    <row r="28" spans="19:37">
      <c r="S28" t="s">
        <v>1222</v>
      </c>
      <c r="T28">
        <v>0</v>
      </c>
      <c r="U28" s="69">
        <v>1</v>
      </c>
      <c r="V28" s="69">
        <v>1</v>
      </c>
      <c r="W28" s="69">
        <v>1</v>
      </c>
      <c r="X28" s="69">
        <v>1</v>
      </c>
      <c r="Y28" s="69">
        <v>0.2</v>
      </c>
      <c r="Z28">
        <v>0</v>
      </c>
      <c r="AA28" s="69">
        <v>1</v>
      </c>
      <c r="AB28" s="69">
        <v>0.4</v>
      </c>
      <c r="AC28" s="69">
        <v>0.6</v>
      </c>
      <c r="AD28" s="21">
        <f>17.2/50</f>
        <v>0.34399999999999997</v>
      </c>
      <c r="AE28" s="21">
        <f>25.4/50</f>
        <v>0.50800000000000001</v>
      </c>
      <c r="AF28" s="21">
        <f>6.2/15</f>
        <v>0.41333333333333333</v>
      </c>
      <c r="AG28" s="21">
        <f>12.2/34</f>
        <v>0.35882352941176471</v>
      </c>
      <c r="AH28" s="21">
        <f>16.8/47</f>
        <v>0.35744680851063831</v>
      </c>
      <c r="AI28" s="21">
        <f>11/35</f>
        <v>0.31428571428571428</v>
      </c>
      <c r="AJ28" s="21">
        <f>9.8/31</f>
        <v>0.31612903225806455</v>
      </c>
      <c r="AK28" s="21">
        <f>20/55</f>
        <v>0.36363636363636365</v>
      </c>
    </row>
    <row r="30" spans="19:37" ht="16">
      <c r="S30" s="67" t="s">
        <v>1858</v>
      </c>
    </row>
    <row r="31" spans="19:37" ht="99">
      <c r="S31" s="1" t="s">
        <v>1174</v>
      </c>
      <c r="T31" s="70" t="s">
        <v>1387</v>
      </c>
      <c r="U31" s="70" t="s">
        <v>1576</v>
      </c>
      <c r="V31" s="70" t="s">
        <v>1577</v>
      </c>
      <c r="W31" s="70" t="s">
        <v>1578</v>
      </c>
      <c r="X31" s="70" t="s">
        <v>1844</v>
      </c>
      <c r="Y31" s="70" t="s">
        <v>1857</v>
      </c>
      <c r="Z31" s="70" t="s">
        <v>1845</v>
      </c>
      <c r="AA31" s="70" t="s">
        <v>1579</v>
      </c>
      <c r="AB31" s="70" t="s">
        <v>1562</v>
      </c>
      <c r="AC31" s="70" t="s">
        <v>1389</v>
      </c>
      <c r="AD31" s="70" t="s">
        <v>1223</v>
      </c>
      <c r="AE31" s="70" t="s">
        <v>0</v>
      </c>
      <c r="AF31" s="70" t="s">
        <v>2</v>
      </c>
      <c r="AG31" s="70" t="s">
        <v>3</v>
      </c>
      <c r="AH31" s="70" t="s">
        <v>4</v>
      </c>
      <c r="AI31" s="70" t="s">
        <v>5</v>
      </c>
      <c r="AJ31" s="70" t="s">
        <v>6</v>
      </c>
      <c r="AK31" s="70" t="s">
        <v>1224</v>
      </c>
    </row>
    <row r="32" spans="19:37">
      <c r="S32" t="s">
        <v>1175</v>
      </c>
      <c r="T32">
        <v>0</v>
      </c>
      <c r="U32" s="71">
        <v>0.8</v>
      </c>
      <c r="V32">
        <v>0</v>
      </c>
      <c r="W32">
        <v>0</v>
      </c>
      <c r="X32">
        <v>0</v>
      </c>
      <c r="Y32">
        <v>0</v>
      </c>
      <c r="Z32">
        <v>0</v>
      </c>
      <c r="AA32" s="71">
        <v>0.4</v>
      </c>
      <c r="AB32" s="71">
        <v>0.4</v>
      </c>
      <c r="AC32" s="71">
        <v>0.2</v>
      </c>
      <c r="AD32" s="21">
        <f>6.4/50</f>
        <v>0.128</v>
      </c>
      <c r="AE32">
        <f>11/50</f>
        <v>0.22</v>
      </c>
      <c r="AF32" s="21">
        <f>0.4/15</f>
        <v>2.6666666666666668E-2</v>
      </c>
      <c r="AG32" s="21">
        <f>0.2/34</f>
        <v>5.8823529411764705E-3</v>
      </c>
      <c r="AH32" s="21">
        <f>2.8/47</f>
        <v>5.9574468085106379E-2</v>
      </c>
      <c r="AI32">
        <f>2.8/35</f>
        <v>0.08</v>
      </c>
      <c r="AJ32" s="21">
        <f>2.8/31</f>
        <v>9.0322580645161285E-2</v>
      </c>
      <c r="AK32" s="21">
        <f>2.8/55</f>
        <v>5.0909090909090904E-2</v>
      </c>
    </row>
    <row r="33" spans="19:37">
      <c r="S33" t="s">
        <v>1177</v>
      </c>
      <c r="T33">
        <v>0</v>
      </c>
      <c r="U33" s="71">
        <v>1</v>
      </c>
      <c r="V33" s="71">
        <v>1</v>
      </c>
      <c r="W33" s="71">
        <v>1</v>
      </c>
      <c r="X33" s="71">
        <v>0.6</v>
      </c>
      <c r="Y33">
        <v>0</v>
      </c>
      <c r="Z33">
        <v>0</v>
      </c>
      <c r="AA33">
        <v>0</v>
      </c>
      <c r="AB33">
        <v>0</v>
      </c>
      <c r="AC33">
        <v>0</v>
      </c>
      <c r="AD33" s="21">
        <f>7.6/50</f>
        <v>0.152</v>
      </c>
      <c r="AE33" s="21">
        <f>12.4/50</f>
        <v>0.248</v>
      </c>
      <c r="AF33" s="21">
        <f>1.6/15</f>
        <v>0.10666666666666667</v>
      </c>
      <c r="AG33" s="21">
        <f>0.6/34</f>
        <v>1.7647058823529412E-2</v>
      </c>
      <c r="AH33" s="21">
        <f>11.4/47</f>
        <v>0.24255319148936172</v>
      </c>
      <c r="AI33" s="21">
        <f>1.2/35</f>
        <v>3.4285714285714287E-2</v>
      </c>
      <c r="AJ33" s="21">
        <f>0.6/31</f>
        <v>1.935483870967742E-2</v>
      </c>
      <c r="AK33" s="21">
        <f>10.2/55</f>
        <v>0.18545454545454546</v>
      </c>
    </row>
    <row r="34" spans="19:37">
      <c r="S34" t="s">
        <v>1179</v>
      </c>
      <c r="T34">
        <v>0</v>
      </c>
      <c r="U34">
        <v>0</v>
      </c>
      <c r="V34">
        <v>0</v>
      </c>
      <c r="W34">
        <v>0</v>
      </c>
      <c r="X34">
        <v>0</v>
      </c>
      <c r="Y34">
        <v>0</v>
      </c>
      <c r="Z34">
        <v>0</v>
      </c>
      <c r="AA34">
        <v>0</v>
      </c>
      <c r="AB34" s="71">
        <v>0.25</v>
      </c>
      <c r="AC34" s="71">
        <v>0.4</v>
      </c>
      <c r="AD34" s="21">
        <f>1.8/50</f>
        <v>3.6000000000000004E-2</v>
      </c>
      <c r="AE34" s="21">
        <v>0</v>
      </c>
      <c r="AF34" s="21">
        <f>1.6/15</f>
        <v>0.10666666666666667</v>
      </c>
      <c r="AG34" s="21">
        <f>0.6/34</f>
        <v>1.7647058823529412E-2</v>
      </c>
      <c r="AH34" s="21">
        <f>4.4/47</f>
        <v>9.3617021276595755E-2</v>
      </c>
      <c r="AI34" s="21">
        <f>5.8/35</f>
        <v>0.1657142857142857</v>
      </c>
      <c r="AJ34" s="21">
        <f>1.8/31</f>
        <v>5.8064516129032261E-2</v>
      </c>
      <c r="AK34">
        <f>6.6/55</f>
        <v>0.12</v>
      </c>
    </row>
    <row r="35" spans="19:37">
      <c r="S35" t="s">
        <v>1181</v>
      </c>
      <c r="T35">
        <v>0</v>
      </c>
      <c r="U35" s="71">
        <v>1</v>
      </c>
      <c r="V35" s="71">
        <v>1</v>
      </c>
      <c r="W35" s="71">
        <v>1</v>
      </c>
      <c r="X35" s="71">
        <v>0.2</v>
      </c>
      <c r="Y35">
        <v>0</v>
      </c>
      <c r="Z35">
        <v>0</v>
      </c>
      <c r="AA35">
        <v>0</v>
      </c>
      <c r="AB35" s="71">
        <v>0.5</v>
      </c>
      <c r="AC35" s="71">
        <v>0.5</v>
      </c>
      <c r="AD35" s="21">
        <f>2.4/50</f>
        <v>4.8000000000000001E-2</v>
      </c>
      <c r="AE35">
        <f>13/50</f>
        <v>0.26</v>
      </c>
      <c r="AF35" s="21">
        <f>2.2/15</f>
        <v>0.14666666666666667</v>
      </c>
      <c r="AG35" s="21">
        <v>0</v>
      </c>
      <c r="AH35" s="21">
        <f>11.2/47</f>
        <v>0.23829787234042552</v>
      </c>
      <c r="AI35" s="21">
        <f>2/35</f>
        <v>5.7142857142857141E-2</v>
      </c>
      <c r="AJ35" s="21">
        <f>3.2/31</f>
        <v>0.1032258064516129</v>
      </c>
      <c r="AK35" s="21">
        <f>8.5/55</f>
        <v>0.15454545454545454</v>
      </c>
    </row>
    <row r="36" spans="19:37">
      <c r="S36" t="s">
        <v>1183</v>
      </c>
      <c r="T36">
        <v>0</v>
      </c>
      <c r="U36" s="71">
        <v>1</v>
      </c>
      <c r="V36" s="71">
        <v>0.8</v>
      </c>
      <c r="W36" s="71">
        <v>0.8</v>
      </c>
      <c r="X36" s="71">
        <v>0.6</v>
      </c>
      <c r="Y36" s="71">
        <v>1</v>
      </c>
      <c r="Z36" s="71">
        <v>1</v>
      </c>
      <c r="AA36">
        <v>0</v>
      </c>
      <c r="AB36" s="71">
        <v>0.6</v>
      </c>
      <c r="AC36" s="71">
        <v>0.4</v>
      </c>
      <c r="AD36">
        <f>3/50</f>
        <v>0.06</v>
      </c>
      <c r="AE36">
        <f>1/50</f>
        <v>0.02</v>
      </c>
      <c r="AF36" s="21">
        <f>3.8/15</f>
        <v>0.2533333333333333</v>
      </c>
      <c r="AG36" s="21">
        <f>1.2/34</f>
        <v>3.5294117647058823E-2</v>
      </c>
      <c r="AH36" s="21">
        <f>7.6/47</f>
        <v>0.16170212765957445</v>
      </c>
      <c r="AI36" s="21">
        <f>0.8/35</f>
        <v>2.2857142857142857E-2</v>
      </c>
      <c r="AJ36" s="21">
        <f>1.6/31</f>
        <v>5.1612903225806452E-2</v>
      </c>
      <c r="AK36" s="21">
        <f>2/55</f>
        <v>3.6363636363636362E-2</v>
      </c>
    </row>
    <row r="37" spans="19:37">
      <c r="S37" t="s">
        <v>1185</v>
      </c>
      <c r="T37" s="71">
        <v>1</v>
      </c>
      <c r="U37" s="71">
        <v>1</v>
      </c>
      <c r="V37" s="71">
        <v>1</v>
      </c>
      <c r="W37" s="71">
        <v>0.8</v>
      </c>
      <c r="X37" s="71">
        <v>0.8</v>
      </c>
      <c r="Y37">
        <v>0</v>
      </c>
      <c r="Z37">
        <v>0</v>
      </c>
      <c r="AA37">
        <v>0</v>
      </c>
      <c r="AB37" s="72">
        <v>0.66666666666666696</v>
      </c>
      <c r="AC37" s="71">
        <v>0.75</v>
      </c>
      <c r="AD37" s="21">
        <f>6.6/50</f>
        <v>0.13200000000000001</v>
      </c>
      <c r="AE37" s="21">
        <f>15.8/50</f>
        <v>0.316</v>
      </c>
      <c r="AF37" s="21">
        <f>5/15</f>
        <v>0.33333333333333331</v>
      </c>
      <c r="AG37" s="21">
        <f>0.6/34</f>
        <v>1.7647058823529412E-2</v>
      </c>
      <c r="AH37" s="21">
        <f>4.8/47</f>
        <v>0.10212765957446808</v>
      </c>
      <c r="AI37" s="21">
        <f>4.6/35</f>
        <v>0.13142857142857142</v>
      </c>
      <c r="AJ37" s="21">
        <f>6.6/31</f>
        <v>0.2129032258064516</v>
      </c>
      <c r="AK37" s="21">
        <f>14.6/55</f>
        <v>0.26545454545454544</v>
      </c>
    </row>
    <row r="38" spans="19:37">
      <c r="S38" t="s">
        <v>1187</v>
      </c>
      <c r="T38">
        <v>0</v>
      </c>
      <c r="U38" s="71">
        <v>1</v>
      </c>
      <c r="V38" s="71">
        <v>1</v>
      </c>
      <c r="W38" s="71">
        <v>1</v>
      </c>
      <c r="X38" s="71">
        <v>1</v>
      </c>
      <c r="Y38" s="71">
        <v>1</v>
      </c>
      <c r="Z38">
        <v>0</v>
      </c>
      <c r="AA38">
        <v>0</v>
      </c>
      <c r="AB38">
        <v>0</v>
      </c>
      <c r="AC38">
        <v>0</v>
      </c>
      <c r="AD38" s="21">
        <f>12.6/50</f>
        <v>0.252</v>
      </c>
      <c r="AE38">
        <f>12/50</f>
        <v>0.24</v>
      </c>
      <c r="AF38">
        <f>2.4/15</f>
        <v>0.16</v>
      </c>
      <c r="AG38" s="21">
        <f>1/34</f>
        <v>2.9411764705882353E-2</v>
      </c>
      <c r="AH38" s="21">
        <f>9.8/47</f>
        <v>0.20851063829787236</v>
      </c>
      <c r="AI38" s="21">
        <f>2.4/35</f>
        <v>6.8571428571428575E-2</v>
      </c>
      <c r="AJ38" s="21">
        <f>3/31</f>
        <v>9.6774193548387094E-2</v>
      </c>
      <c r="AK38" s="21">
        <f>7.2/55</f>
        <v>0.13090909090909092</v>
      </c>
    </row>
    <row r="39" spans="19:37">
      <c r="S39" t="s">
        <v>1189</v>
      </c>
      <c r="T39">
        <v>0</v>
      </c>
      <c r="U39" s="71">
        <v>1</v>
      </c>
      <c r="V39" s="71">
        <v>1</v>
      </c>
      <c r="W39" s="71">
        <v>1</v>
      </c>
      <c r="X39" s="71">
        <v>0.6</v>
      </c>
      <c r="Y39" s="71">
        <v>0.2</v>
      </c>
      <c r="Z39">
        <v>0</v>
      </c>
      <c r="AA39" s="71">
        <v>0.2</v>
      </c>
      <c r="AB39" s="71">
        <v>0.33</v>
      </c>
      <c r="AC39">
        <v>0</v>
      </c>
      <c r="AD39">
        <f>4/50</f>
        <v>0.08</v>
      </c>
      <c r="AE39" s="21">
        <f>7.2/50</f>
        <v>0.14400000000000002</v>
      </c>
      <c r="AF39" s="21">
        <f>0.25/15</f>
        <v>1.6666666666666666E-2</v>
      </c>
      <c r="AG39" s="21">
        <v>0</v>
      </c>
      <c r="AH39" s="21">
        <f>5.75/47</f>
        <v>0.12234042553191489</v>
      </c>
      <c r="AI39" s="21">
        <f>1.25/35</f>
        <v>3.5714285714285712E-2</v>
      </c>
      <c r="AJ39" s="21">
        <v>0</v>
      </c>
      <c r="AK39" s="21">
        <f>5/55</f>
        <v>9.0909090909090912E-2</v>
      </c>
    </row>
    <row r="40" spans="19:37">
      <c r="S40" t="s">
        <v>1191</v>
      </c>
      <c r="T40">
        <v>0</v>
      </c>
      <c r="U40" s="71">
        <v>1</v>
      </c>
      <c r="V40" s="71">
        <v>1</v>
      </c>
      <c r="W40" s="71">
        <v>1</v>
      </c>
      <c r="X40" s="71">
        <v>0.8</v>
      </c>
      <c r="Y40" s="71">
        <v>1</v>
      </c>
      <c r="Z40" s="71">
        <v>1</v>
      </c>
      <c r="AA40" s="71">
        <v>0.2</v>
      </c>
      <c r="AB40">
        <v>0</v>
      </c>
      <c r="AC40">
        <v>0</v>
      </c>
      <c r="AD40" s="21">
        <f>15.8/50</f>
        <v>0.316</v>
      </c>
      <c r="AE40" s="21">
        <f>21.6/50</f>
        <v>0.43200000000000005</v>
      </c>
      <c r="AF40" s="21">
        <f>3.2/15</f>
        <v>0.21333333333333335</v>
      </c>
      <c r="AG40" s="21">
        <f>0.75/34</f>
        <v>2.2058823529411766E-2</v>
      </c>
      <c r="AH40" s="21">
        <f>16/47</f>
        <v>0.34042553191489361</v>
      </c>
      <c r="AI40" s="21">
        <f>10.2/35</f>
        <v>0.29142857142857143</v>
      </c>
      <c r="AJ40" s="21">
        <f>8/31</f>
        <v>0.25806451612903225</v>
      </c>
      <c r="AK40" s="21">
        <f>13.4/55</f>
        <v>0.24363636363636365</v>
      </c>
    </row>
    <row r="41" spans="19:37">
      <c r="S41" t="s">
        <v>1193</v>
      </c>
      <c r="T41">
        <v>0</v>
      </c>
      <c r="U41" s="71">
        <v>1</v>
      </c>
      <c r="V41" s="71">
        <v>1</v>
      </c>
      <c r="W41" s="71">
        <v>1</v>
      </c>
      <c r="X41" s="71">
        <v>1</v>
      </c>
      <c r="Y41" s="71">
        <v>1</v>
      </c>
      <c r="Z41" s="71">
        <v>1</v>
      </c>
      <c r="AA41" s="71">
        <v>0.6</v>
      </c>
      <c r="AB41">
        <v>0</v>
      </c>
      <c r="AC41">
        <v>0</v>
      </c>
      <c r="AD41" s="21">
        <f>18.8/50</f>
        <v>0.376</v>
      </c>
      <c r="AE41" s="21">
        <f>25.2/50</f>
        <v>0.504</v>
      </c>
      <c r="AF41" s="21">
        <f>5.6/15</f>
        <v>0.37333333333333329</v>
      </c>
      <c r="AG41" s="21">
        <f>4/34</f>
        <v>0.11764705882352941</v>
      </c>
      <c r="AH41" s="21">
        <f>12.2/47</f>
        <v>0.25957446808510637</v>
      </c>
      <c r="AI41" s="21">
        <f>8/35</f>
        <v>0.22857142857142856</v>
      </c>
      <c r="AJ41" s="21">
        <f>5/31</f>
        <v>0.16129032258064516</v>
      </c>
      <c r="AK41" s="21">
        <f>17/55</f>
        <v>0.30909090909090908</v>
      </c>
    </row>
    <row r="42" spans="19:37">
      <c r="S42" t="s">
        <v>1195</v>
      </c>
      <c r="T42">
        <v>0</v>
      </c>
      <c r="U42" s="71">
        <v>1</v>
      </c>
      <c r="V42" s="71">
        <v>1</v>
      </c>
      <c r="W42" s="71">
        <v>1</v>
      </c>
      <c r="X42" s="71">
        <v>0.8</v>
      </c>
      <c r="Y42" s="71">
        <v>1</v>
      </c>
      <c r="Z42" s="71">
        <v>1</v>
      </c>
      <c r="AA42">
        <v>0</v>
      </c>
      <c r="AB42">
        <v>0</v>
      </c>
      <c r="AC42">
        <v>0</v>
      </c>
      <c r="AD42">
        <f>20.5/50</f>
        <v>0.41</v>
      </c>
      <c r="AE42">
        <f>20.5/50</f>
        <v>0.41</v>
      </c>
      <c r="AF42" s="21">
        <f>7.4/15</f>
        <v>0.49333333333333335</v>
      </c>
      <c r="AG42" s="21">
        <f>3/34</f>
        <v>8.8235294117647065E-2</v>
      </c>
      <c r="AH42" s="21">
        <f>11.8/47</f>
        <v>0.25106382978723407</v>
      </c>
      <c r="AI42" s="21">
        <f>6/35</f>
        <v>0.17142857142857143</v>
      </c>
      <c r="AJ42" s="21">
        <f>8.2/31</f>
        <v>0.26451612903225802</v>
      </c>
      <c r="AK42" s="21">
        <f>14.2/55</f>
        <v>0.25818181818181818</v>
      </c>
    </row>
    <row r="43" spans="19:37">
      <c r="S43" t="s">
        <v>1197</v>
      </c>
      <c r="T43" s="71">
        <v>1</v>
      </c>
      <c r="U43" s="71">
        <v>1</v>
      </c>
      <c r="V43" s="71">
        <v>0.6</v>
      </c>
      <c r="W43" s="71">
        <v>0.4</v>
      </c>
      <c r="X43" s="71">
        <v>0.4</v>
      </c>
      <c r="Y43" s="71">
        <v>1</v>
      </c>
      <c r="Z43" s="71">
        <v>1</v>
      </c>
      <c r="AA43" s="71">
        <v>0.6</v>
      </c>
      <c r="AB43" s="71">
        <v>0.4</v>
      </c>
      <c r="AC43" s="71">
        <v>0.2</v>
      </c>
      <c r="AD43" s="21">
        <f>11.8/50</f>
        <v>0.23600000000000002</v>
      </c>
      <c r="AE43" s="21">
        <f>16.2/50</f>
        <v>0.32400000000000001</v>
      </c>
      <c r="AF43">
        <f>4.5/15</f>
        <v>0.3</v>
      </c>
      <c r="AG43" s="21">
        <f>5.3/34</f>
        <v>0.15588235294117647</v>
      </c>
      <c r="AH43" s="21">
        <f>14.25/47</f>
        <v>0.30319148936170215</v>
      </c>
      <c r="AI43" s="21">
        <f>9.75/35</f>
        <v>0.27857142857142858</v>
      </c>
      <c r="AJ43" s="21">
        <f>9.5/31</f>
        <v>0.30645161290322581</v>
      </c>
      <c r="AK43" s="21">
        <f>14/55</f>
        <v>0.25454545454545452</v>
      </c>
    </row>
    <row r="44" spans="19:37">
      <c r="S44" t="s">
        <v>1199</v>
      </c>
      <c r="T44" s="71">
        <v>1</v>
      </c>
      <c r="U44" s="71">
        <v>1</v>
      </c>
      <c r="V44" s="71">
        <v>0.8</v>
      </c>
      <c r="W44" s="71">
        <v>1</v>
      </c>
      <c r="X44" s="71">
        <v>0.8</v>
      </c>
      <c r="Y44" s="71">
        <v>1</v>
      </c>
      <c r="Z44">
        <v>0</v>
      </c>
      <c r="AA44" s="71">
        <v>0.4</v>
      </c>
      <c r="AB44">
        <v>0</v>
      </c>
      <c r="AC44">
        <v>0</v>
      </c>
      <c r="AD44">
        <f>17/50</f>
        <v>0.34</v>
      </c>
      <c r="AE44" s="21">
        <f>17.6/50</f>
        <v>0.35200000000000004</v>
      </c>
      <c r="AF44" s="21">
        <f>5.6/15</f>
        <v>0.37333333333333329</v>
      </c>
      <c r="AG44" s="21">
        <f>5.4/34</f>
        <v>0.15882352941176472</v>
      </c>
      <c r="AH44" s="21">
        <f>18/47</f>
        <v>0.38297872340425532</v>
      </c>
      <c r="AI44" s="21">
        <f>8.6/35</f>
        <v>0.24571428571428569</v>
      </c>
      <c r="AJ44" s="21">
        <f>8.8/31</f>
        <v>0.28387096774193549</v>
      </c>
      <c r="AK44" s="21">
        <f>19.6/55</f>
        <v>0.35636363636363638</v>
      </c>
    </row>
    <row r="45" spans="19:37">
      <c r="S45" t="s">
        <v>1201</v>
      </c>
      <c r="T45">
        <v>0</v>
      </c>
      <c r="U45" s="71">
        <v>1</v>
      </c>
      <c r="V45" s="71">
        <v>1</v>
      </c>
      <c r="W45" s="71">
        <v>1</v>
      </c>
      <c r="X45" s="71">
        <v>1</v>
      </c>
      <c r="Y45">
        <v>0</v>
      </c>
      <c r="Z45">
        <v>0</v>
      </c>
      <c r="AA45" s="71">
        <v>1</v>
      </c>
      <c r="AB45">
        <v>0</v>
      </c>
      <c r="AC45">
        <v>0</v>
      </c>
      <c r="AD45" s="21">
        <f>12.8/50</f>
        <v>0.25600000000000001</v>
      </c>
      <c r="AE45" s="21">
        <f>11.2/50</f>
        <v>0.22399999999999998</v>
      </c>
      <c r="AF45" s="21">
        <f>5.6/15</f>
        <v>0.37333333333333329</v>
      </c>
      <c r="AG45" s="21">
        <f>9.6/34</f>
        <v>0.28235294117647058</v>
      </c>
      <c r="AH45" s="21">
        <f>13.6/47</f>
        <v>0.28936170212765955</v>
      </c>
      <c r="AI45" s="21">
        <f>8.6/35</f>
        <v>0.24571428571428569</v>
      </c>
      <c r="AJ45" s="21">
        <f>4.8/31</f>
        <v>0.15483870967741936</v>
      </c>
      <c r="AK45" s="21">
        <f>16.75/55</f>
        <v>0.30454545454545456</v>
      </c>
    </row>
    <row r="46" spans="19:37">
      <c r="S46" t="s">
        <v>1203</v>
      </c>
      <c r="T46" s="71">
        <v>1</v>
      </c>
      <c r="U46" s="71">
        <v>1</v>
      </c>
      <c r="V46" s="71">
        <v>1</v>
      </c>
      <c r="W46" s="71">
        <v>1</v>
      </c>
      <c r="X46" s="71">
        <v>0.6</v>
      </c>
      <c r="Y46" s="71">
        <v>1</v>
      </c>
      <c r="Z46" s="71">
        <v>1</v>
      </c>
      <c r="AA46">
        <v>0</v>
      </c>
      <c r="AB46">
        <v>0</v>
      </c>
      <c r="AC46" s="71">
        <v>0.2</v>
      </c>
      <c r="AD46" s="21">
        <f>15.2/50</f>
        <v>0.30399999999999999</v>
      </c>
      <c r="AE46" s="21">
        <f>22.2/50</f>
        <v>0.44400000000000001</v>
      </c>
      <c r="AF46" s="21">
        <f>5/15</f>
        <v>0.33333333333333331</v>
      </c>
      <c r="AG46" s="21">
        <f>4.4/34</f>
        <v>0.12941176470588237</v>
      </c>
      <c r="AH46" s="21">
        <f>24.4/47</f>
        <v>0.51914893617021274</v>
      </c>
      <c r="AI46" s="21">
        <f>8/35</f>
        <v>0.22857142857142856</v>
      </c>
      <c r="AJ46" s="21">
        <f>11/31</f>
        <v>0.35483870967741937</v>
      </c>
      <c r="AK46" s="21">
        <f>15.75/55</f>
        <v>0.28636363636363638</v>
      </c>
    </row>
    <row r="47" spans="19:37">
      <c r="S47" t="s">
        <v>1205</v>
      </c>
      <c r="T47" s="71">
        <v>0.8</v>
      </c>
      <c r="U47" s="71">
        <v>1</v>
      </c>
      <c r="V47" s="71">
        <v>1</v>
      </c>
      <c r="W47" s="71">
        <v>1</v>
      </c>
      <c r="X47" s="71">
        <v>1</v>
      </c>
      <c r="Y47" s="71">
        <v>1</v>
      </c>
      <c r="Z47" s="71">
        <v>0.8</v>
      </c>
      <c r="AA47" s="71">
        <v>0.8</v>
      </c>
      <c r="AB47">
        <v>0</v>
      </c>
      <c r="AC47">
        <v>0</v>
      </c>
      <c r="AD47">
        <f>26/50</f>
        <v>0.52</v>
      </c>
      <c r="AE47" s="21">
        <f>34.2/50</f>
        <v>0.68400000000000005</v>
      </c>
      <c r="AF47" s="21">
        <f>7/15</f>
        <v>0.46666666666666667</v>
      </c>
      <c r="AG47" s="21">
        <f>6.4/34</f>
        <v>0.18823529411764706</v>
      </c>
      <c r="AH47">
        <f>18.8/47</f>
        <v>0.4</v>
      </c>
      <c r="AI47" s="21">
        <f>9/35</f>
        <v>0.25714285714285712</v>
      </c>
      <c r="AJ47" s="21">
        <f>7.8/31</f>
        <v>0.25161290322580643</v>
      </c>
      <c r="AK47" s="21">
        <f>19.2/55</f>
        <v>0.34909090909090906</v>
      </c>
    </row>
    <row r="48" spans="19:37">
      <c r="S48" t="s">
        <v>1207</v>
      </c>
      <c r="T48" s="71">
        <v>1</v>
      </c>
      <c r="U48" s="71">
        <v>1</v>
      </c>
      <c r="V48" s="71">
        <v>1</v>
      </c>
      <c r="W48" s="71">
        <v>0.8</v>
      </c>
      <c r="X48" s="71">
        <v>0.2</v>
      </c>
      <c r="Y48" s="71">
        <v>1</v>
      </c>
      <c r="Z48" s="71">
        <v>0.2</v>
      </c>
      <c r="AA48" s="71">
        <v>0.2</v>
      </c>
      <c r="AB48" s="71">
        <v>0.2</v>
      </c>
      <c r="AC48">
        <v>0</v>
      </c>
      <c r="AD48">
        <f>7/50</f>
        <v>0.14000000000000001</v>
      </c>
      <c r="AE48" s="21">
        <f>11.4/50</f>
        <v>0.22800000000000001</v>
      </c>
      <c r="AF48" s="21">
        <f>4.4/15</f>
        <v>0.29333333333333333</v>
      </c>
      <c r="AG48" s="21">
        <f>6.4/34</f>
        <v>0.18823529411764706</v>
      </c>
      <c r="AH48" s="21">
        <f>17.2/47</f>
        <v>0.36595744680851061</v>
      </c>
      <c r="AI48" s="21">
        <f>9/35</f>
        <v>0.25714285714285712</v>
      </c>
      <c r="AJ48" s="21">
        <f>11.5/31</f>
        <v>0.37096774193548387</v>
      </c>
      <c r="AK48" s="21">
        <f>21.75/55</f>
        <v>0.39545454545454545</v>
      </c>
    </row>
    <row r="49" spans="18:37">
      <c r="S49" t="s">
        <v>1209</v>
      </c>
      <c r="T49">
        <v>0</v>
      </c>
      <c r="U49" s="71">
        <v>1</v>
      </c>
      <c r="V49" s="71">
        <v>1</v>
      </c>
      <c r="W49" s="71">
        <v>1</v>
      </c>
      <c r="X49" s="71">
        <v>1</v>
      </c>
      <c r="Y49" s="71">
        <v>0.8</v>
      </c>
      <c r="Z49" s="71">
        <v>1</v>
      </c>
      <c r="AA49">
        <v>0</v>
      </c>
      <c r="AB49">
        <v>0</v>
      </c>
      <c r="AC49">
        <v>0</v>
      </c>
      <c r="AD49">
        <f>29/50</f>
        <v>0.57999999999999996</v>
      </c>
      <c r="AE49" s="21">
        <f>19.3333333333/50</f>
        <v>0.38666666666600003</v>
      </c>
      <c r="AF49" s="21">
        <f>5.2/15</f>
        <v>0.34666666666666668</v>
      </c>
      <c r="AG49" s="21">
        <f>2.2/34</f>
        <v>6.4705882352941183E-2</v>
      </c>
      <c r="AH49" s="21">
        <f>16.8/47</f>
        <v>0.35744680851063831</v>
      </c>
      <c r="AI49" s="21">
        <f>10/35</f>
        <v>0.2857142857142857</v>
      </c>
      <c r="AJ49" s="21">
        <f>8.6/31</f>
        <v>0.27741935483870966</v>
      </c>
      <c r="AK49" s="21">
        <f>13.6/55</f>
        <v>0.24727272727272726</v>
      </c>
    </row>
    <row r="50" spans="18:37">
      <c r="S50" t="s">
        <v>1211</v>
      </c>
      <c r="T50" s="71">
        <v>1</v>
      </c>
      <c r="U50" s="71">
        <v>1</v>
      </c>
      <c r="V50" s="71">
        <v>0.8</v>
      </c>
      <c r="W50" s="71">
        <v>1</v>
      </c>
      <c r="X50" s="71">
        <v>0.8</v>
      </c>
      <c r="Y50" s="71">
        <v>1</v>
      </c>
      <c r="Z50" s="71">
        <v>1</v>
      </c>
      <c r="AA50" s="71">
        <v>0.4</v>
      </c>
      <c r="AB50">
        <v>0</v>
      </c>
      <c r="AC50">
        <v>0</v>
      </c>
      <c r="AD50" s="21">
        <f>20.2/50</f>
        <v>0.40399999999999997</v>
      </c>
      <c r="AE50" s="21">
        <f>27.8/50</f>
        <v>0.55600000000000005</v>
      </c>
      <c r="AF50">
        <f>7.2/15</f>
        <v>0.48000000000000004</v>
      </c>
      <c r="AG50" s="21">
        <f>7.6/34</f>
        <v>0.22352941176470587</v>
      </c>
      <c r="AH50" s="21">
        <f>19.6/47</f>
        <v>0.41702127659574473</v>
      </c>
      <c r="AI50" s="21">
        <f>12.4/35</f>
        <v>0.35428571428571431</v>
      </c>
      <c r="AJ50" s="21">
        <f>7.4/31</f>
        <v>0.23870967741935484</v>
      </c>
      <c r="AK50" s="21">
        <f>22.4/55</f>
        <v>0.40727272727272723</v>
      </c>
    </row>
    <row r="51" spans="18:37">
      <c r="S51" t="s">
        <v>1213</v>
      </c>
      <c r="T51" s="71">
        <v>1</v>
      </c>
      <c r="U51" s="71">
        <v>1</v>
      </c>
      <c r="V51" s="71">
        <v>0.8</v>
      </c>
      <c r="W51" s="71">
        <v>0.4</v>
      </c>
      <c r="X51">
        <v>0</v>
      </c>
      <c r="Y51" s="71">
        <v>0.8</v>
      </c>
      <c r="Z51">
        <v>0</v>
      </c>
      <c r="AA51">
        <v>0</v>
      </c>
      <c r="AB51">
        <v>0</v>
      </c>
      <c r="AC51">
        <v>0</v>
      </c>
      <c r="AD51">
        <f>2/50</f>
        <v>0.04</v>
      </c>
      <c r="AE51" s="21">
        <f>7.75/50</f>
        <v>0.155</v>
      </c>
      <c r="AF51">
        <f>3/15</f>
        <v>0.2</v>
      </c>
      <c r="AG51">
        <f>3.4/34</f>
        <v>9.9999999999999992E-2</v>
      </c>
      <c r="AH51" s="21">
        <f>9.8/47</f>
        <v>0.20851063829787236</v>
      </c>
      <c r="AI51" s="21">
        <f>4.4/35</f>
        <v>0.12571428571428572</v>
      </c>
      <c r="AJ51" s="21">
        <f>4.4/31</f>
        <v>0.14193548387096774</v>
      </c>
      <c r="AK51" s="21">
        <f>6.25/55</f>
        <v>0.11363636363636363</v>
      </c>
    </row>
    <row r="52" spans="18:37">
      <c r="S52" t="s">
        <v>1215</v>
      </c>
      <c r="T52">
        <v>0</v>
      </c>
      <c r="U52" s="71">
        <v>1</v>
      </c>
      <c r="V52" s="71">
        <v>1</v>
      </c>
      <c r="W52" s="71">
        <v>1</v>
      </c>
      <c r="X52" s="71">
        <v>0.75</v>
      </c>
      <c r="Y52" s="71">
        <v>0.6</v>
      </c>
      <c r="Z52">
        <v>0</v>
      </c>
      <c r="AA52">
        <v>0</v>
      </c>
      <c r="AB52" s="71">
        <v>0.4</v>
      </c>
      <c r="AC52" s="71">
        <v>0.4</v>
      </c>
      <c r="AD52" s="21">
        <f>7.6666667/50</f>
        <v>0.15333333400000002</v>
      </c>
      <c r="AE52">
        <f>9.5/50</f>
        <v>0.19</v>
      </c>
      <c r="AF52">
        <f>4.2/15</f>
        <v>0.28000000000000003</v>
      </c>
      <c r="AG52" s="21">
        <f>5/34</f>
        <v>0.14705882352941177</v>
      </c>
      <c r="AH52" s="21">
        <f>19/47</f>
        <v>0.40425531914893614</v>
      </c>
      <c r="AI52" s="21">
        <f>7.6/35</f>
        <v>0.21714285714285714</v>
      </c>
      <c r="AJ52" s="21">
        <f>8.8/31</f>
        <v>0.28387096774193549</v>
      </c>
      <c r="AK52" s="21">
        <f>17.2/55</f>
        <v>0.31272727272727269</v>
      </c>
    </row>
    <row r="53" spans="18:37">
      <c r="S53" t="s">
        <v>1217</v>
      </c>
      <c r="T53">
        <v>0</v>
      </c>
      <c r="U53" s="71">
        <v>1</v>
      </c>
      <c r="V53" s="71">
        <v>1</v>
      </c>
      <c r="W53" s="71">
        <v>1</v>
      </c>
      <c r="X53" s="71">
        <v>1</v>
      </c>
      <c r="Y53">
        <v>0</v>
      </c>
      <c r="Z53">
        <v>0</v>
      </c>
      <c r="AA53" s="71">
        <v>0.6</v>
      </c>
      <c r="AB53" s="71">
        <v>0.2</v>
      </c>
      <c r="AC53" s="71">
        <v>0.4</v>
      </c>
      <c r="AD53" s="21">
        <f>19.2/50</f>
        <v>0.38400000000000001</v>
      </c>
      <c r="AE53" s="21">
        <f>29.4/50</f>
        <v>0.58799999999999997</v>
      </c>
      <c r="AF53">
        <f>4.8/15</f>
        <v>0.32</v>
      </c>
      <c r="AG53" s="21">
        <f>6/34</f>
        <v>0.17647058823529413</v>
      </c>
      <c r="AH53" s="21">
        <f>14/47</f>
        <v>0.2978723404255319</v>
      </c>
      <c r="AI53" s="21">
        <f>7.4/35</f>
        <v>0.21142857142857144</v>
      </c>
      <c r="AJ53" s="21">
        <f>7.2/31</f>
        <v>0.23225806451612904</v>
      </c>
      <c r="AK53" s="21">
        <f>19.2/55</f>
        <v>0.34909090909090906</v>
      </c>
    </row>
    <row r="54" spans="18:37">
      <c r="S54" t="s">
        <v>1219</v>
      </c>
      <c r="T54">
        <v>0</v>
      </c>
      <c r="U54" s="71">
        <v>1</v>
      </c>
      <c r="V54" s="71">
        <v>1</v>
      </c>
      <c r="W54" s="71">
        <v>0.8</v>
      </c>
      <c r="X54" s="71">
        <v>1</v>
      </c>
      <c r="Y54" s="71">
        <v>0.8</v>
      </c>
      <c r="Z54">
        <v>0</v>
      </c>
      <c r="AA54">
        <v>0</v>
      </c>
      <c r="AB54">
        <v>0</v>
      </c>
      <c r="AC54">
        <v>0</v>
      </c>
      <c r="AD54" s="21">
        <f>10.75/50</f>
        <v>0.215</v>
      </c>
      <c r="AE54" s="21">
        <f>23.8/50</f>
        <v>0.47600000000000003</v>
      </c>
      <c r="AF54" s="21">
        <f>5/15</f>
        <v>0.33333333333333331</v>
      </c>
      <c r="AG54" s="21">
        <f>5.2/34</f>
        <v>0.15294117647058825</v>
      </c>
      <c r="AH54" s="21">
        <f>20.4/47</f>
        <v>0.43404255319148932</v>
      </c>
      <c r="AI54" s="21">
        <f>9.4/35</f>
        <v>0.26857142857142857</v>
      </c>
      <c r="AJ54" s="21">
        <f>9.8/31</f>
        <v>0.31612903225806455</v>
      </c>
      <c r="AK54" s="21">
        <f>12.4/55</f>
        <v>0.22545454545454546</v>
      </c>
    </row>
    <row r="55" spans="18:37">
      <c r="S55" t="s">
        <v>1221</v>
      </c>
      <c r="T55">
        <v>0</v>
      </c>
      <c r="U55" s="71">
        <v>0.8</v>
      </c>
      <c r="V55" s="71">
        <v>1</v>
      </c>
      <c r="W55" s="71">
        <v>1</v>
      </c>
      <c r="X55" s="71">
        <v>1</v>
      </c>
      <c r="Y55">
        <v>0</v>
      </c>
      <c r="Z55">
        <v>0</v>
      </c>
      <c r="AA55" s="71">
        <v>0.4</v>
      </c>
      <c r="AB55">
        <v>0</v>
      </c>
      <c r="AC55">
        <v>0</v>
      </c>
      <c r="AD55" s="40">
        <f>15/50</f>
        <v>0.3</v>
      </c>
      <c r="AE55" s="21">
        <f>13.2/50</f>
        <v>0.26400000000000001</v>
      </c>
      <c r="AF55">
        <f>4.8/15</f>
        <v>0.32</v>
      </c>
      <c r="AG55" s="21">
        <f>4.4/34</f>
        <v>0.12941176470588237</v>
      </c>
      <c r="AH55" s="21">
        <f>11.2/47</f>
        <v>0.23829787234042552</v>
      </c>
      <c r="AI55" s="21">
        <f>7.2/35</f>
        <v>0.20571428571428571</v>
      </c>
      <c r="AJ55" s="21">
        <f>8.2/31</f>
        <v>0.26451612903225802</v>
      </c>
      <c r="AK55" s="21">
        <f>13.8/55</f>
        <v>0.25090909090909091</v>
      </c>
    </row>
    <row r="59" spans="18:37" ht="24">
      <c r="T59" s="74" t="s">
        <v>1859</v>
      </c>
    </row>
    <row r="62" spans="18:37" ht="99">
      <c r="R62" s="1" t="s">
        <v>1174</v>
      </c>
      <c r="S62" s="1" t="s">
        <v>1174</v>
      </c>
      <c r="T62" s="68" t="s">
        <v>1387</v>
      </c>
      <c r="U62" s="70" t="s">
        <v>1387</v>
      </c>
      <c r="V62" s="2"/>
      <c r="W62" s="68" t="s">
        <v>1576</v>
      </c>
      <c r="X62" s="70" t="s">
        <v>1576</v>
      </c>
      <c r="Z62" s="68" t="s">
        <v>1577</v>
      </c>
      <c r="AA62" s="70" t="s">
        <v>1577</v>
      </c>
      <c r="AB62" s="2"/>
      <c r="AC62" s="68" t="s">
        <v>1578</v>
      </c>
      <c r="AD62" s="70" t="s">
        <v>1578</v>
      </c>
      <c r="AF62" s="68" t="s">
        <v>1844</v>
      </c>
      <c r="AG62" s="70" t="s">
        <v>1844</v>
      </c>
      <c r="AI62" s="68" t="s">
        <v>1857</v>
      </c>
      <c r="AJ62" s="70" t="s">
        <v>1857</v>
      </c>
    </row>
    <row r="63" spans="18:37">
      <c r="R63" t="s">
        <v>1176</v>
      </c>
      <c r="S63" t="s">
        <v>1175</v>
      </c>
      <c r="T63">
        <v>0</v>
      </c>
      <c r="U63">
        <v>0</v>
      </c>
      <c r="W63" s="69">
        <v>0.2</v>
      </c>
      <c r="X63" s="71">
        <v>0.8</v>
      </c>
      <c r="Z63">
        <v>0</v>
      </c>
      <c r="AA63">
        <v>0</v>
      </c>
      <c r="AC63">
        <v>0</v>
      </c>
      <c r="AD63">
        <v>0</v>
      </c>
      <c r="AF63">
        <v>0</v>
      </c>
      <c r="AG63">
        <v>0</v>
      </c>
      <c r="AI63">
        <v>0</v>
      </c>
      <c r="AJ63">
        <v>0</v>
      </c>
    </row>
    <row r="64" spans="18:37">
      <c r="R64" t="s">
        <v>1178</v>
      </c>
      <c r="S64" t="s">
        <v>1177</v>
      </c>
      <c r="T64">
        <v>0</v>
      </c>
      <c r="U64">
        <v>0</v>
      </c>
      <c r="W64" s="69">
        <v>1</v>
      </c>
      <c r="X64" s="71">
        <v>1</v>
      </c>
      <c r="Z64" s="69">
        <v>1</v>
      </c>
      <c r="AA64" s="71">
        <v>1</v>
      </c>
      <c r="AC64" s="69">
        <v>1</v>
      </c>
      <c r="AD64" s="71">
        <v>1</v>
      </c>
      <c r="AF64" s="69">
        <v>0.8</v>
      </c>
      <c r="AG64" s="71">
        <v>0.6</v>
      </c>
      <c r="AI64">
        <v>0</v>
      </c>
      <c r="AJ64">
        <v>0</v>
      </c>
    </row>
    <row r="65" spans="18:36">
      <c r="R65" t="s">
        <v>1180</v>
      </c>
      <c r="S65" t="s">
        <v>1179</v>
      </c>
      <c r="T65">
        <v>0</v>
      </c>
      <c r="U65">
        <v>0</v>
      </c>
      <c r="W65">
        <v>0</v>
      </c>
      <c r="X65">
        <v>0</v>
      </c>
      <c r="Z65">
        <v>0</v>
      </c>
      <c r="AA65">
        <v>0</v>
      </c>
      <c r="AC65">
        <v>0</v>
      </c>
      <c r="AD65">
        <v>0</v>
      </c>
      <c r="AF65">
        <v>0</v>
      </c>
      <c r="AG65">
        <v>0</v>
      </c>
      <c r="AI65">
        <v>0</v>
      </c>
      <c r="AJ65">
        <v>0</v>
      </c>
    </row>
    <row r="66" spans="18:36">
      <c r="R66" t="s">
        <v>1182</v>
      </c>
      <c r="S66" t="s">
        <v>1181</v>
      </c>
      <c r="T66">
        <v>0</v>
      </c>
      <c r="U66">
        <v>0</v>
      </c>
      <c r="W66" s="69">
        <v>1</v>
      </c>
      <c r="X66" s="71">
        <v>1</v>
      </c>
      <c r="Z66" s="69">
        <v>1</v>
      </c>
      <c r="AA66" s="71">
        <v>1</v>
      </c>
      <c r="AC66" s="69">
        <v>1</v>
      </c>
      <c r="AD66" s="71">
        <v>1</v>
      </c>
      <c r="AF66" s="69">
        <v>1</v>
      </c>
      <c r="AG66" s="71">
        <v>0.2</v>
      </c>
      <c r="AI66" s="69">
        <v>0.2</v>
      </c>
      <c r="AJ66">
        <v>0</v>
      </c>
    </row>
    <row r="67" spans="18:36">
      <c r="R67" t="s">
        <v>1184</v>
      </c>
      <c r="S67" t="s">
        <v>1183</v>
      </c>
      <c r="T67">
        <v>0</v>
      </c>
      <c r="U67">
        <v>0</v>
      </c>
      <c r="W67" s="69">
        <v>1</v>
      </c>
      <c r="X67" s="71">
        <v>1</v>
      </c>
      <c r="Z67" s="69">
        <v>1</v>
      </c>
      <c r="AA67" s="71">
        <v>0.8</v>
      </c>
      <c r="AC67" s="69">
        <v>1</v>
      </c>
      <c r="AD67" s="71">
        <v>0.8</v>
      </c>
      <c r="AF67" s="69">
        <v>1</v>
      </c>
      <c r="AG67" s="71">
        <v>0.6</v>
      </c>
      <c r="AI67" s="69">
        <v>1</v>
      </c>
      <c r="AJ67" s="71">
        <v>1</v>
      </c>
    </row>
    <row r="68" spans="18:36">
      <c r="R68" t="s">
        <v>1186</v>
      </c>
      <c r="S68" t="s">
        <v>1185</v>
      </c>
      <c r="T68" s="69">
        <v>1</v>
      </c>
      <c r="U68" s="71">
        <v>1</v>
      </c>
      <c r="W68" s="69">
        <v>1</v>
      </c>
      <c r="X68" s="71">
        <v>1</v>
      </c>
      <c r="Z68" s="69">
        <v>1</v>
      </c>
      <c r="AA68" s="71">
        <v>1</v>
      </c>
      <c r="AC68" s="69">
        <v>1</v>
      </c>
      <c r="AD68" s="71">
        <v>0.8</v>
      </c>
      <c r="AF68" s="69">
        <v>0.8</v>
      </c>
      <c r="AG68" s="71">
        <v>0.8</v>
      </c>
      <c r="AI68">
        <v>0</v>
      </c>
      <c r="AJ68">
        <v>0</v>
      </c>
    </row>
    <row r="69" spans="18:36">
      <c r="R69" t="s">
        <v>1188</v>
      </c>
      <c r="S69" t="s">
        <v>1187</v>
      </c>
      <c r="T69">
        <v>0</v>
      </c>
      <c r="U69">
        <v>0</v>
      </c>
      <c r="W69" s="69">
        <v>1</v>
      </c>
      <c r="X69" s="71">
        <v>1</v>
      </c>
      <c r="Z69" s="69">
        <v>1</v>
      </c>
      <c r="AA69" s="71">
        <v>1</v>
      </c>
      <c r="AC69" s="69">
        <v>1</v>
      </c>
      <c r="AD69" s="71">
        <v>1</v>
      </c>
      <c r="AF69" s="69">
        <v>1</v>
      </c>
      <c r="AG69" s="71">
        <v>1</v>
      </c>
      <c r="AI69">
        <v>0</v>
      </c>
      <c r="AJ69" s="71">
        <v>1</v>
      </c>
    </row>
    <row r="70" spans="18:36">
      <c r="R70" t="s">
        <v>1190</v>
      </c>
      <c r="S70" t="s">
        <v>1189</v>
      </c>
      <c r="T70">
        <v>0</v>
      </c>
      <c r="U70">
        <v>0</v>
      </c>
      <c r="W70" s="69">
        <v>1</v>
      </c>
      <c r="X70" s="71">
        <v>1</v>
      </c>
      <c r="Z70" s="69">
        <v>1</v>
      </c>
      <c r="AA70" s="71">
        <v>1</v>
      </c>
      <c r="AC70" s="69">
        <v>1</v>
      </c>
      <c r="AD70" s="71">
        <v>1</v>
      </c>
      <c r="AF70" s="69">
        <v>0.25</v>
      </c>
      <c r="AG70" s="71">
        <v>0.6</v>
      </c>
      <c r="AI70">
        <v>0</v>
      </c>
      <c r="AJ70" s="71">
        <v>0.2</v>
      </c>
    </row>
    <row r="71" spans="18:36">
      <c r="R71" t="s">
        <v>1192</v>
      </c>
      <c r="S71" t="s">
        <v>1191</v>
      </c>
      <c r="T71">
        <v>0</v>
      </c>
      <c r="U71">
        <v>0</v>
      </c>
      <c r="W71" s="69">
        <v>1</v>
      </c>
      <c r="X71" s="71">
        <v>1</v>
      </c>
      <c r="Z71" s="69">
        <v>1</v>
      </c>
      <c r="AA71" s="71">
        <v>1</v>
      </c>
      <c r="AC71" s="69">
        <v>1</v>
      </c>
      <c r="AD71" s="71">
        <v>1</v>
      </c>
      <c r="AF71" s="69">
        <v>1</v>
      </c>
      <c r="AG71" s="71">
        <v>0.8</v>
      </c>
      <c r="AI71" s="69">
        <v>1</v>
      </c>
      <c r="AJ71" s="71">
        <v>1</v>
      </c>
    </row>
    <row r="72" spans="18:36">
      <c r="R72" t="s">
        <v>1194</v>
      </c>
      <c r="S72" t="s">
        <v>1193</v>
      </c>
      <c r="T72">
        <v>0</v>
      </c>
      <c r="U72">
        <v>0</v>
      </c>
      <c r="W72" s="69">
        <v>1</v>
      </c>
      <c r="X72" s="71">
        <v>1</v>
      </c>
      <c r="Z72" s="69">
        <v>1</v>
      </c>
      <c r="AA72" s="71">
        <v>1</v>
      </c>
      <c r="AC72" s="69">
        <v>1</v>
      </c>
      <c r="AD72" s="71">
        <v>1</v>
      </c>
      <c r="AF72" s="69">
        <v>1</v>
      </c>
      <c r="AG72" s="71">
        <v>1</v>
      </c>
      <c r="AI72" s="69">
        <v>1</v>
      </c>
      <c r="AJ72" s="71">
        <v>1</v>
      </c>
    </row>
    <row r="73" spans="18:36">
      <c r="R73" t="s">
        <v>1196</v>
      </c>
      <c r="S73" t="s">
        <v>1195</v>
      </c>
      <c r="T73">
        <v>0</v>
      </c>
      <c r="U73">
        <v>0</v>
      </c>
      <c r="W73" s="69">
        <v>1</v>
      </c>
      <c r="X73" s="71">
        <v>1</v>
      </c>
      <c r="Z73" s="69">
        <v>1</v>
      </c>
      <c r="AA73" s="71">
        <v>1</v>
      </c>
      <c r="AC73" s="69">
        <v>1</v>
      </c>
      <c r="AD73" s="71">
        <v>1</v>
      </c>
      <c r="AF73" s="69">
        <v>1</v>
      </c>
      <c r="AG73" s="71">
        <v>0.8</v>
      </c>
      <c r="AI73" s="69">
        <v>0.2</v>
      </c>
      <c r="AJ73" s="71">
        <v>1</v>
      </c>
    </row>
    <row r="74" spans="18:36">
      <c r="R74" t="s">
        <v>1198</v>
      </c>
      <c r="S74" t="s">
        <v>1197</v>
      </c>
      <c r="T74" s="69">
        <v>1</v>
      </c>
      <c r="U74" s="71">
        <v>1</v>
      </c>
      <c r="W74" s="69">
        <v>1</v>
      </c>
      <c r="X74" s="71">
        <v>1</v>
      </c>
      <c r="Z74" s="69">
        <v>1</v>
      </c>
      <c r="AA74" s="71">
        <v>0.6</v>
      </c>
      <c r="AC74" s="69">
        <v>1</v>
      </c>
      <c r="AD74" s="71">
        <v>0.4</v>
      </c>
      <c r="AF74" s="69">
        <v>1</v>
      </c>
      <c r="AG74" s="71">
        <v>0.4</v>
      </c>
      <c r="AI74" s="69">
        <v>0.8</v>
      </c>
      <c r="AJ74" s="71">
        <v>1</v>
      </c>
    </row>
    <row r="75" spans="18:36">
      <c r="R75" t="s">
        <v>1200</v>
      </c>
      <c r="S75" t="s">
        <v>1199</v>
      </c>
      <c r="T75" s="69">
        <v>1</v>
      </c>
      <c r="U75" s="71">
        <v>1</v>
      </c>
      <c r="W75" s="69">
        <v>1</v>
      </c>
      <c r="X75" s="71">
        <v>1</v>
      </c>
      <c r="Z75" s="69">
        <v>1</v>
      </c>
      <c r="AA75" s="71">
        <v>0.8</v>
      </c>
      <c r="AC75" s="69">
        <v>1</v>
      </c>
      <c r="AD75" s="71">
        <v>1</v>
      </c>
      <c r="AF75" s="69">
        <v>1</v>
      </c>
      <c r="AG75" s="71">
        <v>0.8</v>
      </c>
      <c r="AI75" s="69">
        <v>1</v>
      </c>
      <c r="AJ75" s="71">
        <v>1</v>
      </c>
    </row>
    <row r="76" spans="18:36">
      <c r="R76" t="s">
        <v>1202</v>
      </c>
      <c r="S76" t="s">
        <v>1201</v>
      </c>
      <c r="T76">
        <v>0</v>
      </c>
      <c r="U76">
        <v>0</v>
      </c>
      <c r="W76" s="69">
        <v>1</v>
      </c>
      <c r="X76" s="71">
        <v>1</v>
      </c>
      <c r="Z76" s="69">
        <v>1</v>
      </c>
      <c r="AA76" s="71">
        <v>1</v>
      </c>
      <c r="AC76" s="69">
        <v>1</v>
      </c>
      <c r="AD76" s="71">
        <v>1</v>
      </c>
      <c r="AF76" s="69">
        <v>1</v>
      </c>
      <c r="AG76" s="71">
        <v>1</v>
      </c>
      <c r="AI76">
        <v>0</v>
      </c>
      <c r="AJ76">
        <v>0</v>
      </c>
    </row>
    <row r="77" spans="18:36">
      <c r="R77" t="s">
        <v>1204</v>
      </c>
      <c r="S77" t="s">
        <v>1203</v>
      </c>
      <c r="T77" s="69">
        <v>1</v>
      </c>
      <c r="U77" s="71">
        <v>1</v>
      </c>
      <c r="W77" s="69">
        <v>1</v>
      </c>
      <c r="X77" s="71">
        <v>1</v>
      </c>
      <c r="Z77" s="69">
        <v>1</v>
      </c>
      <c r="AA77" s="71">
        <v>1</v>
      </c>
      <c r="AC77" s="69">
        <v>1</v>
      </c>
      <c r="AD77" s="71">
        <v>1</v>
      </c>
      <c r="AF77" s="69">
        <v>1</v>
      </c>
      <c r="AG77" s="71">
        <v>0.6</v>
      </c>
      <c r="AI77" s="69">
        <v>0.2</v>
      </c>
      <c r="AJ77" s="71">
        <v>1</v>
      </c>
    </row>
    <row r="78" spans="18:36">
      <c r="R78" t="s">
        <v>1206</v>
      </c>
      <c r="S78" t="s">
        <v>1205</v>
      </c>
      <c r="T78" s="69">
        <v>0.6</v>
      </c>
      <c r="U78" s="71">
        <v>0.8</v>
      </c>
      <c r="W78" s="69">
        <v>1</v>
      </c>
      <c r="X78" s="71">
        <v>1</v>
      </c>
      <c r="Z78" s="69">
        <v>0.8</v>
      </c>
      <c r="AA78" s="71">
        <v>1</v>
      </c>
      <c r="AC78" s="69">
        <v>1</v>
      </c>
      <c r="AD78" s="71">
        <v>1</v>
      </c>
      <c r="AF78" s="69">
        <v>0.8</v>
      </c>
      <c r="AG78" s="71">
        <v>1</v>
      </c>
      <c r="AI78" s="69">
        <v>1</v>
      </c>
      <c r="AJ78" s="71">
        <v>1</v>
      </c>
    </row>
    <row r="79" spans="18:36">
      <c r="R79" t="s">
        <v>1208</v>
      </c>
      <c r="S79" t="s">
        <v>1207</v>
      </c>
      <c r="T79" s="69">
        <v>1</v>
      </c>
      <c r="U79" s="71">
        <v>1</v>
      </c>
      <c r="W79" s="69">
        <v>1</v>
      </c>
      <c r="X79" s="71">
        <v>1</v>
      </c>
      <c r="Z79" s="69">
        <v>1</v>
      </c>
      <c r="AA79" s="71">
        <v>1</v>
      </c>
      <c r="AC79" s="69">
        <v>1</v>
      </c>
      <c r="AD79" s="71">
        <v>0.8</v>
      </c>
      <c r="AF79" s="69">
        <v>1</v>
      </c>
      <c r="AG79" s="71">
        <v>0.2</v>
      </c>
      <c r="AI79">
        <v>0</v>
      </c>
      <c r="AJ79" s="71">
        <v>1</v>
      </c>
    </row>
    <row r="80" spans="18:36">
      <c r="R80" t="s">
        <v>1210</v>
      </c>
      <c r="S80" t="s">
        <v>1209</v>
      </c>
      <c r="T80">
        <v>0</v>
      </c>
      <c r="U80">
        <v>0</v>
      </c>
      <c r="W80" s="69">
        <v>1</v>
      </c>
      <c r="X80" s="71">
        <v>1</v>
      </c>
      <c r="Z80" s="69">
        <v>1</v>
      </c>
      <c r="AA80" s="71">
        <v>1</v>
      </c>
      <c r="AC80" s="69">
        <v>1</v>
      </c>
      <c r="AD80" s="71">
        <v>1</v>
      </c>
      <c r="AF80" s="69">
        <v>1</v>
      </c>
      <c r="AG80" s="71">
        <v>1</v>
      </c>
      <c r="AI80" s="69">
        <v>1</v>
      </c>
      <c r="AJ80" s="71">
        <v>0.8</v>
      </c>
    </row>
    <row r="81" spans="18:36">
      <c r="R81" t="s">
        <v>1212</v>
      </c>
      <c r="S81" t="s">
        <v>1211</v>
      </c>
      <c r="T81" s="69">
        <v>1</v>
      </c>
      <c r="U81" s="71">
        <v>1</v>
      </c>
      <c r="W81" s="69">
        <v>1</v>
      </c>
      <c r="X81" s="71">
        <v>1</v>
      </c>
      <c r="Z81" s="69">
        <v>1</v>
      </c>
      <c r="AA81" s="71">
        <v>0.8</v>
      </c>
      <c r="AC81" s="69">
        <v>1</v>
      </c>
      <c r="AD81" s="71">
        <v>1</v>
      </c>
      <c r="AF81" s="69">
        <v>1</v>
      </c>
      <c r="AG81" s="71">
        <v>0.8</v>
      </c>
      <c r="AI81" s="69">
        <v>0.8</v>
      </c>
      <c r="AJ81" s="71">
        <v>1</v>
      </c>
    </row>
    <row r="82" spans="18:36">
      <c r="R82" t="s">
        <v>1214</v>
      </c>
      <c r="S82" t="s">
        <v>1213</v>
      </c>
      <c r="T82" s="69">
        <v>1</v>
      </c>
      <c r="U82" s="71">
        <v>1</v>
      </c>
      <c r="W82" s="69">
        <v>1</v>
      </c>
      <c r="X82" s="71">
        <v>1</v>
      </c>
      <c r="Z82" s="69">
        <v>0.4</v>
      </c>
      <c r="AA82" s="71">
        <v>0.8</v>
      </c>
      <c r="AC82" s="69">
        <v>0.6</v>
      </c>
      <c r="AD82" s="71">
        <v>0.4</v>
      </c>
      <c r="AF82" s="69">
        <v>0.4</v>
      </c>
      <c r="AG82">
        <v>0</v>
      </c>
      <c r="AI82" s="69">
        <v>0.2</v>
      </c>
      <c r="AJ82" s="71">
        <v>0.8</v>
      </c>
    </row>
    <row r="83" spans="18:36">
      <c r="R83" t="s">
        <v>1216</v>
      </c>
      <c r="S83" t="s">
        <v>1215</v>
      </c>
      <c r="T83">
        <v>0</v>
      </c>
      <c r="U83">
        <v>0</v>
      </c>
      <c r="W83" s="69">
        <v>1</v>
      </c>
      <c r="X83" s="71">
        <v>1</v>
      </c>
      <c r="Z83" s="69">
        <v>1</v>
      </c>
      <c r="AA83" s="71">
        <v>1</v>
      </c>
      <c r="AC83" s="69">
        <v>1</v>
      </c>
      <c r="AD83" s="71">
        <v>1</v>
      </c>
      <c r="AF83" s="69">
        <v>0.8</v>
      </c>
      <c r="AG83" s="71">
        <v>0.75</v>
      </c>
      <c r="AI83" s="69">
        <v>0.4</v>
      </c>
      <c r="AJ83" s="71">
        <v>0.6</v>
      </c>
    </row>
    <row r="84" spans="18:36">
      <c r="R84" t="s">
        <v>1218</v>
      </c>
      <c r="S84" t="s">
        <v>1217</v>
      </c>
      <c r="T84">
        <v>0</v>
      </c>
      <c r="U84">
        <v>0</v>
      </c>
      <c r="W84" s="69">
        <v>1</v>
      </c>
      <c r="X84" s="71">
        <v>1</v>
      </c>
      <c r="Z84" s="69">
        <v>1</v>
      </c>
      <c r="AA84" s="71">
        <v>1</v>
      </c>
      <c r="AC84" s="69">
        <v>1</v>
      </c>
      <c r="AD84" s="71">
        <v>1</v>
      </c>
      <c r="AF84" s="69">
        <v>1</v>
      </c>
      <c r="AG84" s="71">
        <v>1</v>
      </c>
      <c r="AI84">
        <v>0</v>
      </c>
      <c r="AJ84">
        <v>0</v>
      </c>
    </row>
    <row r="85" spans="18:36">
      <c r="R85" t="s">
        <v>1220</v>
      </c>
      <c r="S85" t="s">
        <v>1219</v>
      </c>
      <c r="T85">
        <v>0</v>
      </c>
      <c r="U85">
        <v>0</v>
      </c>
      <c r="W85" s="69">
        <v>1</v>
      </c>
      <c r="X85" s="71">
        <v>1</v>
      </c>
      <c r="Z85" s="69">
        <v>1</v>
      </c>
      <c r="AA85" s="71">
        <v>1</v>
      </c>
      <c r="AC85" s="69">
        <v>1</v>
      </c>
      <c r="AD85" s="71">
        <v>0.8</v>
      </c>
      <c r="AF85" s="69">
        <v>1</v>
      </c>
      <c r="AG85" s="71">
        <v>1</v>
      </c>
      <c r="AI85">
        <v>0</v>
      </c>
      <c r="AJ85" s="71">
        <v>0.8</v>
      </c>
    </row>
    <row r="86" spans="18:36">
      <c r="R86" t="s">
        <v>1222</v>
      </c>
      <c r="S86" t="s">
        <v>1221</v>
      </c>
      <c r="T86">
        <v>0</v>
      </c>
      <c r="U86">
        <v>0</v>
      </c>
      <c r="W86" s="69">
        <v>1</v>
      </c>
      <c r="X86" s="71">
        <v>0.8</v>
      </c>
      <c r="Z86" s="69">
        <v>1</v>
      </c>
      <c r="AA86" s="71">
        <v>1</v>
      </c>
      <c r="AC86" s="69">
        <v>1</v>
      </c>
      <c r="AD86" s="71">
        <v>1</v>
      </c>
      <c r="AF86" s="69">
        <v>1</v>
      </c>
      <c r="AG86" s="71">
        <v>1</v>
      </c>
      <c r="AI86" s="69">
        <v>0.2</v>
      </c>
      <c r="AJ86">
        <v>0</v>
      </c>
    </row>
    <row r="90" spans="18:36" ht="99">
      <c r="R90" s="1" t="s">
        <v>1174</v>
      </c>
      <c r="S90" s="1" t="s">
        <v>1174</v>
      </c>
      <c r="T90" s="68" t="s">
        <v>1845</v>
      </c>
      <c r="U90" s="70" t="s">
        <v>1845</v>
      </c>
      <c r="W90" s="68" t="s">
        <v>1579</v>
      </c>
      <c r="X90" s="70" t="s">
        <v>1579</v>
      </c>
      <c r="Z90" s="68" t="s">
        <v>1562</v>
      </c>
      <c r="AA90" s="70" t="s">
        <v>1562</v>
      </c>
      <c r="AC90" s="68" t="s">
        <v>1389</v>
      </c>
      <c r="AD90" s="70" t="s">
        <v>1389</v>
      </c>
      <c r="AF90" s="68" t="s">
        <v>1223</v>
      </c>
      <c r="AG90" s="70" t="s">
        <v>1223</v>
      </c>
      <c r="AI90" s="68" t="s">
        <v>0</v>
      </c>
      <c r="AJ90" s="70" t="s">
        <v>0</v>
      </c>
    </row>
    <row r="91" spans="18:36">
      <c r="R91" t="s">
        <v>1176</v>
      </c>
      <c r="S91" t="s">
        <v>1175</v>
      </c>
      <c r="T91">
        <v>0</v>
      </c>
      <c r="U91">
        <v>0</v>
      </c>
      <c r="W91" s="69">
        <v>0.2</v>
      </c>
      <c r="X91" s="71">
        <v>0.4</v>
      </c>
      <c r="Z91">
        <v>0</v>
      </c>
      <c r="AA91" s="71">
        <v>0.4</v>
      </c>
      <c r="AC91">
        <v>0</v>
      </c>
      <c r="AD91" s="71">
        <v>0.2</v>
      </c>
      <c r="AF91" s="21">
        <f>0.2/50</f>
        <v>4.0000000000000001E-3</v>
      </c>
      <c r="AG91" s="21">
        <f>6.4/50</f>
        <v>0.128</v>
      </c>
      <c r="AI91" s="21">
        <f>13.2/50</f>
        <v>0.26400000000000001</v>
      </c>
      <c r="AJ91">
        <f>11/50</f>
        <v>0.22</v>
      </c>
    </row>
    <row r="92" spans="18:36">
      <c r="R92" t="s">
        <v>1178</v>
      </c>
      <c r="S92" t="s">
        <v>1177</v>
      </c>
      <c r="T92">
        <v>0</v>
      </c>
      <c r="U92">
        <v>0</v>
      </c>
      <c r="W92" s="69">
        <v>0.6</v>
      </c>
      <c r="X92">
        <v>0</v>
      </c>
      <c r="Z92" s="69">
        <v>0.75</v>
      </c>
      <c r="AA92">
        <v>0</v>
      </c>
      <c r="AC92" s="69">
        <v>0.5</v>
      </c>
      <c r="AD92">
        <v>0</v>
      </c>
      <c r="AF92" s="21">
        <f>6.4/50</f>
        <v>0.128</v>
      </c>
      <c r="AG92" s="21">
        <f>7.6/50</f>
        <v>0.152</v>
      </c>
      <c r="AI92" s="21">
        <f>7.8/50</f>
        <v>0.156</v>
      </c>
      <c r="AJ92" s="21">
        <f>12.4/50</f>
        <v>0.248</v>
      </c>
    </row>
    <row r="93" spans="18:36">
      <c r="R93" t="s">
        <v>1180</v>
      </c>
      <c r="S93" t="s">
        <v>1179</v>
      </c>
      <c r="T93">
        <v>0</v>
      </c>
      <c r="U93">
        <v>0</v>
      </c>
      <c r="W93">
        <v>0</v>
      </c>
      <c r="X93">
        <v>0</v>
      </c>
      <c r="Z93" s="69">
        <v>0.8</v>
      </c>
      <c r="AA93" s="71">
        <v>0.25</v>
      </c>
      <c r="AC93" s="69">
        <v>0.2</v>
      </c>
      <c r="AD93" s="71">
        <v>0.4</v>
      </c>
      <c r="AF93" s="21">
        <f>1.4/50</f>
        <v>2.7999999999999997E-2</v>
      </c>
      <c r="AG93" s="21">
        <f>1.8/50</f>
        <v>3.6000000000000004E-2</v>
      </c>
      <c r="AI93" s="21">
        <v>0</v>
      </c>
      <c r="AJ93" s="21">
        <v>0</v>
      </c>
    </row>
    <row r="94" spans="18:36">
      <c r="R94" t="s">
        <v>1182</v>
      </c>
      <c r="S94" t="s">
        <v>1181</v>
      </c>
      <c r="T94">
        <v>0</v>
      </c>
      <c r="U94">
        <v>0</v>
      </c>
      <c r="W94" s="69">
        <v>0.2</v>
      </c>
      <c r="X94">
        <v>0</v>
      </c>
      <c r="Z94" s="69">
        <v>0.25</v>
      </c>
      <c r="AA94" s="71">
        <v>0.5</v>
      </c>
      <c r="AC94">
        <v>0</v>
      </c>
      <c r="AD94" s="71">
        <v>0.5</v>
      </c>
      <c r="AF94" s="21">
        <f>1.2/50</f>
        <v>2.4E-2</v>
      </c>
      <c r="AG94" s="21">
        <f>2.4/50</f>
        <v>4.8000000000000001E-2</v>
      </c>
      <c r="AI94" s="21">
        <f>10.4/50</f>
        <v>0.20800000000000002</v>
      </c>
      <c r="AJ94">
        <f>13/50</f>
        <v>0.26</v>
      </c>
    </row>
    <row r="95" spans="18:36">
      <c r="R95" t="s">
        <v>1184</v>
      </c>
      <c r="S95" t="s">
        <v>1183</v>
      </c>
      <c r="T95" s="69">
        <v>1</v>
      </c>
      <c r="U95" s="71">
        <v>1</v>
      </c>
      <c r="W95" s="69">
        <v>1</v>
      </c>
      <c r="X95">
        <v>0</v>
      </c>
      <c r="Z95" s="69">
        <v>0.8</v>
      </c>
      <c r="AA95" s="71">
        <v>0.6</v>
      </c>
      <c r="AC95" s="69">
        <v>0.8</v>
      </c>
      <c r="AD95" s="71">
        <v>0.4</v>
      </c>
      <c r="AF95" s="21">
        <f>16.8/50</f>
        <v>0.33600000000000002</v>
      </c>
      <c r="AG95">
        <f>3/50</f>
        <v>0.06</v>
      </c>
      <c r="AI95" s="21">
        <f>0.6/50</f>
        <v>1.2E-2</v>
      </c>
      <c r="AJ95">
        <f>1/50</f>
        <v>0.02</v>
      </c>
    </row>
    <row r="96" spans="18:36">
      <c r="R96" t="s">
        <v>1186</v>
      </c>
      <c r="S96" t="s">
        <v>1185</v>
      </c>
      <c r="T96">
        <v>0</v>
      </c>
      <c r="U96">
        <v>0</v>
      </c>
      <c r="W96" s="69">
        <v>1</v>
      </c>
      <c r="X96">
        <v>0</v>
      </c>
      <c r="Z96" s="69">
        <v>0.33</v>
      </c>
      <c r="AA96" s="72">
        <v>0.66666666666666696</v>
      </c>
      <c r="AC96" s="69">
        <v>0.5</v>
      </c>
      <c r="AD96" s="71">
        <v>0.75</v>
      </c>
      <c r="AF96" s="21">
        <f>18.2/50</f>
        <v>0.36399999999999999</v>
      </c>
      <c r="AG96" s="21">
        <f>6.6/50</f>
        <v>0.13200000000000001</v>
      </c>
      <c r="AI96" s="21">
        <f>19.6/50</f>
        <v>0.39200000000000002</v>
      </c>
      <c r="AJ96" s="21">
        <f>15.8/50</f>
        <v>0.316</v>
      </c>
    </row>
    <row r="97" spans="18:36">
      <c r="R97" t="s">
        <v>1188</v>
      </c>
      <c r="S97" t="s">
        <v>1187</v>
      </c>
      <c r="T97">
        <v>0</v>
      </c>
      <c r="U97">
        <v>0</v>
      </c>
      <c r="W97" s="69">
        <v>1</v>
      </c>
      <c r="X97">
        <v>0</v>
      </c>
      <c r="Z97" s="69">
        <v>1</v>
      </c>
      <c r="AA97">
        <v>0</v>
      </c>
      <c r="AC97" s="69">
        <v>1</v>
      </c>
      <c r="AD97">
        <v>0</v>
      </c>
      <c r="AF97" s="21">
        <f>6.6/50</f>
        <v>0.13200000000000001</v>
      </c>
      <c r="AG97" s="21">
        <f>12.6/50</f>
        <v>0.252</v>
      </c>
      <c r="AI97" s="21">
        <f>12.25/50</f>
        <v>0.245</v>
      </c>
      <c r="AJ97">
        <f>12/50</f>
        <v>0.24</v>
      </c>
    </row>
    <row r="98" spans="18:36">
      <c r="R98" t="s">
        <v>1190</v>
      </c>
      <c r="S98" t="s">
        <v>1189</v>
      </c>
      <c r="T98">
        <v>0</v>
      </c>
      <c r="U98">
        <v>0</v>
      </c>
      <c r="W98" s="69">
        <v>0.8</v>
      </c>
      <c r="X98" s="71">
        <v>0.2</v>
      </c>
      <c r="Z98" s="69">
        <v>0.5</v>
      </c>
      <c r="AA98" s="71">
        <v>0.33</v>
      </c>
      <c r="AC98" s="69">
        <v>0.25</v>
      </c>
      <c r="AD98">
        <v>0</v>
      </c>
      <c r="AF98" s="21">
        <f>3.4/50</f>
        <v>6.8000000000000005E-2</v>
      </c>
      <c r="AG98">
        <f>4/50</f>
        <v>0.08</v>
      </c>
      <c r="AI98">
        <f>3/50</f>
        <v>0.06</v>
      </c>
      <c r="AJ98" s="21">
        <f>7.2/50</f>
        <v>0.14400000000000002</v>
      </c>
    </row>
    <row r="99" spans="18:36">
      <c r="R99" t="s">
        <v>1192</v>
      </c>
      <c r="S99" t="s">
        <v>1191</v>
      </c>
      <c r="T99" s="69">
        <v>1</v>
      </c>
      <c r="U99" s="71">
        <v>1</v>
      </c>
      <c r="W99" s="69">
        <v>1</v>
      </c>
      <c r="X99" s="71">
        <v>0.2</v>
      </c>
      <c r="Z99" s="69">
        <v>1</v>
      </c>
      <c r="AA99">
        <v>0</v>
      </c>
      <c r="AC99" s="69">
        <v>1</v>
      </c>
      <c r="AD99">
        <v>0</v>
      </c>
      <c r="AF99">
        <f>23/50</f>
        <v>0.46</v>
      </c>
      <c r="AG99" s="21">
        <f>15.8/50</f>
        <v>0.316</v>
      </c>
      <c r="AI99" s="73">
        <f>34.3/50</f>
        <v>0.68599999999999994</v>
      </c>
      <c r="AJ99" s="21">
        <f>21.6/50</f>
        <v>0.43200000000000005</v>
      </c>
    </row>
    <row r="100" spans="18:36">
      <c r="R100" t="s">
        <v>1194</v>
      </c>
      <c r="S100" t="s">
        <v>1193</v>
      </c>
      <c r="T100" s="69">
        <v>1</v>
      </c>
      <c r="U100" s="71">
        <v>1</v>
      </c>
      <c r="W100" s="69">
        <v>1</v>
      </c>
      <c r="X100" s="71">
        <v>0.6</v>
      </c>
      <c r="Z100" s="69">
        <v>0.8</v>
      </c>
      <c r="AA100">
        <v>0</v>
      </c>
      <c r="AC100" s="69">
        <v>0.8</v>
      </c>
      <c r="AD100">
        <v>0</v>
      </c>
      <c r="AF100" s="73">
        <f>26.4/50</f>
        <v>0.52800000000000002</v>
      </c>
      <c r="AG100" s="21">
        <f>18.8/50</f>
        <v>0.376</v>
      </c>
      <c r="AI100" s="73">
        <f>41.4/50</f>
        <v>0.82799999999999996</v>
      </c>
      <c r="AJ100" s="72">
        <f>25.2/50</f>
        <v>0.504</v>
      </c>
    </row>
    <row r="101" spans="18:36">
      <c r="R101" t="s">
        <v>1196</v>
      </c>
      <c r="S101" t="s">
        <v>1195</v>
      </c>
      <c r="T101" s="69">
        <v>0.2</v>
      </c>
      <c r="U101" s="71">
        <v>1</v>
      </c>
      <c r="W101" s="69">
        <v>0.8</v>
      </c>
      <c r="X101">
        <v>0</v>
      </c>
      <c r="Z101" s="69">
        <v>1</v>
      </c>
      <c r="AA101">
        <v>0</v>
      </c>
      <c r="AC101" s="69">
        <v>0.4</v>
      </c>
      <c r="AD101">
        <v>0</v>
      </c>
      <c r="AF101">
        <f>11/50</f>
        <v>0.22</v>
      </c>
      <c r="AG101">
        <f>20.5/50</f>
        <v>0.41</v>
      </c>
      <c r="AI101" s="21">
        <f>17.6/50</f>
        <v>0.35200000000000004</v>
      </c>
      <c r="AJ101">
        <f>20.5/50</f>
        <v>0.41</v>
      </c>
    </row>
    <row r="102" spans="18:36">
      <c r="R102" t="s">
        <v>1198</v>
      </c>
      <c r="S102" t="s">
        <v>1197</v>
      </c>
      <c r="T102" s="69">
        <v>0.8</v>
      </c>
      <c r="U102" s="71">
        <v>1</v>
      </c>
      <c r="W102" s="69">
        <v>1</v>
      </c>
      <c r="X102" s="71">
        <v>0.6</v>
      </c>
      <c r="Z102" s="69">
        <v>0.8</v>
      </c>
      <c r="AA102" s="71">
        <v>0.4</v>
      </c>
      <c r="AC102" s="69">
        <v>1</v>
      </c>
      <c r="AD102" s="71">
        <v>0.2</v>
      </c>
      <c r="AF102" s="21">
        <f>12.4/50</f>
        <v>0.248</v>
      </c>
      <c r="AG102" s="21">
        <f>11.8/50</f>
        <v>0.23600000000000002</v>
      </c>
      <c r="AI102">
        <f>19/50</f>
        <v>0.38</v>
      </c>
      <c r="AJ102" s="21">
        <f>16.2/50</f>
        <v>0.32400000000000001</v>
      </c>
    </row>
    <row r="103" spans="18:36">
      <c r="R103" t="s">
        <v>1200</v>
      </c>
      <c r="S103" t="s">
        <v>1199</v>
      </c>
      <c r="T103">
        <v>0</v>
      </c>
      <c r="U103">
        <v>0</v>
      </c>
      <c r="W103" s="69">
        <v>0.8</v>
      </c>
      <c r="X103" s="71">
        <v>0.4</v>
      </c>
      <c r="Z103" s="69">
        <v>1</v>
      </c>
      <c r="AA103">
        <v>0</v>
      </c>
      <c r="AC103" s="69">
        <v>1</v>
      </c>
      <c r="AD103">
        <v>0</v>
      </c>
      <c r="AF103">
        <f>17/50</f>
        <v>0.34</v>
      </c>
      <c r="AG103">
        <f>17/50</f>
        <v>0.34</v>
      </c>
      <c r="AI103" s="21">
        <f>21.6/50</f>
        <v>0.43200000000000005</v>
      </c>
      <c r="AJ103" s="21">
        <f>17.6/50</f>
        <v>0.35200000000000004</v>
      </c>
    </row>
    <row r="104" spans="18:36">
      <c r="R104" t="s">
        <v>1202</v>
      </c>
      <c r="S104" t="s">
        <v>1201</v>
      </c>
      <c r="T104">
        <v>0</v>
      </c>
      <c r="U104">
        <v>0</v>
      </c>
      <c r="W104" s="69">
        <v>1</v>
      </c>
      <c r="X104" s="71">
        <v>1</v>
      </c>
      <c r="Z104" s="69">
        <v>0.6</v>
      </c>
      <c r="AA104">
        <v>0</v>
      </c>
      <c r="AC104" s="69">
        <v>0.8</v>
      </c>
      <c r="AD104">
        <v>0</v>
      </c>
      <c r="AF104" s="73">
        <f>32.8/50</f>
        <v>0.65599999999999992</v>
      </c>
      <c r="AG104" s="21">
        <f>12.8/50</f>
        <v>0.25600000000000001</v>
      </c>
      <c r="AI104" s="21">
        <f>23.8/50</f>
        <v>0.47600000000000003</v>
      </c>
      <c r="AJ104" s="21">
        <f>11.2/50</f>
        <v>0.22399999999999998</v>
      </c>
    </row>
    <row r="105" spans="18:36">
      <c r="R105" t="s">
        <v>1204</v>
      </c>
      <c r="S105" t="s">
        <v>1203</v>
      </c>
      <c r="T105">
        <v>0</v>
      </c>
      <c r="U105" s="71">
        <v>1</v>
      </c>
      <c r="W105" s="69">
        <v>1</v>
      </c>
      <c r="X105">
        <v>0</v>
      </c>
      <c r="Z105" s="69">
        <v>1</v>
      </c>
      <c r="AA105">
        <v>0</v>
      </c>
      <c r="AC105" s="69">
        <v>0.8</v>
      </c>
      <c r="AD105" s="71">
        <v>0.2</v>
      </c>
      <c r="AF105" s="21">
        <f>12.8/50</f>
        <v>0.25600000000000001</v>
      </c>
      <c r="AG105" s="21">
        <f>15.2/50</f>
        <v>0.30399999999999999</v>
      </c>
      <c r="AI105" s="21">
        <f>16.8/50</f>
        <v>0.33600000000000002</v>
      </c>
      <c r="AJ105" s="21">
        <f>22.2/50</f>
        <v>0.44400000000000001</v>
      </c>
    </row>
    <row r="106" spans="18:36">
      <c r="R106" t="s">
        <v>1206</v>
      </c>
      <c r="S106" t="s">
        <v>1205</v>
      </c>
      <c r="T106" s="69">
        <v>0.4</v>
      </c>
      <c r="U106" s="71">
        <v>0.8</v>
      </c>
      <c r="W106" s="69">
        <v>1</v>
      </c>
      <c r="X106" s="71">
        <v>0.8</v>
      </c>
      <c r="Z106" s="69">
        <v>0.8</v>
      </c>
      <c r="AA106">
        <v>0</v>
      </c>
      <c r="AC106" s="69">
        <v>0.6</v>
      </c>
      <c r="AD106">
        <v>0</v>
      </c>
      <c r="AF106" s="73">
        <f>27.6/50</f>
        <v>0.55200000000000005</v>
      </c>
      <c r="AG106" s="71">
        <f>26/50</f>
        <v>0.52</v>
      </c>
      <c r="AI106" s="73">
        <f>25.2/50</f>
        <v>0.504</v>
      </c>
      <c r="AJ106" s="21">
        <f>34.2/50</f>
        <v>0.68400000000000005</v>
      </c>
    </row>
    <row r="107" spans="18:36">
      <c r="R107" t="s">
        <v>1208</v>
      </c>
      <c r="S107" t="s">
        <v>1207</v>
      </c>
      <c r="T107">
        <v>0</v>
      </c>
      <c r="U107" s="71">
        <v>0.2</v>
      </c>
      <c r="W107" s="69">
        <v>1</v>
      </c>
      <c r="X107" s="71">
        <v>0.2</v>
      </c>
      <c r="Z107" s="69">
        <v>1</v>
      </c>
      <c r="AA107" s="71">
        <v>0.2</v>
      </c>
      <c r="AC107" s="69">
        <v>1</v>
      </c>
      <c r="AD107">
        <v>0</v>
      </c>
      <c r="AF107" s="21">
        <f>15.6/50</f>
        <v>0.312</v>
      </c>
      <c r="AG107">
        <f>7/50</f>
        <v>0.14000000000000001</v>
      </c>
      <c r="AI107" s="21">
        <f>9.6/50</f>
        <v>0.192</v>
      </c>
      <c r="AJ107" s="21">
        <f>11.4/50</f>
        <v>0.22800000000000001</v>
      </c>
    </row>
    <row r="108" spans="18:36">
      <c r="R108" t="s">
        <v>1210</v>
      </c>
      <c r="S108" t="s">
        <v>1209</v>
      </c>
      <c r="T108" s="69">
        <v>1</v>
      </c>
      <c r="U108" s="71">
        <v>1</v>
      </c>
      <c r="W108" s="69">
        <v>1</v>
      </c>
      <c r="X108">
        <v>0</v>
      </c>
      <c r="Z108" s="69">
        <v>0.75</v>
      </c>
      <c r="AA108">
        <v>0</v>
      </c>
      <c r="AC108" s="69">
        <v>0.75</v>
      </c>
      <c r="AD108">
        <v>0</v>
      </c>
      <c r="AF108" s="69">
        <f>34.5/50</f>
        <v>0.69</v>
      </c>
      <c r="AG108">
        <f>29/50</f>
        <v>0.57999999999999996</v>
      </c>
      <c r="AI108" s="69">
        <f>27/50</f>
        <v>0.54</v>
      </c>
      <c r="AJ108" s="21">
        <f>19.3333333333/50</f>
        <v>0.38666666666600003</v>
      </c>
    </row>
    <row r="109" spans="18:36">
      <c r="R109" t="s">
        <v>1212</v>
      </c>
      <c r="S109" t="s">
        <v>1211</v>
      </c>
      <c r="T109" s="69">
        <v>0.2</v>
      </c>
      <c r="U109" s="71">
        <v>1</v>
      </c>
      <c r="W109" s="69">
        <v>1</v>
      </c>
      <c r="X109" s="71">
        <v>0.4</v>
      </c>
      <c r="Z109" s="69">
        <v>0.8</v>
      </c>
      <c r="AA109">
        <v>0</v>
      </c>
      <c r="AC109" s="69">
        <v>1</v>
      </c>
      <c r="AD109">
        <v>0</v>
      </c>
      <c r="AF109" s="73">
        <f>34.4/50</f>
        <v>0.68799999999999994</v>
      </c>
      <c r="AG109" s="21">
        <f>20.2/50</f>
        <v>0.40399999999999997</v>
      </c>
      <c r="AI109" s="69">
        <f>32/50</f>
        <v>0.64</v>
      </c>
      <c r="AJ109" s="72">
        <f>27.8/50</f>
        <v>0.55600000000000005</v>
      </c>
    </row>
    <row r="110" spans="18:36">
      <c r="R110" t="s">
        <v>1214</v>
      </c>
      <c r="S110" t="s">
        <v>1213</v>
      </c>
      <c r="T110" s="69">
        <v>0.2</v>
      </c>
      <c r="U110">
        <v>0</v>
      </c>
      <c r="W110" s="69">
        <v>1</v>
      </c>
      <c r="X110">
        <v>0</v>
      </c>
      <c r="Z110" s="69">
        <v>0.8</v>
      </c>
      <c r="AA110">
        <v>0</v>
      </c>
      <c r="AC110" s="69">
        <v>0.8</v>
      </c>
      <c r="AD110">
        <v>0</v>
      </c>
      <c r="AF110" s="21">
        <f>7.4/50</f>
        <v>0.14800000000000002</v>
      </c>
      <c r="AG110">
        <f>2/50</f>
        <v>0.04</v>
      </c>
      <c r="AI110" s="21">
        <f>12.2/50</f>
        <v>0.24399999999999999</v>
      </c>
      <c r="AJ110" s="21">
        <f>7.75/50</f>
        <v>0.155</v>
      </c>
    </row>
    <row r="111" spans="18:36">
      <c r="R111" t="s">
        <v>1216</v>
      </c>
      <c r="S111" t="s">
        <v>1215</v>
      </c>
      <c r="T111">
        <v>0</v>
      </c>
      <c r="U111">
        <v>0</v>
      </c>
      <c r="W111" s="69">
        <v>1</v>
      </c>
      <c r="X111">
        <v>0</v>
      </c>
      <c r="Z111" s="69">
        <v>0.8</v>
      </c>
      <c r="AA111" s="71">
        <v>0.4</v>
      </c>
      <c r="AC111" s="69">
        <v>1</v>
      </c>
      <c r="AD111" s="71">
        <v>0.4</v>
      </c>
      <c r="AF111" s="21">
        <f>20.2/50</f>
        <v>0.40399999999999997</v>
      </c>
      <c r="AG111" s="21">
        <f>7.6666667/50</f>
        <v>0.15333333400000002</v>
      </c>
      <c r="AI111" s="21">
        <f>17.4/50</f>
        <v>0.34799999999999998</v>
      </c>
      <c r="AJ111">
        <f>9.5/50</f>
        <v>0.19</v>
      </c>
    </row>
    <row r="112" spans="18:36">
      <c r="R112" t="s">
        <v>1218</v>
      </c>
      <c r="S112" t="s">
        <v>1217</v>
      </c>
      <c r="T112">
        <v>0</v>
      </c>
      <c r="U112">
        <v>0</v>
      </c>
      <c r="W112" s="69">
        <v>1</v>
      </c>
      <c r="X112" s="71">
        <v>0.6</v>
      </c>
      <c r="Z112" s="69">
        <v>0.6</v>
      </c>
      <c r="AA112" s="71">
        <v>0.2</v>
      </c>
      <c r="AC112" s="69">
        <v>1</v>
      </c>
      <c r="AD112" s="71">
        <v>0.4</v>
      </c>
      <c r="AF112">
        <f>24.5/50</f>
        <v>0.49</v>
      </c>
      <c r="AG112" s="21">
        <f>19.2/50</f>
        <v>0.38400000000000001</v>
      </c>
      <c r="AI112">
        <f>19/50</f>
        <v>0.38</v>
      </c>
      <c r="AJ112" s="72">
        <f>29.4/50</f>
        <v>0.58799999999999997</v>
      </c>
    </row>
    <row r="113" spans="18:36">
      <c r="R113" t="s">
        <v>1220</v>
      </c>
      <c r="S113" t="s">
        <v>1219</v>
      </c>
      <c r="T113">
        <v>0</v>
      </c>
      <c r="U113">
        <v>0</v>
      </c>
      <c r="W113" s="69">
        <v>1</v>
      </c>
      <c r="X113">
        <v>0</v>
      </c>
      <c r="Z113" s="69">
        <v>0.4</v>
      </c>
      <c r="AA113">
        <v>0</v>
      </c>
      <c r="AC113" s="69">
        <v>1</v>
      </c>
      <c r="AD113">
        <v>0</v>
      </c>
      <c r="AF113">
        <f>7.5/50</f>
        <v>0.15</v>
      </c>
      <c r="AG113" s="21">
        <f>10.75/50</f>
        <v>0.215</v>
      </c>
      <c r="AI113" s="40">
        <f>15/50</f>
        <v>0.3</v>
      </c>
      <c r="AJ113" s="21">
        <f>23.8/50</f>
        <v>0.47600000000000003</v>
      </c>
    </row>
    <row r="114" spans="18:36">
      <c r="R114" t="s">
        <v>1222</v>
      </c>
      <c r="S114" t="s">
        <v>1221</v>
      </c>
      <c r="T114">
        <v>0</v>
      </c>
      <c r="U114">
        <v>0</v>
      </c>
      <c r="W114" s="69">
        <v>1</v>
      </c>
      <c r="X114" s="71">
        <v>0.4</v>
      </c>
      <c r="Z114" s="69">
        <v>0.4</v>
      </c>
      <c r="AA114">
        <v>0</v>
      </c>
      <c r="AC114" s="69">
        <v>0.6</v>
      </c>
      <c r="AD114">
        <v>0</v>
      </c>
      <c r="AF114" s="21">
        <f>17.2/50</f>
        <v>0.34399999999999997</v>
      </c>
      <c r="AG114" s="40">
        <f>15/50</f>
        <v>0.3</v>
      </c>
      <c r="AI114" s="73">
        <f>25.4/50</f>
        <v>0.50800000000000001</v>
      </c>
      <c r="AJ114" s="21">
        <f>13.2/50</f>
        <v>0.26400000000000001</v>
      </c>
    </row>
    <row r="117" spans="18:36" ht="71">
      <c r="R117" s="1" t="s">
        <v>1174</v>
      </c>
      <c r="S117" s="1" t="s">
        <v>1174</v>
      </c>
      <c r="T117" s="68" t="s">
        <v>2</v>
      </c>
      <c r="U117" s="70" t="s">
        <v>2</v>
      </c>
      <c r="W117" s="68" t="s">
        <v>3</v>
      </c>
      <c r="X117" s="70" t="s">
        <v>3</v>
      </c>
      <c r="Z117" s="68" t="s">
        <v>4</v>
      </c>
      <c r="AA117" s="70" t="s">
        <v>4</v>
      </c>
      <c r="AC117" s="68" t="s">
        <v>5</v>
      </c>
      <c r="AD117" s="70" t="s">
        <v>5</v>
      </c>
      <c r="AF117" s="68" t="s">
        <v>6</v>
      </c>
      <c r="AG117" s="70" t="s">
        <v>6</v>
      </c>
      <c r="AI117" s="68" t="s">
        <v>1224</v>
      </c>
      <c r="AJ117" s="70" t="s">
        <v>1224</v>
      </c>
    </row>
    <row r="118" spans="18:36">
      <c r="R118" t="s">
        <v>1176</v>
      </c>
      <c r="S118" t="s">
        <v>1175</v>
      </c>
      <c r="T118">
        <v>0</v>
      </c>
      <c r="U118" s="21">
        <f>0.4/15</f>
        <v>2.6666666666666668E-2</v>
      </c>
      <c r="W118" s="21">
        <f>1.2/34</f>
        <v>3.5294117647058823E-2</v>
      </c>
      <c r="X118" s="21">
        <f>0.2/34</f>
        <v>5.8823529411764705E-3</v>
      </c>
      <c r="Z118" s="21">
        <f>2.4/47</f>
        <v>5.106382978723404E-2</v>
      </c>
      <c r="AA118" s="21">
        <f>2.8/47</f>
        <v>5.9574468085106379E-2</v>
      </c>
      <c r="AC118">
        <f>1.4/35</f>
        <v>0.04</v>
      </c>
      <c r="AD118">
        <f>2.8/35</f>
        <v>0.08</v>
      </c>
      <c r="AF118" s="21">
        <f>1.4/31</f>
        <v>4.5161290322580643E-2</v>
      </c>
      <c r="AG118" s="21">
        <f>2.8/31</f>
        <v>9.0322580645161285E-2</v>
      </c>
      <c r="AI118" s="21">
        <f>4/55</f>
        <v>7.2727272727272724E-2</v>
      </c>
      <c r="AJ118" s="21">
        <f>2.8/55</f>
        <v>5.0909090909090904E-2</v>
      </c>
    </row>
    <row r="119" spans="18:36">
      <c r="R119" t="s">
        <v>1178</v>
      </c>
      <c r="S119" t="s">
        <v>1177</v>
      </c>
      <c r="T119" s="21">
        <f>2.667/15</f>
        <v>0.17779999999999999</v>
      </c>
      <c r="U119" s="21">
        <f>1.6/15</f>
        <v>0.10666666666666667</v>
      </c>
      <c r="W119" s="21">
        <f>2.5/34</f>
        <v>7.3529411764705885E-2</v>
      </c>
      <c r="X119" s="21">
        <f>0.6/34</f>
        <v>1.7647058823529412E-2</v>
      </c>
      <c r="Z119" s="21">
        <f>10/47</f>
        <v>0.21276595744680851</v>
      </c>
      <c r="AA119" s="21">
        <f>11.4/47</f>
        <v>0.24255319148936172</v>
      </c>
      <c r="AC119" s="21">
        <f>3.75/35</f>
        <v>0.10714285714285714</v>
      </c>
      <c r="AD119" s="21">
        <f>1.2/35</f>
        <v>3.4285714285714287E-2</v>
      </c>
      <c r="AF119" s="21">
        <f>2.5/31</f>
        <v>8.0645161290322578E-2</v>
      </c>
      <c r="AG119" s="21">
        <f>0.6/31</f>
        <v>1.935483870967742E-2</v>
      </c>
      <c r="AI119" s="21">
        <f>14.33/55</f>
        <v>0.26054545454545452</v>
      </c>
      <c r="AJ119" s="21">
        <f>10.2/55</f>
        <v>0.18545454545454546</v>
      </c>
    </row>
    <row r="120" spans="18:36">
      <c r="R120" t="s">
        <v>1180</v>
      </c>
      <c r="S120" t="s">
        <v>1179</v>
      </c>
      <c r="T120">
        <f>0.6/15</f>
        <v>0.04</v>
      </c>
      <c r="U120" s="21">
        <f>1.6/15</f>
        <v>0.10666666666666667</v>
      </c>
      <c r="W120" s="21">
        <v>0</v>
      </c>
      <c r="X120" s="21">
        <f>0.6/34</f>
        <v>1.7647058823529412E-2</v>
      </c>
      <c r="Z120" s="21">
        <f>9/47</f>
        <v>0.19148936170212766</v>
      </c>
      <c r="AA120" s="21">
        <f>4.4/47</f>
        <v>9.3617021276595755E-2</v>
      </c>
      <c r="AC120" s="73">
        <f>15/35</f>
        <v>0.42857142857142855</v>
      </c>
      <c r="AD120" s="21">
        <f>5.8/35</f>
        <v>0.1657142857142857</v>
      </c>
      <c r="AF120" s="21">
        <f>5/31</f>
        <v>0.16129032258064516</v>
      </c>
      <c r="AG120" s="21">
        <f>1.8/31</f>
        <v>5.8064516129032261E-2</v>
      </c>
      <c r="AI120" s="21">
        <f>14.4/55</f>
        <v>0.26181818181818184</v>
      </c>
      <c r="AJ120">
        <f>6.6/55</f>
        <v>0.12</v>
      </c>
    </row>
    <row r="121" spans="18:36">
      <c r="R121" t="s">
        <v>1182</v>
      </c>
      <c r="S121" t="s">
        <v>1181</v>
      </c>
      <c r="T121" s="21">
        <f>0.2/15</f>
        <v>1.3333333333333334E-2</v>
      </c>
      <c r="U121" s="21">
        <f>2.2/15</f>
        <v>0.14666666666666667</v>
      </c>
      <c r="W121" s="21">
        <f>0.4/34</f>
        <v>1.1764705882352941E-2</v>
      </c>
      <c r="X121" s="21">
        <v>0</v>
      </c>
      <c r="Z121" s="21">
        <f>10.6/47</f>
        <v>0.22553191489361701</v>
      </c>
      <c r="AA121" s="21">
        <f>11.2/47</f>
        <v>0.23829787234042552</v>
      </c>
      <c r="AC121" s="21">
        <f>3/35</f>
        <v>8.5714285714285715E-2</v>
      </c>
      <c r="AD121" s="21">
        <f>2/35</f>
        <v>5.7142857142857141E-2</v>
      </c>
      <c r="AF121" s="21">
        <f>2.6/31</f>
        <v>8.387096774193549E-2</v>
      </c>
      <c r="AG121" s="21">
        <f>3.2/31</f>
        <v>0.1032258064516129</v>
      </c>
      <c r="AI121" s="21">
        <f>10.25/55</f>
        <v>0.18636363636363637</v>
      </c>
      <c r="AJ121" s="21">
        <f>8.5/55</f>
        <v>0.15454545454545454</v>
      </c>
    </row>
    <row r="122" spans="18:36">
      <c r="R122" t="s">
        <v>1184</v>
      </c>
      <c r="S122" t="s">
        <v>1183</v>
      </c>
      <c r="T122">
        <f>4.8/15</f>
        <v>0.32</v>
      </c>
      <c r="U122" s="21">
        <f>3.8/15</f>
        <v>0.2533333333333333</v>
      </c>
      <c r="W122" s="21">
        <f>1.2/34</f>
        <v>3.5294117647058823E-2</v>
      </c>
      <c r="X122" s="21">
        <f>1.2/34</f>
        <v>3.5294117647058823E-2</v>
      </c>
      <c r="Z122" s="21">
        <f>14.4/47</f>
        <v>0.30638297872340425</v>
      </c>
      <c r="AA122" s="21">
        <f>7.6/47</f>
        <v>0.16170212765957445</v>
      </c>
      <c r="AC122" s="21">
        <f>4.6/35</f>
        <v>0.13142857142857142</v>
      </c>
      <c r="AD122" s="21">
        <f>0.8/35</f>
        <v>2.2857142857142857E-2</v>
      </c>
      <c r="AF122" s="21">
        <f>4.8/31</f>
        <v>0.15483870967741936</v>
      </c>
      <c r="AG122" s="21">
        <f>1.6/31</f>
        <v>5.1612903225806452E-2</v>
      </c>
      <c r="AI122">
        <f>2.2/55</f>
        <v>0.04</v>
      </c>
      <c r="AJ122" s="21">
        <f>2/55</f>
        <v>3.6363636363636362E-2</v>
      </c>
    </row>
    <row r="123" spans="18:36">
      <c r="R123" t="s">
        <v>1186</v>
      </c>
      <c r="S123" t="s">
        <v>1185</v>
      </c>
      <c r="T123" s="21">
        <f>4.75/15</f>
        <v>0.31666666666666665</v>
      </c>
      <c r="U123" s="21">
        <f>5/15</f>
        <v>0.33333333333333331</v>
      </c>
      <c r="W123" s="21">
        <f>0.25/34</f>
        <v>7.3529411764705881E-3</v>
      </c>
      <c r="X123" s="21">
        <f>0.6/34</f>
        <v>1.7647058823529412E-2</v>
      </c>
      <c r="Z123" s="21">
        <f>4/47</f>
        <v>8.5106382978723402E-2</v>
      </c>
      <c r="AA123" s="21">
        <f>4.8/47</f>
        <v>0.10212765957446808</v>
      </c>
      <c r="AC123" s="21">
        <f>5/35</f>
        <v>0.14285714285714285</v>
      </c>
      <c r="AD123" s="21">
        <f>4.6/35</f>
        <v>0.13142857142857142</v>
      </c>
      <c r="AF123" s="21">
        <f>1.5/31</f>
        <v>4.8387096774193547E-2</v>
      </c>
      <c r="AG123" s="21">
        <f>6.6/31</f>
        <v>0.2129032258064516</v>
      </c>
      <c r="AI123" s="21">
        <f>13.25/55</f>
        <v>0.24090909090909091</v>
      </c>
      <c r="AJ123" s="21">
        <f>14.6/55</f>
        <v>0.26545454545454544</v>
      </c>
    </row>
    <row r="124" spans="18:36">
      <c r="R124" t="s">
        <v>1188</v>
      </c>
      <c r="S124" t="s">
        <v>1187</v>
      </c>
      <c r="T124" s="21">
        <f>2.6/15</f>
        <v>0.17333333333333334</v>
      </c>
      <c r="U124">
        <f>2.4/15</f>
        <v>0.16</v>
      </c>
      <c r="W124" s="21">
        <f>4.2/34</f>
        <v>0.12352941176470589</v>
      </c>
      <c r="X124" s="21">
        <f>1/34</f>
        <v>2.9411764705882353E-2</v>
      </c>
      <c r="Z124" s="21">
        <f>10.2/47</f>
        <v>0.21702127659574466</v>
      </c>
      <c r="AA124" s="21">
        <f>9.8/47</f>
        <v>0.20851063829787236</v>
      </c>
      <c r="AC124" s="21">
        <f>7.2/35</f>
        <v>0.20571428571428571</v>
      </c>
      <c r="AD124" s="21">
        <f>2.4/35</f>
        <v>6.8571428571428575E-2</v>
      </c>
      <c r="AF124" s="21">
        <f>4/31</f>
        <v>0.12903225806451613</v>
      </c>
      <c r="AG124" s="21">
        <f>3/31</f>
        <v>9.6774193548387094E-2</v>
      </c>
      <c r="AI124" s="21">
        <f>16.2/55</f>
        <v>0.29454545454545455</v>
      </c>
      <c r="AJ124" s="21">
        <f>7.2/55</f>
        <v>0.13090909090909092</v>
      </c>
    </row>
    <row r="125" spans="18:36">
      <c r="R125" t="s">
        <v>1190</v>
      </c>
      <c r="S125" t="s">
        <v>1189</v>
      </c>
      <c r="T125" s="21">
        <f>1/15</f>
        <v>6.6666666666666666E-2</v>
      </c>
      <c r="U125" s="21">
        <f>0.25/15</f>
        <v>1.6666666666666666E-2</v>
      </c>
      <c r="W125" s="21">
        <f>1.6/34</f>
        <v>4.7058823529411764E-2</v>
      </c>
      <c r="X125" s="21">
        <v>0</v>
      </c>
      <c r="Z125" s="21">
        <f>3.2/47</f>
        <v>6.8085106382978725E-2</v>
      </c>
      <c r="AA125" s="21">
        <f>5.75/47</f>
        <v>0.12234042553191489</v>
      </c>
      <c r="AC125" s="21">
        <f>0.4/35</f>
        <v>1.1428571428571429E-2</v>
      </c>
      <c r="AD125" s="21">
        <f>1.25/35</f>
        <v>3.5714285714285712E-2</v>
      </c>
      <c r="AF125" s="21">
        <f>1/31</f>
        <v>3.2258064516129031E-2</v>
      </c>
      <c r="AG125" s="21">
        <v>0</v>
      </c>
      <c r="AI125" s="21">
        <f>3/55</f>
        <v>5.4545454545454543E-2</v>
      </c>
      <c r="AJ125" s="21">
        <f>5/55</f>
        <v>9.0909090909090912E-2</v>
      </c>
    </row>
    <row r="126" spans="18:36">
      <c r="R126" t="s">
        <v>1192</v>
      </c>
      <c r="S126" t="s">
        <v>1191</v>
      </c>
      <c r="T126" s="21">
        <f>5/15</f>
        <v>0.33333333333333331</v>
      </c>
      <c r="U126" s="21">
        <f>3.2/15</f>
        <v>0.21333333333333335</v>
      </c>
      <c r="W126" s="21">
        <f>2.75/34</f>
        <v>8.0882352941176475E-2</v>
      </c>
      <c r="X126" s="21">
        <f>0.75/34</f>
        <v>2.2058823529411766E-2</v>
      </c>
      <c r="Z126" s="73">
        <f>27.3/47</f>
        <v>0.58085106382978724</v>
      </c>
      <c r="AA126" s="21">
        <f>16/47</f>
        <v>0.34042553191489361</v>
      </c>
      <c r="AC126" s="21">
        <f>9.5/35</f>
        <v>0.27142857142857141</v>
      </c>
      <c r="AD126" s="21">
        <f>10.2/35</f>
        <v>0.29142857142857143</v>
      </c>
      <c r="AF126" s="21">
        <f>9.25/31</f>
        <v>0.29838709677419356</v>
      </c>
      <c r="AG126" s="21">
        <f>8/31</f>
        <v>0.25806451612903225</v>
      </c>
      <c r="AI126" s="73">
        <f>32/55</f>
        <v>0.58181818181818179</v>
      </c>
      <c r="AJ126" s="21">
        <f>13.4/55</f>
        <v>0.24363636363636365</v>
      </c>
    </row>
    <row r="127" spans="18:36">
      <c r="R127" t="s">
        <v>1194</v>
      </c>
      <c r="S127" t="s">
        <v>1193</v>
      </c>
      <c r="T127">
        <f>6.6/15</f>
        <v>0.44</v>
      </c>
      <c r="U127" s="21">
        <f>5.6/15</f>
        <v>0.37333333333333329</v>
      </c>
      <c r="W127" s="21">
        <f>11.2/34</f>
        <v>0.32941176470588235</v>
      </c>
      <c r="X127" s="21">
        <f>4/34</f>
        <v>0.11764705882352941</v>
      </c>
      <c r="Z127" s="73">
        <f>24.6/47</f>
        <v>0.52340425531914891</v>
      </c>
      <c r="AA127" s="21">
        <f>12.2/47</f>
        <v>0.25957446808510637</v>
      </c>
      <c r="AC127" s="73">
        <f>24.4/35</f>
        <v>0.69714285714285706</v>
      </c>
      <c r="AD127" s="21">
        <f>8/35</f>
        <v>0.22857142857142856</v>
      </c>
      <c r="AF127" s="21">
        <f>12/31</f>
        <v>0.38709677419354838</v>
      </c>
      <c r="AG127" s="21">
        <f>5/31</f>
        <v>0.16129032258064516</v>
      </c>
      <c r="AI127" s="21">
        <f>32.6/55</f>
        <v>0.59272727272727277</v>
      </c>
      <c r="AJ127" s="21">
        <f>17/55</f>
        <v>0.30909090909090908</v>
      </c>
    </row>
    <row r="128" spans="18:36">
      <c r="R128" t="s">
        <v>1196</v>
      </c>
      <c r="S128" t="s">
        <v>1195</v>
      </c>
      <c r="T128" s="21">
        <f>6.4/15</f>
        <v>0.42666666666666669</v>
      </c>
      <c r="U128" s="21">
        <f>7.4/15</f>
        <v>0.49333333333333335</v>
      </c>
      <c r="W128" s="21">
        <f>5.25/34</f>
        <v>0.15441176470588236</v>
      </c>
      <c r="X128" s="21">
        <f>3/34</f>
        <v>8.8235294117647065E-2</v>
      </c>
      <c r="Z128" s="21">
        <f>15.75/47</f>
        <v>0.33510638297872342</v>
      </c>
      <c r="AA128" s="21">
        <f>11.8/47</f>
        <v>0.25106382978723407</v>
      </c>
      <c r="AC128" s="21">
        <f>14.2/35</f>
        <v>0.40571428571428569</v>
      </c>
      <c r="AD128" s="21">
        <f>6/35</f>
        <v>0.17142857142857143</v>
      </c>
      <c r="AF128" s="21">
        <f>10.5/31</f>
        <v>0.33870967741935482</v>
      </c>
      <c r="AG128" s="21">
        <f>8.2/31</f>
        <v>0.26451612903225802</v>
      </c>
      <c r="AI128" s="21">
        <f>17.6666666666667/55</f>
        <v>0.32121212121212184</v>
      </c>
      <c r="AJ128" s="21">
        <f>14.2/55</f>
        <v>0.25818181818181818</v>
      </c>
    </row>
    <row r="129" spans="18:36">
      <c r="R129" t="s">
        <v>1198</v>
      </c>
      <c r="S129" t="s">
        <v>1197</v>
      </c>
      <c r="T129">
        <f>6.6/15</f>
        <v>0.44</v>
      </c>
      <c r="U129">
        <f>4.5/15</f>
        <v>0.3</v>
      </c>
      <c r="W129" s="21">
        <f>11/34</f>
        <v>0.3235294117647059</v>
      </c>
      <c r="X129" s="21">
        <f>5.3/34</f>
        <v>0.15588235294117647</v>
      </c>
      <c r="Z129" s="21">
        <f>19.6/47</f>
        <v>0.41702127659574473</v>
      </c>
      <c r="AA129" s="21">
        <f>14.25/47</f>
        <v>0.30319148936170215</v>
      </c>
      <c r="AC129" s="21">
        <f>10.2/35</f>
        <v>0.29142857142857143</v>
      </c>
      <c r="AD129" s="21">
        <f>9.75/35</f>
        <v>0.27857142857142858</v>
      </c>
      <c r="AF129" s="21">
        <f>12.2/31</f>
        <v>0.39354838709677414</v>
      </c>
      <c r="AG129" s="21">
        <f>9.5/31</f>
        <v>0.30645161290322581</v>
      </c>
      <c r="AI129" s="21">
        <f>20/55</f>
        <v>0.36363636363636365</v>
      </c>
      <c r="AJ129" s="21">
        <f>14/55</f>
        <v>0.25454545454545452</v>
      </c>
    </row>
    <row r="130" spans="18:36">
      <c r="R130" t="s">
        <v>1200</v>
      </c>
      <c r="S130" t="s">
        <v>1199</v>
      </c>
      <c r="T130" s="21">
        <f>4.6/15</f>
        <v>0.30666666666666664</v>
      </c>
      <c r="U130" s="21">
        <f>5.6/15</f>
        <v>0.37333333333333329</v>
      </c>
      <c r="W130" s="73">
        <f>15.2/34</f>
        <v>0.44705882352941173</v>
      </c>
      <c r="X130" s="21">
        <f>5.4/34</f>
        <v>0.15882352941176472</v>
      </c>
      <c r="Z130" s="73">
        <f>25.2/47</f>
        <v>0.53617021276595744</v>
      </c>
      <c r="AA130" s="21">
        <f>18/47</f>
        <v>0.38297872340425532</v>
      </c>
      <c r="AC130" s="21">
        <f>26.2/35</f>
        <v>0.74857142857142855</v>
      </c>
      <c r="AD130" s="21">
        <f>8.6/35</f>
        <v>0.24571428571428569</v>
      </c>
      <c r="AF130" s="21">
        <f>13/31</f>
        <v>0.41935483870967744</v>
      </c>
      <c r="AG130" s="21">
        <f>8.8/31</f>
        <v>0.28387096774193549</v>
      </c>
      <c r="AI130" s="73">
        <f>33.4/55</f>
        <v>0.6072727272727273</v>
      </c>
      <c r="AJ130" s="21">
        <f>19.6/55</f>
        <v>0.35636363636363638</v>
      </c>
    </row>
    <row r="131" spans="18:36">
      <c r="R131" t="s">
        <v>1202</v>
      </c>
      <c r="S131" t="s">
        <v>1201</v>
      </c>
      <c r="T131">
        <f>6/15</f>
        <v>0.4</v>
      </c>
      <c r="U131" s="21">
        <f>5.6/15</f>
        <v>0.37333333333333329</v>
      </c>
      <c r="W131" s="21">
        <f>10.6/34</f>
        <v>0.31176470588235294</v>
      </c>
      <c r="X131" s="21">
        <f>9.6/34</f>
        <v>0.28235294117647058</v>
      </c>
      <c r="Z131" s="21">
        <f>14.6/47</f>
        <v>0.31063829787234043</v>
      </c>
      <c r="AA131" s="21">
        <f>13.6/47</f>
        <v>0.28936170212765955</v>
      </c>
      <c r="AC131" s="73">
        <f>17.4/35</f>
        <v>0.49714285714285711</v>
      </c>
      <c r="AD131" s="21">
        <f>8.6/35</f>
        <v>0.24571428571428569</v>
      </c>
      <c r="AF131" s="21">
        <f>8.6/31</f>
        <v>0.27741935483870966</v>
      </c>
      <c r="AG131" s="21">
        <f>4.8/31</f>
        <v>0.15483870967741936</v>
      </c>
      <c r="AI131" s="21">
        <f>24.6/55</f>
        <v>0.44727272727272732</v>
      </c>
      <c r="AJ131" s="21">
        <f>16.75/55</f>
        <v>0.30454545454545456</v>
      </c>
    </row>
    <row r="132" spans="18:36">
      <c r="R132" t="s">
        <v>1204</v>
      </c>
      <c r="S132" t="s">
        <v>1203</v>
      </c>
      <c r="T132" s="21">
        <f>2.2/15</f>
        <v>0.14666666666666667</v>
      </c>
      <c r="U132" s="21">
        <f>5/15</f>
        <v>0.33333333333333331</v>
      </c>
      <c r="W132">
        <f>6.8/34</f>
        <v>0.19999999999999998</v>
      </c>
      <c r="X132" s="21">
        <f>4.4/34</f>
        <v>0.12941176470588237</v>
      </c>
      <c r="Z132" s="73">
        <f>25.4/47</f>
        <v>0.54042553191489362</v>
      </c>
      <c r="AA132" s="72">
        <f>24.4/47</f>
        <v>0.51914893617021274</v>
      </c>
      <c r="AC132" s="21">
        <f>15/35</f>
        <v>0.42857142857142855</v>
      </c>
      <c r="AD132" s="21">
        <f>8/35</f>
        <v>0.22857142857142856</v>
      </c>
      <c r="AF132" s="21">
        <f>11/31</f>
        <v>0.35483870967741937</v>
      </c>
      <c r="AG132" s="21">
        <f>11/31</f>
        <v>0.35483870967741937</v>
      </c>
      <c r="AI132" s="21">
        <f>22.4/55</f>
        <v>0.40727272727272723</v>
      </c>
      <c r="AJ132" s="21">
        <f>15.75/55</f>
        <v>0.28636363636363638</v>
      </c>
    </row>
    <row r="133" spans="18:36">
      <c r="R133" t="s">
        <v>1206</v>
      </c>
      <c r="S133" t="s">
        <v>1205</v>
      </c>
      <c r="T133">
        <f>6/15</f>
        <v>0.4</v>
      </c>
      <c r="U133" s="21">
        <f>7/15</f>
        <v>0.46666666666666667</v>
      </c>
      <c r="W133" s="21">
        <f>8/34</f>
        <v>0.23529411764705882</v>
      </c>
      <c r="X133" s="21">
        <f>6.4/34</f>
        <v>0.18823529411764706</v>
      </c>
      <c r="Z133" s="21">
        <f>18.2/47</f>
        <v>0.38723404255319149</v>
      </c>
      <c r="AA133">
        <f>18.8/47</f>
        <v>0.4</v>
      </c>
      <c r="AC133" s="21">
        <f>8.8/35</f>
        <v>0.25142857142857145</v>
      </c>
      <c r="AD133" s="21">
        <f>9/35</f>
        <v>0.25714285714285712</v>
      </c>
      <c r="AF133" s="21">
        <f>10/31</f>
        <v>0.32258064516129031</v>
      </c>
      <c r="AG133" s="21">
        <f>7.8/31</f>
        <v>0.25161290322580643</v>
      </c>
      <c r="AI133" s="73">
        <f>27.6/55</f>
        <v>0.50181818181818183</v>
      </c>
      <c r="AJ133" s="21">
        <f>19.2/55</f>
        <v>0.34909090909090906</v>
      </c>
    </row>
    <row r="134" spans="18:36">
      <c r="R134" t="s">
        <v>1208</v>
      </c>
      <c r="S134" t="s">
        <v>1207</v>
      </c>
      <c r="T134">
        <f>6/15</f>
        <v>0.4</v>
      </c>
      <c r="U134" s="21">
        <f>4.4/15</f>
        <v>0.29333333333333333</v>
      </c>
      <c r="W134" s="21">
        <f>4.5/34</f>
        <v>0.13235294117647059</v>
      </c>
      <c r="X134" s="21">
        <f>6.4/34</f>
        <v>0.18823529411764706</v>
      </c>
      <c r="Z134" s="21">
        <f>16.5/47</f>
        <v>0.35106382978723405</v>
      </c>
      <c r="AA134" s="21">
        <f>17.2/47</f>
        <v>0.36595744680851061</v>
      </c>
      <c r="AC134" s="73">
        <f>19.75/35</f>
        <v>0.56428571428571428</v>
      </c>
      <c r="AD134" s="21">
        <f>9/35</f>
        <v>0.25714285714285712</v>
      </c>
      <c r="AF134" s="21">
        <f>12.33/31</f>
        <v>0.39774193548387099</v>
      </c>
      <c r="AG134" s="21">
        <f>11.5/31</f>
        <v>0.37096774193548387</v>
      </c>
      <c r="AI134" s="21">
        <f>24/55</f>
        <v>0.43636363636363634</v>
      </c>
      <c r="AJ134" s="21">
        <f>21.75/55</f>
        <v>0.39545454545454545</v>
      </c>
    </row>
    <row r="135" spans="18:36">
      <c r="R135" t="s">
        <v>1210</v>
      </c>
      <c r="S135" t="s">
        <v>1209</v>
      </c>
      <c r="T135">
        <f>6/15</f>
        <v>0.4</v>
      </c>
      <c r="U135" s="21">
        <f>5.2/15</f>
        <v>0.34666666666666668</v>
      </c>
      <c r="W135" s="21">
        <f>4.75/34</f>
        <v>0.13970588235294118</v>
      </c>
      <c r="X135" s="21">
        <f>2.2/34</f>
        <v>6.4705882352941183E-2</v>
      </c>
      <c r="Z135" s="73">
        <f>30.6/47</f>
        <v>0.65106382978723409</v>
      </c>
      <c r="AA135" s="21">
        <f>16.8/47</f>
        <v>0.35744680851063831</v>
      </c>
      <c r="AC135" s="21">
        <f>14.4/35</f>
        <v>0.41142857142857142</v>
      </c>
      <c r="AD135" s="21">
        <f>10/35</f>
        <v>0.2857142857142857</v>
      </c>
      <c r="AF135" s="73">
        <f>16.4/31</f>
        <v>0.52903225806451604</v>
      </c>
      <c r="AG135" s="21">
        <f>8.6/31</f>
        <v>0.27741935483870966</v>
      </c>
      <c r="AI135" s="21">
        <f>22.8/55</f>
        <v>0.41454545454545455</v>
      </c>
      <c r="AJ135" s="21">
        <f>13.6/55</f>
        <v>0.24727272727272726</v>
      </c>
    </row>
    <row r="136" spans="18:36">
      <c r="R136" t="s">
        <v>1212</v>
      </c>
      <c r="S136" t="s">
        <v>1211</v>
      </c>
      <c r="T136" s="73">
        <f>10/15</f>
        <v>0.66666666666666663</v>
      </c>
      <c r="U136">
        <f>7.2/15</f>
        <v>0.48000000000000004</v>
      </c>
      <c r="W136" s="73">
        <f>20.75/34</f>
        <v>0.61029411764705888</v>
      </c>
      <c r="X136" s="21">
        <f>7.6/34</f>
        <v>0.22352941176470587</v>
      </c>
      <c r="Z136" s="21">
        <f>21.75/47</f>
        <v>0.46276595744680848</v>
      </c>
      <c r="AA136" s="21">
        <f>19.6/47</f>
        <v>0.41702127659574473</v>
      </c>
      <c r="AC136" s="73">
        <f>26.75/35</f>
        <v>0.76428571428571423</v>
      </c>
      <c r="AD136" s="21">
        <f>12.4/35</f>
        <v>0.35428571428571431</v>
      </c>
      <c r="AF136" s="73">
        <f>18/31</f>
        <v>0.58064516129032262</v>
      </c>
      <c r="AG136" s="21">
        <f>7.4/31</f>
        <v>0.23870967741935484</v>
      </c>
      <c r="AI136" s="69">
        <f>41.25/55</f>
        <v>0.75</v>
      </c>
      <c r="AJ136" s="21">
        <f>22.4/55</f>
        <v>0.40727272727272723</v>
      </c>
    </row>
    <row r="137" spans="18:36">
      <c r="R137" t="s">
        <v>1214</v>
      </c>
      <c r="S137" t="s">
        <v>1213</v>
      </c>
      <c r="T137" s="21">
        <f>2.2/15</f>
        <v>0.14666666666666667</v>
      </c>
      <c r="U137">
        <f>3/15</f>
        <v>0.2</v>
      </c>
      <c r="W137" s="21">
        <f>2.4/34</f>
        <v>7.0588235294117646E-2</v>
      </c>
      <c r="X137">
        <f>3.4/34</f>
        <v>9.9999999999999992E-2</v>
      </c>
      <c r="Z137">
        <f>18.8/47</f>
        <v>0.4</v>
      </c>
      <c r="AA137" s="21">
        <f>9.8/47</f>
        <v>0.20851063829787236</v>
      </c>
      <c r="AC137" s="21">
        <f>7.6/35</f>
        <v>0.21714285714285714</v>
      </c>
      <c r="AD137" s="21">
        <f>4.4/35</f>
        <v>0.12571428571428572</v>
      </c>
      <c r="AF137" s="21">
        <f>5.8/31</f>
        <v>0.18709677419354839</v>
      </c>
      <c r="AG137" s="21">
        <f>4.4/31</f>
        <v>0.14193548387096774</v>
      </c>
      <c r="AI137">
        <f>13.2/55</f>
        <v>0.24</v>
      </c>
      <c r="AJ137" s="21">
        <f>6.25/55</f>
        <v>0.11363636363636363</v>
      </c>
    </row>
    <row r="138" spans="18:36">
      <c r="R138" t="s">
        <v>1216</v>
      </c>
      <c r="S138" t="s">
        <v>1215</v>
      </c>
      <c r="T138" s="21">
        <f>1.25/15</f>
        <v>8.3333333333333329E-2</v>
      </c>
      <c r="U138">
        <f>4.2/15</f>
        <v>0.28000000000000003</v>
      </c>
      <c r="W138" s="21">
        <f>8.25/34</f>
        <v>0.24264705882352941</v>
      </c>
      <c r="X138" s="21">
        <f>5/34</f>
        <v>0.14705882352941177</v>
      </c>
      <c r="Z138" s="21">
        <v>0.56382979</v>
      </c>
      <c r="AA138" s="21">
        <f>19/47</f>
        <v>0.40425531914893614</v>
      </c>
      <c r="AC138" s="21">
        <f>13.5/35</f>
        <v>0.38571428571428573</v>
      </c>
      <c r="AD138" s="21">
        <f>7.6/35</f>
        <v>0.21714285714285714</v>
      </c>
      <c r="AF138">
        <f>15.5/31</f>
        <v>0.5</v>
      </c>
      <c r="AG138" s="21">
        <f>8.8/31</f>
        <v>0.28387096774193549</v>
      </c>
      <c r="AI138" s="21">
        <f>25.25/55</f>
        <v>0.45909090909090911</v>
      </c>
      <c r="AJ138" s="21">
        <f>17.2/55</f>
        <v>0.31272727272727269</v>
      </c>
    </row>
    <row r="139" spans="18:36">
      <c r="R139" t="s">
        <v>1218</v>
      </c>
      <c r="S139" t="s">
        <v>1217</v>
      </c>
      <c r="T139">
        <f>7.2/15</f>
        <v>0.48000000000000004</v>
      </c>
      <c r="U139">
        <f>4.8/15</f>
        <v>0.32</v>
      </c>
      <c r="W139" s="73">
        <f>16.6/34</f>
        <v>0.4882352941176471</v>
      </c>
      <c r="X139" s="21">
        <f>6/34</f>
        <v>0.17647058823529413</v>
      </c>
      <c r="Z139" s="21">
        <f>18.6/47</f>
        <v>0.39574468085106385</v>
      </c>
      <c r="AA139" s="21">
        <f>14/47</f>
        <v>0.2978723404255319</v>
      </c>
      <c r="AC139" s="73">
        <f>17.8/35</f>
        <v>0.50857142857142856</v>
      </c>
      <c r="AD139" s="21">
        <f>7.4/35</f>
        <v>0.21142857142857144</v>
      </c>
      <c r="AF139" s="21">
        <f>9.6/31</f>
        <v>0.30967741935483872</v>
      </c>
      <c r="AG139" s="21">
        <f>7.2/31</f>
        <v>0.23225806451612904</v>
      </c>
      <c r="AI139" s="73">
        <f>27.2/55</f>
        <v>0.49454545454545451</v>
      </c>
      <c r="AJ139" s="21">
        <f>19.2/55</f>
        <v>0.34909090909090906</v>
      </c>
    </row>
    <row r="140" spans="18:36">
      <c r="R140" t="s">
        <v>1220</v>
      </c>
      <c r="S140" t="s">
        <v>1219</v>
      </c>
      <c r="T140" s="21">
        <f>5/15</f>
        <v>0.33333333333333331</v>
      </c>
      <c r="U140" s="21">
        <f>5/15</f>
        <v>0.33333333333333331</v>
      </c>
      <c r="W140" s="21">
        <f>5.5/34</f>
        <v>0.16176470588235295</v>
      </c>
      <c r="X140" s="21">
        <f>5.2/34</f>
        <v>0.15294117647058825</v>
      </c>
      <c r="Z140" s="21">
        <f>11.5/47</f>
        <v>0.24468085106382978</v>
      </c>
      <c r="AA140" s="21">
        <f>20.4/47</f>
        <v>0.43404255319148932</v>
      </c>
      <c r="AC140">
        <f>7/35</f>
        <v>0.2</v>
      </c>
      <c r="AD140" s="21">
        <f>9.4/35</f>
        <v>0.26857142857142857</v>
      </c>
      <c r="AF140" s="21">
        <f>7.25/31</f>
        <v>0.23387096774193547</v>
      </c>
      <c r="AG140" s="21">
        <f>9.8/31</f>
        <v>0.31612903225806455</v>
      </c>
      <c r="AI140" s="21">
        <f>14.25/55</f>
        <v>0.25909090909090909</v>
      </c>
      <c r="AJ140" s="21">
        <f>12.4/55</f>
        <v>0.22545454545454546</v>
      </c>
    </row>
    <row r="141" spans="18:36">
      <c r="R141" t="s">
        <v>1222</v>
      </c>
      <c r="S141" t="s">
        <v>1221</v>
      </c>
      <c r="T141" s="21">
        <f>6.2/15</f>
        <v>0.41333333333333333</v>
      </c>
      <c r="U141">
        <f>4.8/15</f>
        <v>0.32</v>
      </c>
      <c r="W141" s="21">
        <f>12.2/34</f>
        <v>0.35882352941176471</v>
      </c>
      <c r="X141" s="21">
        <f>4.4/34</f>
        <v>0.12941176470588237</v>
      </c>
      <c r="Z141" s="21">
        <f>16.8/47</f>
        <v>0.35744680851063831</v>
      </c>
      <c r="AA141" s="21">
        <f>11.2/47</f>
        <v>0.23829787234042552</v>
      </c>
      <c r="AC141" s="21">
        <f>11/35</f>
        <v>0.31428571428571428</v>
      </c>
      <c r="AD141" s="21">
        <f>7.2/35</f>
        <v>0.20571428571428571</v>
      </c>
      <c r="AF141" s="21">
        <f>9.8/31</f>
        <v>0.31612903225806455</v>
      </c>
      <c r="AG141" s="21">
        <f>8.2/31</f>
        <v>0.26451612903225802</v>
      </c>
      <c r="AI141" s="21">
        <f>20/55</f>
        <v>0.36363636363636365</v>
      </c>
      <c r="AJ141" s="21">
        <f>13.8/55</f>
        <v>0.25090909090909091</v>
      </c>
    </row>
    <row r="153" spans="19:37" ht="24">
      <c r="S153" s="74" t="s">
        <v>1860</v>
      </c>
    </row>
    <row r="156" spans="19:37" ht="99">
      <c r="S156" s="1" t="s">
        <v>1174</v>
      </c>
      <c r="T156" s="2" t="s">
        <v>1387</v>
      </c>
      <c r="U156" s="2" t="s">
        <v>1576</v>
      </c>
      <c r="V156" s="2" t="s">
        <v>1577</v>
      </c>
      <c r="W156" s="2" t="s">
        <v>1578</v>
      </c>
      <c r="X156" s="2" t="s">
        <v>1844</v>
      </c>
      <c r="Y156" s="2" t="s">
        <v>1857</v>
      </c>
      <c r="Z156" s="2" t="s">
        <v>1845</v>
      </c>
      <c r="AA156" s="2" t="s">
        <v>1579</v>
      </c>
      <c r="AB156" s="2" t="s">
        <v>1562</v>
      </c>
      <c r="AC156" s="2" t="s">
        <v>1389</v>
      </c>
      <c r="AD156" s="2" t="s">
        <v>1223</v>
      </c>
      <c r="AE156" s="2" t="s">
        <v>0</v>
      </c>
      <c r="AF156" s="2" t="s">
        <v>2</v>
      </c>
      <c r="AG156" s="2" t="s">
        <v>3</v>
      </c>
      <c r="AH156" s="2" t="s">
        <v>4</v>
      </c>
      <c r="AI156" s="2" t="s">
        <v>5</v>
      </c>
      <c r="AJ156" s="2" t="s">
        <v>6</v>
      </c>
      <c r="AK156" s="2" t="s">
        <v>1224</v>
      </c>
    </row>
    <row r="157" spans="19:37">
      <c r="S157" t="s">
        <v>1176</v>
      </c>
      <c r="T157">
        <v>0</v>
      </c>
      <c r="U157">
        <v>0.2</v>
      </c>
      <c r="V157">
        <v>0</v>
      </c>
      <c r="W157">
        <v>0</v>
      </c>
      <c r="X157">
        <v>0</v>
      </c>
      <c r="Y157">
        <v>0</v>
      </c>
      <c r="Z157">
        <v>0</v>
      </c>
      <c r="AA157">
        <v>0.2</v>
      </c>
      <c r="AB157">
        <v>0</v>
      </c>
      <c r="AC157">
        <v>0</v>
      </c>
      <c r="AD157" s="21">
        <f>0.2/50</f>
        <v>4.0000000000000001E-3</v>
      </c>
      <c r="AE157" s="21">
        <f>13.2/50</f>
        <v>0.26400000000000001</v>
      </c>
      <c r="AF157">
        <v>0</v>
      </c>
      <c r="AG157" s="21">
        <f>1.2/34</f>
        <v>3.5294117647058823E-2</v>
      </c>
      <c r="AH157" s="21">
        <f>2.4/47</f>
        <v>5.106382978723404E-2</v>
      </c>
      <c r="AI157">
        <f>1.4/35</f>
        <v>0.04</v>
      </c>
      <c r="AJ157" s="21">
        <f>1.4/31</f>
        <v>4.5161290322580643E-2</v>
      </c>
      <c r="AK157" s="21">
        <f>4/55</f>
        <v>7.2727272727272724E-2</v>
      </c>
    </row>
    <row r="158" spans="19:37">
      <c r="S158" t="s">
        <v>1175</v>
      </c>
      <c r="T158">
        <v>0</v>
      </c>
      <c r="U158">
        <v>0.8</v>
      </c>
      <c r="V158">
        <v>0</v>
      </c>
      <c r="W158">
        <v>0</v>
      </c>
      <c r="X158">
        <v>0</v>
      </c>
      <c r="Y158">
        <v>0</v>
      </c>
      <c r="Z158">
        <v>0</v>
      </c>
      <c r="AA158">
        <v>0.4</v>
      </c>
      <c r="AB158">
        <v>0.4</v>
      </c>
      <c r="AC158">
        <v>0.2</v>
      </c>
      <c r="AD158" s="21">
        <f>6.4/50</f>
        <v>0.128</v>
      </c>
      <c r="AE158">
        <f>11/50</f>
        <v>0.22</v>
      </c>
      <c r="AF158" s="21">
        <f>0.4/15</f>
        <v>2.6666666666666668E-2</v>
      </c>
      <c r="AG158" s="21">
        <f>0.2/34</f>
        <v>5.8823529411764705E-3</v>
      </c>
      <c r="AH158" s="21">
        <f>2.8/47</f>
        <v>5.9574468085106379E-2</v>
      </c>
      <c r="AI158">
        <f>2.8/35</f>
        <v>0.08</v>
      </c>
      <c r="AJ158" s="21">
        <f>2.8/31</f>
        <v>9.0322580645161285E-2</v>
      </c>
      <c r="AK158" s="21">
        <f>2.8/55</f>
        <v>5.0909090909090904E-2</v>
      </c>
    </row>
    <row r="159" spans="19:37">
      <c r="AD159" s="21"/>
      <c r="AF159" s="21"/>
      <c r="AG159" s="21"/>
      <c r="AH159" s="21"/>
      <c r="AJ159" s="21"/>
      <c r="AK159" s="21"/>
    </row>
    <row r="160" spans="19:37">
      <c r="S160" t="s">
        <v>1178</v>
      </c>
      <c r="T160">
        <v>0</v>
      </c>
      <c r="U160">
        <v>1</v>
      </c>
      <c r="V160">
        <v>1</v>
      </c>
      <c r="W160">
        <v>1</v>
      </c>
      <c r="X160">
        <v>0.8</v>
      </c>
      <c r="Y160">
        <v>0</v>
      </c>
      <c r="Z160">
        <v>0</v>
      </c>
      <c r="AA160">
        <v>0.6</v>
      </c>
      <c r="AB160">
        <v>0.75</v>
      </c>
      <c r="AC160">
        <v>0.5</v>
      </c>
      <c r="AD160" s="21">
        <f>6.4/50</f>
        <v>0.128</v>
      </c>
      <c r="AE160" s="21">
        <f>7.8/50</f>
        <v>0.156</v>
      </c>
      <c r="AF160" s="21">
        <f>2.667/15</f>
        <v>0.17779999999999999</v>
      </c>
      <c r="AG160" s="21">
        <f>2.5/34</f>
        <v>7.3529411764705885E-2</v>
      </c>
      <c r="AH160" s="21">
        <f>10/47</f>
        <v>0.21276595744680851</v>
      </c>
      <c r="AI160" s="21">
        <f>3.75/35</f>
        <v>0.10714285714285714</v>
      </c>
      <c r="AJ160" s="21">
        <f>2.5/31</f>
        <v>8.0645161290322578E-2</v>
      </c>
      <c r="AK160" s="21">
        <f>14.33/55</f>
        <v>0.26054545454545452</v>
      </c>
    </row>
    <row r="161" spans="19:37">
      <c r="S161" t="s">
        <v>1177</v>
      </c>
      <c r="T161">
        <v>0</v>
      </c>
      <c r="U161">
        <v>1</v>
      </c>
      <c r="V161">
        <v>1</v>
      </c>
      <c r="W161">
        <v>1</v>
      </c>
      <c r="X161">
        <v>0.6</v>
      </c>
      <c r="Y161">
        <v>0</v>
      </c>
      <c r="Z161">
        <v>0</v>
      </c>
      <c r="AA161">
        <v>0</v>
      </c>
      <c r="AB161">
        <v>0</v>
      </c>
      <c r="AC161">
        <v>0</v>
      </c>
      <c r="AD161" s="21">
        <f>7.6/50</f>
        <v>0.152</v>
      </c>
      <c r="AE161" s="21">
        <f>12.4/50</f>
        <v>0.248</v>
      </c>
      <c r="AF161" s="21">
        <f>1.6/15</f>
        <v>0.10666666666666667</v>
      </c>
      <c r="AG161" s="21">
        <f>0.6/34</f>
        <v>1.7647058823529412E-2</v>
      </c>
      <c r="AH161" s="21">
        <f>11.4/47</f>
        <v>0.24255319148936172</v>
      </c>
      <c r="AI161" s="21">
        <f>1.2/35</f>
        <v>3.4285714285714287E-2</v>
      </c>
      <c r="AJ161" s="21">
        <f>0.6/31</f>
        <v>1.935483870967742E-2</v>
      </c>
      <c r="AK161" s="21">
        <f>10.2/55</f>
        <v>0.18545454545454546</v>
      </c>
    </row>
    <row r="162" spans="19:37">
      <c r="AD162" s="21"/>
      <c r="AE162" s="21"/>
      <c r="AF162" s="21"/>
      <c r="AG162" s="21"/>
      <c r="AH162" s="21"/>
      <c r="AI162" s="21"/>
      <c r="AJ162" s="21"/>
      <c r="AK162" s="21"/>
    </row>
    <row r="163" spans="19:37">
      <c r="S163" t="s">
        <v>1180</v>
      </c>
      <c r="T163">
        <v>0</v>
      </c>
      <c r="U163">
        <v>0</v>
      </c>
      <c r="V163">
        <v>0</v>
      </c>
      <c r="W163">
        <v>0</v>
      </c>
      <c r="X163">
        <v>0</v>
      </c>
      <c r="Y163">
        <v>0</v>
      </c>
      <c r="Z163">
        <v>0</v>
      </c>
      <c r="AA163">
        <v>0</v>
      </c>
      <c r="AB163">
        <v>0.8</v>
      </c>
      <c r="AC163">
        <v>0.2</v>
      </c>
      <c r="AD163" s="21">
        <f>1.4/50</f>
        <v>2.7999999999999997E-2</v>
      </c>
      <c r="AE163" s="21">
        <v>0</v>
      </c>
      <c r="AF163">
        <f>0.6/15</f>
        <v>0.04</v>
      </c>
      <c r="AG163" s="21">
        <v>0</v>
      </c>
      <c r="AH163" s="21">
        <f>9/47</f>
        <v>0.19148936170212766</v>
      </c>
      <c r="AI163" s="21">
        <f>15/35</f>
        <v>0.42857142857142855</v>
      </c>
      <c r="AJ163" s="21">
        <f>5/31</f>
        <v>0.16129032258064516</v>
      </c>
      <c r="AK163" s="21">
        <f>14.4/55</f>
        <v>0.26181818181818184</v>
      </c>
    </row>
    <row r="164" spans="19:37">
      <c r="S164" t="s">
        <v>1179</v>
      </c>
      <c r="T164">
        <v>0</v>
      </c>
      <c r="U164">
        <v>0</v>
      </c>
      <c r="V164">
        <v>0</v>
      </c>
      <c r="W164">
        <v>0</v>
      </c>
      <c r="X164">
        <v>0</v>
      </c>
      <c r="Y164">
        <v>0</v>
      </c>
      <c r="Z164">
        <v>0</v>
      </c>
      <c r="AA164">
        <v>0</v>
      </c>
      <c r="AB164">
        <v>0.25</v>
      </c>
      <c r="AC164">
        <v>0.4</v>
      </c>
      <c r="AD164" s="21">
        <f>1.8/50</f>
        <v>3.6000000000000004E-2</v>
      </c>
      <c r="AE164" s="21">
        <v>0</v>
      </c>
      <c r="AF164" s="21">
        <f>1.6/15</f>
        <v>0.10666666666666667</v>
      </c>
      <c r="AG164" s="21">
        <f>0.6/34</f>
        <v>1.7647058823529412E-2</v>
      </c>
      <c r="AH164" s="21">
        <f>4.4/47</f>
        <v>9.3617021276595755E-2</v>
      </c>
      <c r="AI164" s="21">
        <f>5.8/35</f>
        <v>0.1657142857142857</v>
      </c>
      <c r="AJ164" s="21">
        <f>1.8/31</f>
        <v>5.8064516129032261E-2</v>
      </c>
      <c r="AK164">
        <f>6.6/55</f>
        <v>0.12</v>
      </c>
    </row>
    <row r="165" spans="19:37">
      <c r="AD165" s="21"/>
      <c r="AE165" s="21"/>
      <c r="AF165" s="21"/>
      <c r="AG165" s="21"/>
      <c r="AH165" s="21"/>
      <c r="AI165" s="21"/>
      <c r="AJ165" s="21"/>
    </row>
    <row r="166" spans="19:37">
      <c r="S166" t="s">
        <v>1182</v>
      </c>
      <c r="T166">
        <v>0</v>
      </c>
      <c r="U166">
        <v>1</v>
      </c>
      <c r="V166">
        <v>1</v>
      </c>
      <c r="W166">
        <v>1</v>
      </c>
      <c r="X166">
        <v>1</v>
      </c>
      <c r="Y166">
        <v>0.2</v>
      </c>
      <c r="Z166">
        <v>0</v>
      </c>
      <c r="AA166">
        <v>0.2</v>
      </c>
      <c r="AB166">
        <v>0.25</v>
      </c>
      <c r="AC166">
        <v>0</v>
      </c>
      <c r="AD166" s="21">
        <f>1.2/50</f>
        <v>2.4E-2</v>
      </c>
      <c r="AE166" s="21">
        <f>10.4/50</f>
        <v>0.20800000000000002</v>
      </c>
      <c r="AF166" s="21">
        <f>0.2/15</f>
        <v>1.3333333333333334E-2</v>
      </c>
      <c r="AG166" s="21">
        <f>0.4/34</f>
        <v>1.1764705882352941E-2</v>
      </c>
      <c r="AH166" s="21">
        <f>10.6/47</f>
        <v>0.22553191489361701</v>
      </c>
      <c r="AI166" s="21">
        <f>3/35</f>
        <v>8.5714285714285715E-2</v>
      </c>
      <c r="AJ166" s="21">
        <f>2.6/31</f>
        <v>8.387096774193549E-2</v>
      </c>
      <c r="AK166" s="21">
        <f>10.25/55</f>
        <v>0.18636363636363637</v>
      </c>
    </row>
    <row r="167" spans="19:37">
      <c r="S167" t="s">
        <v>1181</v>
      </c>
      <c r="T167">
        <v>0</v>
      </c>
      <c r="U167">
        <v>1</v>
      </c>
      <c r="V167">
        <v>1</v>
      </c>
      <c r="W167">
        <v>1</v>
      </c>
      <c r="X167">
        <v>0.2</v>
      </c>
      <c r="Y167">
        <v>0</v>
      </c>
      <c r="Z167">
        <v>0</v>
      </c>
      <c r="AA167">
        <v>0</v>
      </c>
      <c r="AB167">
        <v>0.5</v>
      </c>
      <c r="AC167">
        <v>0.5</v>
      </c>
      <c r="AD167" s="21">
        <f>2.4/50</f>
        <v>4.8000000000000001E-2</v>
      </c>
      <c r="AE167">
        <f>13/50</f>
        <v>0.26</v>
      </c>
      <c r="AF167" s="21">
        <f>2.2/15</f>
        <v>0.14666666666666667</v>
      </c>
      <c r="AG167" s="21">
        <v>0</v>
      </c>
      <c r="AH167" s="21">
        <f>11.2/47</f>
        <v>0.23829787234042552</v>
      </c>
      <c r="AI167" s="21">
        <f>2/35</f>
        <v>5.7142857142857141E-2</v>
      </c>
      <c r="AJ167" s="21">
        <f>3.2/31</f>
        <v>0.1032258064516129</v>
      </c>
      <c r="AK167" s="21">
        <f>8.5/55</f>
        <v>0.15454545454545454</v>
      </c>
    </row>
    <row r="168" spans="19:37">
      <c r="AD168" s="21"/>
      <c r="AF168" s="21"/>
      <c r="AG168" s="21"/>
      <c r="AH168" s="21"/>
      <c r="AI168" s="21"/>
      <c r="AJ168" s="21"/>
      <c r="AK168" s="21"/>
    </row>
    <row r="169" spans="19:37">
      <c r="S169" t="s">
        <v>1184</v>
      </c>
      <c r="T169">
        <v>0</v>
      </c>
      <c r="U169">
        <v>1</v>
      </c>
      <c r="V169">
        <v>1</v>
      </c>
      <c r="W169">
        <v>1</v>
      </c>
      <c r="X169">
        <v>1</v>
      </c>
      <c r="Y169">
        <v>1</v>
      </c>
      <c r="Z169">
        <v>1</v>
      </c>
      <c r="AA169">
        <v>1</v>
      </c>
      <c r="AB169">
        <v>0.8</v>
      </c>
      <c r="AC169">
        <v>0.8</v>
      </c>
      <c r="AD169" s="21">
        <f>16.8/50</f>
        <v>0.33600000000000002</v>
      </c>
      <c r="AE169" s="21">
        <f>0.6/50</f>
        <v>1.2E-2</v>
      </c>
      <c r="AF169">
        <f>4.8/15</f>
        <v>0.32</v>
      </c>
      <c r="AG169" s="21">
        <f>1.2/34</f>
        <v>3.5294117647058823E-2</v>
      </c>
      <c r="AH169" s="21">
        <f>14.4/47</f>
        <v>0.30638297872340425</v>
      </c>
      <c r="AI169" s="21">
        <f>4.6/35</f>
        <v>0.13142857142857142</v>
      </c>
      <c r="AJ169" s="21">
        <f>4.8/31</f>
        <v>0.15483870967741936</v>
      </c>
      <c r="AK169">
        <f>2.2/55</f>
        <v>0.04</v>
      </c>
    </row>
    <row r="170" spans="19:37">
      <c r="S170" t="s">
        <v>1183</v>
      </c>
      <c r="T170">
        <v>0</v>
      </c>
      <c r="U170">
        <v>1</v>
      </c>
      <c r="V170">
        <v>0.8</v>
      </c>
      <c r="W170">
        <v>0.8</v>
      </c>
      <c r="X170">
        <v>0.6</v>
      </c>
      <c r="Y170">
        <v>1</v>
      </c>
      <c r="Z170">
        <v>1</v>
      </c>
      <c r="AA170">
        <v>0</v>
      </c>
      <c r="AB170">
        <v>0.6</v>
      </c>
      <c r="AC170">
        <v>0.4</v>
      </c>
      <c r="AD170">
        <f>3/50</f>
        <v>0.06</v>
      </c>
      <c r="AE170">
        <f>1/50</f>
        <v>0.02</v>
      </c>
      <c r="AF170" s="21">
        <f>3.8/15</f>
        <v>0.2533333333333333</v>
      </c>
      <c r="AG170" s="21">
        <f>1.2/34</f>
        <v>3.5294117647058823E-2</v>
      </c>
      <c r="AH170" s="21">
        <f>7.6/47</f>
        <v>0.16170212765957445</v>
      </c>
      <c r="AI170" s="21">
        <f>0.8/35</f>
        <v>2.2857142857142857E-2</v>
      </c>
      <c r="AJ170" s="21">
        <f>1.6/31</f>
        <v>5.1612903225806452E-2</v>
      </c>
      <c r="AK170" s="21">
        <f>2/55</f>
        <v>3.6363636363636362E-2</v>
      </c>
    </row>
    <row r="171" spans="19:37">
      <c r="AF171" s="21"/>
      <c r="AG171" s="21"/>
      <c r="AH171" s="21"/>
      <c r="AI171" s="21"/>
      <c r="AJ171" s="21"/>
      <c r="AK171" s="21"/>
    </row>
    <row r="172" spans="19:37">
      <c r="S172" t="s">
        <v>1186</v>
      </c>
      <c r="T172">
        <v>1</v>
      </c>
      <c r="U172">
        <v>1</v>
      </c>
      <c r="V172">
        <v>1</v>
      </c>
      <c r="W172">
        <v>1</v>
      </c>
      <c r="X172">
        <v>0.8</v>
      </c>
      <c r="Y172">
        <v>0</v>
      </c>
      <c r="Z172">
        <v>0</v>
      </c>
      <c r="AA172">
        <v>1</v>
      </c>
      <c r="AB172">
        <v>0.33</v>
      </c>
      <c r="AC172">
        <v>0.5</v>
      </c>
      <c r="AD172" s="21">
        <f>18.2/50</f>
        <v>0.36399999999999999</v>
      </c>
      <c r="AE172" s="21">
        <f>19.6/50</f>
        <v>0.39200000000000002</v>
      </c>
      <c r="AF172" s="21">
        <f>4.75/15</f>
        <v>0.31666666666666665</v>
      </c>
      <c r="AG172" s="21">
        <f>0.25/34</f>
        <v>7.3529411764705881E-3</v>
      </c>
      <c r="AH172" s="21">
        <f>4/47</f>
        <v>8.5106382978723402E-2</v>
      </c>
      <c r="AI172" s="21">
        <f>5/35</f>
        <v>0.14285714285714285</v>
      </c>
      <c r="AJ172" s="21">
        <f>1.5/31</f>
        <v>4.8387096774193547E-2</v>
      </c>
      <c r="AK172" s="21">
        <f>13.25/55</f>
        <v>0.24090909090909091</v>
      </c>
    </row>
    <row r="173" spans="19:37">
      <c r="S173" t="s">
        <v>1185</v>
      </c>
      <c r="T173">
        <v>1</v>
      </c>
      <c r="U173">
        <v>1</v>
      </c>
      <c r="V173">
        <v>1</v>
      </c>
      <c r="W173">
        <v>0.8</v>
      </c>
      <c r="X173">
        <v>0.8</v>
      </c>
      <c r="Y173">
        <v>0</v>
      </c>
      <c r="Z173">
        <v>0</v>
      </c>
      <c r="AA173">
        <v>0</v>
      </c>
      <c r="AB173" s="21">
        <v>0.66666666666666696</v>
      </c>
      <c r="AC173">
        <v>0.75</v>
      </c>
      <c r="AD173" s="21">
        <f>6.6/50</f>
        <v>0.13200000000000001</v>
      </c>
      <c r="AE173" s="21">
        <f>15.8/50</f>
        <v>0.316</v>
      </c>
      <c r="AF173" s="21">
        <f>5/15</f>
        <v>0.33333333333333331</v>
      </c>
      <c r="AG173" s="21">
        <f>0.6/34</f>
        <v>1.7647058823529412E-2</v>
      </c>
      <c r="AH173" s="21">
        <f>4.8/47</f>
        <v>0.10212765957446808</v>
      </c>
      <c r="AI173" s="21">
        <f>4.6/35</f>
        <v>0.13142857142857142</v>
      </c>
      <c r="AJ173" s="21">
        <f>6.6/31</f>
        <v>0.2129032258064516</v>
      </c>
      <c r="AK173" s="21">
        <f>14.6/55</f>
        <v>0.26545454545454544</v>
      </c>
    </row>
    <row r="174" spans="19:37">
      <c r="AB174" s="21"/>
      <c r="AD174" s="21"/>
      <c r="AE174" s="21"/>
      <c r="AF174" s="21"/>
      <c r="AG174" s="21"/>
      <c r="AH174" s="21"/>
      <c r="AI174" s="21"/>
      <c r="AJ174" s="21"/>
      <c r="AK174" s="21"/>
    </row>
    <row r="175" spans="19:37">
      <c r="S175" t="s">
        <v>1188</v>
      </c>
      <c r="T175">
        <v>0</v>
      </c>
      <c r="U175">
        <v>1</v>
      </c>
      <c r="V175">
        <v>1</v>
      </c>
      <c r="W175">
        <v>1</v>
      </c>
      <c r="X175">
        <v>1</v>
      </c>
      <c r="Y175">
        <v>0</v>
      </c>
      <c r="Z175">
        <v>0</v>
      </c>
      <c r="AA175">
        <v>1</v>
      </c>
      <c r="AB175">
        <v>1</v>
      </c>
      <c r="AC175">
        <v>1</v>
      </c>
      <c r="AD175" s="21">
        <f>6.6/50</f>
        <v>0.13200000000000001</v>
      </c>
      <c r="AE175" s="21">
        <f>12.25/50</f>
        <v>0.245</v>
      </c>
      <c r="AF175" s="21">
        <f>2.6/15</f>
        <v>0.17333333333333334</v>
      </c>
      <c r="AG175" s="21">
        <f>4.2/34</f>
        <v>0.12352941176470589</v>
      </c>
      <c r="AH175" s="21">
        <f>10.2/47</f>
        <v>0.21702127659574466</v>
      </c>
      <c r="AI175" s="21">
        <f>7.2/35</f>
        <v>0.20571428571428571</v>
      </c>
      <c r="AJ175" s="21">
        <f>4/31</f>
        <v>0.12903225806451613</v>
      </c>
      <c r="AK175" s="21">
        <f>16.2/55</f>
        <v>0.29454545454545455</v>
      </c>
    </row>
    <row r="176" spans="19:37">
      <c r="S176" t="s">
        <v>1187</v>
      </c>
      <c r="T176">
        <v>0</v>
      </c>
      <c r="U176">
        <v>1</v>
      </c>
      <c r="V176">
        <v>1</v>
      </c>
      <c r="W176">
        <v>1</v>
      </c>
      <c r="X176">
        <v>1</v>
      </c>
      <c r="Y176">
        <v>1</v>
      </c>
      <c r="Z176">
        <v>0</v>
      </c>
      <c r="AA176">
        <v>0</v>
      </c>
      <c r="AB176">
        <v>0</v>
      </c>
      <c r="AC176">
        <v>0</v>
      </c>
      <c r="AD176" s="21">
        <f>12.6/50</f>
        <v>0.252</v>
      </c>
      <c r="AE176">
        <f>12/50</f>
        <v>0.24</v>
      </c>
      <c r="AF176">
        <f>2.4/15</f>
        <v>0.16</v>
      </c>
      <c r="AG176" s="21">
        <f>1/34</f>
        <v>2.9411764705882353E-2</v>
      </c>
      <c r="AH176" s="21">
        <f>9.8/47</f>
        <v>0.20851063829787236</v>
      </c>
      <c r="AI176" s="21">
        <f>2.4/35</f>
        <v>6.8571428571428575E-2</v>
      </c>
      <c r="AJ176" s="21">
        <f>3/31</f>
        <v>9.6774193548387094E-2</v>
      </c>
      <c r="AK176" s="21">
        <f>7.2/55</f>
        <v>0.13090909090909092</v>
      </c>
    </row>
    <row r="177" spans="19:37">
      <c r="AD177" s="21"/>
      <c r="AG177" s="21"/>
      <c r="AH177" s="21"/>
      <c r="AI177" s="21"/>
      <c r="AJ177" s="21"/>
      <c r="AK177" s="21"/>
    </row>
    <row r="178" spans="19:37">
      <c r="S178" t="s">
        <v>1190</v>
      </c>
      <c r="T178">
        <v>0</v>
      </c>
      <c r="U178">
        <v>1</v>
      </c>
      <c r="V178">
        <v>1</v>
      </c>
      <c r="W178">
        <v>1</v>
      </c>
      <c r="X178">
        <v>0.25</v>
      </c>
      <c r="Y178">
        <v>0</v>
      </c>
      <c r="Z178">
        <v>0</v>
      </c>
      <c r="AA178">
        <v>0.8</v>
      </c>
      <c r="AB178">
        <v>0.5</v>
      </c>
      <c r="AC178">
        <v>0.25</v>
      </c>
      <c r="AD178" s="21">
        <f>3.4/50</f>
        <v>6.8000000000000005E-2</v>
      </c>
      <c r="AE178">
        <f>3/50</f>
        <v>0.06</v>
      </c>
      <c r="AF178" s="21">
        <f>1/15</f>
        <v>6.6666666666666666E-2</v>
      </c>
      <c r="AG178" s="21">
        <f>1.6/34</f>
        <v>4.7058823529411764E-2</v>
      </c>
      <c r="AH178" s="21">
        <f>3.2/47</f>
        <v>6.8085106382978725E-2</v>
      </c>
      <c r="AI178" s="21">
        <f>0.4/35</f>
        <v>1.1428571428571429E-2</v>
      </c>
      <c r="AJ178" s="21">
        <f>1/31</f>
        <v>3.2258064516129031E-2</v>
      </c>
      <c r="AK178" s="21">
        <f>3/55</f>
        <v>5.4545454545454543E-2</v>
      </c>
    </row>
    <row r="179" spans="19:37">
      <c r="S179" t="s">
        <v>1189</v>
      </c>
      <c r="T179">
        <v>0</v>
      </c>
      <c r="U179">
        <v>1</v>
      </c>
      <c r="V179">
        <v>1</v>
      </c>
      <c r="W179">
        <v>1</v>
      </c>
      <c r="X179">
        <v>0.6</v>
      </c>
      <c r="Y179">
        <v>0.2</v>
      </c>
      <c r="Z179">
        <v>0</v>
      </c>
      <c r="AA179">
        <v>0.2</v>
      </c>
      <c r="AB179">
        <v>0.33</v>
      </c>
      <c r="AC179">
        <v>0</v>
      </c>
      <c r="AD179">
        <f>4/50</f>
        <v>0.08</v>
      </c>
      <c r="AE179" s="21">
        <f>7.2/50</f>
        <v>0.14400000000000002</v>
      </c>
      <c r="AF179" s="21">
        <f>0.25/15</f>
        <v>1.6666666666666666E-2</v>
      </c>
      <c r="AG179" s="21">
        <v>0</v>
      </c>
      <c r="AH179" s="21">
        <f>5.75/47</f>
        <v>0.12234042553191489</v>
      </c>
      <c r="AI179" s="21">
        <f>1.25/35</f>
        <v>3.5714285714285712E-2</v>
      </c>
      <c r="AJ179" s="21">
        <v>0</v>
      </c>
      <c r="AK179" s="21">
        <f>5/55</f>
        <v>9.0909090909090912E-2</v>
      </c>
    </row>
    <row r="180" spans="19:37">
      <c r="AE180" s="21"/>
      <c r="AF180" s="21"/>
      <c r="AG180" s="21"/>
      <c r="AH180" s="21"/>
      <c r="AI180" s="21"/>
      <c r="AJ180" s="21"/>
      <c r="AK180" s="21"/>
    </row>
    <row r="181" spans="19:37">
      <c r="S181" t="s">
        <v>1192</v>
      </c>
      <c r="T181">
        <v>0</v>
      </c>
      <c r="U181">
        <v>1</v>
      </c>
      <c r="V181">
        <v>1</v>
      </c>
      <c r="W181">
        <v>1</v>
      </c>
      <c r="X181">
        <v>1</v>
      </c>
      <c r="Y181">
        <v>1</v>
      </c>
      <c r="Z181">
        <v>1</v>
      </c>
      <c r="AA181">
        <v>1</v>
      </c>
      <c r="AB181">
        <v>1</v>
      </c>
      <c r="AC181">
        <v>1</v>
      </c>
      <c r="AD181">
        <f>23/50</f>
        <v>0.46</v>
      </c>
      <c r="AE181" s="21">
        <f>34.3/50</f>
        <v>0.68599999999999994</v>
      </c>
      <c r="AF181" s="21">
        <f>5/15</f>
        <v>0.33333333333333331</v>
      </c>
      <c r="AG181" s="21">
        <f>2.75/34</f>
        <v>8.0882352941176475E-2</v>
      </c>
      <c r="AH181" s="21">
        <f>27.3/47</f>
        <v>0.58085106382978724</v>
      </c>
      <c r="AI181" s="21">
        <f>9.5/35</f>
        <v>0.27142857142857141</v>
      </c>
      <c r="AJ181" s="21">
        <f>9.25/31</f>
        <v>0.29838709677419356</v>
      </c>
      <c r="AK181" s="21">
        <f>32/55</f>
        <v>0.58181818181818179</v>
      </c>
    </row>
    <row r="182" spans="19:37">
      <c r="S182" t="s">
        <v>1191</v>
      </c>
      <c r="T182">
        <v>0</v>
      </c>
      <c r="U182">
        <v>1</v>
      </c>
      <c r="V182">
        <v>1</v>
      </c>
      <c r="W182">
        <v>1</v>
      </c>
      <c r="X182">
        <v>0.8</v>
      </c>
      <c r="Y182">
        <v>1</v>
      </c>
      <c r="Z182">
        <v>1</v>
      </c>
      <c r="AA182">
        <v>0.2</v>
      </c>
      <c r="AB182">
        <v>0</v>
      </c>
      <c r="AC182">
        <v>0</v>
      </c>
      <c r="AD182" s="21">
        <f>15.8/50</f>
        <v>0.316</v>
      </c>
      <c r="AE182" s="21">
        <f>21.6/50</f>
        <v>0.43200000000000005</v>
      </c>
      <c r="AF182" s="21">
        <f>3.2/15</f>
        <v>0.21333333333333335</v>
      </c>
      <c r="AG182" s="21">
        <f>0.75/34</f>
        <v>2.2058823529411766E-2</v>
      </c>
      <c r="AH182" s="21">
        <f>16/47</f>
        <v>0.34042553191489361</v>
      </c>
      <c r="AI182" s="21">
        <f>10.2/35</f>
        <v>0.29142857142857143</v>
      </c>
      <c r="AJ182" s="21">
        <f>8/31</f>
        <v>0.25806451612903225</v>
      </c>
      <c r="AK182" s="21">
        <f>13.4/55</f>
        <v>0.24363636363636365</v>
      </c>
    </row>
    <row r="183" spans="19:37">
      <c r="AD183" s="21"/>
      <c r="AE183" s="21"/>
      <c r="AF183" s="21"/>
      <c r="AG183" s="21"/>
      <c r="AH183" s="21"/>
      <c r="AI183" s="21"/>
      <c r="AJ183" s="21"/>
      <c r="AK183" s="21"/>
    </row>
    <row r="184" spans="19:37">
      <c r="S184" t="s">
        <v>1194</v>
      </c>
      <c r="T184">
        <v>0</v>
      </c>
      <c r="U184">
        <v>1</v>
      </c>
      <c r="V184">
        <v>1</v>
      </c>
      <c r="W184">
        <v>1</v>
      </c>
      <c r="X184">
        <v>1</v>
      </c>
      <c r="Y184">
        <v>1</v>
      </c>
      <c r="Z184">
        <v>1</v>
      </c>
      <c r="AA184">
        <v>1</v>
      </c>
      <c r="AB184">
        <v>0.8</v>
      </c>
      <c r="AC184">
        <v>0.8</v>
      </c>
      <c r="AD184" s="21">
        <f>26.4/50</f>
        <v>0.52800000000000002</v>
      </c>
      <c r="AE184" s="21">
        <f>41.4/50</f>
        <v>0.82799999999999996</v>
      </c>
      <c r="AF184">
        <f>6.6/15</f>
        <v>0.44</v>
      </c>
      <c r="AG184" s="21">
        <f>11.2/34</f>
        <v>0.32941176470588235</v>
      </c>
      <c r="AH184" s="21">
        <f>24.6/47</f>
        <v>0.52340425531914891</v>
      </c>
      <c r="AI184" s="21">
        <f>24.4/35</f>
        <v>0.69714285714285706</v>
      </c>
      <c r="AJ184" s="21">
        <f>12/31</f>
        <v>0.38709677419354838</v>
      </c>
      <c r="AK184" s="21">
        <f>32.6/55</f>
        <v>0.59272727272727277</v>
      </c>
    </row>
    <row r="185" spans="19:37">
      <c r="S185" t="s">
        <v>1193</v>
      </c>
      <c r="T185">
        <v>0</v>
      </c>
      <c r="U185">
        <v>1</v>
      </c>
      <c r="V185">
        <v>1</v>
      </c>
      <c r="W185">
        <v>1</v>
      </c>
      <c r="X185">
        <v>1</v>
      </c>
      <c r="Y185">
        <v>1</v>
      </c>
      <c r="Z185">
        <v>1</v>
      </c>
      <c r="AA185">
        <v>0.6</v>
      </c>
      <c r="AB185">
        <v>0</v>
      </c>
      <c r="AC185">
        <v>0</v>
      </c>
      <c r="AD185" s="21">
        <f>18.8/50</f>
        <v>0.376</v>
      </c>
      <c r="AE185" s="21">
        <f>25.2/50</f>
        <v>0.504</v>
      </c>
      <c r="AF185" s="21">
        <f>5.6/15</f>
        <v>0.37333333333333329</v>
      </c>
      <c r="AG185" s="21">
        <f>4/34</f>
        <v>0.11764705882352941</v>
      </c>
      <c r="AH185" s="21">
        <f>12.2/47</f>
        <v>0.25957446808510637</v>
      </c>
      <c r="AI185" s="21">
        <f>8/35</f>
        <v>0.22857142857142856</v>
      </c>
      <c r="AJ185" s="21">
        <f>5/31</f>
        <v>0.16129032258064516</v>
      </c>
      <c r="AK185" s="21">
        <f>17/55</f>
        <v>0.30909090909090908</v>
      </c>
    </row>
    <row r="186" spans="19:37">
      <c r="AD186" s="21"/>
      <c r="AE186" s="21"/>
      <c r="AF186" s="21"/>
      <c r="AG186" s="21"/>
      <c r="AH186" s="21"/>
      <c r="AI186" s="21"/>
      <c r="AJ186" s="21"/>
      <c r="AK186" s="21"/>
    </row>
    <row r="187" spans="19:37">
      <c r="S187" t="s">
        <v>1196</v>
      </c>
      <c r="T187">
        <v>0</v>
      </c>
      <c r="U187">
        <v>1</v>
      </c>
      <c r="V187">
        <v>1</v>
      </c>
      <c r="W187">
        <v>1</v>
      </c>
      <c r="X187">
        <v>1</v>
      </c>
      <c r="Y187">
        <v>0.2</v>
      </c>
      <c r="Z187">
        <v>0.2</v>
      </c>
      <c r="AA187">
        <v>0.8</v>
      </c>
      <c r="AB187">
        <v>1</v>
      </c>
      <c r="AC187">
        <v>0.4</v>
      </c>
      <c r="AD187">
        <f>11/50</f>
        <v>0.22</v>
      </c>
      <c r="AE187" s="21">
        <f>17.6/50</f>
        <v>0.35200000000000004</v>
      </c>
      <c r="AF187" s="21">
        <f>6.4/15</f>
        <v>0.42666666666666669</v>
      </c>
      <c r="AG187" s="21">
        <f>5.25/34</f>
        <v>0.15441176470588236</v>
      </c>
      <c r="AH187" s="21">
        <f>15.75/47</f>
        <v>0.33510638297872342</v>
      </c>
      <c r="AI187" s="21">
        <f>14.2/35</f>
        <v>0.40571428571428569</v>
      </c>
      <c r="AJ187" s="21">
        <f>10.5/31</f>
        <v>0.33870967741935482</v>
      </c>
      <c r="AK187" s="21">
        <f>17.6666666666667/55</f>
        <v>0.32121212121212184</v>
      </c>
    </row>
    <row r="188" spans="19:37">
      <c r="S188" t="s">
        <v>1195</v>
      </c>
      <c r="T188">
        <v>0</v>
      </c>
      <c r="U188">
        <v>1</v>
      </c>
      <c r="V188">
        <v>1</v>
      </c>
      <c r="W188">
        <v>1</v>
      </c>
      <c r="X188">
        <v>0.8</v>
      </c>
      <c r="Y188">
        <v>1</v>
      </c>
      <c r="Z188">
        <v>1</v>
      </c>
      <c r="AA188">
        <v>0</v>
      </c>
      <c r="AB188">
        <v>0</v>
      </c>
      <c r="AC188">
        <v>0</v>
      </c>
      <c r="AD188">
        <f>20.5/50</f>
        <v>0.41</v>
      </c>
      <c r="AE188">
        <f>20.5/50</f>
        <v>0.41</v>
      </c>
      <c r="AF188" s="21">
        <f>7.4/15</f>
        <v>0.49333333333333335</v>
      </c>
      <c r="AG188" s="21">
        <f>3/34</f>
        <v>8.8235294117647065E-2</v>
      </c>
      <c r="AH188" s="21">
        <f>11.8/47</f>
        <v>0.25106382978723407</v>
      </c>
      <c r="AI188" s="21">
        <f>6/35</f>
        <v>0.17142857142857143</v>
      </c>
      <c r="AJ188" s="21">
        <f>8.2/31</f>
        <v>0.26451612903225802</v>
      </c>
      <c r="AK188" s="21">
        <f>14.2/55</f>
        <v>0.25818181818181818</v>
      </c>
    </row>
    <row r="189" spans="19:37">
      <c r="AF189" s="21"/>
      <c r="AG189" s="21"/>
      <c r="AH189" s="21"/>
      <c r="AI189" s="21"/>
      <c r="AJ189" s="21"/>
      <c r="AK189" s="21"/>
    </row>
    <row r="190" spans="19:37">
      <c r="S190" t="s">
        <v>1198</v>
      </c>
      <c r="T190">
        <v>1</v>
      </c>
      <c r="U190">
        <v>1</v>
      </c>
      <c r="V190">
        <v>1</v>
      </c>
      <c r="W190">
        <v>1</v>
      </c>
      <c r="X190">
        <v>1</v>
      </c>
      <c r="Y190">
        <v>0.8</v>
      </c>
      <c r="Z190">
        <v>0.8</v>
      </c>
      <c r="AA190">
        <v>1</v>
      </c>
      <c r="AB190">
        <v>0.8</v>
      </c>
      <c r="AC190">
        <v>1</v>
      </c>
      <c r="AD190" s="21">
        <f>12.4/50</f>
        <v>0.248</v>
      </c>
      <c r="AE190">
        <f>19/50</f>
        <v>0.38</v>
      </c>
      <c r="AF190">
        <f>6.6/15</f>
        <v>0.44</v>
      </c>
      <c r="AG190" s="21">
        <f>11/34</f>
        <v>0.3235294117647059</v>
      </c>
      <c r="AH190" s="21">
        <f>19.6/47</f>
        <v>0.41702127659574473</v>
      </c>
      <c r="AI190" s="21">
        <f>10.2/35</f>
        <v>0.29142857142857143</v>
      </c>
      <c r="AJ190" s="21">
        <f>12.2/31</f>
        <v>0.39354838709677414</v>
      </c>
      <c r="AK190" s="21">
        <f>20/55</f>
        <v>0.36363636363636365</v>
      </c>
    </row>
    <row r="191" spans="19:37">
      <c r="S191" t="s">
        <v>1197</v>
      </c>
      <c r="T191">
        <v>1</v>
      </c>
      <c r="U191">
        <v>1</v>
      </c>
      <c r="V191">
        <v>0.6</v>
      </c>
      <c r="W191">
        <v>0.4</v>
      </c>
      <c r="X191">
        <v>0.4</v>
      </c>
      <c r="Y191">
        <v>1</v>
      </c>
      <c r="Z191">
        <v>1</v>
      </c>
      <c r="AA191">
        <v>0.6</v>
      </c>
      <c r="AB191">
        <v>0.4</v>
      </c>
      <c r="AC191">
        <v>0.2</v>
      </c>
      <c r="AD191" s="21">
        <f>11.8/50</f>
        <v>0.23600000000000002</v>
      </c>
      <c r="AE191" s="21">
        <f>16.2/50</f>
        <v>0.32400000000000001</v>
      </c>
      <c r="AF191">
        <f>4.5/15</f>
        <v>0.3</v>
      </c>
      <c r="AG191" s="21">
        <f>5.3/34</f>
        <v>0.15588235294117647</v>
      </c>
      <c r="AH191" s="21">
        <f>14.25/47</f>
        <v>0.30319148936170215</v>
      </c>
      <c r="AI191" s="21">
        <f>9.75/35</f>
        <v>0.27857142857142858</v>
      </c>
      <c r="AJ191" s="21">
        <f>9.5/31</f>
        <v>0.30645161290322581</v>
      </c>
      <c r="AK191" s="21">
        <f>14/55</f>
        <v>0.25454545454545452</v>
      </c>
    </row>
    <row r="193" spans="19:37">
      <c r="S193" t="s">
        <v>1200</v>
      </c>
      <c r="T193">
        <v>1</v>
      </c>
      <c r="U193">
        <v>1</v>
      </c>
      <c r="V193">
        <v>1</v>
      </c>
      <c r="W193">
        <v>1</v>
      </c>
      <c r="X193">
        <v>1</v>
      </c>
      <c r="Y193">
        <v>1</v>
      </c>
      <c r="Z193">
        <v>0</v>
      </c>
      <c r="AA193">
        <v>0.8</v>
      </c>
      <c r="AB193">
        <v>1</v>
      </c>
      <c r="AC193">
        <v>1</v>
      </c>
      <c r="AD193">
        <f>17/50</f>
        <v>0.34</v>
      </c>
      <c r="AE193" s="21">
        <f>21.6/50</f>
        <v>0.43200000000000005</v>
      </c>
      <c r="AF193" s="21">
        <f>4.6/15</f>
        <v>0.30666666666666664</v>
      </c>
      <c r="AG193" s="21">
        <f>15.2/34</f>
        <v>0.44705882352941173</v>
      </c>
      <c r="AH193" s="21">
        <f>25.2/47</f>
        <v>0.53617021276595744</v>
      </c>
      <c r="AI193" s="21">
        <f>26.2/35</f>
        <v>0.74857142857142855</v>
      </c>
      <c r="AJ193" s="21">
        <f>13/31</f>
        <v>0.41935483870967744</v>
      </c>
      <c r="AK193" s="21">
        <f>33.4/55</f>
        <v>0.6072727272727273</v>
      </c>
    </row>
    <row r="194" spans="19:37">
      <c r="S194" t="s">
        <v>1199</v>
      </c>
      <c r="T194">
        <v>1</v>
      </c>
      <c r="U194">
        <v>1</v>
      </c>
      <c r="V194">
        <v>0.8</v>
      </c>
      <c r="W194">
        <v>1</v>
      </c>
      <c r="X194">
        <v>0.8</v>
      </c>
      <c r="Y194">
        <v>1</v>
      </c>
      <c r="Z194">
        <v>0</v>
      </c>
      <c r="AA194">
        <v>0.4</v>
      </c>
      <c r="AB194">
        <v>0</v>
      </c>
      <c r="AC194">
        <v>0</v>
      </c>
      <c r="AD194">
        <f>17/50</f>
        <v>0.34</v>
      </c>
      <c r="AE194" s="21">
        <f>17.6/50</f>
        <v>0.35200000000000004</v>
      </c>
      <c r="AF194" s="21">
        <f>5.6/15</f>
        <v>0.37333333333333329</v>
      </c>
      <c r="AG194" s="21">
        <f>5.4/34</f>
        <v>0.15882352941176472</v>
      </c>
      <c r="AH194" s="21">
        <f>18/47</f>
        <v>0.38297872340425532</v>
      </c>
      <c r="AI194" s="21">
        <f>8.6/35</f>
        <v>0.24571428571428569</v>
      </c>
      <c r="AJ194" s="21">
        <f>8.8/31</f>
        <v>0.28387096774193549</v>
      </c>
      <c r="AK194" s="21">
        <f>19.6/55</f>
        <v>0.35636363636363638</v>
      </c>
    </row>
    <row r="195" spans="19:37">
      <c r="AE195" s="21"/>
      <c r="AF195" s="21"/>
      <c r="AG195" s="21"/>
      <c r="AH195" s="21"/>
      <c r="AI195" s="21"/>
      <c r="AJ195" s="21"/>
      <c r="AK195" s="21"/>
    </row>
    <row r="196" spans="19:37">
      <c r="S196" t="s">
        <v>1202</v>
      </c>
      <c r="T196">
        <v>0</v>
      </c>
      <c r="U196">
        <v>1</v>
      </c>
      <c r="V196">
        <v>1</v>
      </c>
      <c r="W196">
        <v>1</v>
      </c>
      <c r="X196">
        <v>1</v>
      </c>
      <c r="Y196">
        <v>0</v>
      </c>
      <c r="Z196">
        <v>0</v>
      </c>
      <c r="AA196">
        <v>1</v>
      </c>
      <c r="AB196">
        <v>0.6</v>
      </c>
      <c r="AC196">
        <v>0.8</v>
      </c>
      <c r="AD196" s="21">
        <f>32.8/50</f>
        <v>0.65599999999999992</v>
      </c>
      <c r="AE196" s="21">
        <f>23.8/50</f>
        <v>0.47600000000000003</v>
      </c>
      <c r="AF196">
        <f>6/15</f>
        <v>0.4</v>
      </c>
      <c r="AG196" s="21">
        <f>10.6/34</f>
        <v>0.31176470588235294</v>
      </c>
      <c r="AH196" s="21">
        <f>14.6/47</f>
        <v>0.31063829787234043</v>
      </c>
      <c r="AI196" s="21">
        <f>17.4/35</f>
        <v>0.49714285714285711</v>
      </c>
      <c r="AJ196" s="21">
        <f>8.6/31</f>
        <v>0.27741935483870966</v>
      </c>
      <c r="AK196" s="21">
        <f>24.6/55</f>
        <v>0.44727272727272732</v>
      </c>
    </row>
    <row r="197" spans="19:37">
      <c r="S197" t="s">
        <v>1201</v>
      </c>
      <c r="T197">
        <v>0</v>
      </c>
      <c r="U197">
        <v>1</v>
      </c>
      <c r="V197">
        <v>1</v>
      </c>
      <c r="W197">
        <v>1</v>
      </c>
      <c r="X197">
        <v>1</v>
      </c>
      <c r="Y197">
        <v>0</v>
      </c>
      <c r="Z197">
        <v>0</v>
      </c>
      <c r="AA197">
        <v>1</v>
      </c>
      <c r="AB197">
        <v>0</v>
      </c>
      <c r="AC197">
        <v>0</v>
      </c>
      <c r="AD197" s="21">
        <f>12.8/50</f>
        <v>0.25600000000000001</v>
      </c>
      <c r="AE197" s="21">
        <f>11.2/50</f>
        <v>0.22399999999999998</v>
      </c>
      <c r="AF197" s="21">
        <f>5.6/15</f>
        <v>0.37333333333333329</v>
      </c>
      <c r="AG197" s="21">
        <f>9.6/34</f>
        <v>0.28235294117647058</v>
      </c>
      <c r="AH197" s="21">
        <f>13.6/47</f>
        <v>0.28936170212765955</v>
      </c>
      <c r="AI197" s="21">
        <f>8.6/35</f>
        <v>0.24571428571428569</v>
      </c>
      <c r="AJ197" s="21">
        <f>4.8/31</f>
        <v>0.15483870967741936</v>
      </c>
      <c r="AK197" s="21">
        <f>16.75/55</f>
        <v>0.30454545454545456</v>
      </c>
    </row>
    <row r="199" spans="19:37">
      <c r="S199" t="s">
        <v>1204</v>
      </c>
      <c r="T199">
        <v>1</v>
      </c>
      <c r="U199">
        <v>1</v>
      </c>
      <c r="V199">
        <v>1</v>
      </c>
      <c r="W199">
        <v>1</v>
      </c>
      <c r="X199">
        <v>1</v>
      </c>
      <c r="Y199">
        <v>0.2</v>
      </c>
      <c r="Z199">
        <v>0</v>
      </c>
      <c r="AA199">
        <v>1</v>
      </c>
      <c r="AB199">
        <v>1</v>
      </c>
      <c r="AC199">
        <v>0.8</v>
      </c>
      <c r="AD199" s="21">
        <f>12.8/50</f>
        <v>0.25600000000000001</v>
      </c>
      <c r="AE199" s="21">
        <f>16.8/50</f>
        <v>0.33600000000000002</v>
      </c>
      <c r="AF199" s="21">
        <f>2.2/15</f>
        <v>0.14666666666666667</v>
      </c>
      <c r="AG199">
        <f>6.8/34</f>
        <v>0.19999999999999998</v>
      </c>
      <c r="AH199" s="21">
        <f>25.4/47</f>
        <v>0.54042553191489362</v>
      </c>
      <c r="AI199" s="21">
        <f>15/35</f>
        <v>0.42857142857142855</v>
      </c>
      <c r="AJ199" s="21">
        <f>11/31</f>
        <v>0.35483870967741937</v>
      </c>
      <c r="AK199" s="21">
        <f>22.4/55</f>
        <v>0.40727272727272723</v>
      </c>
    </row>
    <row r="200" spans="19:37">
      <c r="S200" t="s">
        <v>1203</v>
      </c>
      <c r="T200">
        <v>1</v>
      </c>
      <c r="U200">
        <v>1</v>
      </c>
      <c r="V200">
        <v>1</v>
      </c>
      <c r="W200">
        <v>1</v>
      </c>
      <c r="X200">
        <v>0.6</v>
      </c>
      <c r="Y200">
        <v>1</v>
      </c>
      <c r="Z200">
        <v>1</v>
      </c>
      <c r="AA200">
        <v>0</v>
      </c>
      <c r="AB200">
        <v>0</v>
      </c>
      <c r="AC200">
        <v>0.2</v>
      </c>
      <c r="AD200" s="21">
        <f>15.2/50</f>
        <v>0.30399999999999999</v>
      </c>
      <c r="AE200" s="21">
        <f>22.2/50</f>
        <v>0.44400000000000001</v>
      </c>
      <c r="AF200" s="21">
        <f>5/15</f>
        <v>0.33333333333333331</v>
      </c>
      <c r="AG200" s="21">
        <f>4.4/34</f>
        <v>0.12941176470588237</v>
      </c>
      <c r="AH200" s="21">
        <f>24.4/47</f>
        <v>0.51914893617021274</v>
      </c>
      <c r="AI200" s="21">
        <f>8/35</f>
        <v>0.22857142857142856</v>
      </c>
      <c r="AJ200" s="21">
        <f>11/31</f>
        <v>0.35483870967741937</v>
      </c>
      <c r="AK200" s="21">
        <f>15.75/55</f>
        <v>0.28636363636363638</v>
      </c>
    </row>
    <row r="201" spans="19:37">
      <c r="AD201" s="21"/>
      <c r="AE201" s="21"/>
      <c r="AF201" s="21"/>
      <c r="AG201" s="21"/>
      <c r="AH201" s="21"/>
      <c r="AI201" s="21"/>
      <c r="AJ201" s="21"/>
      <c r="AK201" s="21"/>
    </row>
    <row r="202" spans="19:37">
      <c r="S202" t="s">
        <v>1206</v>
      </c>
      <c r="T202">
        <v>0.6</v>
      </c>
      <c r="U202">
        <v>1</v>
      </c>
      <c r="V202">
        <v>0.8</v>
      </c>
      <c r="W202">
        <v>1</v>
      </c>
      <c r="X202">
        <v>0.8</v>
      </c>
      <c r="Y202">
        <v>1</v>
      </c>
      <c r="Z202">
        <v>0.4</v>
      </c>
      <c r="AA202">
        <v>1</v>
      </c>
      <c r="AB202">
        <v>0.8</v>
      </c>
      <c r="AC202">
        <v>0.6</v>
      </c>
      <c r="AD202" s="21">
        <f>27.6/50</f>
        <v>0.55200000000000005</v>
      </c>
      <c r="AE202" s="21">
        <f>25.2/50</f>
        <v>0.504</v>
      </c>
      <c r="AF202">
        <f>6/15</f>
        <v>0.4</v>
      </c>
      <c r="AG202" s="21">
        <f>8/34</f>
        <v>0.23529411764705882</v>
      </c>
      <c r="AH202" s="21">
        <f>18.2/47</f>
        <v>0.38723404255319149</v>
      </c>
      <c r="AI202" s="21">
        <f>8.8/35</f>
        <v>0.25142857142857145</v>
      </c>
      <c r="AJ202" s="21">
        <f>10/31</f>
        <v>0.32258064516129031</v>
      </c>
      <c r="AK202" s="21">
        <f>27.6/55</f>
        <v>0.50181818181818183</v>
      </c>
    </row>
    <row r="203" spans="19:37">
      <c r="S203" t="s">
        <v>1205</v>
      </c>
      <c r="T203">
        <v>0.8</v>
      </c>
      <c r="U203">
        <v>1</v>
      </c>
      <c r="V203">
        <v>1</v>
      </c>
      <c r="W203">
        <v>1</v>
      </c>
      <c r="X203">
        <v>1</v>
      </c>
      <c r="Y203">
        <v>1</v>
      </c>
      <c r="Z203">
        <v>0.8</v>
      </c>
      <c r="AA203">
        <v>0.8</v>
      </c>
      <c r="AB203">
        <v>0</v>
      </c>
      <c r="AC203">
        <v>0</v>
      </c>
      <c r="AD203">
        <f>26/50</f>
        <v>0.52</v>
      </c>
      <c r="AE203" s="21">
        <f>34.2/50</f>
        <v>0.68400000000000005</v>
      </c>
      <c r="AF203" s="21">
        <f>7/15</f>
        <v>0.46666666666666667</v>
      </c>
      <c r="AG203" s="21">
        <f>6.4/34</f>
        <v>0.18823529411764706</v>
      </c>
      <c r="AH203">
        <f>18.8/47</f>
        <v>0.4</v>
      </c>
      <c r="AI203" s="21">
        <f>9/35</f>
        <v>0.25714285714285712</v>
      </c>
      <c r="AJ203" s="21">
        <f>7.8/31</f>
        <v>0.25161290322580643</v>
      </c>
      <c r="AK203" s="21">
        <f>19.2/55</f>
        <v>0.34909090909090906</v>
      </c>
    </row>
    <row r="204" spans="19:37">
      <c r="AE204" s="21"/>
      <c r="AF204" s="21"/>
      <c r="AG204" s="21"/>
      <c r="AI204" s="21"/>
      <c r="AJ204" s="21"/>
      <c r="AK204" s="21"/>
    </row>
    <row r="205" spans="19:37">
      <c r="S205" t="s">
        <v>1208</v>
      </c>
      <c r="T205">
        <v>1</v>
      </c>
      <c r="U205">
        <v>1</v>
      </c>
      <c r="V205">
        <v>1</v>
      </c>
      <c r="W205">
        <v>1</v>
      </c>
      <c r="X205">
        <v>1</v>
      </c>
      <c r="Y205">
        <v>0</v>
      </c>
      <c r="Z205">
        <v>0</v>
      </c>
      <c r="AA205">
        <v>1</v>
      </c>
      <c r="AB205">
        <v>1</v>
      </c>
      <c r="AC205">
        <v>1</v>
      </c>
      <c r="AD205" s="21">
        <f>15.6/50</f>
        <v>0.312</v>
      </c>
      <c r="AE205" s="21">
        <f>9.6/50</f>
        <v>0.192</v>
      </c>
      <c r="AF205">
        <f>6/15</f>
        <v>0.4</v>
      </c>
      <c r="AG205" s="21">
        <f>4.5/34</f>
        <v>0.13235294117647059</v>
      </c>
      <c r="AH205" s="21">
        <f>16.5/47</f>
        <v>0.35106382978723405</v>
      </c>
      <c r="AI205" s="21">
        <f>19.75/35</f>
        <v>0.56428571428571428</v>
      </c>
      <c r="AJ205" s="21">
        <f>12.33/31</f>
        <v>0.39774193548387099</v>
      </c>
      <c r="AK205" s="21">
        <f>24/55</f>
        <v>0.43636363636363634</v>
      </c>
    </row>
    <row r="206" spans="19:37">
      <c r="S206" t="s">
        <v>1207</v>
      </c>
      <c r="T206">
        <v>1</v>
      </c>
      <c r="U206">
        <v>1</v>
      </c>
      <c r="V206">
        <v>1</v>
      </c>
      <c r="W206">
        <v>0.8</v>
      </c>
      <c r="X206">
        <v>0.2</v>
      </c>
      <c r="Y206">
        <v>1</v>
      </c>
      <c r="Z206">
        <v>0.2</v>
      </c>
      <c r="AA206">
        <v>0.2</v>
      </c>
      <c r="AB206">
        <v>0.2</v>
      </c>
      <c r="AC206">
        <v>0</v>
      </c>
      <c r="AD206">
        <f>7/50</f>
        <v>0.14000000000000001</v>
      </c>
      <c r="AE206" s="21">
        <f>11.4/50</f>
        <v>0.22800000000000001</v>
      </c>
      <c r="AF206" s="21">
        <f>4.4/15</f>
        <v>0.29333333333333333</v>
      </c>
      <c r="AG206" s="21">
        <f>6.4/34</f>
        <v>0.18823529411764706</v>
      </c>
      <c r="AH206" s="21">
        <f>17.2/47</f>
        <v>0.36595744680851061</v>
      </c>
      <c r="AI206" s="21">
        <f>9/35</f>
        <v>0.25714285714285712</v>
      </c>
      <c r="AJ206" s="21">
        <f>11.5/31</f>
        <v>0.37096774193548387</v>
      </c>
      <c r="AK206" s="21">
        <f>21.75/55</f>
        <v>0.39545454545454545</v>
      </c>
    </row>
    <row r="207" spans="19:37">
      <c r="AE207" s="21"/>
      <c r="AF207" s="21"/>
      <c r="AG207" s="21"/>
      <c r="AH207" s="21"/>
      <c r="AI207" s="21"/>
      <c r="AJ207" s="21"/>
      <c r="AK207" s="21"/>
    </row>
    <row r="208" spans="19:37">
      <c r="S208" t="s">
        <v>1210</v>
      </c>
      <c r="T208">
        <v>0</v>
      </c>
      <c r="U208">
        <v>1</v>
      </c>
      <c r="V208">
        <v>1</v>
      </c>
      <c r="W208">
        <v>1</v>
      </c>
      <c r="X208">
        <v>1</v>
      </c>
      <c r="Y208">
        <v>1</v>
      </c>
      <c r="Z208">
        <v>1</v>
      </c>
      <c r="AA208">
        <v>1</v>
      </c>
      <c r="AB208">
        <v>0.75</v>
      </c>
      <c r="AC208">
        <v>0.75</v>
      </c>
      <c r="AD208">
        <f>34.5/50</f>
        <v>0.69</v>
      </c>
      <c r="AE208">
        <f>27/50</f>
        <v>0.54</v>
      </c>
      <c r="AF208">
        <f>6/15</f>
        <v>0.4</v>
      </c>
      <c r="AG208" s="21">
        <f>4.75/34</f>
        <v>0.13970588235294118</v>
      </c>
      <c r="AH208" s="21">
        <f>30.6/47</f>
        <v>0.65106382978723409</v>
      </c>
      <c r="AI208" s="21">
        <f>14.4/35</f>
        <v>0.41142857142857142</v>
      </c>
      <c r="AJ208" s="21">
        <f>16.4/31</f>
        <v>0.52903225806451604</v>
      </c>
      <c r="AK208" s="21">
        <f>22.8/55</f>
        <v>0.41454545454545455</v>
      </c>
    </row>
    <row r="209" spans="19:37">
      <c r="S209" t="s">
        <v>1209</v>
      </c>
      <c r="T209">
        <v>0</v>
      </c>
      <c r="U209">
        <v>1</v>
      </c>
      <c r="V209">
        <v>1</v>
      </c>
      <c r="W209">
        <v>1</v>
      </c>
      <c r="X209">
        <v>1</v>
      </c>
      <c r="Y209">
        <v>0.8</v>
      </c>
      <c r="Z209">
        <v>1</v>
      </c>
      <c r="AA209">
        <v>0</v>
      </c>
      <c r="AB209">
        <v>0</v>
      </c>
      <c r="AC209">
        <v>0</v>
      </c>
      <c r="AD209">
        <f>29/50</f>
        <v>0.57999999999999996</v>
      </c>
      <c r="AE209" s="21">
        <f>19.3333333333/50</f>
        <v>0.38666666666600003</v>
      </c>
      <c r="AF209" s="21">
        <f>5.2/15</f>
        <v>0.34666666666666668</v>
      </c>
      <c r="AG209" s="21">
        <f>2.2/34</f>
        <v>6.4705882352941183E-2</v>
      </c>
      <c r="AH209" s="21">
        <f>16.8/47</f>
        <v>0.35744680851063831</v>
      </c>
      <c r="AI209" s="21">
        <f>10/35</f>
        <v>0.2857142857142857</v>
      </c>
      <c r="AJ209" s="21">
        <f>8.6/31</f>
        <v>0.27741935483870966</v>
      </c>
      <c r="AK209" s="21">
        <f>13.6/55</f>
        <v>0.24727272727272726</v>
      </c>
    </row>
    <row r="210" spans="19:37">
      <c r="AE210" s="21"/>
      <c r="AF210" s="21"/>
      <c r="AG210" s="21"/>
      <c r="AH210" s="21"/>
      <c r="AI210" s="21"/>
      <c r="AJ210" s="21"/>
      <c r="AK210" s="21"/>
    </row>
    <row r="211" spans="19:37">
      <c r="S211" t="s">
        <v>1212</v>
      </c>
      <c r="T211">
        <v>1</v>
      </c>
      <c r="U211">
        <v>1</v>
      </c>
      <c r="V211">
        <v>1</v>
      </c>
      <c r="W211">
        <v>1</v>
      </c>
      <c r="X211">
        <v>1</v>
      </c>
      <c r="Y211">
        <v>0.8</v>
      </c>
      <c r="Z211">
        <v>0.2</v>
      </c>
      <c r="AA211">
        <v>1</v>
      </c>
      <c r="AB211">
        <v>0.8</v>
      </c>
      <c r="AC211">
        <v>1</v>
      </c>
      <c r="AD211" s="21">
        <f>34.4/50</f>
        <v>0.68799999999999994</v>
      </c>
      <c r="AE211">
        <f>32/50</f>
        <v>0.64</v>
      </c>
      <c r="AF211" s="21">
        <f>10/15</f>
        <v>0.66666666666666663</v>
      </c>
      <c r="AG211" s="21">
        <f>20.75/34</f>
        <v>0.61029411764705888</v>
      </c>
      <c r="AH211" s="21">
        <f>21.75/47</f>
        <v>0.46276595744680848</v>
      </c>
      <c r="AI211" s="21">
        <f>26.75/35</f>
        <v>0.76428571428571423</v>
      </c>
      <c r="AJ211" s="21">
        <f>18/31</f>
        <v>0.58064516129032262</v>
      </c>
      <c r="AK211">
        <f>41.25/55</f>
        <v>0.75</v>
      </c>
    </row>
    <row r="212" spans="19:37">
      <c r="S212" t="s">
        <v>1211</v>
      </c>
      <c r="T212">
        <v>1</v>
      </c>
      <c r="U212">
        <v>1</v>
      </c>
      <c r="V212">
        <v>0.8</v>
      </c>
      <c r="W212">
        <v>1</v>
      </c>
      <c r="X212">
        <v>0.8</v>
      </c>
      <c r="Y212">
        <v>1</v>
      </c>
      <c r="Z212">
        <v>1</v>
      </c>
      <c r="AA212">
        <v>0.4</v>
      </c>
      <c r="AB212">
        <v>0</v>
      </c>
      <c r="AC212">
        <v>0</v>
      </c>
      <c r="AD212" s="21">
        <f>20.2/50</f>
        <v>0.40399999999999997</v>
      </c>
      <c r="AE212" s="21">
        <f>27.8/50</f>
        <v>0.55600000000000005</v>
      </c>
      <c r="AF212">
        <f>7.2/15</f>
        <v>0.48000000000000004</v>
      </c>
      <c r="AG212" s="21">
        <f>7.6/34</f>
        <v>0.22352941176470587</v>
      </c>
      <c r="AH212" s="21">
        <f>19.6/47</f>
        <v>0.41702127659574473</v>
      </c>
      <c r="AI212" s="21">
        <f>12.4/35</f>
        <v>0.35428571428571431</v>
      </c>
      <c r="AJ212" s="21">
        <f>7.4/31</f>
        <v>0.23870967741935484</v>
      </c>
      <c r="AK212" s="21">
        <f>22.4/55</f>
        <v>0.40727272727272723</v>
      </c>
    </row>
    <row r="213" spans="19:37">
      <c r="AD213" s="21"/>
      <c r="AE213" s="21"/>
      <c r="AG213" s="21"/>
      <c r="AH213" s="21"/>
      <c r="AI213" s="21"/>
      <c r="AJ213" s="21"/>
      <c r="AK213" s="21"/>
    </row>
    <row r="214" spans="19:37">
      <c r="S214" t="s">
        <v>1214</v>
      </c>
      <c r="T214">
        <v>1</v>
      </c>
      <c r="U214">
        <v>1</v>
      </c>
      <c r="V214">
        <v>0.4</v>
      </c>
      <c r="W214">
        <v>0.6</v>
      </c>
      <c r="X214">
        <v>0.4</v>
      </c>
      <c r="Y214">
        <v>0.2</v>
      </c>
      <c r="Z214">
        <v>0.2</v>
      </c>
      <c r="AA214">
        <v>1</v>
      </c>
      <c r="AB214">
        <v>0.8</v>
      </c>
      <c r="AC214">
        <v>0.8</v>
      </c>
      <c r="AD214" s="21">
        <f>7.4/50</f>
        <v>0.14800000000000002</v>
      </c>
      <c r="AE214" s="21">
        <f>12.2/50</f>
        <v>0.24399999999999999</v>
      </c>
      <c r="AF214" s="21">
        <f>2.2/15</f>
        <v>0.14666666666666667</v>
      </c>
      <c r="AG214" s="21">
        <f>2.4/34</f>
        <v>7.0588235294117646E-2</v>
      </c>
      <c r="AH214">
        <f>18.8/47</f>
        <v>0.4</v>
      </c>
      <c r="AI214" s="21">
        <f>7.6/35</f>
        <v>0.21714285714285714</v>
      </c>
      <c r="AJ214" s="21">
        <f>5.8/31</f>
        <v>0.18709677419354839</v>
      </c>
      <c r="AK214">
        <f>13.2/55</f>
        <v>0.24</v>
      </c>
    </row>
    <row r="215" spans="19:37">
      <c r="S215" t="s">
        <v>1213</v>
      </c>
      <c r="T215">
        <v>1</v>
      </c>
      <c r="U215">
        <v>1</v>
      </c>
      <c r="V215">
        <v>0.8</v>
      </c>
      <c r="W215">
        <v>0.4</v>
      </c>
      <c r="X215">
        <v>0</v>
      </c>
      <c r="Y215">
        <v>0.8</v>
      </c>
      <c r="Z215">
        <v>0</v>
      </c>
      <c r="AA215">
        <v>0</v>
      </c>
      <c r="AB215">
        <v>0</v>
      </c>
      <c r="AC215">
        <v>0</v>
      </c>
      <c r="AD215">
        <f>2/50</f>
        <v>0.04</v>
      </c>
      <c r="AE215" s="21">
        <f>7.75/50</f>
        <v>0.155</v>
      </c>
      <c r="AF215">
        <f>3/15</f>
        <v>0.2</v>
      </c>
      <c r="AG215">
        <f>3.4/34</f>
        <v>9.9999999999999992E-2</v>
      </c>
      <c r="AH215" s="21">
        <f>9.8/47</f>
        <v>0.20851063829787236</v>
      </c>
      <c r="AI215" s="21">
        <f>4.4/35</f>
        <v>0.12571428571428572</v>
      </c>
      <c r="AJ215" s="21">
        <f>4.4/31</f>
        <v>0.14193548387096774</v>
      </c>
      <c r="AK215" s="21">
        <f>6.25/55</f>
        <v>0.11363636363636363</v>
      </c>
    </row>
    <row r="216" spans="19:37">
      <c r="AE216" s="21"/>
      <c r="AH216" s="21"/>
      <c r="AI216" s="21"/>
      <c r="AJ216" s="21"/>
      <c r="AK216" s="21"/>
    </row>
    <row r="217" spans="19:37">
      <c r="S217" t="s">
        <v>1216</v>
      </c>
      <c r="T217">
        <v>0</v>
      </c>
      <c r="U217">
        <v>1</v>
      </c>
      <c r="V217">
        <v>1</v>
      </c>
      <c r="W217">
        <v>1</v>
      </c>
      <c r="X217">
        <v>0.8</v>
      </c>
      <c r="Y217">
        <v>0.4</v>
      </c>
      <c r="Z217">
        <v>0</v>
      </c>
      <c r="AA217">
        <v>1</v>
      </c>
      <c r="AB217">
        <v>0.8</v>
      </c>
      <c r="AC217">
        <v>1</v>
      </c>
      <c r="AD217" s="21">
        <f>20.2/50</f>
        <v>0.40399999999999997</v>
      </c>
      <c r="AE217" s="21">
        <f>17.4/50</f>
        <v>0.34799999999999998</v>
      </c>
      <c r="AF217" s="21">
        <f>1.25/15</f>
        <v>8.3333333333333329E-2</v>
      </c>
      <c r="AG217" s="21">
        <f>8.25/34</f>
        <v>0.24264705882352941</v>
      </c>
      <c r="AH217" s="21">
        <v>0.56382979</v>
      </c>
      <c r="AI217" s="21">
        <f>13.5/35</f>
        <v>0.38571428571428573</v>
      </c>
      <c r="AJ217">
        <f>15.5/31</f>
        <v>0.5</v>
      </c>
      <c r="AK217" s="21">
        <f>25.25/55</f>
        <v>0.45909090909090911</v>
      </c>
    </row>
    <row r="218" spans="19:37">
      <c r="S218" t="s">
        <v>1215</v>
      </c>
      <c r="T218">
        <v>0</v>
      </c>
      <c r="U218">
        <v>1</v>
      </c>
      <c r="V218">
        <v>1</v>
      </c>
      <c r="W218">
        <v>1</v>
      </c>
      <c r="X218">
        <v>0.75</v>
      </c>
      <c r="Y218">
        <v>0.6</v>
      </c>
      <c r="Z218">
        <v>0</v>
      </c>
      <c r="AA218">
        <v>0</v>
      </c>
      <c r="AB218">
        <v>0.4</v>
      </c>
      <c r="AC218">
        <v>0.4</v>
      </c>
      <c r="AD218" s="21">
        <f>7.6666667/50</f>
        <v>0.15333333400000002</v>
      </c>
      <c r="AE218">
        <f>9.5/50</f>
        <v>0.19</v>
      </c>
      <c r="AF218">
        <f>4.2/15</f>
        <v>0.28000000000000003</v>
      </c>
      <c r="AG218" s="21">
        <f>5/34</f>
        <v>0.14705882352941177</v>
      </c>
      <c r="AH218" s="21">
        <f>19/47</f>
        <v>0.40425531914893614</v>
      </c>
      <c r="AI218" s="21">
        <f>7.6/35</f>
        <v>0.21714285714285714</v>
      </c>
      <c r="AJ218" s="21">
        <f>8.8/31</f>
        <v>0.28387096774193549</v>
      </c>
      <c r="AK218" s="21">
        <f>17.2/55</f>
        <v>0.31272727272727269</v>
      </c>
    </row>
    <row r="219" spans="19:37">
      <c r="AD219" s="21"/>
      <c r="AG219" s="21"/>
      <c r="AH219" s="21"/>
      <c r="AI219" s="21"/>
      <c r="AJ219" s="21"/>
      <c r="AK219" s="21"/>
    </row>
    <row r="220" spans="19:37">
      <c r="S220" t="s">
        <v>1218</v>
      </c>
      <c r="T220">
        <v>0</v>
      </c>
      <c r="U220">
        <v>1</v>
      </c>
      <c r="V220">
        <v>1</v>
      </c>
      <c r="W220">
        <v>1</v>
      </c>
      <c r="X220">
        <v>1</v>
      </c>
      <c r="Y220">
        <v>0</v>
      </c>
      <c r="Z220">
        <v>0</v>
      </c>
      <c r="AA220">
        <v>1</v>
      </c>
      <c r="AB220">
        <v>0.6</v>
      </c>
      <c r="AC220">
        <v>1</v>
      </c>
      <c r="AD220">
        <f>24.5/50</f>
        <v>0.49</v>
      </c>
      <c r="AE220">
        <f>19/50</f>
        <v>0.38</v>
      </c>
      <c r="AF220">
        <f>7.2/15</f>
        <v>0.48000000000000004</v>
      </c>
      <c r="AG220" s="21">
        <f>16.6/34</f>
        <v>0.4882352941176471</v>
      </c>
      <c r="AH220" s="21">
        <f>18.6/47</f>
        <v>0.39574468085106385</v>
      </c>
      <c r="AI220" s="21">
        <f>17.8/35</f>
        <v>0.50857142857142856</v>
      </c>
      <c r="AJ220" s="21">
        <f>9.6/31</f>
        <v>0.30967741935483872</v>
      </c>
      <c r="AK220" s="21">
        <f>27.2/55</f>
        <v>0.49454545454545451</v>
      </c>
    </row>
    <row r="221" spans="19:37">
      <c r="S221" t="s">
        <v>1217</v>
      </c>
      <c r="T221">
        <v>0</v>
      </c>
      <c r="U221">
        <v>1</v>
      </c>
      <c r="V221">
        <v>1</v>
      </c>
      <c r="W221">
        <v>1</v>
      </c>
      <c r="X221">
        <v>1</v>
      </c>
      <c r="Y221">
        <v>0</v>
      </c>
      <c r="Z221">
        <v>0</v>
      </c>
      <c r="AA221">
        <v>0.6</v>
      </c>
      <c r="AB221">
        <v>0.2</v>
      </c>
      <c r="AC221">
        <v>0.4</v>
      </c>
      <c r="AD221" s="21">
        <f>19.2/50</f>
        <v>0.38400000000000001</v>
      </c>
      <c r="AE221" s="21">
        <f>29.4/50</f>
        <v>0.58799999999999997</v>
      </c>
      <c r="AF221">
        <f>4.8/15</f>
        <v>0.32</v>
      </c>
      <c r="AG221" s="21">
        <f>6/34</f>
        <v>0.17647058823529413</v>
      </c>
      <c r="AH221" s="21">
        <f>14/47</f>
        <v>0.2978723404255319</v>
      </c>
      <c r="AI221" s="21">
        <f>7.4/35</f>
        <v>0.21142857142857144</v>
      </c>
      <c r="AJ221" s="21">
        <f>7.2/31</f>
        <v>0.23225806451612904</v>
      </c>
      <c r="AK221" s="21">
        <f>19.2/55</f>
        <v>0.34909090909090906</v>
      </c>
    </row>
    <row r="222" spans="19:37">
      <c r="AD222" s="21"/>
      <c r="AE222" s="21"/>
      <c r="AG222" s="21"/>
      <c r="AH222" s="21"/>
      <c r="AI222" s="21"/>
      <c r="AJ222" s="21"/>
      <c r="AK222" s="21"/>
    </row>
    <row r="223" spans="19:37">
      <c r="S223" t="s">
        <v>1220</v>
      </c>
      <c r="T223">
        <v>0</v>
      </c>
      <c r="U223">
        <v>1</v>
      </c>
      <c r="V223">
        <v>1</v>
      </c>
      <c r="W223">
        <v>1</v>
      </c>
      <c r="X223">
        <v>1</v>
      </c>
      <c r="Y223">
        <v>0</v>
      </c>
      <c r="Z223">
        <v>0</v>
      </c>
      <c r="AA223">
        <v>1</v>
      </c>
      <c r="AB223">
        <v>0.4</v>
      </c>
      <c r="AC223">
        <v>1</v>
      </c>
      <c r="AD223">
        <f>7.5/50</f>
        <v>0.15</v>
      </c>
      <c r="AE223" s="40">
        <f>15/50</f>
        <v>0.3</v>
      </c>
      <c r="AF223" s="21">
        <f>5/15</f>
        <v>0.33333333333333331</v>
      </c>
      <c r="AG223" s="21">
        <f>5.5/34</f>
        <v>0.16176470588235295</v>
      </c>
      <c r="AH223" s="21">
        <f>11.5/47</f>
        <v>0.24468085106382978</v>
      </c>
      <c r="AI223">
        <f>7/35</f>
        <v>0.2</v>
      </c>
      <c r="AJ223" s="21">
        <f>7.25/31</f>
        <v>0.23387096774193547</v>
      </c>
      <c r="AK223" s="21">
        <f>14.25/55</f>
        <v>0.25909090909090909</v>
      </c>
    </row>
    <row r="224" spans="19:37">
      <c r="S224" t="s">
        <v>1219</v>
      </c>
      <c r="T224">
        <v>0</v>
      </c>
      <c r="U224">
        <v>1</v>
      </c>
      <c r="V224">
        <v>1</v>
      </c>
      <c r="W224">
        <v>0.8</v>
      </c>
      <c r="X224">
        <v>1</v>
      </c>
      <c r="Y224">
        <v>0.8</v>
      </c>
      <c r="Z224">
        <v>0</v>
      </c>
      <c r="AA224">
        <v>0</v>
      </c>
      <c r="AB224">
        <v>0</v>
      </c>
      <c r="AC224">
        <v>0</v>
      </c>
      <c r="AD224" s="21">
        <f>10.75/50</f>
        <v>0.215</v>
      </c>
      <c r="AE224" s="21">
        <f>23.8/50</f>
        <v>0.47600000000000003</v>
      </c>
      <c r="AF224" s="21">
        <f>5/15</f>
        <v>0.33333333333333331</v>
      </c>
      <c r="AG224" s="21">
        <f>5.2/34</f>
        <v>0.15294117647058825</v>
      </c>
      <c r="AH224" s="21">
        <f>20.4/47</f>
        <v>0.43404255319148932</v>
      </c>
      <c r="AI224" s="21">
        <f>9.4/35</f>
        <v>0.26857142857142857</v>
      </c>
      <c r="AJ224" s="21">
        <f>9.8/31</f>
        <v>0.31612903225806455</v>
      </c>
      <c r="AK224" s="21">
        <f>12.4/55</f>
        <v>0.22545454545454546</v>
      </c>
    </row>
    <row r="225" spans="19:37">
      <c r="AD225" s="21"/>
      <c r="AE225" s="21"/>
      <c r="AF225" s="21"/>
      <c r="AG225" s="21"/>
      <c r="AH225" s="21"/>
      <c r="AI225" s="21"/>
      <c r="AJ225" s="21"/>
      <c r="AK225" s="21"/>
    </row>
    <row r="226" spans="19:37">
      <c r="S226" t="s">
        <v>1222</v>
      </c>
      <c r="T226">
        <v>0</v>
      </c>
      <c r="U226">
        <v>1</v>
      </c>
      <c r="V226">
        <v>1</v>
      </c>
      <c r="W226">
        <v>1</v>
      </c>
      <c r="X226">
        <v>1</v>
      </c>
      <c r="Y226">
        <v>0.2</v>
      </c>
      <c r="Z226">
        <v>0</v>
      </c>
      <c r="AA226">
        <v>1</v>
      </c>
      <c r="AB226">
        <v>0.4</v>
      </c>
      <c r="AC226">
        <v>0.6</v>
      </c>
      <c r="AD226" s="21">
        <f>17.2/50</f>
        <v>0.34399999999999997</v>
      </c>
      <c r="AE226" s="21">
        <f>25.4/50</f>
        <v>0.50800000000000001</v>
      </c>
      <c r="AF226" s="21">
        <f>6.2/15</f>
        <v>0.41333333333333333</v>
      </c>
      <c r="AG226" s="21">
        <f>12.2/34</f>
        <v>0.35882352941176471</v>
      </c>
      <c r="AH226" s="21">
        <f>16.8/47</f>
        <v>0.35744680851063831</v>
      </c>
      <c r="AI226" s="21">
        <f>11/35</f>
        <v>0.31428571428571428</v>
      </c>
      <c r="AJ226" s="21">
        <f>9.8/31</f>
        <v>0.31612903225806455</v>
      </c>
      <c r="AK226" s="21">
        <f>20/55</f>
        <v>0.36363636363636365</v>
      </c>
    </row>
    <row r="227" spans="19:37">
      <c r="S227" t="s">
        <v>1221</v>
      </c>
      <c r="T227">
        <v>0</v>
      </c>
      <c r="U227">
        <v>0.8</v>
      </c>
      <c r="V227">
        <v>1</v>
      </c>
      <c r="W227">
        <v>1</v>
      </c>
      <c r="X227">
        <v>1</v>
      </c>
      <c r="Y227">
        <v>0</v>
      </c>
      <c r="Z227">
        <v>0</v>
      </c>
      <c r="AA227">
        <v>0.4</v>
      </c>
      <c r="AB227">
        <v>0</v>
      </c>
      <c r="AC227">
        <v>0</v>
      </c>
      <c r="AD227" s="40">
        <f>15/50</f>
        <v>0.3</v>
      </c>
      <c r="AE227" s="21">
        <f>13.2/50</f>
        <v>0.26400000000000001</v>
      </c>
      <c r="AF227">
        <f>4.8/15</f>
        <v>0.32</v>
      </c>
      <c r="AG227" s="21">
        <f>4.4/34</f>
        <v>0.12941176470588237</v>
      </c>
      <c r="AH227" s="21">
        <f>11.2/47</f>
        <v>0.23829787234042552</v>
      </c>
      <c r="AI227" s="21">
        <f>7.2/35</f>
        <v>0.20571428571428571</v>
      </c>
      <c r="AJ227" s="21">
        <f>8.2/31</f>
        <v>0.26451612903225802</v>
      </c>
      <c r="AK227" s="21">
        <f>13.8/55</f>
        <v>0.25090909090909091</v>
      </c>
    </row>
  </sheetData>
  <conditionalFormatting sqref="AD5:AK28">
    <cfRule type="colorScale" priority="52">
      <colorScale>
        <cfvo type="min"/>
        <cfvo type="percentile" val="50"/>
        <cfvo type="max"/>
        <color rgb="FFF8696B"/>
        <color rgb="FFFCFCFF"/>
        <color rgb="FF5A8AC6"/>
      </colorScale>
    </cfRule>
  </conditionalFormatting>
  <conditionalFormatting sqref="AD32:AK55">
    <cfRule type="colorScale" priority="51">
      <colorScale>
        <cfvo type="min"/>
        <cfvo type="percentile" val="50"/>
        <cfvo type="max"/>
        <color rgb="FFF8696B"/>
        <color rgb="FFFCFCFF"/>
        <color rgb="FF5A8AC6"/>
      </colorScale>
    </cfRule>
  </conditionalFormatting>
  <conditionalFormatting sqref="AF91:AG114">
    <cfRule type="colorScale" priority="9">
      <colorScale>
        <cfvo type="min"/>
        <cfvo type="percentile" val="50"/>
        <cfvo type="max"/>
        <color rgb="FF5A8AC6"/>
        <color rgb="FFFCFCFF"/>
        <color rgb="FFF8696B"/>
      </colorScale>
    </cfRule>
  </conditionalFormatting>
  <conditionalFormatting sqref="AI91:AJ114">
    <cfRule type="colorScale" priority="8">
      <colorScale>
        <cfvo type="min"/>
        <cfvo type="percentile" val="50"/>
        <cfvo type="max"/>
        <color rgb="FF5A8AC6"/>
        <color rgb="FFFCFCFF"/>
        <color rgb="FFF8696B"/>
      </colorScale>
    </cfRule>
  </conditionalFormatting>
  <conditionalFormatting sqref="T118:U141">
    <cfRule type="colorScale" priority="7">
      <colorScale>
        <cfvo type="min"/>
        <cfvo type="percentile" val="50"/>
        <cfvo type="max"/>
        <color rgb="FF5A8AC6"/>
        <color rgb="FFFCFCFF"/>
        <color rgb="FFF8696B"/>
      </colorScale>
    </cfRule>
  </conditionalFormatting>
  <conditionalFormatting sqref="W118:X141">
    <cfRule type="colorScale" priority="6">
      <colorScale>
        <cfvo type="min"/>
        <cfvo type="percentile" val="50"/>
        <cfvo type="max"/>
        <color rgb="FF5A8AC6"/>
        <color rgb="FFFCFCFF"/>
        <color rgb="FFF8696B"/>
      </colorScale>
    </cfRule>
  </conditionalFormatting>
  <conditionalFormatting sqref="Z118:AA141">
    <cfRule type="colorScale" priority="5">
      <colorScale>
        <cfvo type="min"/>
        <cfvo type="percentile" val="50"/>
        <cfvo type="max"/>
        <color rgb="FF5A8AC6"/>
        <color rgb="FFFCFCFF"/>
        <color rgb="FFF8696B"/>
      </colorScale>
    </cfRule>
  </conditionalFormatting>
  <conditionalFormatting sqref="AC118:AD141">
    <cfRule type="colorScale" priority="4">
      <colorScale>
        <cfvo type="min"/>
        <cfvo type="percentile" val="50"/>
        <cfvo type="max"/>
        <color rgb="FF5A8AC6"/>
        <color rgb="FFFCFCFF"/>
        <color rgb="FFF8696B"/>
      </colorScale>
    </cfRule>
  </conditionalFormatting>
  <conditionalFormatting sqref="AF118:AG141">
    <cfRule type="colorScale" priority="3">
      <colorScale>
        <cfvo type="min"/>
        <cfvo type="percentile" val="50"/>
        <cfvo type="max"/>
        <color rgb="FF5A8AC6"/>
        <color rgb="FFFCFCFF"/>
        <color rgb="FFF8696B"/>
      </colorScale>
    </cfRule>
  </conditionalFormatting>
  <conditionalFormatting sqref="AI118:AJ141">
    <cfRule type="colorScale" priority="2">
      <colorScale>
        <cfvo type="min"/>
        <cfvo type="percentile" val="50"/>
        <cfvo type="max"/>
        <color rgb="FF5A8AC6"/>
        <color rgb="FFFCFCFF"/>
        <color rgb="FFF8696B"/>
      </colorScale>
    </cfRule>
  </conditionalFormatting>
  <conditionalFormatting sqref="T63:U86">
    <cfRule type="colorScale" priority="12">
      <colorScale>
        <cfvo type="min"/>
        <cfvo type="percentile" val="50"/>
        <cfvo type="max"/>
        <color rgb="FF5A8AC6"/>
        <color rgb="FFFCFCFF"/>
        <color rgb="FFF8696B"/>
      </colorScale>
    </cfRule>
  </conditionalFormatting>
  <conditionalFormatting sqref="W63:X86">
    <cfRule type="colorScale" priority="24">
      <colorScale>
        <cfvo type="min"/>
        <cfvo type="percentile" val="50"/>
        <cfvo type="max"/>
        <color rgb="FF5A8AC6"/>
        <color rgb="FFFCFCFF"/>
        <color rgb="FFF8696B"/>
      </colorScale>
    </cfRule>
  </conditionalFormatting>
  <conditionalFormatting sqref="Z63:AA86">
    <cfRule type="colorScale" priority="23">
      <colorScale>
        <cfvo type="min"/>
        <cfvo type="percentile" val="50"/>
        <cfvo type="max"/>
        <color rgb="FF5A8AC6"/>
        <color rgb="FFFCFCFF"/>
        <color rgb="FFF8696B"/>
      </colorScale>
    </cfRule>
  </conditionalFormatting>
  <conditionalFormatting sqref="AC63:AD86">
    <cfRule type="colorScale" priority="22">
      <colorScale>
        <cfvo type="min"/>
        <cfvo type="percentile" val="50"/>
        <cfvo type="max"/>
        <color rgb="FF5A8AC6"/>
        <color rgb="FFFCFCFF"/>
        <color rgb="FFF8696B"/>
      </colorScale>
    </cfRule>
  </conditionalFormatting>
  <conditionalFormatting sqref="AF63:AG86">
    <cfRule type="colorScale" priority="21">
      <colorScale>
        <cfvo type="min"/>
        <cfvo type="percentile" val="50"/>
        <cfvo type="max"/>
        <color rgb="FF5A8AC6"/>
        <color rgb="FFFCFCFF"/>
        <color rgb="FFF8696B"/>
      </colorScale>
    </cfRule>
  </conditionalFormatting>
  <conditionalFormatting sqref="AI63:AJ86">
    <cfRule type="colorScale" priority="20">
      <colorScale>
        <cfvo type="min"/>
        <cfvo type="percentile" val="50"/>
        <cfvo type="max"/>
        <color rgb="FF5A8AC6"/>
        <color rgb="FFFCFCFF"/>
        <color rgb="FFF8696B"/>
      </colorScale>
    </cfRule>
  </conditionalFormatting>
  <conditionalFormatting sqref="T5:AC28">
    <cfRule type="colorScale" priority="36">
      <colorScale>
        <cfvo type="min"/>
        <cfvo type="percentile" val="50"/>
        <cfvo type="max"/>
        <color rgb="FFF8696B"/>
        <color rgb="FFFCFCFF"/>
        <color rgb="FF5A8AC6"/>
      </colorScale>
    </cfRule>
  </conditionalFormatting>
  <conditionalFormatting sqref="T32:AC55">
    <cfRule type="colorScale" priority="35">
      <colorScale>
        <cfvo type="min"/>
        <cfvo type="percentile" val="50"/>
        <cfvo type="max"/>
        <color rgb="FFF8696B"/>
        <color rgb="FFFCFCFF"/>
        <color rgb="FF5A8AC6"/>
      </colorScale>
    </cfRule>
  </conditionalFormatting>
  <conditionalFormatting sqref="T91:U114">
    <cfRule type="colorScale" priority="19">
      <colorScale>
        <cfvo type="min"/>
        <cfvo type="percentile" val="50"/>
        <cfvo type="max"/>
        <color rgb="FF5A8AC6"/>
        <color rgb="FFFCFCFF"/>
        <color rgb="FFF8696B"/>
      </colorScale>
    </cfRule>
  </conditionalFormatting>
  <conditionalFormatting sqref="W91:X114">
    <cfRule type="colorScale" priority="18">
      <colorScale>
        <cfvo type="min"/>
        <cfvo type="percentile" val="50"/>
        <cfvo type="max"/>
        <color rgb="FF5A8AC6"/>
        <color rgb="FFFCFCFF"/>
        <color rgb="FFF8696B"/>
      </colorScale>
    </cfRule>
  </conditionalFormatting>
  <conditionalFormatting sqref="Z91:AA114">
    <cfRule type="colorScale" priority="11">
      <colorScale>
        <cfvo type="min"/>
        <cfvo type="percentile" val="50"/>
        <cfvo type="max"/>
        <color rgb="FF5A8AC6"/>
        <color rgb="FFFCFCFF"/>
        <color rgb="FFF8696B"/>
      </colorScale>
    </cfRule>
  </conditionalFormatting>
  <conditionalFormatting sqref="AC91:AD114">
    <cfRule type="colorScale" priority="10">
      <colorScale>
        <cfvo type="min"/>
        <cfvo type="percentile" val="50"/>
        <cfvo type="max"/>
        <color rgb="FF5A8AC6"/>
        <color rgb="FFFCFCFF"/>
        <color rgb="FFF8696B"/>
      </colorScale>
    </cfRule>
  </conditionalFormatting>
  <conditionalFormatting sqref="AD227:AK227 AD197:AK197 AD224:AK225 AD221:AK222 AD218:AK219 AD215:AK216 AD212:AK213 AD209:AK210 AD206:AK207 AD203:AK204 AD200:AK201 AD194:AK195 AD191:AK191 AD188:AK189 AD185:AK186 AD182:AK183 AD179:AK180 AD176:AK177 AD173:AK174 AD170:AK171 AD167:AK168 AD164:AK165 AD161:AK162 AD158:AK159">
    <cfRule type="colorScale" priority="30">
      <colorScale>
        <cfvo type="min"/>
        <cfvo type="percentile" val="50"/>
        <cfvo type="max"/>
        <color rgb="FFF8696B"/>
        <color rgb="FFFCFCFF"/>
        <color rgb="FF5A8AC6"/>
      </colorScale>
    </cfRule>
  </conditionalFormatting>
  <conditionalFormatting sqref="T227:AC227 T197:AC197 T224:AC225 T221:AC222 T218:AC219 T215:AC216 T212:AC213 T209:AC210 T206:AC207 T203:AC204 T200:AC201 T194:AC195 T191:AC191 T188:AC189 T185:AC186 T182:AC183 T179:AC180 T176:AC177 T173:AC174 T170:AC171 T167:AC168 T164:AC165 T161:AC162 T158:AC159">
    <cfRule type="colorScale" priority="29">
      <colorScale>
        <cfvo type="min"/>
        <cfvo type="percentile" val="50"/>
        <cfvo type="max"/>
        <color rgb="FFF8696B"/>
        <color rgb="FFFCFCFF"/>
        <color rgb="FF5A8AC6"/>
      </colorScale>
    </cfRule>
  </conditionalFormatting>
  <conditionalFormatting sqref="AD202:AK202 AD157:AK157 AD160:AK160 AD163:AK163 AD166:AK166 AD169:AK169 AD172:AK172 AD175:AK175 AD178:AK178 AD181:AK181 AD184:AK184 AD187:AK187 AD190:AK190 AD193:AK193 AD196:AK196 AD199:AK199 AD205:AK205 AD208:AK208 AD211:AK211 AD214:AK214 AD217:AK217 AD220:AK220 AD223:AK223 AD226:AK226">
    <cfRule type="colorScale" priority="53">
      <colorScale>
        <cfvo type="min"/>
        <cfvo type="percentile" val="50"/>
        <cfvo type="max"/>
        <color rgb="FFF8696B"/>
        <color rgb="FFFCFCFF"/>
        <color rgb="FF5A8AC6"/>
      </colorScale>
    </cfRule>
  </conditionalFormatting>
  <conditionalFormatting sqref="T202:AC202 T157:AC157 T160:AC160 T163:AC163 T166:AC166 T169:AC169 T172:AC172 T175:AC175 T178:AC178 T181:AC181 T184:AC184 T187:AC187 T190:AC190 T193:AC193 T196:AC196 T199:AC199 T205:AC205 T208:AC208 T211:AC211 T214:AC214 T217:AC217 T220:AC220 T223:AC223 T226:AC226">
    <cfRule type="colorScale" priority="54">
      <colorScale>
        <cfvo type="min"/>
        <cfvo type="percentile" val="50"/>
        <cfvo type="max"/>
        <color rgb="FFF8696B"/>
        <color rgb="FFFCFCFF"/>
        <color rgb="FF5A8AC6"/>
      </colorScale>
    </cfRule>
  </conditionalFormatting>
  <conditionalFormatting sqref="T157:AK191 T199:AK227 T193:AK197">
    <cfRule type="colorScale" priority="55">
      <colorScale>
        <cfvo type="min"/>
        <cfvo type="percentile" val="50"/>
        <cfvo type="max"/>
        <color rgb="FFF8696B"/>
        <color rgb="FFFCFCFF"/>
        <color rgb="FF5A8AC6"/>
      </colorScale>
    </cfRule>
  </conditionalFormatting>
  <conditionalFormatting sqref="T157:AK227">
    <cfRule type="colorScale" priority="1">
      <colorScale>
        <cfvo type="min"/>
        <cfvo type="percentile" val="50"/>
        <cfvo type="max"/>
        <color rgb="FF5A8AC6"/>
        <color rgb="FFFCFCFF"/>
        <color rgb="FFF8696B"/>
      </colorScale>
    </cfRule>
  </conditionalFormatting>
  <conditionalFormatting sqref="T5:AK28">
    <cfRule type="colorScale" priority="14">
      <colorScale>
        <cfvo type="min"/>
        <cfvo type="percentile" val="50"/>
        <cfvo type="max"/>
        <color rgb="FF5A8AC6"/>
        <color rgb="FFFCFCFF"/>
        <color rgb="FFF8696B"/>
      </colorScale>
    </cfRule>
    <cfRule type="colorScale" priority="17">
      <colorScale>
        <cfvo type="min"/>
        <cfvo type="max"/>
        <color rgb="FFFCFCFF"/>
        <color rgb="FF63BE7B"/>
      </colorScale>
    </cfRule>
  </conditionalFormatting>
  <conditionalFormatting sqref="T32:AK55">
    <cfRule type="colorScale" priority="13">
      <colorScale>
        <cfvo type="min"/>
        <cfvo type="percentile" val="50"/>
        <cfvo type="max"/>
        <color rgb="FF5A8AC6"/>
        <color rgb="FFFCFCFF"/>
        <color rgb="FFF8696B"/>
      </colorScale>
    </cfRule>
    <cfRule type="colorScale" priority="15">
      <colorScale>
        <cfvo type="min"/>
        <cfvo type="max"/>
        <color rgb="FFFCFCFF"/>
        <color rgb="FF63BE7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27E4-F110-4A9E-928B-26B4B974F963}">
  <dimension ref="A1:U241"/>
  <sheetViews>
    <sheetView topLeftCell="A34" workbookViewId="0">
      <selection activeCell="E44" sqref="E44"/>
    </sheetView>
  </sheetViews>
  <sheetFormatPr baseColWidth="10" defaultColWidth="8.83203125" defaultRowHeight="15"/>
  <cols>
    <col min="1" max="1" width="28" customWidth="1"/>
    <col min="2" max="2" width="24.5" bestFit="1" customWidth="1"/>
    <col min="3" max="3" width="14.5" customWidth="1"/>
    <col min="4" max="4" width="12" customWidth="1"/>
    <col min="5" max="5" width="26.1640625" bestFit="1" customWidth="1"/>
    <col min="6" max="6" width="18.5" customWidth="1"/>
    <col min="7" max="7" width="25.5" customWidth="1"/>
    <col min="8" max="8" width="20.33203125" customWidth="1"/>
    <col min="9" max="9" width="14.83203125" customWidth="1"/>
    <col min="10" max="10" width="19.5" bestFit="1" customWidth="1"/>
    <col min="11" max="11" width="12.5" customWidth="1"/>
    <col min="12" max="12" width="25.6640625" customWidth="1"/>
    <col min="14" max="14" width="36.83203125" customWidth="1"/>
  </cols>
  <sheetData>
    <row r="1" spans="1:21" ht="57">
      <c r="A1" s="14" t="s">
        <v>1580</v>
      </c>
      <c r="B1" s="1" t="s">
        <v>1225</v>
      </c>
      <c r="C1" s="2" t="s">
        <v>1223</v>
      </c>
      <c r="D1" s="2" t="s">
        <v>0</v>
      </c>
      <c r="E1" s="16" t="s">
        <v>1</v>
      </c>
      <c r="F1" s="2" t="s">
        <v>1386</v>
      </c>
      <c r="G1" s="2" t="s">
        <v>1836</v>
      </c>
      <c r="H1" s="2" t="s">
        <v>1837</v>
      </c>
      <c r="I1" s="2" t="s">
        <v>1387</v>
      </c>
      <c r="J1" s="3" t="s">
        <v>1616</v>
      </c>
      <c r="K1" s="2" t="s">
        <v>1582</v>
      </c>
      <c r="L1" s="1" t="s">
        <v>1593</v>
      </c>
      <c r="M1" s="3"/>
      <c r="N1" s="3"/>
      <c r="O1" s="3"/>
      <c r="P1" s="3"/>
      <c r="Q1" s="3"/>
      <c r="R1" s="3"/>
      <c r="S1" s="3"/>
      <c r="T1" s="3"/>
      <c r="U1" s="3"/>
    </row>
    <row r="2" spans="1:21">
      <c r="B2" t="s">
        <v>1226</v>
      </c>
      <c r="C2">
        <v>3</v>
      </c>
      <c r="D2">
        <v>11</v>
      </c>
      <c r="E2" s="12" t="s">
        <v>751</v>
      </c>
      <c r="F2" s="19" t="s">
        <v>1583</v>
      </c>
      <c r="G2" s="3" t="s">
        <v>544</v>
      </c>
      <c r="H2" s="12" t="s">
        <v>751</v>
      </c>
      <c r="I2" s="12" t="s">
        <v>751</v>
      </c>
      <c r="K2" s="10" t="s">
        <v>196</v>
      </c>
      <c r="L2" t="s">
        <v>541</v>
      </c>
    </row>
    <row r="3" spans="1:21">
      <c r="B3" t="s">
        <v>1227</v>
      </c>
      <c r="C3">
        <v>8</v>
      </c>
      <c r="D3">
        <v>13</v>
      </c>
      <c r="E3" s="12" t="s">
        <v>751</v>
      </c>
      <c r="F3" s="3" t="s">
        <v>17</v>
      </c>
      <c r="G3" s="3" t="s">
        <v>546</v>
      </c>
      <c r="H3" s="12" t="s">
        <v>751</v>
      </c>
      <c r="I3" s="12" t="s">
        <v>751</v>
      </c>
      <c r="K3" s="10" t="s">
        <v>428</v>
      </c>
      <c r="L3" t="s">
        <v>545</v>
      </c>
    </row>
    <row r="4" spans="1:21">
      <c r="B4" t="s">
        <v>1228</v>
      </c>
      <c r="C4">
        <v>7</v>
      </c>
      <c r="D4">
        <v>12</v>
      </c>
      <c r="E4" s="12" t="s">
        <v>751</v>
      </c>
      <c r="F4" s="19" t="s">
        <v>548</v>
      </c>
      <c r="G4" s="3" t="s">
        <v>549</v>
      </c>
      <c r="H4" s="12" t="s">
        <v>751</v>
      </c>
      <c r="I4" s="12" t="s">
        <v>751</v>
      </c>
      <c r="K4" s="10" t="s">
        <v>351</v>
      </c>
      <c r="L4" t="s">
        <v>547</v>
      </c>
    </row>
    <row r="5" spans="1:21">
      <c r="B5" t="s">
        <v>1229</v>
      </c>
      <c r="C5">
        <v>9</v>
      </c>
      <c r="D5">
        <v>8</v>
      </c>
      <c r="E5" s="12" t="s">
        <v>751</v>
      </c>
      <c r="F5" s="3" t="s">
        <v>17</v>
      </c>
      <c r="G5" s="3" t="s">
        <v>552</v>
      </c>
      <c r="H5" s="12" t="s">
        <v>751</v>
      </c>
      <c r="I5" s="12" t="s">
        <v>751</v>
      </c>
      <c r="K5" s="10" t="s">
        <v>369</v>
      </c>
      <c r="L5" t="s">
        <v>550</v>
      </c>
    </row>
    <row r="6" spans="1:21">
      <c r="B6" t="s">
        <v>1230</v>
      </c>
      <c r="C6">
        <v>5</v>
      </c>
      <c r="D6">
        <v>11</v>
      </c>
      <c r="E6" s="12" t="s">
        <v>751</v>
      </c>
      <c r="F6" s="3" t="s">
        <v>48</v>
      </c>
      <c r="G6" s="3" t="s">
        <v>552</v>
      </c>
      <c r="H6" s="12" t="s">
        <v>751</v>
      </c>
      <c r="I6" s="12" t="s">
        <v>751</v>
      </c>
      <c r="K6" s="10" t="s">
        <v>486</v>
      </c>
      <c r="L6" t="s">
        <v>551</v>
      </c>
    </row>
    <row r="7" spans="1:21">
      <c r="B7" t="s">
        <v>1231</v>
      </c>
      <c r="C7">
        <v>0</v>
      </c>
      <c r="D7">
        <v>14</v>
      </c>
      <c r="E7" s="12" t="s">
        <v>751</v>
      </c>
      <c r="F7" s="19" t="s">
        <v>1583</v>
      </c>
      <c r="G7" s="3" t="s">
        <v>544</v>
      </c>
      <c r="H7" s="12" t="s">
        <v>751</v>
      </c>
      <c r="I7" s="12" t="s">
        <v>751</v>
      </c>
      <c r="K7" s="10" t="s">
        <v>283</v>
      </c>
      <c r="L7" t="s">
        <v>560</v>
      </c>
    </row>
    <row r="8" spans="1:21">
      <c r="B8" t="s">
        <v>1232</v>
      </c>
      <c r="C8">
        <v>0</v>
      </c>
      <c r="D8">
        <v>15</v>
      </c>
      <c r="E8" s="12" t="s">
        <v>751</v>
      </c>
      <c r="F8" s="3" t="s">
        <v>17</v>
      </c>
      <c r="G8" s="3" t="s">
        <v>552</v>
      </c>
      <c r="H8" s="12" t="s">
        <v>751</v>
      </c>
      <c r="I8" s="12" t="s">
        <v>751</v>
      </c>
      <c r="K8" s="10" t="s">
        <v>366</v>
      </c>
      <c r="L8" t="s">
        <v>561</v>
      </c>
    </row>
    <row r="9" spans="1:21">
      <c r="B9" t="s">
        <v>1233</v>
      </c>
      <c r="C9">
        <v>0</v>
      </c>
      <c r="D9">
        <v>12</v>
      </c>
      <c r="E9" s="12" t="s">
        <v>751</v>
      </c>
      <c r="F9" s="3" t="s">
        <v>17</v>
      </c>
      <c r="G9" s="3" t="s">
        <v>544</v>
      </c>
      <c r="H9" s="12" t="s">
        <v>751</v>
      </c>
      <c r="I9" s="12" t="s">
        <v>751</v>
      </c>
      <c r="K9" s="10" t="s">
        <v>76</v>
      </c>
      <c r="L9" t="s">
        <v>562</v>
      </c>
    </row>
    <row r="10" spans="1:21">
      <c r="B10" t="s">
        <v>1234</v>
      </c>
      <c r="C10">
        <v>0</v>
      </c>
      <c r="D10">
        <v>14</v>
      </c>
      <c r="E10" s="12" t="s">
        <v>751</v>
      </c>
      <c r="F10" s="3" t="s">
        <v>17</v>
      </c>
      <c r="G10" s="3" t="s">
        <v>544</v>
      </c>
      <c r="H10" s="12" t="s">
        <v>751</v>
      </c>
      <c r="I10" s="12" t="s">
        <v>751</v>
      </c>
      <c r="K10" s="10" t="s">
        <v>184</v>
      </c>
      <c r="L10" t="s">
        <v>563</v>
      </c>
    </row>
    <row r="11" spans="1:21">
      <c r="B11" t="s">
        <v>1235</v>
      </c>
      <c r="C11">
        <v>1</v>
      </c>
      <c r="D11">
        <v>11</v>
      </c>
      <c r="E11" s="12" t="s">
        <v>751</v>
      </c>
      <c r="F11" s="3" t="s">
        <v>17</v>
      </c>
      <c r="G11" s="3" t="s">
        <v>544</v>
      </c>
      <c r="H11" s="12" t="s">
        <v>751</v>
      </c>
      <c r="I11" s="12" t="s">
        <v>751</v>
      </c>
      <c r="K11" s="10" t="s">
        <v>161</v>
      </c>
      <c r="L11" t="s">
        <v>564</v>
      </c>
    </row>
    <row r="12" spans="1:21">
      <c r="B12" t="s">
        <v>1236</v>
      </c>
      <c r="C12">
        <v>4</v>
      </c>
      <c r="D12">
        <v>1</v>
      </c>
      <c r="E12" s="12" t="s">
        <v>751</v>
      </c>
      <c r="F12" s="3" t="s">
        <v>17</v>
      </c>
      <c r="G12" s="3" t="s">
        <v>1697</v>
      </c>
      <c r="H12" s="12" t="s">
        <v>751</v>
      </c>
      <c r="I12" s="12" t="s">
        <v>751</v>
      </c>
      <c r="J12" t="s">
        <v>571</v>
      </c>
      <c r="K12" s="17" t="s">
        <v>50</v>
      </c>
      <c r="L12" t="s">
        <v>570</v>
      </c>
    </row>
    <row r="13" spans="1:21">
      <c r="B13" t="s">
        <v>1237</v>
      </c>
      <c r="C13">
        <v>13</v>
      </c>
      <c r="D13">
        <v>18</v>
      </c>
      <c r="E13" s="12" t="s">
        <v>751</v>
      </c>
      <c r="F13" s="3" t="s">
        <v>548</v>
      </c>
      <c r="G13" s="3" t="s">
        <v>1698</v>
      </c>
      <c r="H13" s="12" t="s">
        <v>751</v>
      </c>
      <c r="I13" s="12" t="s">
        <v>751</v>
      </c>
      <c r="J13" t="s">
        <v>574</v>
      </c>
      <c r="K13" s="17" t="s">
        <v>573</v>
      </c>
      <c r="L13" t="s">
        <v>572</v>
      </c>
    </row>
    <row r="14" spans="1:21">
      <c r="B14" t="s">
        <v>1238</v>
      </c>
      <c r="C14">
        <v>3</v>
      </c>
      <c r="D14">
        <v>20</v>
      </c>
      <c r="E14" s="12" t="s">
        <v>751</v>
      </c>
      <c r="F14" s="3" t="s">
        <v>17</v>
      </c>
      <c r="G14" s="3" t="s">
        <v>1699</v>
      </c>
      <c r="H14" s="12" t="s">
        <v>751</v>
      </c>
      <c r="I14" s="12" t="s">
        <v>751</v>
      </c>
      <c r="J14" t="s">
        <v>576</v>
      </c>
      <c r="K14" s="17" t="s">
        <v>91</v>
      </c>
      <c r="L14" t="s">
        <v>575</v>
      </c>
    </row>
    <row r="15" spans="1:21">
      <c r="B15" t="s">
        <v>1239</v>
      </c>
      <c r="C15">
        <v>9</v>
      </c>
      <c r="D15">
        <v>7</v>
      </c>
      <c r="E15" s="12" t="s">
        <v>751</v>
      </c>
      <c r="F15" s="3" t="s">
        <v>17</v>
      </c>
      <c r="G15" s="3" t="s">
        <v>1700</v>
      </c>
      <c r="H15" s="12" t="s">
        <v>751</v>
      </c>
      <c r="I15" s="12" t="s">
        <v>751</v>
      </c>
      <c r="J15" t="s">
        <v>579</v>
      </c>
      <c r="K15" s="17" t="s">
        <v>578</v>
      </c>
      <c r="L15" t="s">
        <v>577</v>
      </c>
    </row>
    <row r="16" spans="1:21">
      <c r="B16" t="s">
        <v>1240</v>
      </c>
      <c r="C16">
        <v>9</v>
      </c>
      <c r="D16">
        <v>16</v>
      </c>
      <c r="E16" s="12" t="s">
        <v>751</v>
      </c>
      <c r="F16" s="3" t="s">
        <v>17</v>
      </c>
      <c r="G16" s="3" t="s">
        <v>1701</v>
      </c>
      <c r="H16" s="12" t="s">
        <v>751</v>
      </c>
      <c r="I16" s="12" t="s">
        <v>751</v>
      </c>
      <c r="J16" t="s">
        <v>582</v>
      </c>
      <c r="K16" s="17" t="s">
        <v>581</v>
      </c>
      <c r="L16" t="s">
        <v>580</v>
      </c>
    </row>
    <row r="17" spans="2:12">
      <c r="B17" t="s">
        <v>1241</v>
      </c>
      <c r="C17">
        <v>6</v>
      </c>
      <c r="D17">
        <v>10</v>
      </c>
      <c r="E17" s="12" t="s">
        <v>751</v>
      </c>
      <c r="F17" s="3" t="s">
        <v>591</v>
      </c>
      <c r="G17" s="3" t="s">
        <v>1702</v>
      </c>
      <c r="H17" s="12" t="s">
        <v>751</v>
      </c>
      <c r="I17" s="12" t="s">
        <v>751</v>
      </c>
      <c r="J17" t="s">
        <v>592</v>
      </c>
      <c r="K17" s="10" t="s">
        <v>135</v>
      </c>
      <c r="L17" t="s">
        <v>590</v>
      </c>
    </row>
    <row r="18" spans="2:12">
      <c r="B18" t="s">
        <v>1242</v>
      </c>
      <c r="C18">
        <v>3</v>
      </c>
      <c r="D18">
        <v>2</v>
      </c>
      <c r="E18" s="12" t="s">
        <v>751</v>
      </c>
      <c r="F18" s="3" t="s">
        <v>48</v>
      </c>
      <c r="G18" s="3" t="s">
        <v>1703</v>
      </c>
      <c r="H18" s="12" t="s">
        <v>751</v>
      </c>
      <c r="I18" s="12" t="s">
        <v>751</v>
      </c>
      <c r="K18" s="10" t="s">
        <v>431</v>
      </c>
      <c r="L18" t="s">
        <v>593</v>
      </c>
    </row>
    <row r="19" spans="2:12">
      <c r="B19" t="s">
        <v>1243</v>
      </c>
      <c r="C19">
        <v>3</v>
      </c>
      <c r="D19">
        <v>4</v>
      </c>
      <c r="E19" s="12" t="s">
        <v>751</v>
      </c>
      <c r="F19" s="3" t="s">
        <v>461</v>
      </c>
      <c r="G19" s="3" t="s">
        <v>1704</v>
      </c>
      <c r="H19" s="12" t="s">
        <v>751</v>
      </c>
      <c r="I19" s="12" t="s">
        <v>751</v>
      </c>
      <c r="K19" s="10" t="s">
        <v>595</v>
      </c>
      <c r="L19" t="s">
        <v>594</v>
      </c>
    </row>
    <row r="20" spans="2:12">
      <c r="B20" t="s">
        <v>1244</v>
      </c>
      <c r="C20">
        <v>6</v>
      </c>
      <c r="D20">
        <v>10</v>
      </c>
      <c r="E20" s="12" t="s">
        <v>751</v>
      </c>
      <c r="F20" s="3" t="s">
        <v>1705</v>
      </c>
      <c r="G20" s="3" t="s">
        <v>1704</v>
      </c>
      <c r="H20" s="12" t="s">
        <v>751</v>
      </c>
      <c r="I20" s="12" t="s">
        <v>751</v>
      </c>
      <c r="J20" t="s">
        <v>574</v>
      </c>
      <c r="K20" s="10" t="s">
        <v>597</v>
      </c>
      <c r="L20" t="s">
        <v>596</v>
      </c>
    </row>
    <row r="21" spans="2:12">
      <c r="B21" t="s">
        <v>1245</v>
      </c>
      <c r="C21">
        <v>14</v>
      </c>
      <c r="D21">
        <v>13</v>
      </c>
      <c r="E21" s="12" t="s">
        <v>751</v>
      </c>
      <c r="F21" s="3" t="s">
        <v>17</v>
      </c>
      <c r="G21" s="9" t="s">
        <v>1704</v>
      </c>
      <c r="H21" s="12" t="s">
        <v>751</v>
      </c>
      <c r="I21" s="12" t="s">
        <v>751</v>
      </c>
      <c r="J21" t="s">
        <v>574</v>
      </c>
      <c r="K21" s="10" t="s">
        <v>316</v>
      </c>
      <c r="L21" t="s">
        <v>598</v>
      </c>
    </row>
    <row r="22" spans="2:12">
      <c r="B22" t="s">
        <v>1246</v>
      </c>
      <c r="C22">
        <v>2</v>
      </c>
      <c r="D22">
        <v>0</v>
      </c>
      <c r="E22" s="12" t="s">
        <v>751</v>
      </c>
      <c r="F22" s="3" t="s">
        <v>17</v>
      </c>
      <c r="G22" s="3" t="s">
        <v>544</v>
      </c>
      <c r="H22" s="12" t="s">
        <v>751</v>
      </c>
      <c r="I22" s="12" t="s">
        <v>751</v>
      </c>
      <c r="K22" s="10" t="s">
        <v>478</v>
      </c>
      <c r="L22" t="s">
        <v>605</v>
      </c>
    </row>
    <row r="23" spans="2:12">
      <c r="B23" t="s">
        <v>1247</v>
      </c>
      <c r="C23">
        <v>1</v>
      </c>
      <c r="D23">
        <v>0</v>
      </c>
      <c r="E23" s="12" t="s">
        <v>751</v>
      </c>
      <c r="F23" s="3" t="s">
        <v>17</v>
      </c>
      <c r="G23" s="3" t="s">
        <v>544</v>
      </c>
      <c r="H23" s="12" t="s">
        <v>751</v>
      </c>
      <c r="I23" s="12" t="s">
        <v>751</v>
      </c>
      <c r="K23" s="10" t="s">
        <v>176</v>
      </c>
      <c r="L23" t="s">
        <v>606</v>
      </c>
    </row>
    <row r="24" spans="2:12">
      <c r="B24" t="s">
        <v>1248</v>
      </c>
      <c r="C24">
        <v>1</v>
      </c>
      <c r="D24">
        <v>0</v>
      </c>
      <c r="E24" s="12" t="s">
        <v>751</v>
      </c>
      <c r="F24" s="3" t="s">
        <v>17</v>
      </c>
      <c r="G24" s="3" t="s">
        <v>544</v>
      </c>
      <c r="H24" s="12" t="s">
        <v>751</v>
      </c>
      <c r="I24" s="12" t="s">
        <v>751</v>
      </c>
      <c r="K24" s="10" t="s">
        <v>73</v>
      </c>
      <c r="L24" t="s">
        <v>607</v>
      </c>
    </row>
    <row r="25" spans="2:12">
      <c r="B25" t="s">
        <v>1249</v>
      </c>
      <c r="C25">
        <v>3</v>
      </c>
      <c r="D25">
        <v>0</v>
      </c>
      <c r="E25" s="12" t="s">
        <v>751</v>
      </c>
      <c r="F25" s="3" t="s">
        <v>17</v>
      </c>
      <c r="G25" s="3" t="s">
        <v>544</v>
      </c>
      <c r="H25" s="12" t="s">
        <v>751</v>
      </c>
      <c r="I25" s="12" t="s">
        <v>751</v>
      </c>
      <c r="K25" s="10" t="s">
        <v>264</v>
      </c>
      <c r="L25" t="s">
        <v>608</v>
      </c>
    </row>
    <row r="26" spans="2:12">
      <c r="B26" t="s">
        <v>1250</v>
      </c>
      <c r="C26">
        <v>2</v>
      </c>
      <c r="D26">
        <v>0</v>
      </c>
      <c r="E26" s="12" t="s">
        <v>751</v>
      </c>
      <c r="F26" s="3" t="s">
        <v>17</v>
      </c>
      <c r="G26" s="3" t="s">
        <v>544</v>
      </c>
      <c r="H26" s="12" t="s">
        <v>751</v>
      </c>
      <c r="I26" s="12" t="s">
        <v>751</v>
      </c>
      <c r="K26" s="10" t="s">
        <v>375</v>
      </c>
      <c r="L26" t="s">
        <v>609</v>
      </c>
    </row>
    <row r="27" spans="2:12">
      <c r="B27" t="s">
        <v>1251</v>
      </c>
      <c r="C27">
        <v>0</v>
      </c>
      <c r="D27">
        <v>0</v>
      </c>
      <c r="E27" s="12" t="s">
        <v>751</v>
      </c>
      <c r="F27" s="3" t="s">
        <v>1706</v>
      </c>
      <c r="G27" s="3" t="s">
        <v>544</v>
      </c>
      <c r="H27" s="12" t="s">
        <v>751</v>
      </c>
      <c r="I27" s="12" t="s">
        <v>751</v>
      </c>
      <c r="K27" s="10" t="s">
        <v>617</v>
      </c>
      <c r="L27" t="s">
        <v>616</v>
      </c>
    </row>
    <row r="28" spans="2:12">
      <c r="B28" t="s">
        <v>1252</v>
      </c>
      <c r="C28">
        <v>0</v>
      </c>
      <c r="D28">
        <v>0</v>
      </c>
      <c r="E28" s="12" t="s">
        <v>751</v>
      </c>
      <c r="F28" s="3" t="s">
        <v>17</v>
      </c>
      <c r="G28" s="3" t="s">
        <v>544</v>
      </c>
      <c r="H28" s="12" t="s">
        <v>751</v>
      </c>
      <c r="I28" s="12" t="s">
        <v>751</v>
      </c>
      <c r="K28" s="10" t="s">
        <v>396</v>
      </c>
      <c r="L28" t="s">
        <v>618</v>
      </c>
    </row>
    <row r="29" spans="2:12">
      <c r="B29" t="s">
        <v>1253</v>
      </c>
      <c r="C29">
        <v>3</v>
      </c>
      <c r="D29">
        <v>0</v>
      </c>
      <c r="E29" s="12" t="s">
        <v>751</v>
      </c>
      <c r="F29" s="3" t="s">
        <v>17</v>
      </c>
      <c r="G29" s="3" t="s">
        <v>544</v>
      </c>
      <c r="H29" s="12" t="s">
        <v>751</v>
      </c>
      <c r="I29" s="12" t="s">
        <v>751</v>
      </c>
      <c r="K29" s="10" t="s">
        <v>249</v>
      </c>
      <c r="L29" t="s">
        <v>619</v>
      </c>
    </row>
    <row r="30" spans="2:12">
      <c r="B30" t="s">
        <v>1254</v>
      </c>
      <c r="C30">
        <v>2</v>
      </c>
      <c r="D30">
        <v>0</v>
      </c>
      <c r="E30" s="12" t="s">
        <v>751</v>
      </c>
      <c r="F30" s="3" t="s">
        <v>17</v>
      </c>
      <c r="G30" s="3" t="s">
        <v>544</v>
      </c>
      <c r="H30" s="12" t="s">
        <v>751</v>
      </c>
      <c r="I30" s="12" t="s">
        <v>751</v>
      </c>
      <c r="K30" s="10" t="s">
        <v>517</v>
      </c>
      <c r="L30" t="s">
        <v>620</v>
      </c>
    </row>
    <row r="31" spans="2:12">
      <c r="B31" t="s">
        <v>1255</v>
      </c>
      <c r="C31">
        <v>2</v>
      </c>
      <c r="D31">
        <v>0</v>
      </c>
      <c r="E31" s="12" t="s">
        <v>751</v>
      </c>
      <c r="F31" s="3" t="s">
        <v>17</v>
      </c>
      <c r="G31" s="3" t="s">
        <v>544</v>
      </c>
      <c r="H31" s="12" t="s">
        <v>751</v>
      </c>
      <c r="I31" s="12" t="s">
        <v>751</v>
      </c>
      <c r="K31" s="10" t="s">
        <v>482</v>
      </c>
      <c r="L31" t="s">
        <v>621</v>
      </c>
    </row>
    <row r="32" spans="2:12">
      <c r="B32" t="s">
        <v>1256</v>
      </c>
      <c r="C32">
        <v>2</v>
      </c>
      <c r="D32" t="s">
        <v>1584</v>
      </c>
      <c r="E32" s="12" t="s">
        <v>751</v>
      </c>
      <c r="F32" s="3" t="s">
        <v>17</v>
      </c>
      <c r="G32" s="3" t="s">
        <v>1707</v>
      </c>
      <c r="H32" s="12" t="s">
        <v>751</v>
      </c>
      <c r="I32" s="12" t="s">
        <v>751</v>
      </c>
      <c r="K32" s="10" t="s">
        <v>203</v>
      </c>
      <c r="L32" t="s">
        <v>627</v>
      </c>
    </row>
    <row r="33" spans="2:15">
      <c r="B33" t="s">
        <v>1257</v>
      </c>
      <c r="C33">
        <v>4</v>
      </c>
      <c r="D33">
        <v>11</v>
      </c>
      <c r="E33" s="12" t="s">
        <v>751</v>
      </c>
      <c r="F33" s="3" t="s">
        <v>17</v>
      </c>
      <c r="G33" s="3" t="s">
        <v>1708</v>
      </c>
      <c r="H33" s="12" t="s">
        <v>751</v>
      </c>
      <c r="I33" s="12" t="s">
        <v>751</v>
      </c>
      <c r="K33" s="10" t="s">
        <v>46</v>
      </c>
      <c r="L33" t="s">
        <v>628</v>
      </c>
    </row>
    <row r="34" spans="2:15">
      <c r="B34" t="s">
        <v>1258</v>
      </c>
      <c r="C34">
        <v>3</v>
      </c>
      <c r="D34">
        <v>16</v>
      </c>
      <c r="E34" s="12" t="s">
        <v>751</v>
      </c>
      <c r="F34" s="3" t="s">
        <v>17</v>
      </c>
      <c r="G34" s="3" t="s">
        <v>1709</v>
      </c>
      <c r="H34" s="12" t="s">
        <v>751</v>
      </c>
      <c r="I34" s="12" t="s">
        <v>751</v>
      </c>
      <c r="K34" s="10" t="s">
        <v>83</v>
      </c>
      <c r="L34" t="s">
        <v>629</v>
      </c>
    </row>
    <row r="35" spans="2:15">
      <c r="B35" t="s">
        <v>1259</v>
      </c>
      <c r="C35">
        <v>2</v>
      </c>
      <c r="D35">
        <v>10</v>
      </c>
      <c r="E35" s="12" t="s">
        <v>751</v>
      </c>
      <c r="F35" s="3" t="s">
        <v>17</v>
      </c>
      <c r="G35" s="3" t="s">
        <v>1710</v>
      </c>
      <c r="H35" s="12" t="s">
        <v>751</v>
      </c>
      <c r="I35" s="12" t="s">
        <v>751</v>
      </c>
      <c r="K35" s="10" t="s">
        <v>402</v>
      </c>
      <c r="L35" t="s">
        <v>630</v>
      </c>
    </row>
    <row r="36" spans="2:15">
      <c r="B36" t="s">
        <v>1260</v>
      </c>
      <c r="C36">
        <v>1</v>
      </c>
      <c r="D36">
        <v>15</v>
      </c>
      <c r="E36" s="12" t="s">
        <v>751</v>
      </c>
      <c r="F36" s="3" t="s">
        <v>17</v>
      </c>
      <c r="G36" s="3" t="s">
        <v>1710</v>
      </c>
      <c r="H36" s="12" t="s">
        <v>751</v>
      </c>
      <c r="I36" s="12" t="s">
        <v>751</v>
      </c>
      <c r="K36" s="10" t="s">
        <v>229</v>
      </c>
      <c r="L36" t="s">
        <v>631</v>
      </c>
    </row>
    <row r="37" spans="2:15" ht="16.5" customHeight="1">
      <c r="B37" t="s">
        <v>1261</v>
      </c>
      <c r="C37">
        <v>1</v>
      </c>
      <c r="D37">
        <v>11</v>
      </c>
      <c r="E37" s="12" t="s">
        <v>751</v>
      </c>
      <c r="F37" s="3" t="s">
        <v>17</v>
      </c>
      <c r="G37" s="3" t="s">
        <v>1711</v>
      </c>
      <c r="H37" t="s">
        <v>1849</v>
      </c>
      <c r="I37" s="12" t="s">
        <v>751</v>
      </c>
      <c r="K37" s="10" t="s">
        <v>343</v>
      </c>
      <c r="L37" t="s">
        <v>637</v>
      </c>
    </row>
    <row r="38" spans="2:15">
      <c r="B38" t="s">
        <v>1262</v>
      </c>
      <c r="C38">
        <v>2</v>
      </c>
      <c r="D38">
        <v>14</v>
      </c>
      <c r="E38" s="12" t="s">
        <v>751</v>
      </c>
      <c r="F38" s="3" t="s">
        <v>48</v>
      </c>
      <c r="G38" s="3" t="s">
        <v>1712</v>
      </c>
      <c r="H38" s="12" t="s">
        <v>751</v>
      </c>
      <c r="I38" s="12" t="s">
        <v>751</v>
      </c>
      <c r="K38" s="10" t="s">
        <v>419</v>
      </c>
      <c r="L38" t="s">
        <v>638</v>
      </c>
    </row>
    <row r="39" spans="2:15">
      <c r="B39" t="s">
        <v>1263</v>
      </c>
      <c r="C39">
        <v>2</v>
      </c>
      <c r="D39">
        <v>12</v>
      </c>
      <c r="E39" s="12" t="s">
        <v>751</v>
      </c>
      <c r="F39" s="3" t="s">
        <v>17</v>
      </c>
      <c r="G39" s="3" t="s">
        <v>1713</v>
      </c>
      <c r="H39" s="12" t="s">
        <v>751</v>
      </c>
      <c r="I39" s="12" t="s">
        <v>751</v>
      </c>
      <c r="K39" s="10" t="s">
        <v>640</v>
      </c>
      <c r="L39" t="s">
        <v>639</v>
      </c>
    </row>
    <row r="40" spans="2:15">
      <c r="B40" t="s">
        <v>1264</v>
      </c>
      <c r="C40">
        <v>0</v>
      </c>
      <c r="D40">
        <v>10</v>
      </c>
      <c r="E40" s="12" t="s">
        <v>751</v>
      </c>
      <c r="F40" s="3" t="s">
        <v>17</v>
      </c>
      <c r="G40" s="3" t="s">
        <v>1714</v>
      </c>
      <c r="H40" s="12" t="s">
        <v>751</v>
      </c>
      <c r="I40" s="12" t="s">
        <v>751</v>
      </c>
      <c r="K40" s="10" t="s">
        <v>437</v>
      </c>
      <c r="L40" t="s">
        <v>641</v>
      </c>
    </row>
    <row r="41" spans="2:15">
      <c r="B41" t="s">
        <v>1265</v>
      </c>
      <c r="C41">
        <v>1</v>
      </c>
      <c r="D41">
        <v>5</v>
      </c>
      <c r="E41" s="12" t="s">
        <v>751</v>
      </c>
      <c r="F41" s="3" t="s">
        <v>17</v>
      </c>
      <c r="G41" s="3" t="s">
        <v>1704</v>
      </c>
      <c r="H41" s="12" t="s">
        <v>751</v>
      </c>
      <c r="I41" s="12" t="s">
        <v>751</v>
      </c>
      <c r="K41" s="10" t="s">
        <v>422</v>
      </c>
      <c r="L41" t="s">
        <v>642</v>
      </c>
    </row>
    <row r="42" spans="2:15" ht="16">
      <c r="B42" t="s">
        <v>1266</v>
      </c>
      <c r="C42">
        <v>3</v>
      </c>
      <c r="D42">
        <v>1</v>
      </c>
      <c r="E42" s="12" t="s">
        <v>751</v>
      </c>
      <c r="F42" s="3" t="s">
        <v>17</v>
      </c>
      <c r="G42" s="3" t="s">
        <v>1715</v>
      </c>
      <c r="H42" t="s">
        <v>1850</v>
      </c>
      <c r="I42" s="12" t="s">
        <v>751</v>
      </c>
      <c r="K42" s="10" t="s">
        <v>15</v>
      </c>
      <c r="L42" s="63" t="s">
        <v>1608</v>
      </c>
      <c r="N42" s="63"/>
      <c r="O42" s="61"/>
    </row>
    <row r="43" spans="2:15" ht="16">
      <c r="B43" t="s">
        <v>1267</v>
      </c>
      <c r="C43">
        <v>0</v>
      </c>
      <c r="D43">
        <v>3</v>
      </c>
      <c r="E43" s="12" t="s">
        <v>751</v>
      </c>
      <c r="F43" s="3" t="s">
        <v>17</v>
      </c>
      <c r="G43" s="3" t="s">
        <v>546</v>
      </c>
      <c r="H43" t="s">
        <v>1850</v>
      </c>
      <c r="I43" s="12" t="s">
        <v>751</v>
      </c>
      <c r="J43" t="s">
        <v>649</v>
      </c>
      <c r="K43" s="10" t="s">
        <v>406</v>
      </c>
      <c r="L43" s="63" t="s">
        <v>1607</v>
      </c>
      <c r="N43" s="63"/>
      <c r="O43" s="61"/>
    </row>
    <row r="44" spans="2:15" ht="16">
      <c r="B44" t="s">
        <v>1268</v>
      </c>
      <c r="C44">
        <v>0</v>
      </c>
      <c r="D44">
        <v>0</v>
      </c>
      <c r="E44" s="12" t="s">
        <v>767</v>
      </c>
      <c r="F44" s="3" t="s">
        <v>17</v>
      </c>
      <c r="G44" s="3" t="s">
        <v>1716</v>
      </c>
      <c r="H44" t="s">
        <v>1850</v>
      </c>
      <c r="I44" s="12" t="s">
        <v>751</v>
      </c>
      <c r="J44" t="s">
        <v>651</v>
      </c>
      <c r="K44" s="10" t="s">
        <v>107</v>
      </c>
      <c r="L44" s="63" t="s">
        <v>1610</v>
      </c>
      <c r="N44" s="63"/>
      <c r="O44" s="61"/>
    </row>
    <row r="45" spans="2:15" ht="16">
      <c r="B45" t="s">
        <v>1269</v>
      </c>
      <c r="C45">
        <v>7</v>
      </c>
      <c r="D45">
        <v>0</v>
      </c>
      <c r="E45" s="12" t="s">
        <v>751</v>
      </c>
      <c r="F45" s="3" t="s">
        <v>17</v>
      </c>
      <c r="G45" s="3" t="s">
        <v>1717</v>
      </c>
      <c r="H45" t="s">
        <v>1850</v>
      </c>
      <c r="I45" s="12" t="s">
        <v>751</v>
      </c>
      <c r="J45" t="s">
        <v>652</v>
      </c>
      <c r="K45" s="10" t="s">
        <v>327</v>
      </c>
      <c r="L45" s="63" t="s">
        <v>1609</v>
      </c>
      <c r="N45" s="63"/>
      <c r="O45" s="61"/>
    </row>
    <row r="46" spans="2:15" ht="16">
      <c r="B46" t="s">
        <v>1270</v>
      </c>
      <c r="C46">
        <v>5</v>
      </c>
      <c r="D46">
        <v>1</v>
      </c>
      <c r="E46" s="12" t="s">
        <v>751</v>
      </c>
      <c r="F46" s="3" t="s">
        <v>17</v>
      </c>
      <c r="G46" s="3" t="s">
        <v>1718</v>
      </c>
      <c r="H46" t="s">
        <v>1850</v>
      </c>
      <c r="I46" s="12" t="s">
        <v>751</v>
      </c>
      <c r="J46" t="s">
        <v>653</v>
      </c>
      <c r="K46" s="10" t="s">
        <v>533</v>
      </c>
      <c r="L46" s="63" t="s">
        <v>1606</v>
      </c>
      <c r="N46" s="63"/>
      <c r="O46" s="61"/>
    </row>
    <row r="47" spans="2:15" ht="16">
      <c r="B47" t="s">
        <v>1271</v>
      </c>
      <c r="C47">
        <v>21</v>
      </c>
      <c r="D47">
        <v>1</v>
      </c>
      <c r="E47" s="12" t="s">
        <v>751</v>
      </c>
      <c r="F47" s="3" t="s">
        <v>660</v>
      </c>
      <c r="G47" s="3" t="s">
        <v>1719</v>
      </c>
      <c r="H47" t="s">
        <v>1850</v>
      </c>
      <c r="I47" s="12" t="s">
        <v>751</v>
      </c>
      <c r="K47" s="10" t="s">
        <v>33</v>
      </c>
      <c r="L47" s="63" t="s">
        <v>1613</v>
      </c>
      <c r="N47" s="63"/>
      <c r="O47" s="61"/>
    </row>
    <row r="48" spans="2:15" ht="16">
      <c r="B48" t="s">
        <v>1272</v>
      </c>
      <c r="C48">
        <v>19</v>
      </c>
      <c r="D48">
        <v>2</v>
      </c>
      <c r="E48" s="12" t="s">
        <v>767</v>
      </c>
      <c r="F48" s="3" t="s">
        <v>661</v>
      </c>
      <c r="G48" s="3" t="s">
        <v>1720</v>
      </c>
      <c r="H48" t="s">
        <v>1850</v>
      </c>
      <c r="I48" s="12" t="s">
        <v>751</v>
      </c>
      <c r="J48" t="s">
        <v>662</v>
      </c>
      <c r="K48" s="10" t="s">
        <v>30</v>
      </c>
      <c r="L48" s="63" t="s">
        <v>1611</v>
      </c>
      <c r="N48" s="63"/>
      <c r="O48" s="61"/>
    </row>
    <row r="49" spans="2:15" ht="16">
      <c r="B49" t="s">
        <v>1273</v>
      </c>
      <c r="C49">
        <v>12</v>
      </c>
      <c r="D49">
        <v>0</v>
      </c>
      <c r="E49" s="12" t="s">
        <v>767</v>
      </c>
      <c r="F49" s="3" t="s">
        <v>661</v>
      </c>
      <c r="G49" s="3" t="s">
        <v>1721</v>
      </c>
      <c r="H49" t="s">
        <v>1850</v>
      </c>
      <c r="I49" s="12" t="s">
        <v>751</v>
      </c>
      <c r="J49" t="s">
        <v>663</v>
      </c>
      <c r="K49" s="10" t="s">
        <v>66</v>
      </c>
      <c r="L49" s="63" t="s">
        <v>1615</v>
      </c>
      <c r="N49" s="63"/>
      <c r="O49" s="61"/>
    </row>
    <row r="50" spans="2:15" ht="16">
      <c r="B50" t="s">
        <v>1274</v>
      </c>
      <c r="C50">
        <v>18</v>
      </c>
      <c r="D50">
        <v>0</v>
      </c>
      <c r="E50" s="12" t="s">
        <v>767</v>
      </c>
      <c r="F50" s="3" t="s">
        <v>48</v>
      </c>
      <c r="G50" s="3" t="s">
        <v>1704</v>
      </c>
      <c r="H50" t="s">
        <v>1850</v>
      </c>
      <c r="I50" s="12" t="s">
        <v>751</v>
      </c>
      <c r="J50" t="s">
        <v>663</v>
      </c>
      <c r="K50" s="10" t="s">
        <v>459</v>
      </c>
      <c r="L50" s="63" t="s">
        <v>1612</v>
      </c>
      <c r="N50" s="63"/>
      <c r="O50" s="61"/>
    </row>
    <row r="51" spans="2:15" ht="16">
      <c r="B51" t="s">
        <v>1275</v>
      </c>
      <c r="C51">
        <v>14</v>
      </c>
      <c r="D51">
        <v>0</v>
      </c>
      <c r="E51" s="12" t="s">
        <v>767</v>
      </c>
      <c r="F51" s="3" t="s">
        <v>48</v>
      </c>
      <c r="G51" s="3" t="s">
        <v>1704</v>
      </c>
      <c r="H51" t="s">
        <v>1850</v>
      </c>
      <c r="I51" s="12" t="s">
        <v>751</v>
      </c>
      <c r="J51" t="s">
        <v>664</v>
      </c>
      <c r="K51" s="10" t="s">
        <v>98</v>
      </c>
      <c r="L51" s="63" t="s">
        <v>1614</v>
      </c>
      <c r="N51" s="63"/>
      <c r="O51" s="61"/>
    </row>
    <row r="52" spans="2:15" ht="16">
      <c r="B52" t="s">
        <v>1276</v>
      </c>
      <c r="C52">
        <v>14</v>
      </c>
      <c r="D52">
        <v>21</v>
      </c>
      <c r="E52" s="12" t="s">
        <v>751</v>
      </c>
      <c r="F52" s="3" t="s">
        <v>17</v>
      </c>
      <c r="G52" s="3" t="s">
        <v>1722</v>
      </c>
      <c r="H52" s="12" t="s">
        <v>751</v>
      </c>
      <c r="I52" s="12" t="s">
        <v>767</v>
      </c>
      <c r="K52" s="10" t="s">
        <v>336</v>
      </c>
      <c r="L52" s="62" t="s">
        <v>1600</v>
      </c>
      <c r="N52" s="62"/>
      <c r="O52" s="61"/>
    </row>
    <row r="53" spans="2:15" ht="16">
      <c r="B53" t="s">
        <v>1277</v>
      </c>
      <c r="C53">
        <v>8</v>
      </c>
      <c r="D53">
        <v>12</v>
      </c>
      <c r="E53" s="12" t="s">
        <v>751</v>
      </c>
      <c r="F53" s="3" t="s">
        <v>17</v>
      </c>
      <c r="G53" s="3" t="s">
        <v>1723</v>
      </c>
      <c r="H53" s="12" t="s">
        <v>751</v>
      </c>
      <c r="I53" s="12" t="s">
        <v>767</v>
      </c>
      <c r="K53" s="10" t="s">
        <v>670</v>
      </c>
      <c r="L53" s="62" t="s">
        <v>1596</v>
      </c>
      <c r="N53" s="62"/>
      <c r="O53" s="61"/>
    </row>
    <row r="54" spans="2:15" ht="16">
      <c r="B54" t="s">
        <v>1278</v>
      </c>
      <c r="C54">
        <v>6</v>
      </c>
      <c r="D54">
        <v>16</v>
      </c>
      <c r="E54" s="12" t="s">
        <v>751</v>
      </c>
      <c r="F54" s="3" t="s">
        <v>17</v>
      </c>
      <c r="G54" s="3" t="s">
        <v>1717</v>
      </c>
      <c r="H54" s="12" t="s">
        <v>751</v>
      </c>
      <c r="I54" s="12" t="s">
        <v>767</v>
      </c>
      <c r="K54" s="10" t="s">
        <v>495</v>
      </c>
      <c r="L54" s="62" t="s">
        <v>1597</v>
      </c>
      <c r="N54" s="62"/>
      <c r="O54" s="61"/>
    </row>
    <row r="55" spans="2:15" ht="16">
      <c r="B55" t="s">
        <v>1279</v>
      </c>
      <c r="C55">
        <v>0</v>
      </c>
      <c r="D55">
        <v>15</v>
      </c>
      <c r="E55" s="12" t="s">
        <v>751</v>
      </c>
      <c r="F55" s="3" t="s">
        <v>17</v>
      </c>
      <c r="G55" s="3" t="s">
        <v>1717</v>
      </c>
      <c r="H55" s="12" t="s">
        <v>751</v>
      </c>
      <c r="I55" s="12" t="s">
        <v>767</v>
      </c>
      <c r="K55" s="10" t="s">
        <v>104</v>
      </c>
      <c r="L55" s="62" t="s">
        <v>1598</v>
      </c>
      <c r="N55" s="62"/>
      <c r="O55" s="61"/>
    </row>
    <row r="56" spans="2:15" ht="16">
      <c r="B56" t="s">
        <v>1280</v>
      </c>
      <c r="C56">
        <v>5</v>
      </c>
      <c r="D56">
        <v>15</v>
      </c>
      <c r="E56" s="12" t="s">
        <v>751</v>
      </c>
      <c r="F56" s="3" t="s">
        <v>17</v>
      </c>
      <c r="G56" s="3" t="s">
        <v>1724</v>
      </c>
      <c r="H56" s="12" t="s">
        <v>751</v>
      </c>
      <c r="I56" s="12" t="s">
        <v>767</v>
      </c>
      <c r="J56" t="s">
        <v>671</v>
      </c>
      <c r="K56" s="10" t="s">
        <v>167</v>
      </c>
      <c r="L56" s="62" t="s">
        <v>1599</v>
      </c>
      <c r="N56" s="62"/>
      <c r="O56" s="61"/>
    </row>
    <row r="57" spans="2:15" ht="16">
      <c r="B57" t="s">
        <v>1281</v>
      </c>
      <c r="C57">
        <v>5</v>
      </c>
      <c r="D57">
        <v>25</v>
      </c>
      <c r="E57" s="12" t="s">
        <v>751</v>
      </c>
      <c r="F57" s="3" t="s">
        <v>591</v>
      </c>
      <c r="G57" s="3" t="s">
        <v>1725</v>
      </c>
      <c r="H57" s="12" t="s">
        <v>751</v>
      </c>
      <c r="I57" s="12" t="s">
        <v>767</v>
      </c>
      <c r="K57" s="10" t="s">
        <v>110</v>
      </c>
      <c r="L57" s="62" t="s">
        <v>1602</v>
      </c>
      <c r="N57" s="62"/>
      <c r="O57" s="61"/>
    </row>
    <row r="58" spans="2:15" ht="16">
      <c r="B58" t="s">
        <v>1282</v>
      </c>
      <c r="C58">
        <v>15</v>
      </c>
      <c r="D58">
        <v>17</v>
      </c>
      <c r="E58" s="12" t="s">
        <v>751</v>
      </c>
      <c r="F58" s="3" t="s">
        <v>48</v>
      </c>
      <c r="G58" s="3" t="s">
        <v>1726</v>
      </c>
      <c r="H58" s="12" t="s">
        <v>751</v>
      </c>
      <c r="I58" s="12" t="s">
        <v>767</v>
      </c>
      <c r="K58" s="10" t="s">
        <v>187</v>
      </c>
      <c r="L58" s="62" t="s">
        <v>1603</v>
      </c>
      <c r="N58" s="62"/>
      <c r="O58" s="61"/>
    </row>
    <row r="59" spans="2:15" ht="16">
      <c r="B59" t="s">
        <v>1283</v>
      </c>
      <c r="C59">
        <v>24</v>
      </c>
      <c r="D59">
        <v>20</v>
      </c>
      <c r="E59" s="12" t="s">
        <v>767</v>
      </c>
      <c r="F59" s="3" t="s">
        <v>48</v>
      </c>
      <c r="G59" s="3" t="s">
        <v>1704</v>
      </c>
      <c r="H59" s="12" t="s">
        <v>751</v>
      </c>
      <c r="I59" s="12" t="s">
        <v>767</v>
      </c>
      <c r="J59" t="s">
        <v>677</v>
      </c>
      <c r="K59" s="10" t="s">
        <v>170</v>
      </c>
      <c r="L59" s="62" t="s">
        <v>1605</v>
      </c>
      <c r="N59" s="62"/>
      <c r="O59" s="61"/>
    </row>
    <row r="60" spans="2:15" ht="16">
      <c r="B60" t="s">
        <v>1284</v>
      </c>
      <c r="C60">
        <v>32</v>
      </c>
      <c r="D60">
        <v>20</v>
      </c>
      <c r="E60" s="12" t="s">
        <v>751</v>
      </c>
      <c r="F60" s="3" t="s">
        <v>48</v>
      </c>
      <c r="G60" s="9" t="s">
        <v>1727</v>
      </c>
      <c r="H60" s="12" t="s">
        <v>751</v>
      </c>
      <c r="I60" s="12" t="s">
        <v>767</v>
      </c>
      <c r="K60" s="10" t="s">
        <v>399</v>
      </c>
      <c r="L60" s="62" t="s">
        <v>1601</v>
      </c>
      <c r="N60" s="62"/>
      <c r="O60" s="61"/>
    </row>
    <row r="61" spans="2:15" ht="16">
      <c r="B61" t="s">
        <v>1285</v>
      </c>
      <c r="C61">
        <v>15</v>
      </c>
      <c r="D61">
        <v>16</v>
      </c>
      <c r="E61" s="12" t="s">
        <v>751</v>
      </c>
      <c r="F61" s="3" t="s">
        <v>48</v>
      </c>
      <c r="G61" s="9" t="s">
        <v>1704</v>
      </c>
      <c r="H61" s="12" t="s">
        <v>751</v>
      </c>
      <c r="I61" s="12" t="s">
        <v>767</v>
      </c>
      <c r="J61" t="s">
        <v>679</v>
      </c>
      <c r="K61" s="10" t="s">
        <v>678</v>
      </c>
      <c r="L61" s="62" t="s">
        <v>1604</v>
      </c>
      <c r="N61" s="62"/>
      <c r="O61" s="61"/>
    </row>
    <row r="62" spans="2:15">
      <c r="B62" t="s">
        <v>1286</v>
      </c>
      <c r="C62">
        <v>16</v>
      </c>
      <c r="D62">
        <v>14</v>
      </c>
      <c r="E62" s="12" t="s">
        <v>751</v>
      </c>
      <c r="F62" s="3" t="s">
        <v>17</v>
      </c>
      <c r="G62" s="3" t="s">
        <v>1728</v>
      </c>
      <c r="H62" t="s">
        <v>1853</v>
      </c>
      <c r="I62" s="12" t="s">
        <v>751</v>
      </c>
      <c r="J62" t="s">
        <v>686</v>
      </c>
      <c r="K62" s="10" t="s">
        <v>330</v>
      </c>
      <c r="L62" t="s">
        <v>685</v>
      </c>
    </row>
    <row r="63" spans="2:15">
      <c r="B63" t="s">
        <v>1287</v>
      </c>
      <c r="C63">
        <v>7</v>
      </c>
      <c r="D63">
        <v>12</v>
      </c>
      <c r="E63" s="12" t="s">
        <v>751</v>
      </c>
      <c r="F63" s="3" t="s">
        <v>17</v>
      </c>
      <c r="G63" s="3" t="s">
        <v>1729</v>
      </c>
      <c r="H63" t="s">
        <v>1853</v>
      </c>
      <c r="I63" s="12" t="s">
        <v>751</v>
      </c>
      <c r="J63" t="s">
        <v>688</v>
      </c>
      <c r="K63" s="10" t="s">
        <v>217</v>
      </c>
      <c r="L63" t="s">
        <v>687</v>
      </c>
    </row>
    <row r="64" spans="2:15">
      <c r="B64" t="s">
        <v>1288</v>
      </c>
      <c r="C64">
        <v>16</v>
      </c>
      <c r="D64">
        <v>11</v>
      </c>
      <c r="E64" s="12" t="s">
        <v>751</v>
      </c>
      <c r="F64" s="3" t="s">
        <v>17</v>
      </c>
      <c r="G64" s="3" t="s">
        <v>1730</v>
      </c>
      <c r="H64" t="s">
        <v>1853</v>
      </c>
      <c r="I64" s="12" t="s">
        <v>751</v>
      </c>
      <c r="K64" s="10" t="s">
        <v>95</v>
      </c>
      <c r="L64" t="s">
        <v>689</v>
      </c>
    </row>
    <row r="65" spans="2:12">
      <c r="B65" t="s">
        <v>1289</v>
      </c>
      <c r="C65">
        <v>20</v>
      </c>
      <c r="D65">
        <v>12</v>
      </c>
      <c r="E65" t="s">
        <v>691</v>
      </c>
      <c r="F65" s="3" t="s">
        <v>17</v>
      </c>
      <c r="G65" s="3" t="s">
        <v>1731</v>
      </c>
      <c r="H65" t="s">
        <v>1853</v>
      </c>
      <c r="I65" s="12" t="s">
        <v>751</v>
      </c>
      <c r="J65" t="s">
        <v>692</v>
      </c>
      <c r="K65" s="10" t="s">
        <v>539</v>
      </c>
      <c r="L65" t="s">
        <v>690</v>
      </c>
    </row>
    <row r="66" spans="2:12">
      <c r="B66" t="s">
        <v>1290</v>
      </c>
      <c r="C66">
        <v>4</v>
      </c>
      <c r="D66">
        <v>11</v>
      </c>
      <c r="E66" s="12" t="s">
        <v>751</v>
      </c>
      <c r="F66" s="3" t="s">
        <v>461</v>
      </c>
      <c r="G66" s="9" t="s">
        <v>1732</v>
      </c>
      <c r="H66" t="s">
        <v>1853</v>
      </c>
      <c r="I66" s="12" t="s">
        <v>751</v>
      </c>
      <c r="K66" s="10" t="s">
        <v>333</v>
      </c>
      <c r="L66" t="s">
        <v>693</v>
      </c>
    </row>
    <row r="67" spans="2:12">
      <c r="B67" t="s">
        <v>1291</v>
      </c>
      <c r="C67">
        <v>0</v>
      </c>
      <c r="D67" t="s">
        <v>1584</v>
      </c>
      <c r="E67" s="12" t="s">
        <v>767</v>
      </c>
      <c r="F67" s="3" t="s">
        <v>48</v>
      </c>
      <c r="G67" s="3" t="s">
        <v>1726</v>
      </c>
      <c r="H67" s="12" t="s">
        <v>751</v>
      </c>
      <c r="I67" s="12" t="s">
        <v>751</v>
      </c>
      <c r="K67" s="10" t="s">
        <v>24</v>
      </c>
      <c r="L67" t="s">
        <v>699</v>
      </c>
    </row>
    <row r="68" spans="2:12">
      <c r="B68" t="s">
        <v>1292</v>
      </c>
      <c r="C68">
        <v>10</v>
      </c>
      <c r="D68">
        <v>8</v>
      </c>
      <c r="E68" s="12" t="s">
        <v>767</v>
      </c>
      <c r="F68" s="3" t="s">
        <v>701</v>
      </c>
      <c r="G68" s="3" t="s">
        <v>1733</v>
      </c>
      <c r="H68" s="12" t="s">
        <v>751</v>
      </c>
      <c r="I68" s="12" t="s">
        <v>751</v>
      </c>
      <c r="J68" t="s">
        <v>702</v>
      </c>
      <c r="K68" s="10" t="s">
        <v>372</v>
      </c>
      <c r="L68" t="s">
        <v>700</v>
      </c>
    </row>
    <row r="69" spans="2:12">
      <c r="B69" t="s">
        <v>1293</v>
      </c>
      <c r="C69">
        <v>7</v>
      </c>
      <c r="D69">
        <v>14</v>
      </c>
      <c r="E69" s="12" t="s">
        <v>767</v>
      </c>
      <c r="F69" s="3" t="s">
        <v>48</v>
      </c>
      <c r="G69" s="3" t="s">
        <v>1734</v>
      </c>
      <c r="H69" s="12" t="s">
        <v>751</v>
      </c>
      <c r="I69" s="12" t="s">
        <v>751</v>
      </c>
      <c r="J69" t="s">
        <v>704</v>
      </c>
      <c r="K69" s="10" t="s">
        <v>101</v>
      </c>
      <c r="L69" t="s">
        <v>703</v>
      </c>
    </row>
    <row r="70" spans="2:12">
      <c r="B70" t="s">
        <v>1294</v>
      </c>
      <c r="C70">
        <v>6</v>
      </c>
      <c r="D70">
        <v>11</v>
      </c>
      <c r="E70" s="12" t="s">
        <v>767</v>
      </c>
      <c r="F70" s="3" t="s">
        <v>48</v>
      </c>
      <c r="G70" s="3" t="s">
        <v>1712</v>
      </c>
      <c r="H70" s="12" t="s">
        <v>751</v>
      </c>
      <c r="I70" s="12" t="s">
        <v>751</v>
      </c>
      <c r="K70" s="10" t="s">
        <v>199</v>
      </c>
      <c r="L70" t="s">
        <v>705</v>
      </c>
    </row>
    <row r="71" spans="2:12">
      <c r="B71" t="s">
        <v>1295</v>
      </c>
      <c r="C71">
        <v>10</v>
      </c>
      <c r="D71">
        <v>16</v>
      </c>
      <c r="E71" s="12" t="s">
        <v>767</v>
      </c>
      <c r="F71" s="3" t="s">
        <v>48</v>
      </c>
      <c r="G71" s="3" t="s">
        <v>1735</v>
      </c>
      <c r="H71" s="12" t="s">
        <v>751</v>
      </c>
      <c r="I71" s="12" t="s">
        <v>751</v>
      </c>
      <c r="K71" s="10" t="s">
        <v>164</v>
      </c>
      <c r="L71" t="s">
        <v>706</v>
      </c>
    </row>
    <row r="72" spans="2:12">
      <c r="B72" t="s">
        <v>1296</v>
      </c>
      <c r="C72">
        <v>7</v>
      </c>
      <c r="D72">
        <v>12</v>
      </c>
      <c r="E72" s="12" t="s">
        <v>751</v>
      </c>
      <c r="F72" s="3" t="s">
        <v>661</v>
      </c>
      <c r="G72" s="3" t="s">
        <v>1736</v>
      </c>
      <c r="H72" t="s">
        <v>1853</v>
      </c>
      <c r="I72" s="12" t="s">
        <v>751</v>
      </c>
      <c r="J72" t="s">
        <v>714</v>
      </c>
      <c r="K72" s="10" t="s">
        <v>713</v>
      </c>
      <c r="L72" t="s">
        <v>712</v>
      </c>
    </row>
    <row r="73" spans="2:12">
      <c r="B73" t="s">
        <v>1297</v>
      </c>
      <c r="C73">
        <v>3</v>
      </c>
      <c r="D73">
        <v>4</v>
      </c>
      <c r="E73" s="12" t="s">
        <v>751</v>
      </c>
      <c r="F73" s="3" t="s">
        <v>17</v>
      </c>
      <c r="G73" s="3" t="s">
        <v>1731</v>
      </c>
      <c r="H73" s="12" t="s">
        <v>751</v>
      </c>
      <c r="I73" s="12" t="s">
        <v>751</v>
      </c>
      <c r="J73" t="s">
        <v>716</v>
      </c>
      <c r="K73" s="10" t="s">
        <v>347</v>
      </c>
      <c r="L73" t="s">
        <v>715</v>
      </c>
    </row>
    <row r="74" spans="2:12">
      <c r="B74" t="s">
        <v>1298</v>
      </c>
      <c r="C74">
        <v>3</v>
      </c>
      <c r="D74">
        <v>6</v>
      </c>
      <c r="E74" s="12" t="s">
        <v>751</v>
      </c>
      <c r="F74" s="3" t="s">
        <v>17</v>
      </c>
      <c r="G74" s="3" t="s">
        <v>1717</v>
      </c>
      <c r="H74" s="12" t="s">
        <v>751</v>
      </c>
      <c r="I74" s="12" t="s">
        <v>751</v>
      </c>
      <c r="K74" s="10" t="s">
        <v>291</v>
      </c>
      <c r="L74" t="s">
        <v>717</v>
      </c>
    </row>
    <row r="75" spans="2:12">
      <c r="B75" t="s">
        <v>1299</v>
      </c>
      <c r="C75">
        <v>3</v>
      </c>
      <c r="D75">
        <v>8</v>
      </c>
      <c r="E75" s="12" t="s">
        <v>751</v>
      </c>
      <c r="F75" s="3" t="s">
        <v>17</v>
      </c>
      <c r="G75" s="3" t="s">
        <v>1737</v>
      </c>
      <c r="H75" s="12" t="s">
        <v>751</v>
      </c>
      <c r="I75" s="12" t="s">
        <v>751</v>
      </c>
      <c r="J75" t="s">
        <v>719</v>
      </c>
      <c r="K75" s="10" t="s">
        <v>179</v>
      </c>
      <c r="L75" t="s">
        <v>718</v>
      </c>
    </row>
    <row r="76" spans="2:12">
      <c r="B76" t="s">
        <v>1300</v>
      </c>
      <c r="C76">
        <v>4</v>
      </c>
      <c r="D76">
        <v>6</v>
      </c>
      <c r="E76" s="12" t="s">
        <v>751</v>
      </c>
      <c r="F76" s="3" t="s">
        <v>17</v>
      </c>
      <c r="G76" s="9" t="s">
        <v>721</v>
      </c>
      <c r="H76" s="12" t="s">
        <v>751</v>
      </c>
      <c r="I76" s="12" t="s">
        <v>751</v>
      </c>
      <c r="J76" t="s">
        <v>574</v>
      </c>
      <c r="K76" s="10" t="s">
        <v>447</v>
      </c>
      <c r="L76" t="s">
        <v>720</v>
      </c>
    </row>
    <row r="77" spans="2:12">
      <c r="B77" t="s">
        <v>1301</v>
      </c>
      <c r="C77">
        <v>4</v>
      </c>
      <c r="D77" t="s">
        <v>1584</v>
      </c>
      <c r="E77" s="12" t="s">
        <v>751</v>
      </c>
      <c r="F77" s="3" t="s">
        <v>660</v>
      </c>
      <c r="G77" s="3" t="s">
        <v>1738</v>
      </c>
      <c r="H77" s="12" t="s">
        <v>751</v>
      </c>
      <c r="I77" s="12" t="s">
        <v>751</v>
      </c>
      <c r="J77" t="s">
        <v>574</v>
      </c>
      <c r="K77" s="10" t="s">
        <v>267</v>
      </c>
      <c r="L77" t="s">
        <v>732</v>
      </c>
    </row>
    <row r="78" spans="2:12">
      <c r="B78" t="s">
        <v>1302</v>
      </c>
      <c r="C78">
        <v>1</v>
      </c>
      <c r="D78">
        <v>2</v>
      </c>
      <c r="E78" s="12" t="s">
        <v>751</v>
      </c>
      <c r="F78" s="3" t="s">
        <v>48</v>
      </c>
      <c r="G78" s="3" t="s">
        <v>734</v>
      </c>
      <c r="H78" s="12" t="s">
        <v>751</v>
      </c>
      <c r="I78" s="12" t="s">
        <v>751</v>
      </c>
      <c r="K78" s="10" t="s">
        <v>378</v>
      </c>
      <c r="L78" t="s">
        <v>733</v>
      </c>
    </row>
    <row r="79" spans="2:12">
      <c r="B79" t="s">
        <v>1303</v>
      </c>
      <c r="C79">
        <v>4</v>
      </c>
      <c r="D79">
        <v>2</v>
      </c>
      <c r="E79" s="12" t="s">
        <v>767</v>
      </c>
      <c r="F79" s="3" t="s">
        <v>48</v>
      </c>
      <c r="G79" s="3" t="s">
        <v>1739</v>
      </c>
      <c r="H79" s="12" t="s">
        <v>751</v>
      </c>
      <c r="I79" s="12" t="s">
        <v>751</v>
      </c>
      <c r="J79" t="s">
        <v>574</v>
      </c>
      <c r="K79" s="10" t="s">
        <v>147</v>
      </c>
      <c r="L79" t="s">
        <v>735</v>
      </c>
    </row>
    <row r="80" spans="2:12">
      <c r="B80" t="s">
        <v>1304</v>
      </c>
      <c r="C80">
        <v>3</v>
      </c>
      <c r="D80" t="s">
        <v>1584</v>
      </c>
      <c r="E80" s="12" t="s">
        <v>751</v>
      </c>
      <c r="F80" s="3" t="s">
        <v>17</v>
      </c>
      <c r="G80" s="3" t="s">
        <v>1724</v>
      </c>
      <c r="H80" s="12" t="s">
        <v>751</v>
      </c>
      <c r="I80" s="12" t="s">
        <v>751</v>
      </c>
      <c r="K80" s="10" t="s">
        <v>392</v>
      </c>
      <c r="L80" t="s">
        <v>736</v>
      </c>
    </row>
    <row r="81" spans="2:12">
      <c r="B81" t="s">
        <v>1305</v>
      </c>
      <c r="C81">
        <v>5</v>
      </c>
      <c r="D81">
        <v>5</v>
      </c>
      <c r="E81" s="12" t="s">
        <v>751</v>
      </c>
      <c r="F81" s="3" t="s">
        <v>48</v>
      </c>
      <c r="G81" s="3" t="s">
        <v>1740</v>
      </c>
      <c r="H81" s="12" t="s">
        <v>751</v>
      </c>
      <c r="I81" s="12" t="s">
        <v>751</v>
      </c>
      <c r="K81" s="10" t="s">
        <v>389</v>
      </c>
      <c r="L81" t="s">
        <v>737</v>
      </c>
    </row>
    <row r="82" spans="2:12">
      <c r="B82" s="4" t="s">
        <v>9</v>
      </c>
      <c r="C82" s="3">
        <v>26</v>
      </c>
      <c r="D82" s="3">
        <v>26</v>
      </c>
      <c r="E82" s="12" t="s">
        <v>751</v>
      </c>
      <c r="F82" s="3" t="s">
        <v>13</v>
      </c>
      <c r="G82" s="3" t="s">
        <v>1722</v>
      </c>
      <c r="H82" s="3" t="s">
        <v>1851</v>
      </c>
      <c r="I82" s="12" t="s">
        <v>751</v>
      </c>
      <c r="K82" s="3" t="s">
        <v>10</v>
      </c>
      <c r="L82" s="4" t="s">
        <v>11</v>
      </c>
    </row>
    <row r="83" spans="2:12">
      <c r="B83" s="4" t="s">
        <v>14</v>
      </c>
      <c r="C83" s="3">
        <v>17</v>
      </c>
      <c r="D83" s="3">
        <v>31</v>
      </c>
      <c r="E83" s="12" t="s">
        <v>751</v>
      </c>
      <c r="F83" s="3" t="s">
        <v>17</v>
      </c>
      <c r="G83" s="3" t="s">
        <v>1741</v>
      </c>
      <c r="H83" s="3" t="s">
        <v>1852</v>
      </c>
      <c r="I83" s="12" t="s">
        <v>751</v>
      </c>
      <c r="J83" s="3" t="s">
        <v>18</v>
      </c>
      <c r="K83" s="3" t="s">
        <v>15</v>
      </c>
      <c r="L83" s="4" t="s">
        <v>16</v>
      </c>
    </row>
    <row r="84" spans="2:12">
      <c r="B84" s="4" t="s">
        <v>19</v>
      </c>
      <c r="C84" s="3">
        <v>7</v>
      </c>
      <c r="D84" s="3">
        <v>3</v>
      </c>
      <c r="E84" s="12" t="s">
        <v>751</v>
      </c>
      <c r="F84" s="3" t="s">
        <v>22</v>
      </c>
      <c r="G84" s="3" t="s">
        <v>1742</v>
      </c>
      <c r="H84" s="3" t="s">
        <v>1852</v>
      </c>
      <c r="I84" s="12" t="s">
        <v>751</v>
      </c>
      <c r="K84" s="3" t="s">
        <v>20</v>
      </c>
      <c r="L84" s="4" t="s">
        <v>21</v>
      </c>
    </row>
    <row r="85" spans="2:12">
      <c r="B85" s="4" t="s">
        <v>23</v>
      </c>
      <c r="C85" s="3">
        <v>11</v>
      </c>
      <c r="D85" s="3">
        <v>26</v>
      </c>
      <c r="E85" s="12" t="s">
        <v>751</v>
      </c>
      <c r="F85" s="3" t="s">
        <v>17</v>
      </c>
      <c r="G85" s="3" t="s">
        <v>1743</v>
      </c>
      <c r="H85" s="3" t="s">
        <v>1852</v>
      </c>
      <c r="I85" s="12" t="s">
        <v>751</v>
      </c>
      <c r="K85" s="3" t="s">
        <v>24</v>
      </c>
      <c r="L85" s="4" t="s">
        <v>25</v>
      </c>
    </row>
    <row r="86" spans="2:12">
      <c r="B86" s="4" t="s">
        <v>26</v>
      </c>
      <c r="C86" s="3">
        <v>18</v>
      </c>
      <c r="D86" s="3">
        <v>22</v>
      </c>
      <c r="E86" s="12" t="s">
        <v>751</v>
      </c>
      <c r="F86" s="3" t="s">
        <v>13</v>
      </c>
      <c r="G86" s="3" t="s">
        <v>1697</v>
      </c>
      <c r="H86" s="3" t="s">
        <v>1852</v>
      </c>
      <c r="I86" s="12" t="s">
        <v>751</v>
      </c>
      <c r="K86" s="3" t="s">
        <v>27</v>
      </c>
      <c r="L86" s="4" t="s">
        <v>28</v>
      </c>
    </row>
    <row r="87" spans="2:12">
      <c r="B87" s="4" t="s">
        <v>45</v>
      </c>
      <c r="C87" s="3">
        <v>22</v>
      </c>
      <c r="D87" s="3">
        <v>34</v>
      </c>
      <c r="E87" s="12" t="s">
        <v>751</v>
      </c>
      <c r="F87" s="3" t="s">
        <v>48</v>
      </c>
      <c r="G87" s="3" t="s">
        <v>1744</v>
      </c>
      <c r="H87" s="3" t="s">
        <v>1852</v>
      </c>
      <c r="I87" s="12" t="s">
        <v>751</v>
      </c>
      <c r="K87" s="3" t="s">
        <v>46</v>
      </c>
      <c r="L87" s="4" t="s">
        <v>47</v>
      </c>
    </row>
    <row r="88" spans="2:12">
      <c r="B88" s="4" t="s">
        <v>49</v>
      </c>
      <c r="C88" t="s">
        <v>1584</v>
      </c>
      <c r="D88" t="s">
        <v>1584</v>
      </c>
      <c r="E88" s="12" t="s">
        <v>751</v>
      </c>
      <c r="F88" s="3" t="s">
        <v>48</v>
      </c>
      <c r="G88" s="3" t="s">
        <v>1726</v>
      </c>
      <c r="H88" s="3" t="s">
        <v>1852</v>
      </c>
      <c r="I88" s="12" t="s">
        <v>751</v>
      </c>
      <c r="J88" s="12" t="s">
        <v>841</v>
      </c>
      <c r="K88" s="3" t="s">
        <v>50</v>
      </c>
      <c r="L88" s="4" t="s">
        <v>51</v>
      </c>
    </row>
    <row r="89" spans="2:12">
      <c r="B89" s="4" t="s">
        <v>52</v>
      </c>
      <c r="C89" s="7" t="s">
        <v>1585</v>
      </c>
      <c r="D89" s="7" t="s">
        <v>1585</v>
      </c>
      <c r="E89" s="12" t="s">
        <v>751</v>
      </c>
      <c r="F89" s="3" t="s">
        <v>55</v>
      </c>
      <c r="G89" s="3" t="s">
        <v>1745</v>
      </c>
      <c r="H89" s="3" t="s">
        <v>1852</v>
      </c>
      <c r="I89" s="12" t="s">
        <v>751</v>
      </c>
      <c r="K89" s="3" t="s">
        <v>53</v>
      </c>
      <c r="L89" s="4" t="s">
        <v>54</v>
      </c>
    </row>
    <row r="90" spans="2:12">
      <c r="B90" s="4" t="s">
        <v>56</v>
      </c>
      <c r="C90" s="6">
        <v>20</v>
      </c>
      <c r="D90" s="4">
        <v>37</v>
      </c>
      <c r="E90" s="12" t="s">
        <v>751</v>
      </c>
      <c r="F90" s="3" t="s">
        <v>59</v>
      </c>
      <c r="G90" s="3" t="s">
        <v>60</v>
      </c>
      <c r="H90" s="3" t="s">
        <v>1852</v>
      </c>
      <c r="I90" s="12" t="s">
        <v>751</v>
      </c>
      <c r="K90" s="3" t="s">
        <v>57</v>
      </c>
      <c r="L90" s="4" t="s">
        <v>58</v>
      </c>
    </row>
    <row r="91" spans="2:12">
      <c r="B91" s="4" t="s">
        <v>61</v>
      </c>
      <c r="C91" s="6">
        <v>27</v>
      </c>
      <c r="D91" s="6">
        <v>32</v>
      </c>
      <c r="E91" s="12" t="s">
        <v>751</v>
      </c>
      <c r="F91" s="3" t="s">
        <v>64</v>
      </c>
      <c r="G91" s="3" t="s">
        <v>1746</v>
      </c>
      <c r="H91" s="3" t="s">
        <v>1851</v>
      </c>
      <c r="I91" s="12" t="s">
        <v>751</v>
      </c>
      <c r="K91" s="3" t="s">
        <v>62</v>
      </c>
      <c r="L91" s="4" t="s">
        <v>63</v>
      </c>
    </row>
    <row r="92" spans="2:12">
      <c r="B92" t="s">
        <v>1336</v>
      </c>
      <c r="C92" s="12">
        <v>19</v>
      </c>
      <c r="D92" s="12">
        <v>37</v>
      </c>
      <c r="E92" s="12" t="s">
        <v>1586</v>
      </c>
      <c r="F92" s="12" t="s">
        <v>920</v>
      </c>
      <c r="G92" s="12" t="s">
        <v>921</v>
      </c>
      <c r="H92" s="3" t="s">
        <v>1852</v>
      </c>
      <c r="I92" s="12" t="s">
        <v>751</v>
      </c>
      <c r="K92" s="12" t="s">
        <v>919</v>
      </c>
      <c r="L92" s="11" t="s">
        <v>918</v>
      </c>
    </row>
    <row r="93" spans="2:12">
      <c r="B93" t="s">
        <v>1337</v>
      </c>
      <c r="C93" s="12">
        <v>11</v>
      </c>
      <c r="D93" s="12">
        <v>9</v>
      </c>
      <c r="E93" s="12" t="s">
        <v>751</v>
      </c>
      <c r="F93" s="3" t="s">
        <v>1747</v>
      </c>
      <c r="G93" s="12" t="s">
        <v>924</v>
      </c>
      <c r="H93" s="3" t="s">
        <v>1852</v>
      </c>
      <c r="I93" s="12" t="s">
        <v>751</v>
      </c>
      <c r="K93" s="12" t="s">
        <v>923</v>
      </c>
      <c r="L93" s="11" t="s">
        <v>922</v>
      </c>
    </row>
    <row r="94" spans="2:12">
      <c r="B94" t="s">
        <v>1338</v>
      </c>
      <c r="C94" s="12">
        <v>24</v>
      </c>
      <c r="D94" s="12">
        <v>23</v>
      </c>
      <c r="E94" s="12" t="s">
        <v>751</v>
      </c>
      <c r="F94" s="3" t="s">
        <v>1748</v>
      </c>
      <c r="G94" s="12" t="s">
        <v>927</v>
      </c>
      <c r="H94" s="3" t="s">
        <v>1852</v>
      </c>
      <c r="I94" s="12" t="s">
        <v>751</v>
      </c>
      <c r="K94" s="12" t="s">
        <v>926</v>
      </c>
      <c r="L94" s="11" t="s">
        <v>925</v>
      </c>
    </row>
    <row r="95" spans="2:12">
      <c r="B95" t="s">
        <v>1339</v>
      </c>
      <c r="C95" s="12">
        <v>22</v>
      </c>
      <c r="D95" s="12">
        <v>25</v>
      </c>
      <c r="E95" s="12" t="s">
        <v>751</v>
      </c>
      <c r="F95" s="12" t="s">
        <v>751</v>
      </c>
      <c r="G95" s="12" t="s">
        <v>930</v>
      </c>
      <c r="H95" s="3" t="s">
        <v>1852</v>
      </c>
      <c r="I95" s="12" t="s">
        <v>751</v>
      </c>
      <c r="K95" s="12" t="s">
        <v>929</v>
      </c>
      <c r="L95" s="11" t="s">
        <v>928</v>
      </c>
    </row>
    <row r="96" spans="2:12">
      <c r="B96" t="s">
        <v>1340</v>
      </c>
      <c r="C96" s="12">
        <v>18</v>
      </c>
      <c r="D96" s="12">
        <v>32</v>
      </c>
      <c r="E96" s="12" t="s">
        <v>767</v>
      </c>
      <c r="F96" s="12" t="s">
        <v>933</v>
      </c>
      <c r="G96" s="3" t="s">
        <v>1749</v>
      </c>
      <c r="H96" s="3" t="s">
        <v>1852</v>
      </c>
      <c r="I96" s="12" t="s">
        <v>751</v>
      </c>
      <c r="K96" s="12" t="s">
        <v>932</v>
      </c>
      <c r="L96" s="11" t="s">
        <v>931</v>
      </c>
    </row>
    <row r="97" spans="2:12">
      <c r="B97" t="s">
        <v>1341</v>
      </c>
      <c r="C97" s="12">
        <v>29</v>
      </c>
      <c r="D97" s="12">
        <v>33</v>
      </c>
      <c r="E97" s="3" t="s">
        <v>1750</v>
      </c>
      <c r="F97" s="12" t="s">
        <v>946</v>
      </c>
      <c r="G97" s="12" t="s">
        <v>947</v>
      </c>
      <c r="H97" s="3" t="s">
        <v>1852</v>
      </c>
      <c r="I97" s="12" t="s">
        <v>751</v>
      </c>
      <c r="K97" s="12" t="s">
        <v>945</v>
      </c>
      <c r="L97" s="11" t="s">
        <v>944</v>
      </c>
    </row>
    <row r="98" spans="2:12">
      <c r="B98" t="s">
        <v>1342</v>
      </c>
      <c r="C98" s="12">
        <v>35</v>
      </c>
      <c r="D98" s="12">
        <v>45</v>
      </c>
      <c r="E98" s="12" t="s">
        <v>751</v>
      </c>
      <c r="F98" s="3" t="s">
        <v>1751</v>
      </c>
      <c r="G98" s="12" t="s">
        <v>950</v>
      </c>
      <c r="H98" s="3" t="s">
        <v>1852</v>
      </c>
      <c r="I98" s="12" t="s">
        <v>751</v>
      </c>
      <c r="K98" s="12" t="s">
        <v>949</v>
      </c>
      <c r="L98" s="11" t="s">
        <v>948</v>
      </c>
    </row>
    <row r="99" spans="2:12">
      <c r="B99" t="s">
        <v>1343</v>
      </c>
      <c r="C99" s="12">
        <v>27</v>
      </c>
      <c r="D99" s="12">
        <v>34</v>
      </c>
      <c r="E99" s="12" t="s">
        <v>767</v>
      </c>
      <c r="F99" s="12" t="s">
        <v>786</v>
      </c>
      <c r="G99" s="12" t="s">
        <v>953</v>
      </c>
      <c r="H99" s="3" t="s">
        <v>1852</v>
      </c>
      <c r="I99" s="12" t="s">
        <v>751</v>
      </c>
      <c r="K99" s="12" t="s">
        <v>952</v>
      </c>
      <c r="L99" s="11" t="s">
        <v>951</v>
      </c>
    </row>
    <row r="100" spans="2:12">
      <c r="B100" t="s">
        <v>1344</v>
      </c>
      <c r="C100" s="12">
        <v>41</v>
      </c>
      <c r="D100" s="12">
        <v>50</v>
      </c>
      <c r="E100" s="12" t="s">
        <v>751</v>
      </c>
      <c r="F100" s="12" t="s">
        <v>786</v>
      </c>
      <c r="G100" s="12" t="s">
        <v>956</v>
      </c>
      <c r="H100" s="3" t="s">
        <v>1852</v>
      </c>
      <c r="I100" s="12" t="s">
        <v>751</v>
      </c>
      <c r="K100" s="12" t="s">
        <v>955</v>
      </c>
      <c r="L100" s="11" t="s">
        <v>954</v>
      </c>
    </row>
    <row r="101" spans="2:12">
      <c r="B101" t="s">
        <v>1345</v>
      </c>
      <c r="C101" s="12">
        <v>0</v>
      </c>
      <c r="D101" s="12">
        <v>45</v>
      </c>
      <c r="E101" s="12" t="s">
        <v>751</v>
      </c>
      <c r="F101" s="12" t="s">
        <v>786</v>
      </c>
      <c r="G101" s="12" t="s">
        <v>959</v>
      </c>
      <c r="H101" s="3" t="s">
        <v>1852</v>
      </c>
      <c r="I101" s="12" t="s">
        <v>751</v>
      </c>
      <c r="K101" s="12" t="s">
        <v>958</v>
      </c>
      <c r="L101" s="11" t="s">
        <v>957</v>
      </c>
    </row>
    <row r="102" spans="2:12">
      <c r="B102" s="4" t="s">
        <v>411</v>
      </c>
      <c r="C102" s="3">
        <v>23</v>
      </c>
      <c r="D102" s="3">
        <v>21</v>
      </c>
      <c r="E102" s="12" t="s">
        <v>751</v>
      </c>
      <c r="F102" s="3" t="s">
        <v>414</v>
      </c>
      <c r="G102" s="3" t="s">
        <v>1752</v>
      </c>
      <c r="H102" s="3" t="s">
        <v>1852</v>
      </c>
      <c r="I102" s="12" t="s">
        <v>751</v>
      </c>
      <c r="K102" s="3" t="s">
        <v>412</v>
      </c>
      <c r="L102" s="4" t="s">
        <v>413</v>
      </c>
    </row>
    <row r="103" spans="2:12">
      <c r="B103" s="4" t="s">
        <v>415</v>
      </c>
      <c r="C103" s="3">
        <v>15</v>
      </c>
      <c r="D103" s="3">
        <v>20</v>
      </c>
      <c r="E103" s="12" t="s">
        <v>751</v>
      </c>
      <c r="F103" s="3" t="s">
        <v>17</v>
      </c>
      <c r="G103" s="3" t="s">
        <v>1753</v>
      </c>
      <c r="H103" s="3" t="s">
        <v>1852</v>
      </c>
      <c r="I103" s="12" t="s">
        <v>751</v>
      </c>
      <c r="K103" s="3" t="s">
        <v>416</v>
      </c>
      <c r="L103" s="4" t="s">
        <v>417</v>
      </c>
    </row>
    <row r="104" spans="2:12">
      <c r="B104" s="4" t="s">
        <v>418</v>
      </c>
      <c r="C104" t="s">
        <v>1584</v>
      </c>
      <c r="D104" t="s">
        <v>1584</v>
      </c>
      <c r="E104" s="12" t="s">
        <v>751</v>
      </c>
      <c r="F104" s="3" t="s">
        <v>17</v>
      </c>
      <c r="G104" s="3" t="s">
        <v>1754</v>
      </c>
      <c r="H104" s="3" t="s">
        <v>1852</v>
      </c>
      <c r="I104" s="12" t="s">
        <v>751</v>
      </c>
      <c r="J104" s="12" t="s">
        <v>841</v>
      </c>
      <c r="K104" s="3" t="s">
        <v>419</v>
      </c>
      <c r="L104" s="4" t="s">
        <v>420</v>
      </c>
    </row>
    <row r="105" spans="2:12">
      <c r="B105" s="4" t="s">
        <v>421</v>
      </c>
      <c r="C105" s="3">
        <v>22</v>
      </c>
      <c r="D105" s="3">
        <v>19</v>
      </c>
      <c r="E105" s="12" t="s">
        <v>751</v>
      </c>
      <c r="F105" s="3" t="s">
        <v>13</v>
      </c>
      <c r="G105" s="3" t="s">
        <v>1743</v>
      </c>
      <c r="H105" s="3" t="s">
        <v>1852</v>
      </c>
      <c r="I105" s="12" t="s">
        <v>751</v>
      </c>
      <c r="K105" s="3" t="s">
        <v>422</v>
      </c>
      <c r="L105" s="4" t="s">
        <v>423</v>
      </c>
    </row>
    <row r="106" spans="2:12">
      <c r="B106" s="4" t="s">
        <v>424</v>
      </c>
      <c r="C106" s="6">
        <v>22</v>
      </c>
      <c r="D106" s="6">
        <v>22</v>
      </c>
      <c r="E106" s="12" t="s">
        <v>751</v>
      </c>
      <c r="F106" s="3" t="s">
        <v>155</v>
      </c>
      <c r="G106" s="3" t="s">
        <v>1755</v>
      </c>
      <c r="H106" s="3" t="s">
        <v>1852</v>
      </c>
      <c r="I106" s="12" t="s">
        <v>751</v>
      </c>
      <c r="K106" s="3" t="s">
        <v>425</v>
      </c>
      <c r="L106" s="4" t="s">
        <v>426</v>
      </c>
    </row>
    <row r="107" spans="2:12">
      <c r="B107" s="4" t="s">
        <v>442</v>
      </c>
      <c r="C107" s="6">
        <v>6</v>
      </c>
      <c r="D107" s="6">
        <v>13</v>
      </c>
      <c r="E107" s="12" t="s">
        <v>751</v>
      </c>
      <c r="F107" s="3" t="s">
        <v>445</v>
      </c>
      <c r="G107" s="3" t="s">
        <v>1756</v>
      </c>
      <c r="H107" s="3" t="s">
        <v>1852</v>
      </c>
      <c r="I107" s="12" t="s">
        <v>751</v>
      </c>
      <c r="K107" s="3" t="s">
        <v>443</v>
      </c>
      <c r="L107" s="4" t="s">
        <v>444</v>
      </c>
    </row>
    <row r="108" spans="2:12">
      <c r="B108" s="4" t="s">
        <v>446</v>
      </c>
      <c r="C108" s="3">
        <v>13</v>
      </c>
      <c r="D108" s="3">
        <v>21</v>
      </c>
      <c r="E108" s="12" t="s">
        <v>751</v>
      </c>
      <c r="F108" s="3" t="s">
        <v>449</v>
      </c>
      <c r="G108" s="3" t="s">
        <v>1757</v>
      </c>
      <c r="H108" s="12" t="s">
        <v>751</v>
      </c>
      <c r="I108" s="12" t="s">
        <v>751</v>
      </c>
      <c r="K108" s="3" t="s">
        <v>447</v>
      </c>
      <c r="L108" s="4" t="s">
        <v>448</v>
      </c>
    </row>
    <row r="109" spans="2:12">
      <c r="B109" s="4" t="s">
        <v>450</v>
      </c>
      <c r="C109" t="s">
        <v>1584</v>
      </c>
      <c r="D109" s="3">
        <v>16</v>
      </c>
      <c r="E109" s="12" t="s">
        <v>751</v>
      </c>
      <c r="F109" s="3" t="s">
        <v>48</v>
      </c>
      <c r="G109" s="3" t="s">
        <v>1758</v>
      </c>
      <c r="H109" s="12" t="s">
        <v>751</v>
      </c>
      <c r="I109" s="12" t="s">
        <v>751</v>
      </c>
      <c r="J109" s="12" t="s">
        <v>841</v>
      </c>
      <c r="K109" s="3" t="s">
        <v>451</v>
      </c>
      <c r="L109" s="4" t="s">
        <v>452</v>
      </c>
    </row>
    <row r="110" spans="2:12">
      <c r="B110" s="4" t="s">
        <v>453</v>
      </c>
      <c r="C110" s="3">
        <v>17</v>
      </c>
      <c r="D110" s="3">
        <v>24</v>
      </c>
      <c r="E110" s="12" t="s">
        <v>751</v>
      </c>
      <c r="F110" s="3" t="s">
        <v>456</v>
      </c>
      <c r="G110" s="3" t="s">
        <v>457</v>
      </c>
      <c r="H110" s="12" t="s">
        <v>751</v>
      </c>
      <c r="I110" s="12" t="s">
        <v>751</v>
      </c>
      <c r="K110" s="3" t="s">
        <v>454</v>
      </c>
      <c r="L110" s="4" t="s">
        <v>455</v>
      </c>
    </row>
    <row r="111" spans="2:12">
      <c r="B111" s="4" t="s">
        <v>458</v>
      </c>
      <c r="C111" s="3">
        <v>8</v>
      </c>
      <c r="D111" s="3">
        <v>14</v>
      </c>
      <c r="E111" s="12" t="s">
        <v>751</v>
      </c>
      <c r="F111" s="3" t="s">
        <v>461</v>
      </c>
      <c r="G111" s="3" t="s">
        <v>1759</v>
      </c>
      <c r="H111" s="12" t="s">
        <v>751</v>
      </c>
      <c r="I111" s="12" t="s">
        <v>751</v>
      </c>
      <c r="K111" s="3" t="s">
        <v>459</v>
      </c>
      <c r="L111" s="4" t="s">
        <v>460</v>
      </c>
    </row>
    <row r="112" spans="2:12">
      <c r="B112" t="s">
        <v>1346</v>
      </c>
      <c r="C112" s="12">
        <v>17</v>
      </c>
      <c r="D112" s="12">
        <v>16</v>
      </c>
      <c r="E112" s="12" t="s">
        <v>751</v>
      </c>
      <c r="F112" s="3" t="s">
        <v>1760</v>
      </c>
      <c r="G112" s="3" t="s">
        <v>1761</v>
      </c>
      <c r="H112" s="3" t="s">
        <v>1852</v>
      </c>
      <c r="I112" s="12" t="s">
        <v>767</v>
      </c>
      <c r="K112" s="12" t="s">
        <v>982</v>
      </c>
      <c r="L112" s="11" t="s">
        <v>981</v>
      </c>
    </row>
    <row r="113" spans="2:12">
      <c r="B113" t="s">
        <v>1347</v>
      </c>
      <c r="C113" s="12">
        <v>8</v>
      </c>
      <c r="D113" s="12">
        <v>6</v>
      </c>
      <c r="E113" s="12" t="s">
        <v>751</v>
      </c>
      <c r="F113" s="12" t="s">
        <v>985</v>
      </c>
      <c r="G113" s="3" t="s">
        <v>1762</v>
      </c>
      <c r="H113" s="3" t="s">
        <v>1852</v>
      </c>
      <c r="I113" s="12" t="s">
        <v>986</v>
      </c>
      <c r="K113" s="12" t="s">
        <v>984</v>
      </c>
      <c r="L113" s="11" t="s">
        <v>983</v>
      </c>
    </row>
    <row r="114" spans="2:12">
      <c r="B114" t="s">
        <v>1348</v>
      </c>
      <c r="C114" s="12">
        <v>8</v>
      </c>
      <c r="D114" s="12">
        <v>23</v>
      </c>
      <c r="E114" s="12" t="s">
        <v>751</v>
      </c>
      <c r="F114" s="3" t="s">
        <v>1763</v>
      </c>
      <c r="G114" s="12" t="s">
        <v>989</v>
      </c>
      <c r="H114" s="3" t="s">
        <v>1852</v>
      </c>
      <c r="I114" s="12" t="s">
        <v>990</v>
      </c>
      <c r="K114" s="12" t="s">
        <v>988</v>
      </c>
      <c r="L114" s="11" t="s">
        <v>987</v>
      </c>
    </row>
    <row r="115" spans="2:12">
      <c r="B115" t="s">
        <v>1349</v>
      </c>
      <c r="C115" s="12">
        <v>13</v>
      </c>
      <c r="D115" s="12">
        <v>17</v>
      </c>
      <c r="E115" s="12" t="s">
        <v>751</v>
      </c>
      <c r="F115" s="12" t="s">
        <v>993</v>
      </c>
      <c r="G115" s="3" t="s">
        <v>1764</v>
      </c>
      <c r="H115" s="3" t="s">
        <v>1852</v>
      </c>
      <c r="I115" s="12" t="s">
        <v>994</v>
      </c>
      <c r="K115" s="12" t="s">
        <v>992</v>
      </c>
      <c r="L115" s="11" t="s">
        <v>991</v>
      </c>
    </row>
    <row r="116" spans="2:12">
      <c r="B116" t="s">
        <v>1350</v>
      </c>
      <c r="C116" s="12">
        <v>13</v>
      </c>
      <c r="D116" s="12">
        <v>19</v>
      </c>
      <c r="E116" s="12" t="s">
        <v>751</v>
      </c>
      <c r="F116" s="3" t="s">
        <v>1765</v>
      </c>
      <c r="G116" s="12" t="s">
        <v>997</v>
      </c>
      <c r="H116" s="3" t="s">
        <v>1852</v>
      </c>
      <c r="I116" s="12" t="s">
        <v>767</v>
      </c>
      <c r="K116" s="12" t="s">
        <v>996</v>
      </c>
      <c r="L116" s="11" t="s">
        <v>995</v>
      </c>
    </row>
    <row r="117" spans="2:12">
      <c r="B117" s="18" t="s">
        <v>1351</v>
      </c>
      <c r="C117" s="12">
        <v>15</v>
      </c>
      <c r="D117" s="12">
        <v>9</v>
      </c>
      <c r="E117" s="12" t="s">
        <v>1000</v>
      </c>
      <c r="F117" s="12" t="s">
        <v>1001</v>
      </c>
      <c r="G117" s="3" t="s">
        <v>1766</v>
      </c>
      <c r="H117" s="12" t="s">
        <v>751</v>
      </c>
      <c r="I117" s="12" t="s">
        <v>767</v>
      </c>
      <c r="K117" s="12" t="s">
        <v>999</v>
      </c>
      <c r="L117" s="11" t="s">
        <v>998</v>
      </c>
    </row>
    <row r="118" spans="2:12">
      <c r="B118" s="18" t="s">
        <v>1352</v>
      </c>
      <c r="C118" s="12">
        <v>10</v>
      </c>
      <c r="D118" s="12">
        <v>16</v>
      </c>
      <c r="E118" s="12" t="s">
        <v>751</v>
      </c>
      <c r="F118" s="12" t="s">
        <v>1004</v>
      </c>
      <c r="G118" s="3" t="s">
        <v>1767</v>
      </c>
      <c r="H118" s="3" t="s">
        <v>1852</v>
      </c>
      <c r="I118" s="12" t="s">
        <v>767</v>
      </c>
      <c r="K118" s="12" t="s">
        <v>1003</v>
      </c>
      <c r="L118" s="11" t="s">
        <v>1002</v>
      </c>
    </row>
    <row r="119" spans="2:12">
      <c r="B119" s="18" t="s">
        <v>1353</v>
      </c>
      <c r="C119" s="12">
        <v>19</v>
      </c>
      <c r="D119" s="12">
        <v>19</v>
      </c>
      <c r="E119" s="12" t="s">
        <v>767</v>
      </c>
      <c r="F119" s="12" t="s">
        <v>844</v>
      </c>
      <c r="G119" s="12" t="s">
        <v>845</v>
      </c>
      <c r="H119" s="3" t="s">
        <v>1852</v>
      </c>
      <c r="I119" s="12" t="s">
        <v>767</v>
      </c>
      <c r="K119" s="12" t="s">
        <v>1006</v>
      </c>
      <c r="L119" s="11" t="s">
        <v>1005</v>
      </c>
    </row>
    <row r="120" spans="2:12">
      <c r="B120" s="18" t="s">
        <v>1354</v>
      </c>
      <c r="C120" s="12">
        <v>11</v>
      </c>
      <c r="D120" s="12">
        <v>22</v>
      </c>
      <c r="E120" s="12" t="s">
        <v>767</v>
      </c>
      <c r="F120" s="12" t="s">
        <v>1009</v>
      </c>
      <c r="G120" s="12" t="s">
        <v>1010</v>
      </c>
      <c r="H120" s="3" t="s">
        <v>1852</v>
      </c>
      <c r="I120" s="12" t="s">
        <v>767</v>
      </c>
      <c r="K120" s="12" t="s">
        <v>1008</v>
      </c>
      <c r="L120" s="11" t="s">
        <v>1007</v>
      </c>
    </row>
    <row r="121" spans="2:12">
      <c r="B121" s="18" t="s">
        <v>1355</v>
      </c>
      <c r="C121" s="12">
        <v>7</v>
      </c>
      <c r="D121" s="12">
        <v>29</v>
      </c>
      <c r="E121" s="12" t="s">
        <v>751</v>
      </c>
      <c r="F121" s="12" t="s">
        <v>786</v>
      </c>
      <c r="G121" s="3" t="s">
        <v>1768</v>
      </c>
      <c r="H121" s="3" t="s">
        <v>1848</v>
      </c>
      <c r="I121" s="12" t="s">
        <v>767</v>
      </c>
      <c r="K121" s="12" t="s">
        <v>1012</v>
      </c>
      <c r="L121" s="11" t="s">
        <v>1011</v>
      </c>
    </row>
    <row r="122" spans="2:12">
      <c r="B122" t="s">
        <v>1356</v>
      </c>
      <c r="C122" s="12">
        <v>24</v>
      </c>
      <c r="D122" s="12">
        <v>17</v>
      </c>
      <c r="E122" s="12" t="s">
        <v>751</v>
      </c>
      <c r="F122" s="3" t="s">
        <v>1769</v>
      </c>
      <c r="G122" s="12" t="s">
        <v>1026</v>
      </c>
      <c r="H122" t="s">
        <v>1853</v>
      </c>
      <c r="I122" s="12" t="s">
        <v>767</v>
      </c>
      <c r="K122" s="12" t="s">
        <v>1025</v>
      </c>
      <c r="L122" s="11" t="s">
        <v>1024</v>
      </c>
    </row>
    <row r="123" spans="2:12">
      <c r="B123" t="s">
        <v>1357</v>
      </c>
      <c r="C123" s="12">
        <v>17</v>
      </c>
      <c r="D123" s="12">
        <v>20</v>
      </c>
      <c r="E123" s="12" t="s">
        <v>751</v>
      </c>
      <c r="F123" s="12" t="s">
        <v>1029</v>
      </c>
      <c r="G123" s="12" t="s">
        <v>1030</v>
      </c>
      <c r="H123" t="s">
        <v>1853</v>
      </c>
      <c r="I123" s="12" t="s">
        <v>767</v>
      </c>
      <c r="K123" s="12" t="s">
        <v>1028</v>
      </c>
      <c r="L123" s="11" t="s">
        <v>1027</v>
      </c>
    </row>
    <row r="124" spans="2:12">
      <c r="B124" t="s">
        <v>1358</v>
      </c>
      <c r="C124" s="12">
        <v>21</v>
      </c>
      <c r="D124" s="12">
        <v>28</v>
      </c>
      <c r="E124" s="12" t="s">
        <v>751</v>
      </c>
      <c r="F124" s="12" t="s">
        <v>1033</v>
      </c>
      <c r="G124" s="12" t="s">
        <v>1034</v>
      </c>
      <c r="H124" t="s">
        <v>1853</v>
      </c>
      <c r="I124" s="12" t="s">
        <v>767</v>
      </c>
      <c r="K124" s="12" t="s">
        <v>1032</v>
      </c>
      <c r="L124" s="11" t="s">
        <v>1031</v>
      </c>
    </row>
    <row r="125" spans="2:12">
      <c r="B125" t="s">
        <v>1359</v>
      </c>
      <c r="C125" s="12">
        <v>12</v>
      </c>
      <c r="D125" s="12">
        <v>18</v>
      </c>
      <c r="E125" s="12" t="s">
        <v>751</v>
      </c>
      <c r="F125" s="12" t="s">
        <v>751</v>
      </c>
      <c r="G125" s="3" t="s">
        <v>1770</v>
      </c>
      <c r="H125" t="s">
        <v>1853</v>
      </c>
      <c r="I125" s="12" t="s">
        <v>767</v>
      </c>
      <c r="K125" s="12" t="s">
        <v>1036</v>
      </c>
      <c r="L125" s="11" t="s">
        <v>1035</v>
      </c>
    </row>
    <row r="126" spans="2:12">
      <c r="B126" t="s">
        <v>1360</v>
      </c>
      <c r="C126" s="12">
        <v>11</v>
      </c>
      <c r="D126" s="12">
        <v>5</v>
      </c>
      <c r="E126" s="12" t="s">
        <v>751</v>
      </c>
      <c r="F126" s="12" t="s">
        <v>1039</v>
      </c>
      <c r="G126" s="12" t="s">
        <v>1040</v>
      </c>
      <c r="H126" t="s">
        <v>1853</v>
      </c>
      <c r="I126" s="12" t="s">
        <v>767</v>
      </c>
      <c r="K126" s="12" t="s">
        <v>1038</v>
      </c>
      <c r="L126" s="11" t="s">
        <v>1037</v>
      </c>
    </row>
    <row r="127" spans="2:12">
      <c r="B127" t="s">
        <v>1361</v>
      </c>
      <c r="C127" s="12">
        <v>23</v>
      </c>
      <c r="D127" s="12">
        <v>21</v>
      </c>
      <c r="E127" s="12" t="s">
        <v>751</v>
      </c>
      <c r="F127" s="12" t="s">
        <v>1053</v>
      </c>
      <c r="G127" s="12" t="s">
        <v>1054</v>
      </c>
      <c r="H127" t="s">
        <v>1853</v>
      </c>
      <c r="I127" s="12" t="s">
        <v>767</v>
      </c>
      <c r="K127" s="12" t="s">
        <v>1052</v>
      </c>
      <c r="L127" s="11" t="s">
        <v>1051</v>
      </c>
    </row>
    <row r="128" spans="2:12">
      <c r="B128" t="s">
        <v>1362</v>
      </c>
      <c r="C128" s="12">
        <v>11</v>
      </c>
      <c r="D128" s="12">
        <v>30</v>
      </c>
      <c r="E128" s="12" t="s">
        <v>751</v>
      </c>
      <c r="F128" s="12" t="s">
        <v>894</v>
      </c>
      <c r="G128" s="12" t="s">
        <v>1026</v>
      </c>
      <c r="H128" t="s">
        <v>1853</v>
      </c>
      <c r="I128" s="12" t="s">
        <v>767</v>
      </c>
      <c r="K128" s="12" t="s">
        <v>1056</v>
      </c>
      <c r="L128" s="11" t="s">
        <v>1055</v>
      </c>
    </row>
    <row r="129" spans="2:12">
      <c r="B129" t="s">
        <v>1363</v>
      </c>
      <c r="C129" s="12">
        <v>8</v>
      </c>
      <c r="D129" s="12">
        <v>9</v>
      </c>
      <c r="E129" s="12" t="s">
        <v>751</v>
      </c>
      <c r="F129" s="12" t="s">
        <v>757</v>
      </c>
      <c r="G129" s="12" t="s">
        <v>1059</v>
      </c>
      <c r="H129" t="s">
        <v>1853</v>
      </c>
      <c r="I129" s="12" t="s">
        <v>767</v>
      </c>
      <c r="K129" s="12" t="s">
        <v>1058</v>
      </c>
      <c r="L129" s="11" t="s">
        <v>1057</v>
      </c>
    </row>
    <row r="130" spans="2:12">
      <c r="B130" t="s">
        <v>1364</v>
      </c>
      <c r="C130" s="12">
        <v>23</v>
      </c>
      <c r="D130" s="12">
        <v>30</v>
      </c>
      <c r="E130" s="12" t="s">
        <v>767</v>
      </c>
      <c r="F130" s="12" t="s">
        <v>1062</v>
      </c>
      <c r="G130" s="12" t="s">
        <v>1063</v>
      </c>
      <c r="H130" t="s">
        <v>1853</v>
      </c>
      <c r="I130" s="12" t="s">
        <v>767</v>
      </c>
      <c r="K130" s="12" t="s">
        <v>1061</v>
      </c>
      <c r="L130" s="11" t="s">
        <v>1060</v>
      </c>
    </row>
    <row r="131" spans="2:12">
      <c r="B131" t="s">
        <v>1365</v>
      </c>
      <c r="C131" s="12">
        <v>20</v>
      </c>
      <c r="D131" s="12">
        <v>18</v>
      </c>
      <c r="E131" s="12" t="s">
        <v>751</v>
      </c>
      <c r="F131" s="12" t="s">
        <v>1066</v>
      </c>
      <c r="G131" s="12" t="s">
        <v>1067</v>
      </c>
      <c r="H131" t="s">
        <v>1853</v>
      </c>
      <c r="I131" s="12" t="s">
        <v>767</v>
      </c>
      <c r="K131" s="12" t="s">
        <v>1065</v>
      </c>
      <c r="L131" s="11" t="s">
        <v>1064</v>
      </c>
    </row>
    <row r="132" spans="2:12">
      <c r="B132" t="s">
        <v>1366</v>
      </c>
      <c r="C132" s="12">
        <v>18</v>
      </c>
      <c r="D132" s="12">
        <v>11</v>
      </c>
      <c r="E132" s="12" t="s">
        <v>751</v>
      </c>
      <c r="F132" s="12" t="s">
        <v>786</v>
      </c>
      <c r="G132" s="3" t="s">
        <v>1771</v>
      </c>
      <c r="H132" s="12" t="s">
        <v>751</v>
      </c>
      <c r="I132" s="12" t="s">
        <v>751</v>
      </c>
      <c r="K132" s="12" t="s">
        <v>1079</v>
      </c>
      <c r="L132" s="11" t="s">
        <v>1078</v>
      </c>
    </row>
    <row r="133" spans="2:12">
      <c r="B133" t="s">
        <v>1367</v>
      </c>
      <c r="C133" s="12">
        <v>20</v>
      </c>
      <c r="D133" s="12">
        <v>14</v>
      </c>
      <c r="E133" s="12" t="s">
        <v>751</v>
      </c>
      <c r="F133" s="3" t="s">
        <v>1772</v>
      </c>
      <c r="G133" s="12" t="s">
        <v>927</v>
      </c>
      <c r="H133" s="12" t="s">
        <v>751</v>
      </c>
      <c r="I133" s="12" t="s">
        <v>751</v>
      </c>
      <c r="K133" s="12" t="s">
        <v>1081</v>
      </c>
      <c r="L133" s="11" t="s">
        <v>1080</v>
      </c>
    </row>
    <row r="134" spans="2:12">
      <c r="B134" t="s">
        <v>1368</v>
      </c>
      <c r="C134" s="12">
        <v>4</v>
      </c>
      <c r="D134" s="12">
        <v>4</v>
      </c>
      <c r="E134" s="12" t="s">
        <v>751</v>
      </c>
      <c r="F134" s="12" t="s">
        <v>1029</v>
      </c>
      <c r="G134" s="12" t="s">
        <v>817</v>
      </c>
      <c r="H134" s="12" t="s">
        <v>751</v>
      </c>
      <c r="I134" s="12" t="s">
        <v>751</v>
      </c>
      <c r="K134" s="12" t="s">
        <v>1083</v>
      </c>
      <c r="L134" s="11" t="s">
        <v>1082</v>
      </c>
    </row>
    <row r="135" spans="2:12">
      <c r="B135" t="s">
        <v>1369</v>
      </c>
      <c r="C135" s="12">
        <v>15</v>
      </c>
      <c r="D135" s="12">
        <v>13</v>
      </c>
      <c r="E135" s="12" t="s">
        <v>751</v>
      </c>
      <c r="F135" s="3" t="s">
        <v>1773</v>
      </c>
      <c r="G135" s="12" t="s">
        <v>1086</v>
      </c>
      <c r="H135" s="12" t="s">
        <v>751</v>
      </c>
      <c r="I135" s="12" t="s">
        <v>751</v>
      </c>
      <c r="K135" s="12" t="s">
        <v>1085</v>
      </c>
      <c r="L135" s="11" t="s">
        <v>1084</v>
      </c>
    </row>
    <row r="136" spans="2:12">
      <c r="B136" t="s">
        <v>1370</v>
      </c>
      <c r="C136" s="12">
        <v>7</v>
      </c>
      <c r="D136" s="12">
        <v>14</v>
      </c>
      <c r="E136" s="12" t="s">
        <v>751</v>
      </c>
      <c r="F136" s="12" t="s">
        <v>1089</v>
      </c>
      <c r="G136" s="3" t="s">
        <v>1774</v>
      </c>
      <c r="H136" s="12" t="s">
        <v>751</v>
      </c>
      <c r="I136" s="12" t="s">
        <v>751</v>
      </c>
      <c r="K136" s="12" t="s">
        <v>1088</v>
      </c>
      <c r="L136" s="11" t="s">
        <v>1087</v>
      </c>
    </row>
    <row r="137" spans="2:12">
      <c r="B137" t="s">
        <v>1371</v>
      </c>
      <c r="C137" s="12">
        <v>27</v>
      </c>
      <c r="D137" s="12">
        <v>27</v>
      </c>
      <c r="E137" t="s">
        <v>1584</v>
      </c>
      <c r="F137" s="12" t="s">
        <v>767</v>
      </c>
      <c r="G137" s="12" t="s">
        <v>1102</v>
      </c>
      <c r="H137" s="12" t="s">
        <v>751</v>
      </c>
      <c r="I137" s="12" t="s">
        <v>751</v>
      </c>
      <c r="K137" s="12" t="s">
        <v>1101</v>
      </c>
      <c r="L137" s="11" t="s">
        <v>1100</v>
      </c>
    </row>
    <row r="138" spans="2:12">
      <c r="B138" t="s">
        <v>1372</v>
      </c>
      <c r="C138" s="12">
        <v>39</v>
      </c>
      <c r="D138" s="12">
        <v>18</v>
      </c>
      <c r="E138" s="12" t="s">
        <v>767</v>
      </c>
      <c r="F138" s="12" t="s">
        <v>786</v>
      </c>
      <c r="G138" s="8" t="s">
        <v>1767</v>
      </c>
      <c r="H138" s="12" t="s">
        <v>751</v>
      </c>
      <c r="I138" s="12" t="s">
        <v>751</v>
      </c>
      <c r="K138" s="12" t="s">
        <v>1104</v>
      </c>
      <c r="L138" s="11" t="s">
        <v>1103</v>
      </c>
    </row>
    <row r="139" spans="2:12">
      <c r="B139" t="s">
        <v>1373</v>
      </c>
      <c r="C139" s="12">
        <v>32</v>
      </c>
      <c r="D139" s="12">
        <v>27</v>
      </c>
      <c r="E139" s="12" t="s">
        <v>767</v>
      </c>
      <c r="F139" s="12" t="s">
        <v>786</v>
      </c>
      <c r="G139" s="12" t="s">
        <v>1107</v>
      </c>
      <c r="H139" s="12" t="s">
        <v>751</v>
      </c>
      <c r="I139" s="12" t="s">
        <v>751</v>
      </c>
      <c r="K139" s="12" t="s">
        <v>1106</v>
      </c>
      <c r="L139" s="11" t="s">
        <v>1105</v>
      </c>
    </row>
    <row r="140" spans="2:12">
      <c r="B140" t="s">
        <v>1374</v>
      </c>
      <c r="C140" s="12">
        <v>34</v>
      </c>
      <c r="D140" s="12">
        <v>22</v>
      </c>
      <c r="E140" s="12" t="s">
        <v>767</v>
      </c>
      <c r="F140" s="12" t="s">
        <v>786</v>
      </c>
      <c r="G140" s="3" t="s">
        <v>1775</v>
      </c>
      <c r="H140" s="12" t="s">
        <v>751</v>
      </c>
      <c r="I140" s="12" t="s">
        <v>751</v>
      </c>
      <c r="K140" s="12" t="s">
        <v>1109</v>
      </c>
      <c r="L140" s="11" t="s">
        <v>1108</v>
      </c>
    </row>
    <row r="141" spans="2:12">
      <c r="B141" t="s">
        <v>1375</v>
      </c>
      <c r="C141" s="12">
        <v>32</v>
      </c>
      <c r="D141" s="12">
        <v>25</v>
      </c>
      <c r="E141" s="12" t="s">
        <v>767</v>
      </c>
      <c r="F141" s="12" t="s">
        <v>767</v>
      </c>
      <c r="G141" s="3" t="s">
        <v>1776</v>
      </c>
      <c r="H141" s="12" t="s">
        <v>751</v>
      </c>
      <c r="I141" s="12" t="s">
        <v>751</v>
      </c>
      <c r="K141" s="12" t="s">
        <v>1111</v>
      </c>
      <c r="L141" s="11" t="s">
        <v>1110</v>
      </c>
    </row>
    <row r="142" spans="2:12">
      <c r="B142" s="4" t="s">
        <v>477</v>
      </c>
      <c r="C142" s="3">
        <v>21</v>
      </c>
      <c r="D142" s="3">
        <v>33</v>
      </c>
      <c r="E142" s="12" t="s">
        <v>751</v>
      </c>
      <c r="F142" s="3" t="s">
        <v>480</v>
      </c>
      <c r="G142" s="3" t="s">
        <v>1743</v>
      </c>
      <c r="H142" s="3" t="s">
        <v>1852</v>
      </c>
      <c r="I142" s="12" t="s">
        <v>767</v>
      </c>
      <c r="K142" s="3" t="s">
        <v>478</v>
      </c>
      <c r="L142" s="4" t="s">
        <v>479</v>
      </c>
    </row>
    <row r="143" spans="2:12">
      <c r="B143" s="4" t="s">
        <v>481</v>
      </c>
      <c r="C143" s="3">
        <v>22</v>
      </c>
      <c r="D143" s="3">
        <v>32</v>
      </c>
      <c r="E143" s="12" t="s">
        <v>751</v>
      </c>
      <c r="F143" s="3" t="s">
        <v>484</v>
      </c>
      <c r="G143" s="3" t="s">
        <v>1777</v>
      </c>
      <c r="H143" s="3" t="s">
        <v>1852</v>
      </c>
      <c r="I143" s="12" t="s">
        <v>767</v>
      </c>
      <c r="K143" s="3" t="s">
        <v>482</v>
      </c>
      <c r="L143" s="4" t="s">
        <v>483</v>
      </c>
    </row>
    <row r="144" spans="2:12">
      <c r="B144" s="4" t="s">
        <v>485</v>
      </c>
      <c r="C144" s="3">
        <v>14</v>
      </c>
      <c r="D144" s="3">
        <v>13</v>
      </c>
      <c r="E144" s="12" t="s">
        <v>751</v>
      </c>
      <c r="F144" s="3" t="s">
        <v>93</v>
      </c>
      <c r="G144" s="3" t="s">
        <v>1778</v>
      </c>
      <c r="H144" s="3" t="s">
        <v>1852</v>
      </c>
      <c r="I144" s="12" t="s">
        <v>767</v>
      </c>
      <c r="K144" s="3" t="s">
        <v>486</v>
      </c>
      <c r="L144" s="4" t="s">
        <v>487</v>
      </c>
    </row>
    <row r="145" spans="2:12">
      <c r="B145" s="4" t="s">
        <v>488</v>
      </c>
      <c r="C145" s="6">
        <v>9</v>
      </c>
      <c r="D145" s="6">
        <v>14</v>
      </c>
      <c r="E145" s="12" t="s">
        <v>751</v>
      </c>
      <c r="F145" s="3" t="s">
        <v>17</v>
      </c>
      <c r="G145" s="3" t="s">
        <v>1779</v>
      </c>
      <c r="H145" s="3" t="s">
        <v>1852</v>
      </c>
      <c r="I145" s="12" t="s">
        <v>767</v>
      </c>
      <c r="K145" s="3" t="s">
        <v>489</v>
      </c>
      <c r="L145" s="4" t="s">
        <v>490</v>
      </c>
    </row>
    <row r="146" spans="2:12">
      <c r="B146" s="4" t="s">
        <v>491</v>
      </c>
      <c r="C146" s="6">
        <v>10</v>
      </c>
      <c r="D146" s="6">
        <v>19</v>
      </c>
      <c r="E146" s="12" t="s">
        <v>751</v>
      </c>
      <c r="F146" s="3" t="s">
        <v>17</v>
      </c>
      <c r="G146" s="3" t="s">
        <v>289</v>
      </c>
      <c r="H146" s="3" t="s">
        <v>1852</v>
      </c>
      <c r="I146" s="12" t="s">
        <v>767</v>
      </c>
      <c r="K146" s="3" t="s">
        <v>492</v>
      </c>
      <c r="L146" s="4" t="s">
        <v>493</v>
      </c>
    </row>
    <row r="147" spans="2:12">
      <c r="B147" s="4" t="s">
        <v>510</v>
      </c>
      <c r="C147" s="6">
        <v>6</v>
      </c>
      <c r="D147" s="6">
        <v>17</v>
      </c>
      <c r="E147" s="12" t="s">
        <v>751</v>
      </c>
      <c r="F147" s="3" t="s">
        <v>48</v>
      </c>
      <c r="G147" s="3" t="s">
        <v>60</v>
      </c>
      <c r="H147" s="12" t="s">
        <v>751</v>
      </c>
      <c r="I147" s="12" t="s">
        <v>767</v>
      </c>
      <c r="K147" s="3" t="s">
        <v>511</v>
      </c>
      <c r="L147" s="4" t="s">
        <v>512</v>
      </c>
    </row>
    <row r="148" spans="2:12">
      <c r="B148" s="4" t="s">
        <v>513</v>
      </c>
      <c r="C148" s="6">
        <v>21</v>
      </c>
      <c r="D148" s="6">
        <v>16</v>
      </c>
      <c r="E148" s="12" t="s">
        <v>751</v>
      </c>
      <c r="F148" s="3" t="s">
        <v>48</v>
      </c>
      <c r="G148" s="3" t="s">
        <v>1780</v>
      </c>
      <c r="H148" s="12" t="s">
        <v>751</v>
      </c>
      <c r="I148" s="12" t="s">
        <v>767</v>
      </c>
      <c r="K148" s="3" t="s">
        <v>514</v>
      </c>
      <c r="L148" s="4" t="s">
        <v>515</v>
      </c>
    </row>
    <row r="149" spans="2:12">
      <c r="B149" s="4" t="s">
        <v>516</v>
      </c>
      <c r="C149" s="3">
        <v>12</v>
      </c>
      <c r="D149" s="3">
        <v>19</v>
      </c>
      <c r="E149" s="12" t="s">
        <v>751</v>
      </c>
      <c r="F149" s="3" t="s">
        <v>48</v>
      </c>
      <c r="G149" s="3" t="s">
        <v>1781</v>
      </c>
      <c r="H149" s="12" t="s">
        <v>751</v>
      </c>
      <c r="I149" s="12" t="s">
        <v>767</v>
      </c>
      <c r="K149" s="3" t="s">
        <v>517</v>
      </c>
      <c r="L149" s="4" t="s">
        <v>518</v>
      </c>
    </row>
    <row r="150" spans="2:12">
      <c r="B150" s="4" t="s">
        <v>519</v>
      </c>
      <c r="C150" s="6">
        <v>9</v>
      </c>
      <c r="D150" s="6">
        <v>14</v>
      </c>
      <c r="E150" s="12" t="s">
        <v>767</v>
      </c>
      <c r="F150" s="3" t="s">
        <v>48</v>
      </c>
      <c r="G150" s="3" t="s">
        <v>522</v>
      </c>
      <c r="H150" s="12" t="s">
        <v>751</v>
      </c>
      <c r="I150" s="12" t="s">
        <v>767</v>
      </c>
      <c r="K150" s="3" t="s">
        <v>520</v>
      </c>
      <c r="L150" s="4" t="s">
        <v>521</v>
      </c>
    </row>
    <row r="151" spans="2:12">
      <c r="B151" s="4" t="s">
        <v>523</v>
      </c>
      <c r="C151" s="3">
        <v>16</v>
      </c>
      <c r="D151" s="3">
        <v>18</v>
      </c>
      <c r="E151" s="12" t="s">
        <v>751</v>
      </c>
      <c r="F151" s="3" t="s">
        <v>48</v>
      </c>
      <c r="G151" s="3" t="s">
        <v>1782</v>
      </c>
      <c r="H151" t="s">
        <v>1853</v>
      </c>
      <c r="I151" s="12" t="s">
        <v>767</v>
      </c>
      <c r="K151" s="3" t="s">
        <v>524</v>
      </c>
      <c r="L151" s="4" t="s">
        <v>525</v>
      </c>
    </row>
    <row r="152" spans="2:12">
      <c r="B152" t="s">
        <v>1376</v>
      </c>
      <c r="C152" s="12">
        <v>29</v>
      </c>
      <c r="D152" s="12">
        <v>34</v>
      </c>
      <c r="E152" s="12" t="s">
        <v>1124</v>
      </c>
      <c r="F152" s="12" t="s">
        <v>1125</v>
      </c>
      <c r="G152" s="3" t="s">
        <v>1783</v>
      </c>
      <c r="H152" s="3" t="s">
        <v>1852</v>
      </c>
      <c r="I152" s="12" t="s">
        <v>767</v>
      </c>
      <c r="K152" s="12" t="s">
        <v>1123</v>
      </c>
      <c r="L152" s="11" t="s">
        <v>1122</v>
      </c>
    </row>
    <row r="153" spans="2:12">
      <c r="B153" t="s">
        <v>1377</v>
      </c>
      <c r="C153" s="12">
        <v>25</v>
      </c>
      <c r="D153" s="12">
        <v>36</v>
      </c>
      <c r="E153" s="12" t="s">
        <v>751</v>
      </c>
      <c r="F153" s="12" t="s">
        <v>751</v>
      </c>
      <c r="G153" s="12" t="s">
        <v>1128</v>
      </c>
      <c r="H153" s="3" t="s">
        <v>1852</v>
      </c>
      <c r="I153" s="12" t="s">
        <v>767</v>
      </c>
      <c r="K153" s="12" t="s">
        <v>1127</v>
      </c>
      <c r="L153" s="11" t="s">
        <v>1126</v>
      </c>
    </row>
    <row r="154" spans="2:12">
      <c r="B154" t="s">
        <v>1378</v>
      </c>
      <c r="C154" s="12">
        <v>29</v>
      </c>
      <c r="D154" s="12">
        <v>31</v>
      </c>
      <c r="E154" s="12" t="s">
        <v>751</v>
      </c>
      <c r="F154" s="12" t="s">
        <v>1131</v>
      </c>
      <c r="G154" s="12" t="s">
        <v>1132</v>
      </c>
      <c r="H154" s="3" t="s">
        <v>1852</v>
      </c>
      <c r="I154" s="12" t="s">
        <v>767</v>
      </c>
      <c r="K154" s="12" t="s">
        <v>1130</v>
      </c>
      <c r="L154" s="11" t="s">
        <v>1129</v>
      </c>
    </row>
    <row r="155" spans="2:12">
      <c r="B155" t="s">
        <v>1379</v>
      </c>
      <c r="C155" s="12">
        <v>21</v>
      </c>
      <c r="D155" s="12">
        <v>43</v>
      </c>
      <c r="E155" s="12" t="s">
        <v>751</v>
      </c>
      <c r="F155" s="12" t="s">
        <v>1135</v>
      </c>
      <c r="G155" s="12" t="s">
        <v>1136</v>
      </c>
      <c r="H155" s="3" t="s">
        <v>1852</v>
      </c>
      <c r="I155" s="12" t="s">
        <v>767</v>
      </c>
      <c r="K155" s="12" t="s">
        <v>1134</v>
      </c>
      <c r="L155" s="11" t="s">
        <v>1133</v>
      </c>
    </row>
    <row r="156" spans="2:12">
      <c r="B156" t="s">
        <v>1380</v>
      </c>
      <c r="C156" s="12">
        <v>26</v>
      </c>
      <c r="D156" s="12">
        <v>27</v>
      </c>
      <c r="E156" s="12" t="s">
        <v>751</v>
      </c>
      <c r="F156" s="12" t="s">
        <v>1139</v>
      </c>
      <c r="G156" s="3" t="s">
        <v>1784</v>
      </c>
      <c r="H156" t="s">
        <v>1853</v>
      </c>
      <c r="I156" s="12" t="s">
        <v>751</v>
      </c>
      <c r="K156" s="12" t="s">
        <v>1138</v>
      </c>
      <c r="L156" s="11" t="s">
        <v>1137</v>
      </c>
    </row>
    <row r="157" spans="2:12">
      <c r="B157" t="s">
        <v>1381</v>
      </c>
      <c r="C157" s="12">
        <v>17</v>
      </c>
      <c r="D157" s="12">
        <v>12</v>
      </c>
      <c r="E157" s="3" t="s">
        <v>1785</v>
      </c>
      <c r="F157" s="12" t="s">
        <v>1152</v>
      </c>
      <c r="G157" s="3" t="s">
        <v>1786</v>
      </c>
      <c r="H157" s="3" t="s">
        <v>1852</v>
      </c>
      <c r="I157" s="12" t="s">
        <v>751</v>
      </c>
      <c r="K157" s="12" t="s">
        <v>1151</v>
      </c>
      <c r="L157" s="11" t="s">
        <v>1150</v>
      </c>
    </row>
    <row r="158" spans="2:12">
      <c r="B158" t="s">
        <v>1382</v>
      </c>
      <c r="C158" s="12">
        <v>22</v>
      </c>
      <c r="D158" s="12">
        <v>9</v>
      </c>
      <c r="E158" s="12" t="s">
        <v>767</v>
      </c>
      <c r="F158" s="12" t="s">
        <v>754</v>
      </c>
      <c r="G158" s="12" t="s">
        <v>1155</v>
      </c>
      <c r="H158" t="s">
        <v>1853</v>
      </c>
      <c r="I158" s="12" t="s">
        <v>1587</v>
      </c>
      <c r="K158" s="12" t="s">
        <v>1154</v>
      </c>
      <c r="L158" s="11" t="s">
        <v>1153</v>
      </c>
    </row>
    <row r="159" spans="2:12">
      <c r="B159" t="s">
        <v>1383</v>
      </c>
      <c r="C159" s="12">
        <v>42</v>
      </c>
      <c r="D159" s="12">
        <v>43</v>
      </c>
      <c r="E159" s="12" t="s">
        <v>767</v>
      </c>
      <c r="F159" s="12" t="s">
        <v>767</v>
      </c>
      <c r="G159" s="12" t="s">
        <v>1158</v>
      </c>
      <c r="H159" s="3" t="s">
        <v>1852</v>
      </c>
      <c r="I159" s="12" t="s">
        <v>767</v>
      </c>
      <c r="K159" s="12" t="s">
        <v>1157</v>
      </c>
      <c r="L159" s="11" t="s">
        <v>1156</v>
      </c>
    </row>
    <row r="160" spans="2:12">
      <c r="B160" t="s">
        <v>1384</v>
      </c>
      <c r="C160" s="12">
        <v>26</v>
      </c>
      <c r="D160" s="12">
        <v>39</v>
      </c>
      <c r="E160" s="12" t="s">
        <v>751</v>
      </c>
      <c r="F160" s="12" t="s">
        <v>767</v>
      </c>
      <c r="G160" s="3" t="s">
        <v>1787</v>
      </c>
      <c r="H160" t="s">
        <v>1853</v>
      </c>
      <c r="I160" s="12" t="s">
        <v>767</v>
      </c>
      <c r="K160" s="12" t="s">
        <v>1160</v>
      </c>
      <c r="L160" s="11" t="s">
        <v>1159</v>
      </c>
    </row>
    <row r="161" spans="2:12">
      <c r="B161" t="s">
        <v>1385</v>
      </c>
      <c r="C161" s="12">
        <v>31</v>
      </c>
      <c r="D161" s="12">
        <v>23</v>
      </c>
      <c r="E161" s="12" t="s">
        <v>751</v>
      </c>
      <c r="F161" s="12" t="s">
        <v>767</v>
      </c>
      <c r="G161" s="3" t="s">
        <v>1788</v>
      </c>
      <c r="H161" t="s">
        <v>1853</v>
      </c>
      <c r="I161" s="12" t="s">
        <v>767</v>
      </c>
      <c r="K161" s="12" t="s">
        <v>1162</v>
      </c>
      <c r="L161" s="11" t="s">
        <v>1161</v>
      </c>
    </row>
    <row r="162" spans="2:12">
      <c r="B162" s="4" t="s">
        <v>82</v>
      </c>
      <c r="C162" s="3">
        <v>13</v>
      </c>
      <c r="D162" s="3">
        <v>14</v>
      </c>
      <c r="E162" s="12" t="s">
        <v>751</v>
      </c>
      <c r="F162" s="3" t="s">
        <v>13</v>
      </c>
      <c r="G162" s="3" t="s">
        <v>1789</v>
      </c>
      <c r="H162" t="s">
        <v>1853</v>
      </c>
      <c r="I162" s="12" t="s">
        <v>767</v>
      </c>
      <c r="K162" s="3" t="s">
        <v>83</v>
      </c>
      <c r="L162" s="4" t="s">
        <v>84</v>
      </c>
    </row>
    <row r="163" spans="2:12">
      <c r="B163" s="4" t="s">
        <v>85</v>
      </c>
      <c r="C163" s="3">
        <v>11</v>
      </c>
      <c r="D163" s="3">
        <v>10</v>
      </c>
      <c r="E163" s="12" t="s">
        <v>751</v>
      </c>
      <c r="F163" s="3" t="s">
        <v>88</v>
      </c>
      <c r="G163" s="3" t="s">
        <v>89</v>
      </c>
      <c r="H163" s="3" t="s">
        <v>1852</v>
      </c>
      <c r="I163" s="12" t="s">
        <v>767</v>
      </c>
      <c r="K163" s="3" t="s">
        <v>86</v>
      </c>
      <c r="L163" s="4" t="s">
        <v>87</v>
      </c>
    </row>
    <row r="164" spans="2:12">
      <c r="B164" s="4" t="s">
        <v>90</v>
      </c>
      <c r="C164" s="3">
        <v>2</v>
      </c>
      <c r="D164" s="3">
        <v>14</v>
      </c>
      <c r="E164" s="12" t="s">
        <v>751</v>
      </c>
      <c r="F164" s="3" t="s">
        <v>93</v>
      </c>
      <c r="G164" s="3" t="s">
        <v>1790</v>
      </c>
      <c r="H164" t="s">
        <v>1853</v>
      </c>
      <c r="I164" s="12" t="s">
        <v>767</v>
      </c>
      <c r="K164" s="3" t="s">
        <v>91</v>
      </c>
      <c r="L164" s="4" t="s">
        <v>92</v>
      </c>
    </row>
    <row r="165" spans="2:12">
      <c r="B165" s="4" t="s">
        <v>94</v>
      </c>
      <c r="C165" t="s">
        <v>1584</v>
      </c>
      <c r="D165" s="3">
        <v>9</v>
      </c>
      <c r="E165" s="12" t="s">
        <v>751</v>
      </c>
      <c r="F165" s="3" t="s">
        <v>17</v>
      </c>
      <c r="G165" s="3" t="s">
        <v>1791</v>
      </c>
      <c r="H165" t="s">
        <v>1853</v>
      </c>
      <c r="I165" s="12" t="s">
        <v>767</v>
      </c>
      <c r="K165" s="3" t="s">
        <v>95</v>
      </c>
      <c r="L165" s="4" t="s">
        <v>96</v>
      </c>
    </row>
    <row r="166" spans="2:12">
      <c r="B166" s="4" t="s">
        <v>97</v>
      </c>
      <c r="C166" s="3">
        <v>2</v>
      </c>
      <c r="D166" s="3">
        <v>10</v>
      </c>
      <c r="E166" s="12" t="s">
        <v>751</v>
      </c>
      <c r="F166" s="3" t="s">
        <v>93</v>
      </c>
      <c r="G166" s="3" t="s">
        <v>1792</v>
      </c>
      <c r="H166" t="s">
        <v>1853</v>
      </c>
      <c r="I166" s="12" t="s">
        <v>767</v>
      </c>
      <c r="J166" s="12" t="s">
        <v>841</v>
      </c>
      <c r="K166" s="3" t="s">
        <v>98</v>
      </c>
      <c r="L166" s="4" t="s">
        <v>99</v>
      </c>
    </row>
    <row r="167" spans="2:12">
      <c r="B167" s="4" t="s">
        <v>115</v>
      </c>
      <c r="C167" s="6">
        <v>10</v>
      </c>
      <c r="D167" s="6">
        <v>12</v>
      </c>
      <c r="E167" s="12" t="s">
        <v>751</v>
      </c>
      <c r="F167" s="3" t="s">
        <v>118</v>
      </c>
      <c r="G167" s="3" t="s">
        <v>119</v>
      </c>
      <c r="H167" s="12" t="s">
        <v>751</v>
      </c>
      <c r="I167" s="12" t="s">
        <v>767</v>
      </c>
      <c r="K167" s="3" t="s">
        <v>116</v>
      </c>
      <c r="L167" s="4" t="s">
        <v>117</v>
      </c>
    </row>
    <row r="168" spans="2:12">
      <c r="B168" s="4" t="s">
        <v>120</v>
      </c>
      <c r="C168" s="3">
        <v>8</v>
      </c>
      <c r="D168" s="3">
        <v>10</v>
      </c>
      <c r="E168" s="12" t="s">
        <v>751</v>
      </c>
      <c r="F168" s="3" t="s">
        <v>48</v>
      </c>
      <c r="G168" s="3" t="s">
        <v>1793</v>
      </c>
      <c r="H168" s="12" t="s">
        <v>751</v>
      </c>
      <c r="I168" s="12" t="s">
        <v>767</v>
      </c>
      <c r="K168" s="3" t="s">
        <v>121</v>
      </c>
      <c r="L168" s="4" t="s">
        <v>122</v>
      </c>
    </row>
    <row r="169" spans="2:12">
      <c r="B169" s="4" t="s">
        <v>123</v>
      </c>
      <c r="C169" s="3">
        <v>25</v>
      </c>
      <c r="D169" s="3">
        <v>8</v>
      </c>
      <c r="E169" s="12" t="s">
        <v>751</v>
      </c>
      <c r="F169" s="3" t="s">
        <v>48</v>
      </c>
      <c r="G169" s="3" t="s">
        <v>1794</v>
      </c>
      <c r="H169" s="12" t="s">
        <v>751</v>
      </c>
      <c r="I169" s="12" t="s">
        <v>767</v>
      </c>
      <c r="K169" s="3" t="s">
        <v>124</v>
      </c>
      <c r="L169" s="4" t="s">
        <v>125</v>
      </c>
    </row>
    <row r="170" spans="2:12">
      <c r="B170" s="4" t="s">
        <v>126</v>
      </c>
      <c r="C170" s="6">
        <v>15</v>
      </c>
      <c r="D170" s="6">
        <v>10</v>
      </c>
      <c r="E170" s="12" t="s">
        <v>751</v>
      </c>
      <c r="F170" s="3" t="s">
        <v>118</v>
      </c>
      <c r="G170" s="3" t="s">
        <v>129</v>
      </c>
      <c r="H170" s="12" t="s">
        <v>751</v>
      </c>
      <c r="I170" s="12" t="s">
        <v>767</v>
      </c>
      <c r="K170" s="3" t="s">
        <v>127</v>
      </c>
      <c r="L170" s="4" t="s">
        <v>128</v>
      </c>
    </row>
    <row r="171" spans="2:12">
      <c r="B171" s="4" t="s">
        <v>130</v>
      </c>
      <c r="C171" s="3">
        <v>20</v>
      </c>
      <c r="D171" s="3">
        <v>8</v>
      </c>
      <c r="E171" s="12" t="s">
        <v>751</v>
      </c>
      <c r="F171" s="3" t="s">
        <v>48</v>
      </c>
      <c r="G171" s="3" t="s">
        <v>133</v>
      </c>
      <c r="H171" s="12" t="s">
        <v>751</v>
      </c>
      <c r="I171" s="12" t="s">
        <v>767</v>
      </c>
      <c r="K171" s="3" t="s">
        <v>131</v>
      </c>
      <c r="L171" s="4" t="s">
        <v>132</v>
      </c>
    </row>
    <row r="172" spans="2:12">
      <c r="B172" s="4" t="s">
        <v>149</v>
      </c>
      <c r="C172" t="s">
        <v>1584</v>
      </c>
      <c r="D172" t="s">
        <v>1584</v>
      </c>
      <c r="E172" s="12" t="s">
        <v>751</v>
      </c>
      <c r="F172" s="3" t="s">
        <v>17</v>
      </c>
      <c r="G172" s="3" t="s">
        <v>1743</v>
      </c>
      <c r="H172" s="3" t="s">
        <v>1852</v>
      </c>
      <c r="I172" s="12" t="s">
        <v>751</v>
      </c>
      <c r="J172" s="12" t="s">
        <v>841</v>
      </c>
      <c r="K172" s="3" t="s">
        <v>150</v>
      </c>
      <c r="L172" s="4" t="s">
        <v>151</v>
      </c>
    </row>
    <row r="173" spans="2:12">
      <c r="B173" s="4" t="s">
        <v>152</v>
      </c>
      <c r="C173" s="4" t="s">
        <v>1585</v>
      </c>
      <c r="D173" s="4" t="s">
        <v>1585</v>
      </c>
      <c r="E173" s="12" t="s">
        <v>751</v>
      </c>
      <c r="F173" s="3" t="s">
        <v>155</v>
      </c>
      <c r="G173" s="3" t="s">
        <v>1795</v>
      </c>
      <c r="H173" s="3" t="s">
        <v>1855</v>
      </c>
      <c r="I173" s="12" t="s">
        <v>751</v>
      </c>
      <c r="K173" s="3" t="s">
        <v>153</v>
      </c>
      <c r="L173" s="4" t="s">
        <v>154</v>
      </c>
    </row>
    <row r="174" spans="2:12">
      <c r="B174" s="4" t="s">
        <v>156</v>
      </c>
      <c r="C174" s="3">
        <v>32</v>
      </c>
      <c r="D174" s="3">
        <v>27</v>
      </c>
      <c r="E174" s="12" t="s">
        <v>751</v>
      </c>
      <c r="F174" s="3" t="s">
        <v>159</v>
      </c>
      <c r="G174" s="3" t="s">
        <v>1796</v>
      </c>
      <c r="H174" s="3" t="s">
        <v>1851</v>
      </c>
      <c r="K174" s="3" t="s">
        <v>157</v>
      </c>
      <c r="L174" s="4" t="s">
        <v>158</v>
      </c>
    </row>
    <row r="175" spans="2:12">
      <c r="B175" s="4" t="s">
        <v>160</v>
      </c>
      <c r="C175" s="3">
        <v>32</v>
      </c>
      <c r="D175" s="3">
        <v>15</v>
      </c>
      <c r="E175" s="12" t="s">
        <v>751</v>
      </c>
      <c r="F175" s="3" t="s">
        <v>17</v>
      </c>
      <c r="G175" s="3" t="s">
        <v>1754</v>
      </c>
      <c r="H175" s="3" t="s">
        <v>1851</v>
      </c>
      <c r="I175" s="12" t="s">
        <v>751</v>
      </c>
      <c r="K175" s="3" t="s">
        <v>161</v>
      </c>
      <c r="L175" s="4" t="s">
        <v>162</v>
      </c>
    </row>
    <row r="176" spans="2:12">
      <c r="B176" s="4" t="s">
        <v>163</v>
      </c>
      <c r="C176" s="3">
        <v>23</v>
      </c>
      <c r="D176" s="3">
        <v>16</v>
      </c>
      <c r="E176" s="12" t="s">
        <v>751</v>
      </c>
      <c r="F176" s="3" t="s">
        <v>93</v>
      </c>
      <c r="G176" s="3" t="s">
        <v>1743</v>
      </c>
      <c r="H176" s="3" t="s">
        <v>1851</v>
      </c>
      <c r="I176" s="12" t="s">
        <v>751</v>
      </c>
      <c r="K176" s="3" t="s">
        <v>164</v>
      </c>
      <c r="L176" s="4" t="s">
        <v>165</v>
      </c>
    </row>
    <row r="177" spans="2:12">
      <c r="B177" s="4" t="s">
        <v>181</v>
      </c>
      <c r="C177" s="3">
        <v>32</v>
      </c>
      <c r="D177" s="3">
        <v>22</v>
      </c>
      <c r="E177" s="12" t="s">
        <v>767</v>
      </c>
      <c r="F177" s="3" t="s">
        <v>182</v>
      </c>
      <c r="G177" s="3" t="s">
        <v>1797</v>
      </c>
      <c r="H177" s="3" t="s">
        <v>1851</v>
      </c>
      <c r="I177" s="12" t="s">
        <v>751</v>
      </c>
      <c r="K177" s="3" t="s">
        <v>1550</v>
      </c>
      <c r="L177" s="4" t="s">
        <v>1551</v>
      </c>
    </row>
    <row r="178" spans="2:12">
      <c r="B178" s="4" t="s">
        <v>183</v>
      </c>
      <c r="C178" s="3">
        <v>37</v>
      </c>
      <c r="D178" s="3">
        <v>29</v>
      </c>
      <c r="E178" s="12" t="s">
        <v>767</v>
      </c>
      <c r="F178" s="3" t="s">
        <v>185</v>
      </c>
      <c r="G178" s="3" t="s">
        <v>1798</v>
      </c>
      <c r="H178" s="3" t="s">
        <v>1851</v>
      </c>
      <c r="I178" s="12" t="s">
        <v>751</v>
      </c>
      <c r="K178" s="3" t="s">
        <v>184</v>
      </c>
      <c r="L178" s="4" t="s">
        <v>1552</v>
      </c>
    </row>
    <row r="179" spans="2:12">
      <c r="B179" s="4" t="s">
        <v>186</v>
      </c>
      <c r="C179" s="3">
        <v>34</v>
      </c>
      <c r="D179" s="3">
        <v>35</v>
      </c>
      <c r="E179" s="12" t="s">
        <v>751</v>
      </c>
      <c r="F179" s="3" t="s">
        <v>188</v>
      </c>
      <c r="G179" s="3" t="s">
        <v>1799</v>
      </c>
      <c r="H179" s="3" t="s">
        <v>1851</v>
      </c>
      <c r="I179" s="12" t="s">
        <v>751</v>
      </c>
      <c r="K179" s="3" t="s">
        <v>187</v>
      </c>
      <c r="L179" s="4" t="s">
        <v>1553</v>
      </c>
    </row>
    <row r="180" spans="2:12">
      <c r="B180" s="4" t="s">
        <v>189</v>
      </c>
      <c r="C180" s="4" t="s">
        <v>1585</v>
      </c>
      <c r="D180" s="4" t="s">
        <v>1585</v>
      </c>
      <c r="E180" s="12" t="s">
        <v>751</v>
      </c>
      <c r="F180" s="3" t="s">
        <v>48</v>
      </c>
      <c r="G180" s="3" t="s">
        <v>190</v>
      </c>
      <c r="H180" s="3" t="s">
        <v>1854</v>
      </c>
      <c r="I180" s="12" t="s">
        <v>751</v>
      </c>
      <c r="K180" s="3" t="s">
        <v>1554</v>
      </c>
      <c r="L180" s="4" t="s">
        <v>1555</v>
      </c>
    </row>
    <row r="181" spans="2:12">
      <c r="B181" s="4" t="s">
        <v>191</v>
      </c>
      <c r="C181" s="3">
        <v>35</v>
      </c>
      <c r="D181" s="3">
        <v>22</v>
      </c>
      <c r="E181" s="12" t="s">
        <v>767</v>
      </c>
      <c r="F181" s="3" t="s">
        <v>48</v>
      </c>
      <c r="G181" s="3" t="s">
        <v>1757</v>
      </c>
      <c r="H181" s="3" t="s">
        <v>1851</v>
      </c>
      <c r="I181" s="12" t="s">
        <v>751</v>
      </c>
      <c r="K181" s="3" t="s">
        <v>1556</v>
      </c>
      <c r="L181" s="4" t="s">
        <v>1557</v>
      </c>
    </row>
    <row r="182" spans="2:12">
      <c r="B182" t="s">
        <v>1306</v>
      </c>
      <c r="C182" s="12">
        <v>23</v>
      </c>
      <c r="D182" s="12">
        <v>34</v>
      </c>
      <c r="E182" s="12" t="s">
        <v>751</v>
      </c>
      <c r="F182" s="12" t="s">
        <v>752</v>
      </c>
      <c r="G182" s="3" t="s">
        <v>1800</v>
      </c>
      <c r="H182" s="3" t="s">
        <v>1852</v>
      </c>
      <c r="I182" s="12" t="s">
        <v>753</v>
      </c>
      <c r="K182" s="12" t="s">
        <v>750</v>
      </c>
      <c r="L182" s="11" t="s">
        <v>749</v>
      </c>
    </row>
    <row r="183" spans="2:12">
      <c r="B183" t="s">
        <v>1307</v>
      </c>
      <c r="C183" s="12">
        <v>20</v>
      </c>
      <c r="D183" s="12">
        <v>25</v>
      </c>
      <c r="E183" s="12" t="s">
        <v>751</v>
      </c>
      <c r="F183" s="12" t="s">
        <v>757</v>
      </c>
      <c r="G183" s="12" t="s">
        <v>758</v>
      </c>
      <c r="H183" s="3" t="s">
        <v>1852</v>
      </c>
      <c r="I183" s="12" t="s">
        <v>767</v>
      </c>
      <c r="K183" s="12" t="s">
        <v>756</v>
      </c>
      <c r="L183" s="11" t="s">
        <v>755</v>
      </c>
    </row>
    <row r="184" spans="2:12">
      <c r="B184" t="s">
        <v>1308</v>
      </c>
      <c r="C184" s="12">
        <v>21</v>
      </c>
      <c r="D184" s="12">
        <v>31</v>
      </c>
      <c r="E184" s="12" t="s">
        <v>751</v>
      </c>
      <c r="F184" s="12" t="s">
        <v>751</v>
      </c>
      <c r="G184" s="3" t="s">
        <v>1801</v>
      </c>
      <c r="H184" s="3" t="s">
        <v>1852</v>
      </c>
      <c r="I184" s="12" t="s">
        <v>767</v>
      </c>
      <c r="K184" s="12" t="s">
        <v>760</v>
      </c>
      <c r="L184" s="11" t="s">
        <v>759</v>
      </c>
    </row>
    <row r="185" spans="2:12">
      <c r="B185" t="s">
        <v>1309</v>
      </c>
      <c r="C185" s="12">
        <v>14</v>
      </c>
      <c r="D185" s="12">
        <v>27</v>
      </c>
      <c r="E185" s="12" t="s">
        <v>751</v>
      </c>
      <c r="F185" s="12" t="s">
        <v>763</v>
      </c>
      <c r="G185" s="3" t="s">
        <v>1802</v>
      </c>
      <c r="H185" s="3" t="s">
        <v>1852</v>
      </c>
      <c r="I185" s="12" t="s">
        <v>767</v>
      </c>
      <c r="K185" s="12" t="s">
        <v>762</v>
      </c>
      <c r="L185" s="11" t="s">
        <v>761</v>
      </c>
    </row>
    <row r="186" spans="2:12">
      <c r="B186" t="s">
        <v>1310</v>
      </c>
      <c r="C186" s="12">
        <v>23</v>
      </c>
      <c r="D186" s="12">
        <v>22</v>
      </c>
      <c r="E186" s="12" t="s">
        <v>751</v>
      </c>
      <c r="F186" s="12" t="s">
        <v>766</v>
      </c>
      <c r="G186" s="3" t="s">
        <v>1802</v>
      </c>
      <c r="H186" s="3" t="s">
        <v>1852</v>
      </c>
      <c r="I186" s="12" t="s">
        <v>767</v>
      </c>
      <c r="K186" s="12" t="s">
        <v>765</v>
      </c>
      <c r="L186" s="11" t="s">
        <v>764</v>
      </c>
    </row>
    <row r="187" spans="2:12">
      <c r="B187" t="s">
        <v>1311</v>
      </c>
      <c r="C187" s="12">
        <v>21</v>
      </c>
      <c r="D187" s="12">
        <v>27</v>
      </c>
      <c r="E187" s="12" t="s">
        <v>751</v>
      </c>
      <c r="F187" s="12" t="s">
        <v>781</v>
      </c>
      <c r="G187" s="12" t="s">
        <v>782</v>
      </c>
      <c r="H187" s="12" t="s">
        <v>751</v>
      </c>
      <c r="I187" s="12" t="s">
        <v>767</v>
      </c>
      <c r="K187" s="12" t="s">
        <v>780</v>
      </c>
      <c r="L187" s="11" t="s">
        <v>779</v>
      </c>
    </row>
    <row r="188" spans="2:12">
      <c r="B188" t="s">
        <v>1312</v>
      </c>
      <c r="C188" s="12">
        <v>50</v>
      </c>
      <c r="D188" s="12">
        <v>39</v>
      </c>
      <c r="E188" s="12" t="s">
        <v>785</v>
      </c>
      <c r="F188" s="12" t="s">
        <v>786</v>
      </c>
      <c r="G188" s="3" t="s">
        <v>1803</v>
      </c>
      <c r="H188" s="3" t="s">
        <v>1852</v>
      </c>
      <c r="I188" s="12" t="s">
        <v>767</v>
      </c>
      <c r="K188" s="12" t="s">
        <v>784</v>
      </c>
      <c r="L188" s="11" t="s">
        <v>783</v>
      </c>
    </row>
    <row r="189" spans="2:12">
      <c r="B189" t="s">
        <v>1313</v>
      </c>
      <c r="C189" s="12">
        <v>39</v>
      </c>
      <c r="D189" s="12">
        <v>27</v>
      </c>
      <c r="E189" s="12" t="s">
        <v>767</v>
      </c>
      <c r="F189" s="12" t="s">
        <v>786</v>
      </c>
      <c r="G189" s="3" t="s">
        <v>1804</v>
      </c>
      <c r="H189" t="s">
        <v>1853</v>
      </c>
      <c r="I189" s="12" t="s">
        <v>767</v>
      </c>
      <c r="K189" s="12" t="s">
        <v>788</v>
      </c>
      <c r="L189" s="11" t="s">
        <v>787</v>
      </c>
    </row>
    <row r="190" spans="2:12">
      <c r="B190" t="s">
        <v>1314</v>
      </c>
      <c r="C190" s="12">
        <v>26</v>
      </c>
      <c r="D190" s="12">
        <v>32</v>
      </c>
      <c r="E190" s="12" t="s">
        <v>767</v>
      </c>
      <c r="F190" s="12" t="s">
        <v>786</v>
      </c>
      <c r="G190" s="12" t="s">
        <v>791</v>
      </c>
      <c r="H190" t="s">
        <v>1853</v>
      </c>
      <c r="I190" s="12" t="s">
        <v>767</v>
      </c>
      <c r="K190" s="12" t="s">
        <v>790</v>
      </c>
      <c r="L190" s="11" t="s">
        <v>789</v>
      </c>
    </row>
    <row r="191" spans="2:12">
      <c r="B191" t="s">
        <v>1315</v>
      </c>
      <c r="C191" s="12">
        <v>36</v>
      </c>
      <c r="D191" s="12">
        <v>35</v>
      </c>
      <c r="E191" s="12" t="s">
        <v>767</v>
      </c>
      <c r="F191" s="12" t="s">
        <v>786</v>
      </c>
      <c r="G191" s="12" t="s">
        <v>794</v>
      </c>
      <c r="H191" t="s">
        <v>1853</v>
      </c>
      <c r="I191" s="12" t="s">
        <v>767</v>
      </c>
      <c r="K191" s="12" t="s">
        <v>793</v>
      </c>
      <c r="L191" s="11" t="s">
        <v>792</v>
      </c>
    </row>
    <row r="192" spans="2:12">
      <c r="B192" s="4" t="s">
        <v>209</v>
      </c>
      <c r="C192" s="6">
        <v>4</v>
      </c>
      <c r="D192" t="s">
        <v>1584</v>
      </c>
      <c r="E192" s="12" t="s">
        <v>751</v>
      </c>
      <c r="F192" s="3" t="s">
        <v>155</v>
      </c>
      <c r="G192" s="8" t="s">
        <v>1805</v>
      </c>
      <c r="H192" s="12" t="s">
        <v>751</v>
      </c>
      <c r="I192" s="12" t="s">
        <v>767</v>
      </c>
      <c r="K192" s="3" t="s">
        <v>210</v>
      </c>
      <c r="L192" s="4" t="s">
        <v>211</v>
      </c>
    </row>
    <row r="193" spans="2:12">
      <c r="B193" s="4" t="s">
        <v>212</v>
      </c>
      <c r="C193" s="6">
        <v>3</v>
      </c>
      <c r="D193" s="6">
        <v>15</v>
      </c>
      <c r="E193" s="12" t="s">
        <v>751</v>
      </c>
      <c r="F193" s="3" t="s">
        <v>155</v>
      </c>
      <c r="G193" s="3" t="s">
        <v>215</v>
      </c>
      <c r="H193" t="s">
        <v>1853</v>
      </c>
      <c r="I193" s="12" t="s">
        <v>767</v>
      </c>
      <c r="K193" s="3" t="s">
        <v>213</v>
      </c>
      <c r="L193" s="4" t="s">
        <v>214</v>
      </c>
    </row>
    <row r="194" spans="2:12">
      <c r="B194" s="4" t="s">
        <v>216</v>
      </c>
      <c r="C194" s="3">
        <v>1</v>
      </c>
      <c r="D194" s="3">
        <v>5</v>
      </c>
      <c r="E194" s="12" t="s">
        <v>751</v>
      </c>
      <c r="F194" s="3" t="s">
        <v>13</v>
      </c>
      <c r="G194" s="3" t="s">
        <v>1806</v>
      </c>
      <c r="H194" t="s">
        <v>1853</v>
      </c>
      <c r="I194" s="12" t="s">
        <v>767</v>
      </c>
      <c r="K194" s="3" t="s">
        <v>217</v>
      </c>
      <c r="L194" s="4" t="s">
        <v>218</v>
      </c>
    </row>
    <row r="195" spans="2:12">
      <c r="B195" s="4" t="s">
        <v>219</v>
      </c>
      <c r="C195" s="3">
        <v>1</v>
      </c>
      <c r="D195" s="3">
        <v>4</v>
      </c>
      <c r="E195" s="12" t="s">
        <v>751</v>
      </c>
      <c r="F195" s="3" t="s">
        <v>12</v>
      </c>
      <c r="G195" s="3" t="s">
        <v>1807</v>
      </c>
      <c r="H195" t="s">
        <v>1853</v>
      </c>
      <c r="I195" s="12" t="s">
        <v>767</v>
      </c>
      <c r="K195" s="3" t="s">
        <v>220</v>
      </c>
      <c r="L195" s="4" t="s">
        <v>221</v>
      </c>
    </row>
    <row r="196" spans="2:12">
      <c r="B196" s="4" t="s">
        <v>222</v>
      </c>
      <c r="C196" s="6">
        <v>1</v>
      </c>
      <c r="D196" s="6">
        <v>7</v>
      </c>
      <c r="E196" s="12" t="s">
        <v>751</v>
      </c>
      <c r="F196" s="3" t="s">
        <v>1808</v>
      </c>
      <c r="G196" s="3" t="s">
        <v>1809</v>
      </c>
      <c r="H196" t="s">
        <v>1853</v>
      </c>
      <c r="I196" s="12" t="s">
        <v>767</v>
      </c>
      <c r="K196" s="3" t="s">
        <v>223</v>
      </c>
      <c r="L196" s="4" t="s">
        <v>224</v>
      </c>
    </row>
    <row r="197" spans="2:12">
      <c r="B197" s="4" t="s">
        <v>240</v>
      </c>
      <c r="C197" s="3">
        <v>13</v>
      </c>
      <c r="D197" s="3">
        <v>18</v>
      </c>
      <c r="E197" s="12" t="s">
        <v>767</v>
      </c>
      <c r="F197" s="3" t="s">
        <v>243</v>
      </c>
      <c r="G197" s="3" t="s">
        <v>1810</v>
      </c>
      <c r="H197" s="12" t="s">
        <v>751</v>
      </c>
      <c r="I197" s="12" t="s">
        <v>767</v>
      </c>
      <c r="K197" s="3" t="s">
        <v>241</v>
      </c>
      <c r="L197" s="4" t="s">
        <v>242</v>
      </c>
    </row>
    <row r="198" spans="2:12">
      <c r="B198" s="4" t="s">
        <v>244</v>
      </c>
      <c r="C198" s="3">
        <v>5</v>
      </c>
      <c r="D198" s="3">
        <v>19</v>
      </c>
      <c r="E198" s="12" t="s">
        <v>751</v>
      </c>
      <c r="F198" s="3" t="s">
        <v>64</v>
      </c>
      <c r="G198" s="3" t="s">
        <v>247</v>
      </c>
      <c r="H198" s="12" t="s">
        <v>751</v>
      </c>
      <c r="I198" s="12" t="s">
        <v>767</v>
      </c>
      <c r="K198" s="3" t="s">
        <v>245</v>
      </c>
      <c r="L198" s="4" t="s">
        <v>246</v>
      </c>
    </row>
    <row r="199" spans="2:12">
      <c r="B199" s="4" t="s">
        <v>248</v>
      </c>
      <c r="C199" s="3">
        <v>11</v>
      </c>
      <c r="D199" s="3">
        <v>17</v>
      </c>
      <c r="E199" s="12" t="s">
        <v>751</v>
      </c>
      <c r="F199" s="3" t="s">
        <v>251</v>
      </c>
      <c r="G199" s="3" t="s">
        <v>1811</v>
      </c>
      <c r="H199" t="s">
        <v>1853</v>
      </c>
      <c r="I199" s="12" t="s">
        <v>767</v>
      </c>
      <c r="K199" s="3" t="s">
        <v>249</v>
      </c>
      <c r="L199" s="4" t="s">
        <v>250</v>
      </c>
    </row>
    <row r="200" spans="2:12">
      <c r="B200" s="4" t="s">
        <v>252</v>
      </c>
      <c r="C200" s="6">
        <v>5</v>
      </c>
      <c r="D200" s="6">
        <v>4</v>
      </c>
      <c r="E200" s="12" t="s">
        <v>751</v>
      </c>
      <c r="F200" s="3" t="s">
        <v>55</v>
      </c>
      <c r="G200" s="3" t="s">
        <v>1812</v>
      </c>
      <c r="H200" t="s">
        <v>1853</v>
      </c>
      <c r="I200" s="12" t="s">
        <v>767</v>
      </c>
      <c r="K200" s="3" t="s">
        <v>253</v>
      </c>
      <c r="L200" s="4" t="s">
        <v>254</v>
      </c>
    </row>
    <row r="201" spans="2:12">
      <c r="B201" s="4" t="s">
        <v>255</v>
      </c>
      <c r="C201" s="3">
        <v>3</v>
      </c>
      <c r="D201" s="3">
        <v>3</v>
      </c>
      <c r="E201" s="12" t="s">
        <v>751</v>
      </c>
      <c r="F201" s="3" t="s">
        <v>258</v>
      </c>
      <c r="G201" s="3" t="s">
        <v>259</v>
      </c>
      <c r="H201" s="12" t="s">
        <v>751</v>
      </c>
      <c r="I201" s="12" t="s">
        <v>767</v>
      </c>
      <c r="K201" s="3" t="s">
        <v>256</v>
      </c>
      <c r="L201" s="4" t="s">
        <v>257</v>
      </c>
    </row>
    <row r="202" spans="2:12">
      <c r="B202" s="4" t="s">
        <v>275</v>
      </c>
      <c r="C202" t="s">
        <v>1584</v>
      </c>
      <c r="D202" t="s">
        <v>1584</v>
      </c>
      <c r="E202" s="12" t="s">
        <v>751</v>
      </c>
      <c r="F202" s="3" t="s">
        <v>17</v>
      </c>
      <c r="G202" s="3" t="s">
        <v>1813</v>
      </c>
      <c r="H202" s="12" t="s">
        <v>751</v>
      </c>
      <c r="I202" s="12" t="s">
        <v>751</v>
      </c>
      <c r="J202" s="12" t="s">
        <v>841</v>
      </c>
      <c r="K202" s="3" t="s">
        <v>276</v>
      </c>
      <c r="L202" s="4" t="s">
        <v>277</v>
      </c>
    </row>
    <row r="203" spans="2:12">
      <c r="B203" s="4" t="s">
        <v>278</v>
      </c>
      <c r="C203" t="s">
        <v>1584</v>
      </c>
      <c r="D203" s="3">
        <v>4</v>
      </c>
      <c r="E203" s="12" t="s">
        <v>751</v>
      </c>
      <c r="F203" s="3" t="s">
        <v>281</v>
      </c>
      <c r="G203" t="s">
        <v>1584</v>
      </c>
      <c r="H203" s="12" t="s">
        <v>751</v>
      </c>
      <c r="I203" s="12" t="s">
        <v>751</v>
      </c>
      <c r="K203" s="3" t="s">
        <v>279</v>
      </c>
      <c r="L203" s="4" t="s">
        <v>280</v>
      </c>
    </row>
    <row r="204" spans="2:12">
      <c r="B204" s="4" t="s">
        <v>282</v>
      </c>
      <c r="C204" s="3">
        <v>9</v>
      </c>
      <c r="D204" s="3">
        <v>15</v>
      </c>
      <c r="E204" s="12" t="s">
        <v>751</v>
      </c>
      <c r="F204" s="3" t="s">
        <v>285</v>
      </c>
      <c r="G204" s="3" t="s">
        <v>1814</v>
      </c>
      <c r="H204" t="s">
        <v>1853</v>
      </c>
      <c r="I204" s="12" t="s">
        <v>751</v>
      </c>
      <c r="K204" s="3" t="s">
        <v>283</v>
      </c>
      <c r="L204" s="4" t="s">
        <v>284</v>
      </c>
    </row>
    <row r="205" spans="2:12">
      <c r="B205" s="4" t="s">
        <v>286</v>
      </c>
      <c r="C205" s="6">
        <v>3</v>
      </c>
      <c r="D205" s="6">
        <v>5</v>
      </c>
      <c r="E205" s="12" t="s">
        <v>751</v>
      </c>
      <c r="F205" s="3" t="s">
        <v>17</v>
      </c>
      <c r="G205" s="3" t="s">
        <v>289</v>
      </c>
      <c r="H205" t="s">
        <v>1853</v>
      </c>
      <c r="I205" s="12" t="s">
        <v>751</v>
      </c>
      <c r="K205" s="3" t="s">
        <v>287</v>
      </c>
      <c r="L205" s="4" t="s">
        <v>288</v>
      </c>
    </row>
    <row r="206" spans="2:12">
      <c r="B206" s="4" t="s">
        <v>290</v>
      </c>
      <c r="C206" s="3">
        <v>11</v>
      </c>
      <c r="D206" s="3">
        <v>14</v>
      </c>
      <c r="E206" s="12" t="s">
        <v>751</v>
      </c>
      <c r="F206" s="3" t="s">
        <v>293</v>
      </c>
      <c r="G206" s="3" t="s">
        <v>1815</v>
      </c>
      <c r="H206" t="s">
        <v>1853</v>
      </c>
      <c r="I206" s="12" t="s">
        <v>751</v>
      </c>
      <c r="K206" s="3" t="s">
        <v>291</v>
      </c>
      <c r="L206" s="4" t="s">
        <v>292</v>
      </c>
    </row>
    <row r="207" spans="2:12">
      <c r="B207" s="4" t="s">
        <v>309</v>
      </c>
      <c r="C207" s="3">
        <v>27</v>
      </c>
      <c r="D207" s="3">
        <v>20</v>
      </c>
      <c r="E207" s="12" t="s">
        <v>767</v>
      </c>
      <c r="F207" s="3" t="s">
        <v>64</v>
      </c>
      <c r="G207" s="3" t="s">
        <v>1816</v>
      </c>
      <c r="H207" s="12" t="s">
        <v>751</v>
      </c>
      <c r="I207" s="12" t="s">
        <v>751</v>
      </c>
      <c r="K207" s="3" t="s">
        <v>310</v>
      </c>
      <c r="L207" s="4" t="s">
        <v>311</v>
      </c>
    </row>
    <row r="208" spans="2:12">
      <c r="B208" s="4" t="s">
        <v>312</v>
      </c>
      <c r="C208" s="3">
        <v>16</v>
      </c>
      <c r="D208" s="3">
        <v>11</v>
      </c>
      <c r="E208" s="12" t="s">
        <v>751</v>
      </c>
      <c r="F208" s="3" t="s">
        <v>48</v>
      </c>
      <c r="G208" s="3" t="s">
        <v>1817</v>
      </c>
      <c r="H208" t="s">
        <v>1853</v>
      </c>
      <c r="I208" s="12" t="s">
        <v>751</v>
      </c>
      <c r="K208" s="3" t="s">
        <v>313</v>
      </c>
      <c r="L208" s="4" t="s">
        <v>314</v>
      </c>
    </row>
    <row r="209" spans="2:12">
      <c r="B209" s="4" t="s">
        <v>315</v>
      </c>
      <c r="C209" s="3">
        <v>18</v>
      </c>
      <c r="D209" s="3">
        <v>19</v>
      </c>
      <c r="E209" s="12" t="s">
        <v>767</v>
      </c>
      <c r="F209" s="3" t="s">
        <v>318</v>
      </c>
      <c r="G209" s="3" t="s">
        <v>1818</v>
      </c>
      <c r="H209" s="12" t="s">
        <v>751</v>
      </c>
      <c r="I209" s="12" t="s">
        <v>751</v>
      </c>
      <c r="K209" s="3" t="s">
        <v>316</v>
      </c>
      <c r="L209" s="4" t="s">
        <v>317</v>
      </c>
    </row>
    <row r="210" spans="2:12">
      <c r="B210" s="4" t="s">
        <v>319</v>
      </c>
      <c r="C210" s="6">
        <v>26</v>
      </c>
      <c r="D210" s="6">
        <v>19</v>
      </c>
      <c r="E210" s="12" t="s">
        <v>767</v>
      </c>
      <c r="F210" s="3" t="s">
        <v>64</v>
      </c>
      <c r="G210" s="3" t="s">
        <v>1798</v>
      </c>
      <c r="H210" s="12" t="s">
        <v>751</v>
      </c>
      <c r="I210" s="12" t="s">
        <v>751</v>
      </c>
      <c r="K210" s="3" t="s">
        <v>320</v>
      </c>
      <c r="L210" s="4" t="s">
        <v>321</v>
      </c>
    </row>
    <row r="211" spans="2:12">
      <c r="B211" s="4" t="s">
        <v>322</v>
      </c>
      <c r="C211" s="6">
        <v>14</v>
      </c>
      <c r="D211" s="6">
        <v>18</v>
      </c>
      <c r="E211" s="12" t="s">
        <v>767</v>
      </c>
      <c r="F211" s="3" t="s">
        <v>64</v>
      </c>
      <c r="G211" s="3" t="s">
        <v>325</v>
      </c>
      <c r="H211" t="s">
        <v>1853</v>
      </c>
      <c r="I211" s="12" t="s">
        <v>751</v>
      </c>
      <c r="K211" s="3" t="s">
        <v>323</v>
      </c>
      <c r="L211" s="4" t="s">
        <v>324</v>
      </c>
    </row>
    <row r="212" spans="2:12">
      <c r="B212" t="s">
        <v>1316</v>
      </c>
      <c r="C212" s="12">
        <v>28</v>
      </c>
      <c r="D212" s="12">
        <v>29</v>
      </c>
      <c r="E212" s="12" t="s">
        <v>751</v>
      </c>
      <c r="F212" s="12" t="s">
        <v>807</v>
      </c>
      <c r="G212" s="12" t="s">
        <v>808</v>
      </c>
      <c r="H212" s="12" t="s">
        <v>751</v>
      </c>
      <c r="I212" s="3" t="s">
        <v>1819</v>
      </c>
      <c r="K212" s="12" t="s">
        <v>806</v>
      </c>
      <c r="L212" s="11" t="s">
        <v>805</v>
      </c>
    </row>
    <row r="213" spans="2:12">
      <c r="B213" t="s">
        <v>1317</v>
      </c>
      <c r="C213" s="12">
        <v>18</v>
      </c>
      <c r="D213" s="12">
        <v>28</v>
      </c>
      <c r="E213" s="12" t="s">
        <v>751</v>
      </c>
      <c r="F213" s="12" t="s">
        <v>811</v>
      </c>
      <c r="G213" s="12" t="s">
        <v>812</v>
      </c>
      <c r="H213" s="12" t="s">
        <v>751</v>
      </c>
      <c r="I213" s="12" t="s">
        <v>751</v>
      </c>
      <c r="K213" s="12" t="s">
        <v>810</v>
      </c>
      <c r="L213" s="11" t="s">
        <v>809</v>
      </c>
    </row>
    <row r="214" spans="2:12">
      <c r="B214" t="s">
        <v>1318</v>
      </c>
      <c r="C214" s="12">
        <v>13</v>
      </c>
      <c r="D214" s="12">
        <v>20</v>
      </c>
      <c r="E214" s="12" t="s">
        <v>751</v>
      </c>
      <c r="F214" s="3" t="s">
        <v>1773</v>
      </c>
      <c r="G214" s="3" t="s">
        <v>1820</v>
      </c>
      <c r="H214" s="12" t="s">
        <v>751</v>
      </c>
      <c r="I214" s="12" t="s">
        <v>751</v>
      </c>
      <c r="K214" s="12" t="s">
        <v>814</v>
      </c>
      <c r="L214" s="11" t="s">
        <v>813</v>
      </c>
    </row>
    <row r="215" spans="2:12">
      <c r="B215" t="s">
        <v>1319</v>
      </c>
      <c r="C215" s="12">
        <v>13</v>
      </c>
      <c r="D215" s="12">
        <v>30</v>
      </c>
      <c r="E215" s="12" t="s">
        <v>751</v>
      </c>
      <c r="F215" s="12" t="s">
        <v>757</v>
      </c>
      <c r="G215" s="12" t="s">
        <v>817</v>
      </c>
      <c r="H215" s="12" t="s">
        <v>751</v>
      </c>
      <c r="I215" s="12" t="s">
        <v>751</v>
      </c>
      <c r="K215" s="12" t="s">
        <v>816</v>
      </c>
      <c r="L215" s="11" t="s">
        <v>815</v>
      </c>
    </row>
    <row r="216" spans="2:12">
      <c r="B216" t="s">
        <v>1320</v>
      </c>
      <c r="C216" s="12">
        <v>24</v>
      </c>
      <c r="D216" s="12">
        <v>40</v>
      </c>
      <c r="E216" s="12" t="s">
        <v>751</v>
      </c>
      <c r="F216" s="12" t="s">
        <v>820</v>
      </c>
      <c r="G216" s="12" t="s">
        <v>821</v>
      </c>
      <c r="H216" s="12" t="s">
        <v>751</v>
      </c>
      <c r="I216" s="12" t="s">
        <v>751</v>
      </c>
      <c r="K216" s="12" t="s">
        <v>819</v>
      </c>
      <c r="L216" s="11" t="s">
        <v>818</v>
      </c>
    </row>
    <row r="217" spans="2:12">
      <c r="B217" t="s">
        <v>1321</v>
      </c>
      <c r="C217" s="12">
        <v>21</v>
      </c>
      <c r="D217" s="12">
        <v>30</v>
      </c>
      <c r="E217" s="12" t="s">
        <v>751</v>
      </c>
      <c r="F217" s="12" t="s">
        <v>835</v>
      </c>
      <c r="G217" s="12" t="s">
        <v>836</v>
      </c>
      <c r="H217" s="12" t="s">
        <v>751</v>
      </c>
      <c r="I217" s="3" t="s">
        <v>1821</v>
      </c>
      <c r="K217" s="12" t="s">
        <v>834</v>
      </c>
      <c r="L217" s="11" t="s">
        <v>833</v>
      </c>
    </row>
    <row r="218" spans="2:12">
      <c r="B218" t="s">
        <v>1322</v>
      </c>
      <c r="C218" s="12">
        <v>2</v>
      </c>
      <c r="D218" s="12">
        <v>0</v>
      </c>
      <c r="E218" s="12" t="s">
        <v>751</v>
      </c>
      <c r="F218" s="12" t="s">
        <v>839</v>
      </c>
      <c r="G218" s="12" t="s">
        <v>840</v>
      </c>
      <c r="H218" s="12" t="s">
        <v>751</v>
      </c>
      <c r="I218" s="12" t="s">
        <v>751</v>
      </c>
      <c r="J218" s="12" t="s">
        <v>841</v>
      </c>
      <c r="K218" s="12" t="s">
        <v>838</v>
      </c>
      <c r="L218" s="11" t="s">
        <v>837</v>
      </c>
    </row>
    <row r="219" spans="2:12">
      <c r="B219" t="s">
        <v>1323</v>
      </c>
      <c r="C219" s="12">
        <v>26</v>
      </c>
      <c r="D219" s="12">
        <v>5</v>
      </c>
      <c r="E219" s="12" t="s">
        <v>785</v>
      </c>
      <c r="F219" s="12" t="s">
        <v>844</v>
      </c>
      <c r="G219" s="12" t="s">
        <v>845</v>
      </c>
      <c r="H219" s="12" t="s">
        <v>751</v>
      </c>
      <c r="I219" s="12" t="s">
        <v>846</v>
      </c>
      <c r="K219" s="12" t="s">
        <v>843</v>
      </c>
      <c r="L219" s="11" t="s">
        <v>842</v>
      </c>
    </row>
    <row r="220" spans="2:12">
      <c r="B220" t="s">
        <v>1324</v>
      </c>
      <c r="C220" s="12">
        <v>38</v>
      </c>
      <c r="D220" s="12">
        <v>15</v>
      </c>
      <c r="E220" s="12" t="s">
        <v>767</v>
      </c>
      <c r="F220" s="12" t="s">
        <v>849</v>
      </c>
      <c r="G220" s="12" t="s">
        <v>850</v>
      </c>
      <c r="H220" s="12" t="s">
        <v>751</v>
      </c>
      <c r="I220" s="12" t="s">
        <v>846</v>
      </c>
      <c r="K220" s="12" t="s">
        <v>848</v>
      </c>
      <c r="L220" s="11" t="s">
        <v>847</v>
      </c>
    </row>
    <row r="221" spans="2:12">
      <c r="B221" t="s">
        <v>1325</v>
      </c>
      <c r="C221" s="12">
        <v>13</v>
      </c>
      <c r="D221" s="12">
        <v>26</v>
      </c>
      <c r="E221" s="12" t="s">
        <v>767</v>
      </c>
      <c r="F221" s="12" t="s">
        <v>853</v>
      </c>
      <c r="G221" s="12" t="s">
        <v>791</v>
      </c>
      <c r="H221" s="12" t="s">
        <v>751</v>
      </c>
      <c r="I221" s="12" t="s">
        <v>751</v>
      </c>
      <c r="K221" s="12" t="s">
        <v>852</v>
      </c>
      <c r="L221" s="11" t="s">
        <v>851</v>
      </c>
    </row>
    <row r="222" spans="2:12">
      <c r="B222" s="4" t="s">
        <v>342</v>
      </c>
      <c r="C222" s="3">
        <v>18</v>
      </c>
      <c r="D222" s="3">
        <v>30</v>
      </c>
      <c r="E222" s="12" t="s">
        <v>751</v>
      </c>
      <c r="F222" s="3" t="s">
        <v>345</v>
      </c>
      <c r="G222" s="3" t="s">
        <v>1822</v>
      </c>
      <c r="H222" t="s">
        <v>1853</v>
      </c>
      <c r="I222" s="12" t="s">
        <v>751</v>
      </c>
      <c r="J222" s="3" t="s">
        <v>1823</v>
      </c>
      <c r="K222" s="3" t="s">
        <v>343</v>
      </c>
      <c r="L222" s="4" t="s">
        <v>344</v>
      </c>
    </row>
    <row r="223" spans="2:12">
      <c r="B223" s="4" t="s">
        <v>346</v>
      </c>
      <c r="C223" s="3">
        <v>5</v>
      </c>
      <c r="D223" s="3">
        <v>24</v>
      </c>
      <c r="E223" s="12" t="s">
        <v>751</v>
      </c>
      <c r="F223" s="3" t="s">
        <v>349</v>
      </c>
      <c r="G223" s="3" t="s">
        <v>1824</v>
      </c>
      <c r="H223" t="s">
        <v>1853</v>
      </c>
      <c r="I223" s="12" t="s">
        <v>751</v>
      </c>
      <c r="J223" s="12" t="s">
        <v>841</v>
      </c>
      <c r="K223" s="3" t="s">
        <v>347</v>
      </c>
      <c r="L223" s="4" t="s">
        <v>348</v>
      </c>
    </row>
    <row r="224" spans="2:12">
      <c r="B224" s="4" t="s">
        <v>350</v>
      </c>
      <c r="C224" s="3">
        <v>10</v>
      </c>
      <c r="D224" s="3">
        <v>23</v>
      </c>
      <c r="E224" s="12" t="s">
        <v>751</v>
      </c>
      <c r="F224" s="3" t="s">
        <v>353</v>
      </c>
      <c r="G224" s="3" t="s">
        <v>1825</v>
      </c>
      <c r="H224" s="12" t="s">
        <v>751</v>
      </c>
      <c r="I224" s="12" t="s">
        <v>751</v>
      </c>
      <c r="K224" s="3" t="s">
        <v>351</v>
      </c>
      <c r="L224" s="4" t="s">
        <v>352</v>
      </c>
    </row>
    <row r="225" spans="2:12">
      <c r="B225" s="4" t="s">
        <v>354</v>
      </c>
      <c r="C225" s="3">
        <v>10</v>
      </c>
      <c r="D225" s="3">
        <v>25</v>
      </c>
      <c r="E225" s="12" t="s">
        <v>751</v>
      </c>
      <c r="F225" s="3" t="s">
        <v>285</v>
      </c>
      <c r="G225" s="3" t="s">
        <v>1826</v>
      </c>
      <c r="H225" t="s">
        <v>1853</v>
      </c>
      <c r="I225" s="12" t="s">
        <v>751</v>
      </c>
      <c r="K225" s="3" t="s">
        <v>355</v>
      </c>
      <c r="L225" s="4" t="s">
        <v>356</v>
      </c>
    </row>
    <row r="226" spans="2:12">
      <c r="B226" s="4" t="s">
        <v>357</v>
      </c>
      <c r="C226" t="s">
        <v>1584</v>
      </c>
      <c r="D226" s="6">
        <v>17</v>
      </c>
      <c r="E226" s="12" t="s">
        <v>751</v>
      </c>
      <c r="F226" s="3" t="s">
        <v>360</v>
      </c>
      <c r="G226" s="3" t="s">
        <v>361</v>
      </c>
      <c r="H226" t="s">
        <v>1853</v>
      </c>
      <c r="I226" s="12" t="s">
        <v>751</v>
      </c>
      <c r="K226" s="3" t="s">
        <v>358</v>
      </c>
      <c r="L226" s="4" t="s">
        <v>359</v>
      </c>
    </row>
    <row r="227" spans="2:12">
      <c r="B227" s="4" t="s">
        <v>377</v>
      </c>
      <c r="C227" t="s">
        <v>1584</v>
      </c>
      <c r="D227" s="3">
        <v>7</v>
      </c>
      <c r="E227" s="12" t="s">
        <v>751</v>
      </c>
      <c r="F227" s="3" t="s">
        <v>380</v>
      </c>
      <c r="G227" s="3" t="s">
        <v>1827</v>
      </c>
      <c r="H227" s="12" t="s">
        <v>751</v>
      </c>
      <c r="I227" s="12" t="s">
        <v>751</v>
      </c>
      <c r="J227" s="12" t="s">
        <v>841</v>
      </c>
      <c r="K227" s="3" t="s">
        <v>378</v>
      </c>
      <c r="L227" s="4" t="s">
        <v>379</v>
      </c>
    </row>
    <row r="228" spans="2:12">
      <c r="B228" s="4" t="s">
        <v>381</v>
      </c>
      <c r="C228" s="3">
        <v>3</v>
      </c>
      <c r="D228" s="3">
        <v>18</v>
      </c>
      <c r="E228" s="12" t="s">
        <v>751</v>
      </c>
      <c r="F228" s="3" t="s">
        <v>64</v>
      </c>
      <c r="G228" s="3" t="s">
        <v>384</v>
      </c>
      <c r="H228" s="12" t="s">
        <v>751</v>
      </c>
      <c r="I228" s="12" t="s">
        <v>751</v>
      </c>
      <c r="K228" s="3" t="s">
        <v>382</v>
      </c>
      <c r="L228" s="4" t="s">
        <v>383</v>
      </c>
    </row>
    <row r="229" spans="2:12">
      <c r="B229" s="4" t="s">
        <v>385</v>
      </c>
      <c r="C229" s="6">
        <v>6</v>
      </c>
      <c r="D229" s="6">
        <v>20</v>
      </c>
      <c r="E229" s="12" t="s">
        <v>751</v>
      </c>
      <c r="F229" s="3" t="s">
        <v>64</v>
      </c>
      <c r="G229" s="3" t="s">
        <v>1780</v>
      </c>
      <c r="H229" s="12" t="s">
        <v>751</v>
      </c>
      <c r="I229" s="12" t="s">
        <v>751</v>
      </c>
      <c r="K229" s="3" t="s">
        <v>386</v>
      </c>
      <c r="L229" s="4" t="s">
        <v>387</v>
      </c>
    </row>
    <row r="230" spans="2:12">
      <c r="B230" s="4" t="s">
        <v>388</v>
      </c>
      <c r="C230" s="3">
        <v>15</v>
      </c>
      <c r="D230" s="3">
        <v>2</v>
      </c>
      <c r="E230" s="12" t="s">
        <v>751</v>
      </c>
      <c r="F230" s="3" t="s">
        <v>48</v>
      </c>
      <c r="G230" s="3" t="s">
        <v>1828</v>
      </c>
      <c r="H230" s="12" t="s">
        <v>751</v>
      </c>
      <c r="I230" s="12" t="s">
        <v>751</v>
      </c>
      <c r="K230" s="3" t="s">
        <v>389</v>
      </c>
      <c r="L230" s="4" t="s">
        <v>390</v>
      </c>
    </row>
    <row r="231" spans="2:12">
      <c r="B231" s="4" t="s">
        <v>391</v>
      </c>
      <c r="C231" s="3">
        <v>6</v>
      </c>
      <c r="D231" s="3">
        <v>20</v>
      </c>
      <c r="E231" s="12" t="s">
        <v>751</v>
      </c>
      <c r="F231" s="3" t="s">
        <v>394</v>
      </c>
      <c r="G231" s="3" t="s">
        <v>1829</v>
      </c>
      <c r="H231" s="12" t="s">
        <v>751</v>
      </c>
      <c r="I231" s="12" t="s">
        <v>751</v>
      </c>
      <c r="K231" s="3" t="s">
        <v>392</v>
      </c>
      <c r="L231" s="4" t="s">
        <v>393</v>
      </c>
    </row>
    <row r="232" spans="2:12">
      <c r="B232" t="s">
        <v>1326</v>
      </c>
      <c r="C232" s="12">
        <v>16</v>
      </c>
      <c r="D232" s="12">
        <v>21</v>
      </c>
      <c r="E232" s="12" t="s">
        <v>751</v>
      </c>
      <c r="F232" s="12" t="s">
        <v>866</v>
      </c>
      <c r="G232" s="3" t="s">
        <v>1830</v>
      </c>
      <c r="H232" s="12" t="s">
        <v>751</v>
      </c>
      <c r="I232" s="12" t="s">
        <v>751</v>
      </c>
      <c r="K232" s="12" t="s">
        <v>865</v>
      </c>
      <c r="L232" s="11" t="s">
        <v>864</v>
      </c>
    </row>
    <row r="233" spans="2:12">
      <c r="B233" t="s">
        <v>1327</v>
      </c>
      <c r="C233" s="12">
        <v>13</v>
      </c>
      <c r="D233" s="12">
        <v>14</v>
      </c>
      <c r="E233" s="12" t="s">
        <v>751</v>
      </c>
      <c r="F233" s="12" t="s">
        <v>869</v>
      </c>
      <c r="G233" s="3" t="s">
        <v>870</v>
      </c>
      <c r="H233" s="12" t="s">
        <v>751</v>
      </c>
      <c r="I233" s="12" t="s">
        <v>871</v>
      </c>
      <c r="K233" s="12" t="s">
        <v>868</v>
      </c>
      <c r="L233" s="11" t="s">
        <v>867</v>
      </c>
    </row>
    <row r="234" spans="2:12">
      <c r="B234" t="s">
        <v>1328</v>
      </c>
      <c r="C234" s="12">
        <v>13</v>
      </c>
      <c r="D234" s="12">
        <v>9</v>
      </c>
      <c r="E234" s="12" t="s">
        <v>751</v>
      </c>
      <c r="F234" s="12" t="s">
        <v>874</v>
      </c>
      <c r="G234" s="12" t="s">
        <v>875</v>
      </c>
      <c r="H234" t="s">
        <v>1853</v>
      </c>
      <c r="I234" s="12" t="s">
        <v>751</v>
      </c>
      <c r="K234" s="12" t="s">
        <v>873</v>
      </c>
      <c r="L234" s="11" t="s">
        <v>872</v>
      </c>
    </row>
    <row r="235" spans="2:12">
      <c r="B235" t="s">
        <v>1329</v>
      </c>
      <c r="C235" s="12">
        <v>17</v>
      </c>
      <c r="D235" s="12">
        <v>9</v>
      </c>
      <c r="E235" s="12" t="s">
        <v>751</v>
      </c>
      <c r="F235" s="12" t="s">
        <v>878</v>
      </c>
      <c r="G235" s="3" t="s">
        <v>1831</v>
      </c>
      <c r="H235" s="12" t="s">
        <v>751</v>
      </c>
      <c r="I235" s="12" t="s">
        <v>751</v>
      </c>
      <c r="K235" s="12" t="s">
        <v>877</v>
      </c>
      <c r="L235" s="11" t="s">
        <v>876</v>
      </c>
    </row>
    <row r="236" spans="2:12">
      <c r="B236" t="s">
        <v>1330</v>
      </c>
      <c r="C236" s="12">
        <v>16</v>
      </c>
      <c r="D236" s="12">
        <v>13</v>
      </c>
      <c r="E236" s="12" t="s">
        <v>767</v>
      </c>
      <c r="F236" s="12" t="s">
        <v>767</v>
      </c>
      <c r="G236" s="12" t="s">
        <v>881</v>
      </c>
      <c r="H236" s="12" t="s">
        <v>751</v>
      </c>
      <c r="I236" s="12" t="s">
        <v>751</v>
      </c>
      <c r="K236" s="12" t="s">
        <v>880</v>
      </c>
      <c r="L236" s="11" t="s">
        <v>879</v>
      </c>
    </row>
    <row r="237" spans="2:12">
      <c r="B237" s="18" t="s">
        <v>1331</v>
      </c>
      <c r="C237" s="12">
        <v>18</v>
      </c>
      <c r="D237" s="12">
        <v>21</v>
      </c>
      <c r="E237" s="12" t="s">
        <v>767</v>
      </c>
      <c r="F237" s="12" t="s">
        <v>894</v>
      </c>
      <c r="G237" s="12" t="s">
        <v>895</v>
      </c>
      <c r="H237" s="12" t="s">
        <v>751</v>
      </c>
      <c r="I237" s="12" t="s">
        <v>751</v>
      </c>
      <c r="K237" s="12" t="s">
        <v>893</v>
      </c>
      <c r="L237" s="11" t="s">
        <v>892</v>
      </c>
    </row>
    <row r="238" spans="2:12">
      <c r="B238" s="18" t="s">
        <v>1332</v>
      </c>
      <c r="C238" s="12">
        <v>16</v>
      </c>
      <c r="D238" s="12">
        <v>20</v>
      </c>
      <c r="E238" s="12" t="s">
        <v>767</v>
      </c>
      <c r="F238" s="12" t="s">
        <v>898</v>
      </c>
      <c r="G238" s="12" t="s">
        <v>899</v>
      </c>
      <c r="H238" s="3" t="s">
        <v>1852</v>
      </c>
      <c r="I238" s="12" t="s">
        <v>751</v>
      </c>
      <c r="K238" s="12" t="s">
        <v>897</v>
      </c>
      <c r="L238" s="11" t="s">
        <v>896</v>
      </c>
    </row>
    <row r="239" spans="2:12">
      <c r="B239" s="18" t="s">
        <v>1333</v>
      </c>
      <c r="C239" s="12">
        <v>24</v>
      </c>
      <c r="D239" s="12">
        <v>25</v>
      </c>
      <c r="E239" s="12" t="s">
        <v>767</v>
      </c>
      <c r="F239" s="12" t="s">
        <v>898</v>
      </c>
      <c r="G239" s="3" t="s">
        <v>1832</v>
      </c>
      <c r="H239" s="12" t="s">
        <v>751</v>
      </c>
      <c r="I239" s="3" t="s">
        <v>1833</v>
      </c>
      <c r="J239" s="3" t="s">
        <v>1834</v>
      </c>
      <c r="K239" s="12" t="s">
        <v>901</v>
      </c>
      <c r="L239" s="11" t="s">
        <v>900</v>
      </c>
    </row>
    <row r="240" spans="2:12">
      <c r="B240" s="18" t="s">
        <v>1334</v>
      </c>
      <c r="C240" s="12">
        <v>24</v>
      </c>
      <c r="D240" s="12">
        <v>29</v>
      </c>
      <c r="E240" s="12" t="s">
        <v>767</v>
      </c>
      <c r="F240" s="20" t="s">
        <v>904</v>
      </c>
      <c r="G240" s="12" t="s">
        <v>905</v>
      </c>
      <c r="H240" s="12" t="s">
        <v>751</v>
      </c>
      <c r="I240" s="12" t="s">
        <v>751</v>
      </c>
      <c r="K240" s="12" t="s">
        <v>903</v>
      </c>
      <c r="L240" s="11" t="s">
        <v>902</v>
      </c>
    </row>
    <row r="241" spans="2:12">
      <c r="B241" s="18" t="s">
        <v>1335</v>
      </c>
      <c r="C241" s="12">
        <v>4</v>
      </c>
      <c r="D241" s="12">
        <v>32</v>
      </c>
      <c r="E241" s="12" t="s">
        <v>751</v>
      </c>
      <c r="F241" s="12" t="s">
        <v>786</v>
      </c>
      <c r="G241" s="3" t="s">
        <v>1835</v>
      </c>
      <c r="H241" s="12" t="s">
        <v>751</v>
      </c>
      <c r="I241" s="12" t="s">
        <v>751</v>
      </c>
      <c r="K241" s="12" t="s">
        <v>907</v>
      </c>
      <c r="L241" s="11" t="s">
        <v>906</v>
      </c>
    </row>
  </sheetData>
  <phoneticPr fontId="9" type="noConversion"/>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612B-ACCD-4A9A-85B8-DD43487ED78D}">
  <dimension ref="A1:O241"/>
  <sheetViews>
    <sheetView workbookViewId="0">
      <selection activeCell="J241" sqref="J241"/>
    </sheetView>
  </sheetViews>
  <sheetFormatPr baseColWidth="10" defaultColWidth="8.83203125" defaultRowHeight="15"/>
  <cols>
    <col min="1" max="1" width="29.6640625" customWidth="1"/>
    <col min="2" max="2" width="23.83203125" bestFit="1" customWidth="1"/>
    <col min="3" max="3" width="10.33203125" customWidth="1"/>
    <col min="10" max="10" width="22.5" customWidth="1"/>
    <col min="11" max="11" width="28.5" customWidth="1"/>
    <col min="12" max="12" width="34.83203125" customWidth="1"/>
    <col min="13" max="13" width="14.5" customWidth="1"/>
    <col min="14" max="14" width="26.1640625" customWidth="1"/>
  </cols>
  <sheetData>
    <row r="1" spans="1:15" ht="71">
      <c r="A1" s="14" t="s">
        <v>1581</v>
      </c>
      <c r="B1" s="1" t="s">
        <v>1225</v>
      </c>
      <c r="C1" s="2" t="s">
        <v>2</v>
      </c>
      <c r="D1" s="2" t="s">
        <v>3</v>
      </c>
      <c r="E1" s="2" t="s">
        <v>4</v>
      </c>
      <c r="F1" s="2" t="s">
        <v>5</v>
      </c>
      <c r="G1" s="2" t="s">
        <v>6</v>
      </c>
      <c r="H1" s="2" t="s">
        <v>7</v>
      </c>
      <c r="I1" s="2" t="s">
        <v>8</v>
      </c>
      <c r="J1" s="2" t="s">
        <v>1388</v>
      </c>
      <c r="K1" s="2" t="s">
        <v>1389</v>
      </c>
      <c r="L1" s="3" t="s">
        <v>1616</v>
      </c>
      <c r="M1" s="2" t="s">
        <v>1582</v>
      </c>
      <c r="N1" s="1" t="s">
        <v>1593</v>
      </c>
    </row>
    <row r="2" spans="1:15" ht="16">
      <c r="B2" t="s">
        <v>1390</v>
      </c>
      <c r="C2">
        <v>1</v>
      </c>
      <c r="D2">
        <v>0</v>
      </c>
      <c r="E2">
        <v>3</v>
      </c>
      <c r="F2">
        <v>2</v>
      </c>
      <c r="G2">
        <v>1</v>
      </c>
      <c r="H2">
        <v>4</v>
      </c>
      <c r="I2">
        <f t="shared" ref="I2:I19" si="0">SUM(C2:H2)</f>
        <v>11</v>
      </c>
      <c r="J2" s="12" t="s">
        <v>767</v>
      </c>
      <c r="K2" s="12" t="s">
        <v>751</v>
      </c>
      <c r="M2" s="10" t="s">
        <v>553</v>
      </c>
      <c r="N2" t="s">
        <v>1694</v>
      </c>
      <c r="O2" s="61"/>
    </row>
    <row r="3" spans="1:15" ht="16">
      <c r="B3" t="s">
        <v>1391</v>
      </c>
      <c r="C3">
        <v>0</v>
      </c>
      <c r="D3">
        <v>1</v>
      </c>
      <c r="E3">
        <v>2</v>
      </c>
      <c r="F3">
        <v>2</v>
      </c>
      <c r="G3">
        <v>2</v>
      </c>
      <c r="H3">
        <v>4</v>
      </c>
      <c r="I3">
        <f t="shared" si="0"/>
        <v>11</v>
      </c>
      <c r="J3" s="12" t="s">
        <v>767</v>
      </c>
      <c r="K3" t="s">
        <v>556</v>
      </c>
      <c r="M3" s="10" t="s">
        <v>555</v>
      </c>
      <c r="N3" t="s">
        <v>1693</v>
      </c>
      <c r="O3" s="61"/>
    </row>
    <row r="4" spans="1:15" ht="16">
      <c r="B4" t="s">
        <v>1392</v>
      </c>
      <c r="C4">
        <v>1</v>
      </c>
      <c r="D4">
        <v>0</v>
      </c>
      <c r="E4">
        <v>5</v>
      </c>
      <c r="F4">
        <v>3</v>
      </c>
      <c r="G4">
        <v>3</v>
      </c>
      <c r="H4">
        <v>2</v>
      </c>
      <c r="I4">
        <f t="shared" si="0"/>
        <v>14</v>
      </c>
      <c r="J4" s="12" t="s">
        <v>751</v>
      </c>
      <c r="K4" s="12" t="s">
        <v>751</v>
      </c>
      <c r="M4" s="10" t="s">
        <v>557</v>
      </c>
      <c r="N4" t="s">
        <v>1692</v>
      </c>
      <c r="O4" s="61"/>
    </row>
    <row r="5" spans="1:15" ht="16">
      <c r="B5" t="s">
        <v>1393</v>
      </c>
      <c r="C5">
        <v>0</v>
      </c>
      <c r="D5">
        <v>0</v>
      </c>
      <c r="E5">
        <v>1</v>
      </c>
      <c r="F5">
        <v>3</v>
      </c>
      <c r="G5">
        <v>6</v>
      </c>
      <c r="H5">
        <v>1</v>
      </c>
      <c r="I5">
        <f t="shared" si="0"/>
        <v>11</v>
      </c>
      <c r="J5" s="12" t="s">
        <v>751</v>
      </c>
      <c r="K5" s="12" t="s">
        <v>751</v>
      </c>
      <c r="M5" s="10" t="s">
        <v>558</v>
      </c>
      <c r="N5" t="s">
        <v>1695</v>
      </c>
      <c r="O5" s="61"/>
    </row>
    <row r="6" spans="1:15" ht="16">
      <c r="B6" t="s">
        <v>1394</v>
      </c>
      <c r="C6">
        <v>0</v>
      </c>
      <c r="D6">
        <v>0</v>
      </c>
      <c r="E6">
        <v>3</v>
      </c>
      <c r="F6">
        <v>4</v>
      </c>
      <c r="G6">
        <v>2</v>
      </c>
      <c r="H6">
        <v>3</v>
      </c>
      <c r="I6">
        <f t="shared" si="0"/>
        <v>12</v>
      </c>
      <c r="J6" s="12" t="s">
        <v>751</v>
      </c>
      <c r="K6" s="12" t="s">
        <v>767</v>
      </c>
      <c r="M6" s="10" t="s">
        <v>559</v>
      </c>
      <c r="N6" t="s">
        <v>1696</v>
      </c>
      <c r="O6" s="61"/>
    </row>
    <row r="7" spans="1:15" ht="16">
      <c r="B7" t="s">
        <v>1395</v>
      </c>
      <c r="C7">
        <v>0</v>
      </c>
      <c r="D7">
        <v>0</v>
      </c>
      <c r="E7">
        <v>1</v>
      </c>
      <c r="F7">
        <v>4</v>
      </c>
      <c r="G7">
        <v>3</v>
      </c>
      <c r="H7">
        <v>7</v>
      </c>
      <c r="I7">
        <f t="shared" si="0"/>
        <v>15</v>
      </c>
      <c r="J7" t="s">
        <v>1584</v>
      </c>
      <c r="K7" s="12" t="s">
        <v>751</v>
      </c>
      <c r="M7" s="17" t="s">
        <v>565</v>
      </c>
      <c r="N7" t="s">
        <v>1688</v>
      </c>
      <c r="O7" s="61"/>
    </row>
    <row r="8" spans="1:15" ht="16">
      <c r="B8" t="s">
        <v>1396</v>
      </c>
      <c r="C8">
        <v>0</v>
      </c>
      <c r="D8">
        <v>1</v>
      </c>
      <c r="E8">
        <v>4</v>
      </c>
      <c r="F8">
        <v>0</v>
      </c>
      <c r="G8">
        <v>1</v>
      </c>
      <c r="H8">
        <v>2</v>
      </c>
      <c r="I8">
        <f t="shared" si="0"/>
        <v>8</v>
      </c>
      <c r="J8" t="s">
        <v>1584</v>
      </c>
      <c r="K8" s="12" t="s">
        <v>751</v>
      </c>
      <c r="M8" s="17" t="s">
        <v>566</v>
      </c>
      <c r="N8" t="s">
        <v>1691</v>
      </c>
      <c r="O8" s="61"/>
    </row>
    <row r="9" spans="1:15" ht="16">
      <c r="B9" t="s">
        <v>1397</v>
      </c>
      <c r="C9">
        <v>0</v>
      </c>
      <c r="D9">
        <v>3</v>
      </c>
      <c r="E9">
        <v>0</v>
      </c>
      <c r="F9">
        <v>1</v>
      </c>
      <c r="G9">
        <v>1</v>
      </c>
      <c r="H9">
        <v>5</v>
      </c>
      <c r="I9">
        <f t="shared" si="0"/>
        <v>10</v>
      </c>
      <c r="J9" t="s">
        <v>1588</v>
      </c>
      <c r="K9" t="s">
        <v>1588</v>
      </c>
      <c r="M9" s="17" t="s">
        <v>567</v>
      </c>
      <c r="N9" t="s">
        <v>1690</v>
      </c>
      <c r="O9" s="61"/>
    </row>
    <row r="10" spans="1:15" ht="16">
      <c r="B10" t="s">
        <v>1398</v>
      </c>
      <c r="C10">
        <v>0</v>
      </c>
      <c r="D10">
        <v>0</v>
      </c>
      <c r="E10">
        <v>3</v>
      </c>
      <c r="F10">
        <v>0</v>
      </c>
      <c r="G10">
        <v>0</v>
      </c>
      <c r="H10">
        <v>4</v>
      </c>
      <c r="I10">
        <f t="shared" si="0"/>
        <v>7</v>
      </c>
      <c r="J10" s="12" t="s">
        <v>751</v>
      </c>
      <c r="K10" s="12" t="s">
        <v>751</v>
      </c>
      <c r="M10" s="17" t="s">
        <v>568</v>
      </c>
      <c r="N10" t="s">
        <v>1689</v>
      </c>
      <c r="O10" s="61"/>
    </row>
    <row r="11" spans="1:15" ht="16">
      <c r="B11" t="s">
        <v>1399</v>
      </c>
      <c r="C11">
        <v>0</v>
      </c>
      <c r="D11">
        <v>2</v>
      </c>
      <c r="E11">
        <v>4</v>
      </c>
      <c r="F11">
        <v>2</v>
      </c>
      <c r="G11">
        <v>2</v>
      </c>
      <c r="H11">
        <v>2</v>
      </c>
      <c r="I11">
        <f t="shared" si="0"/>
        <v>12</v>
      </c>
      <c r="J11" s="12" t="s">
        <v>751</v>
      </c>
      <c r="K11" s="12" t="s">
        <v>751</v>
      </c>
      <c r="M11" s="17" t="s">
        <v>569</v>
      </c>
      <c r="N11" t="s">
        <v>1687</v>
      </c>
      <c r="O11" s="61"/>
    </row>
    <row r="12" spans="1:15" ht="16">
      <c r="B12" t="s">
        <v>1400</v>
      </c>
      <c r="C12">
        <v>1</v>
      </c>
      <c r="D12">
        <v>0</v>
      </c>
      <c r="E12">
        <v>13</v>
      </c>
      <c r="F12">
        <v>0</v>
      </c>
      <c r="G12">
        <v>0</v>
      </c>
      <c r="H12">
        <v>16</v>
      </c>
      <c r="I12">
        <f t="shared" si="0"/>
        <v>30</v>
      </c>
      <c r="J12" t="s">
        <v>1584</v>
      </c>
      <c r="K12" t="s">
        <v>1584</v>
      </c>
      <c r="M12" s="17" t="s">
        <v>583</v>
      </c>
      <c r="N12" t="s">
        <v>1624</v>
      </c>
      <c r="O12" s="61"/>
    </row>
    <row r="13" spans="1:15" ht="16">
      <c r="B13" t="s">
        <v>1401</v>
      </c>
      <c r="C13">
        <v>2</v>
      </c>
      <c r="D13">
        <v>0</v>
      </c>
      <c r="E13">
        <v>10</v>
      </c>
      <c r="F13">
        <v>0</v>
      </c>
      <c r="G13">
        <v>0</v>
      </c>
      <c r="H13">
        <v>6</v>
      </c>
      <c r="I13">
        <f t="shared" si="0"/>
        <v>18</v>
      </c>
      <c r="J13" t="s">
        <v>1584</v>
      </c>
      <c r="K13" t="s">
        <v>1584</v>
      </c>
      <c r="M13" s="17" t="s">
        <v>585</v>
      </c>
      <c r="N13" t="s">
        <v>1625</v>
      </c>
      <c r="O13" s="61"/>
    </row>
    <row r="14" spans="1:15" ht="16">
      <c r="B14" t="s">
        <v>1402</v>
      </c>
      <c r="C14">
        <v>4</v>
      </c>
      <c r="D14">
        <v>0</v>
      </c>
      <c r="E14">
        <v>13</v>
      </c>
      <c r="F14">
        <v>0</v>
      </c>
      <c r="G14">
        <v>1</v>
      </c>
      <c r="H14">
        <v>9</v>
      </c>
      <c r="I14">
        <f t="shared" si="0"/>
        <v>27</v>
      </c>
      <c r="J14" s="12" t="s">
        <v>751</v>
      </c>
      <c r="K14" s="12" t="s">
        <v>751</v>
      </c>
      <c r="M14" s="17" t="s">
        <v>586</v>
      </c>
      <c r="N14" t="s">
        <v>1622</v>
      </c>
      <c r="O14" s="61"/>
    </row>
    <row r="15" spans="1:15" ht="16">
      <c r="B15" t="s">
        <v>1403</v>
      </c>
      <c r="C15">
        <v>0</v>
      </c>
      <c r="D15">
        <v>0</v>
      </c>
      <c r="E15">
        <v>7</v>
      </c>
      <c r="F15">
        <v>1</v>
      </c>
      <c r="G15">
        <v>0</v>
      </c>
      <c r="H15">
        <v>7</v>
      </c>
      <c r="I15">
        <f t="shared" si="0"/>
        <v>15</v>
      </c>
      <c r="J15" t="s">
        <v>1588</v>
      </c>
      <c r="K15" t="s">
        <v>1588</v>
      </c>
      <c r="M15" s="17" t="s">
        <v>588</v>
      </c>
      <c r="N15" t="s">
        <v>1623</v>
      </c>
      <c r="O15" s="61"/>
    </row>
    <row r="16" spans="1:15" ht="16">
      <c r="B16" t="s">
        <v>1404</v>
      </c>
      <c r="C16">
        <v>1</v>
      </c>
      <c r="D16">
        <v>3</v>
      </c>
      <c r="E16">
        <v>14</v>
      </c>
      <c r="F16">
        <v>5</v>
      </c>
      <c r="G16">
        <v>2</v>
      </c>
      <c r="H16">
        <v>13</v>
      </c>
      <c r="I16">
        <f t="shared" si="0"/>
        <v>38</v>
      </c>
      <c r="J16" s="12" t="s">
        <v>767</v>
      </c>
      <c r="K16" s="12" t="s">
        <v>751</v>
      </c>
      <c r="M16" s="10" t="s">
        <v>589</v>
      </c>
      <c r="N16" t="s">
        <v>1626</v>
      </c>
      <c r="O16" s="61"/>
    </row>
    <row r="17" spans="2:15" ht="16">
      <c r="B17" t="s">
        <v>1405</v>
      </c>
      <c r="C17">
        <v>0</v>
      </c>
      <c r="D17">
        <v>0</v>
      </c>
      <c r="E17">
        <v>4</v>
      </c>
      <c r="F17">
        <v>0</v>
      </c>
      <c r="G17">
        <v>0</v>
      </c>
      <c r="H17">
        <v>8</v>
      </c>
      <c r="I17">
        <f t="shared" si="0"/>
        <v>12</v>
      </c>
      <c r="J17" t="s">
        <v>1588</v>
      </c>
      <c r="K17" t="s">
        <v>1588</v>
      </c>
      <c r="M17" s="10" t="s">
        <v>599</v>
      </c>
      <c r="N17" t="s">
        <v>1620</v>
      </c>
      <c r="O17" s="61"/>
    </row>
    <row r="18" spans="2:15" ht="16">
      <c r="B18" t="s">
        <v>1406</v>
      </c>
      <c r="C18" t="s">
        <v>1584</v>
      </c>
      <c r="D18">
        <v>3</v>
      </c>
      <c r="E18">
        <v>6</v>
      </c>
      <c r="F18">
        <v>2</v>
      </c>
      <c r="G18">
        <v>1</v>
      </c>
      <c r="H18">
        <v>18</v>
      </c>
      <c r="I18">
        <f t="shared" si="0"/>
        <v>30</v>
      </c>
      <c r="J18" s="12" t="s">
        <v>767</v>
      </c>
      <c r="K18" s="12" t="s">
        <v>751</v>
      </c>
      <c r="M18" s="10" t="s">
        <v>600</v>
      </c>
      <c r="N18" t="s">
        <v>1621</v>
      </c>
      <c r="O18" s="61"/>
    </row>
    <row r="19" spans="2:15" ht="16">
      <c r="B19" t="s">
        <v>1407</v>
      </c>
      <c r="C19">
        <v>6</v>
      </c>
      <c r="D19">
        <v>0</v>
      </c>
      <c r="E19">
        <v>23</v>
      </c>
      <c r="F19">
        <v>3</v>
      </c>
      <c r="G19">
        <v>2</v>
      </c>
      <c r="H19">
        <v>17</v>
      </c>
      <c r="I19">
        <f t="shared" si="0"/>
        <v>51</v>
      </c>
      <c r="J19" s="12" t="s">
        <v>767</v>
      </c>
      <c r="K19" s="12" t="s">
        <v>767</v>
      </c>
      <c r="M19" s="10" t="s">
        <v>601</v>
      </c>
      <c r="N19" t="s">
        <v>1619</v>
      </c>
      <c r="O19" s="61"/>
    </row>
    <row r="20" spans="2:15" ht="16">
      <c r="B20" t="s">
        <v>1408</v>
      </c>
      <c r="C20">
        <v>2</v>
      </c>
      <c r="D20">
        <v>7</v>
      </c>
      <c r="E20">
        <v>7</v>
      </c>
      <c r="F20">
        <v>10</v>
      </c>
      <c r="G20">
        <v>7</v>
      </c>
      <c r="H20" t="s">
        <v>1584</v>
      </c>
      <c r="I20" t="s">
        <v>1584</v>
      </c>
      <c r="J20" s="12" t="s">
        <v>767</v>
      </c>
      <c r="K20" s="12" t="s">
        <v>767</v>
      </c>
      <c r="L20" t="s">
        <v>1588</v>
      </c>
      <c r="M20" s="10" t="s">
        <v>602</v>
      </c>
      <c r="N20" t="s">
        <v>1617</v>
      </c>
      <c r="O20" s="61"/>
    </row>
    <row r="21" spans="2:15" ht="16">
      <c r="B21" t="s">
        <v>1409</v>
      </c>
      <c r="C21">
        <v>2</v>
      </c>
      <c r="D21">
        <v>6</v>
      </c>
      <c r="E21">
        <v>7</v>
      </c>
      <c r="F21">
        <v>1</v>
      </c>
      <c r="G21">
        <v>5</v>
      </c>
      <c r="H21">
        <v>2</v>
      </c>
      <c r="I21">
        <f t="shared" ref="I21:I32" si="1">SUM(C21:H21)</f>
        <v>23</v>
      </c>
      <c r="J21" s="12" t="s">
        <v>751</v>
      </c>
      <c r="K21" s="12" t="s">
        <v>751</v>
      </c>
      <c r="L21" t="s">
        <v>1588</v>
      </c>
      <c r="M21" s="10" t="s">
        <v>604</v>
      </c>
      <c r="N21" t="s">
        <v>1618</v>
      </c>
      <c r="O21" s="61"/>
    </row>
    <row r="22" spans="2:15" ht="16">
      <c r="B22" t="s">
        <v>1410</v>
      </c>
      <c r="C22">
        <v>4</v>
      </c>
      <c r="D22">
        <v>0</v>
      </c>
      <c r="E22">
        <v>4</v>
      </c>
      <c r="F22">
        <v>7</v>
      </c>
      <c r="G22">
        <v>0</v>
      </c>
      <c r="H22">
        <v>4</v>
      </c>
      <c r="I22">
        <f t="shared" si="1"/>
        <v>19</v>
      </c>
      <c r="J22" s="12" t="s">
        <v>751</v>
      </c>
      <c r="K22" s="12" t="s">
        <v>751</v>
      </c>
      <c r="M22" s="10" t="s">
        <v>610</v>
      </c>
      <c r="N22" t="s">
        <v>1683</v>
      </c>
      <c r="O22" s="61"/>
    </row>
    <row r="23" spans="2:15" ht="16">
      <c r="B23" t="s">
        <v>1411</v>
      </c>
      <c r="C23">
        <v>1</v>
      </c>
      <c r="D23">
        <v>1</v>
      </c>
      <c r="E23">
        <v>5</v>
      </c>
      <c r="F23">
        <v>0</v>
      </c>
      <c r="G23">
        <v>1</v>
      </c>
      <c r="H23">
        <v>8</v>
      </c>
      <c r="I23">
        <f t="shared" si="1"/>
        <v>16</v>
      </c>
      <c r="J23" s="12" t="s">
        <v>751</v>
      </c>
      <c r="K23" s="12" t="s">
        <v>751</v>
      </c>
      <c r="M23" s="10" t="s">
        <v>611</v>
      </c>
      <c r="N23" t="s">
        <v>1684</v>
      </c>
      <c r="O23" s="61"/>
    </row>
    <row r="24" spans="2:15" ht="16">
      <c r="B24" t="s">
        <v>1412</v>
      </c>
      <c r="C24">
        <v>0</v>
      </c>
      <c r="D24">
        <v>2</v>
      </c>
      <c r="E24">
        <v>3</v>
      </c>
      <c r="F24">
        <v>11</v>
      </c>
      <c r="G24">
        <v>4</v>
      </c>
      <c r="H24">
        <v>15</v>
      </c>
      <c r="I24">
        <f t="shared" si="1"/>
        <v>35</v>
      </c>
      <c r="J24" s="12" t="s">
        <v>767</v>
      </c>
      <c r="K24" s="12" t="s">
        <v>751</v>
      </c>
      <c r="M24" s="10" t="s">
        <v>612</v>
      </c>
      <c r="N24" t="s">
        <v>1681</v>
      </c>
      <c r="O24" s="61"/>
    </row>
    <row r="25" spans="2:15" ht="16">
      <c r="B25" t="s">
        <v>1413</v>
      </c>
      <c r="C25">
        <v>0</v>
      </c>
      <c r="D25">
        <v>0</v>
      </c>
      <c r="E25">
        <v>2</v>
      </c>
      <c r="F25">
        <v>6</v>
      </c>
      <c r="G25">
        <v>1</v>
      </c>
      <c r="H25">
        <v>6</v>
      </c>
      <c r="I25">
        <f t="shared" si="1"/>
        <v>15</v>
      </c>
      <c r="J25" t="s">
        <v>1584</v>
      </c>
      <c r="K25" t="s">
        <v>614</v>
      </c>
      <c r="M25" s="10" t="s">
        <v>613</v>
      </c>
      <c r="N25" t="s">
        <v>1682</v>
      </c>
      <c r="O25" s="61"/>
    </row>
    <row r="26" spans="2:15" ht="16">
      <c r="B26" t="s">
        <v>1414</v>
      </c>
      <c r="C26">
        <v>3</v>
      </c>
      <c r="D26">
        <v>0</v>
      </c>
      <c r="E26">
        <v>8</v>
      </c>
      <c r="F26">
        <v>5</v>
      </c>
      <c r="G26">
        <v>3</v>
      </c>
      <c r="H26">
        <v>0</v>
      </c>
      <c r="I26">
        <f t="shared" si="1"/>
        <v>19</v>
      </c>
      <c r="J26" s="12" t="s">
        <v>751</v>
      </c>
      <c r="K26" s="12" t="s">
        <v>767</v>
      </c>
      <c r="M26" s="10" t="s">
        <v>615</v>
      </c>
      <c r="N26" t="s">
        <v>1685</v>
      </c>
      <c r="O26" s="61"/>
    </row>
    <row r="27" spans="2:15" ht="16">
      <c r="B27" t="s">
        <v>1415</v>
      </c>
      <c r="C27">
        <v>0</v>
      </c>
      <c r="D27">
        <v>0</v>
      </c>
      <c r="E27">
        <v>10</v>
      </c>
      <c r="F27">
        <v>12</v>
      </c>
      <c r="G27">
        <v>9</v>
      </c>
      <c r="H27">
        <v>16</v>
      </c>
      <c r="I27">
        <f t="shared" si="1"/>
        <v>47</v>
      </c>
      <c r="J27" s="12" t="s">
        <v>767</v>
      </c>
      <c r="K27" s="12" t="s">
        <v>751</v>
      </c>
      <c r="M27" s="10" t="s">
        <v>622</v>
      </c>
      <c r="N27" t="s">
        <v>1680</v>
      </c>
      <c r="O27" s="61"/>
    </row>
    <row r="28" spans="2:15" ht="16">
      <c r="B28" t="s">
        <v>1416</v>
      </c>
      <c r="C28">
        <v>1</v>
      </c>
      <c r="D28">
        <v>0</v>
      </c>
      <c r="E28">
        <v>4</v>
      </c>
      <c r="F28">
        <v>13</v>
      </c>
      <c r="G28">
        <v>0</v>
      </c>
      <c r="H28">
        <v>7</v>
      </c>
      <c r="I28">
        <f t="shared" si="1"/>
        <v>25</v>
      </c>
      <c r="J28" s="12" t="s">
        <v>767</v>
      </c>
      <c r="K28" s="12" t="s">
        <v>751</v>
      </c>
      <c r="M28" s="10" t="s">
        <v>623</v>
      </c>
      <c r="N28" t="s">
        <v>1678</v>
      </c>
      <c r="O28" s="61"/>
    </row>
    <row r="29" spans="2:15" ht="16">
      <c r="B29" t="s">
        <v>1417</v>
      </c>
      <c r="C29">
        <v>0</v>
      </c>
      <c r="D29">
        <v>0</v>
      </c>
      <c r="E29">
        <v>13</v>
      </c>
      <c r="F29">
        <v>17</v>
      </c>
      <c r="G29">
        <v>4</v>
      </c>
      <c r="H29">
        <v>16</v>
      </c>
      <c r="I29">
        <f t="shared" si="1"/>
        <v>50</v>
      </c>
      <c r="J29" s="12" t="s">
        <v>767</v>
      </c>
      <c r="K29" s="12" t="s">
        <v>751</v>
      </c>
      <c r="M29" s="10" t="s">
        <v>624</v>
      </c>
      <c r="N29" t="s">
        <v>1677</v>
      </c>
      <c r="O29" s="61"/>
    </row>
    <row r="30" spans="2:15" ht="16">
      <c r="B30" t="s">
        <v>1418</v>
      </c>
      <c r="C30">
        <v>2</v>
      </c>
      <c r="D30">
        <v>0</v>
      </c>
      <c r="E30">
        <v>9</v>
      </c>
      <c r="F30">
        <v>18</v>
      </c>
      <c r="G30">
        <v>10</v>
      </c>
      <c r="H30">
        <v>20</v>
      </c>
      <c r="I30">
        <f t="shared" si="1"/>
        <v>59</v>
      </c>
      <c r="J30" s="12" t="s">
        <v>751</v>
      </c>
      <c r="K30" s="12" t="s">
        <v>751</v>
      </c>
      <c r="M30" s="10" t="s">
        <v>625</v>
      </c>
      <c r="N30" t="s">
        <v>1686</v>
      </c>
      <c r="O30" s="61"/>
    </row>
    <row r="31" spans="2:15" ht="16">
      <c r="B31" t="s">
        <v>1419</v>
      </c>
      <c r="C31">
        <v>0</v>
      </c>
      <c r="D31">
        <v>0</v>
      </c>
      <c r="E31">
        <v>9</v>
      </c>
      <c r="F31">
        <v>15</v>
      </c>
      <c r="G31">
        <v>2</v>
      </c>
      <c r="H31">
        <v>13</v>
      </c>
      <c r="I31">
        <f t="shared" si="1"/>
        <v>39</v>
      </c>
      <c r="J31" s="12" t="s">
        <v>767</v>
      </c>
      <c r="K31" s="12" t="s">
        <v>767</v>
      </c>
      <c r="M31" s="10" t="s">
        <v>626</v>
      </c>
      <c r="N31" t="s">
        <v>1679</v>
      </c>
      <c r="O31" s="61"/>
    </row>
    <row r="32" spans="2:15" ht="16">
      <c r="B32" t="s">
        <v>1420</v>
      </c>
      <c r="C32">
        <v>5</v>
      </c>
      <c r="D32">
        <v>0</v>
      </c>
      <c r="E32">
        <v>12</v>
      </c>
      <c r="F32">
        <v>1</v>
      </c>
      <c r="G32">
        <v>6</v>
      </c>
      <c r="H32">
        <v>8</v>
      </c>
      <c r="I32">
        <f t="shared" si="1"/>
        <v>32</v>
      </c>
      <c r="J32" s="12" t="s">
        <v>751</v>
      </c>
      <c r="K32" s="12" t="s">
        <v>767</v>
      </c>
      <c r="M32" s="10" t="s">
        <v>632</v>
      </c>
      <c r="N32" t="s">
        <v>1636</v>
      </c>
      <c r="O32" s="61"/>
    </row>
    <row r="33" spans="2:15" ht="16">
      <c r="B33" t="s">
        <v>1421</v>
      </c>
      <c r="C33">
        <v>1</v>
      </c>
      <c r="D33">
        <v>0</v>
      </c>
      <c r="E33">
        <v>4</v>
      </c>
      <c r="F33">
        <v>0</v>
      </c>
      <c r="G33">
        <v>1</v>
      </c>
      <c r="H33" t="s">
        <v>1584</v>
      </c>
      <c r="I33" t="s">
        <v>1584</v>
      </c>
      <c r="J33" t="s">
        <v>1584</v>
      </c>
      <c r="K33" t="s">
        <v>1588</v>
      </c>
      <c r="M33" s="10" t="s">
        <v>633</v>
      </c>
      <c r="N33" t="s">
        <v>1633</v>
      </c>
      <c r="O33" s="61"/>
    </row>
    <row r="34" spans="2:15" ht="16">
      <c r="B34" t="s">
        <v>1422</v>
      </c>
      <c r="C34">
        <v>4</v>
      </c>
      <c r="D34">
        <v>0</v>
      </c>
      <c r="E34">
        <v>17</v>
      </c>
      <c r="F34">
        <v>4</v>
      </c>
      <c r="G34">
        <v>7</v>
      </c>
      <c r="H34">
        <v>12</v>
      </c>
      <c r="I34">
        <f>SUM(C34:H34)</f>
        <v>44</v>
      </c>
      <c r="J34" s="12" t="s">
        <v>767</v>
      </c>
      <c r="K34" s="12" t="s">
        <v>767</v>
      </c>
      <c r="M34" s="10" t="s">
        <v>634</v>
      </c>
      <c r="N34" t="s">
        <v>1635</v>
      </c>
      <c r="O34" s="61"/>
    </row>
    <row r="35" spans="2:15" ht="16">
      <c r="B35" t="s">
        <v>1423</v>
      </c>
      <c r="C35">
        <v>1</v>
      </c>
      <c r="D35">
        <v>0</v>
      </c>
      <c r="E35">
        <v>14</v>
      </c>
      <c r="F35">
        <v>3</v>
      </c>
      <c r="G35">
        <v>0</v>
      </c>
      <c r="H35">
        <v>11</v>
      </c>
      <c r="I35">
        <f>SUM(C35:H35)</f>
        <v>29</v>
      </c>
      <c r="J35" s="12" t="s">
        <v>767</v>
      </c>
      <c r="K35" s="12" t="s">
        <v>751</v>
      </c>
      <c r="M35" s="10" t="s">
        <v>635</v>
      </c>
      <c r="N35" t="s">
        <v>1634</v>
      </c>
      <c r="O35" s="61"/>
    </row>
    <row r="36" spans="2:15" ht="16">
      <c r="B36" t="s">
        <v>1424</v>
      </c>
      <c r="C36">
        <v>0</v>
      </c>
      <c r="D36">
        <v>0</v>
      </c>
      <c r="E36">
        <v>9</v>
      </c>
      <c r="F36">
        <v>2</v>
      </c>
      <c r="G36">
        <v>2</v>
      </c>
      <c r="H36">
        <v>3</v>
      </c>
      <c r="I36">
        <f>SUM(C36:H36)</f>
        <v>16</v>
      </c>
      <c r="J36" t="s">
        <v>12</v>
      </c>
      <c r="K36" s="12" t="s">
        <v>751</v>
      </c>
      <c r="M36" s="10" t="s">
        <v>636</v>
      </c>
      <c r="N36" t="s">
        <v>1632</v>
      </c>
      <c r="O36" s="61"/>
    </row>
    <row r="37" spans="2:15" ht="15.75" customHeight="1">
      <c r="B37" t="s">
        <v>1425</v>
      </c>
      <c r="C37">
        <v>0</v>
      </c>
      <c r="D37">
        <v>0</v>
      </c>
      <c r="E37">
        <v>12</v>
      </c>
      <c r="F37">
        <v>0</v>
      </c>
      <c r="G37">
        <v>0</v>
      </c>
      <c r="H37" t="s">
        <v>1584</v>
      </c>
      <c r="I37" t="s">
        <v>1584</v>
      </c>
      <c r="J37" t="s">
        <v>1584</v>
      </c>
      <c r="K37" t="s">
        <v>1584</v>
      </c>
      <c r="L37" t="s">
        <v>1588</v>
      </c>
      <c r="M37" s="10" t="s">
        <v>643</v>
      </c>
      <c r="N37" t="s">
        <v>1628</v>
      </c>
      <c r="O37" s="61"/>
    </row>
    <row r="38" spans="2:15" ht="15.75" customHeight="1">
      <c r="B38" t="s">
        <v>1426</v>
      </c>
      <c r="C38">
        <v>0</v>
      </c>
      <c r="D38">
        <v>1</v>
      </c>
      <c r="E38">
        <v>14</v>
      </c>
      <c r="F38">
        <v>11</v>
      </c>
      <c r="G38">
        <v>6</v>
      </c>
      <c r="H38">
        <v>11</v>
      </c>
      <c r="I38">
        <f>SUM(C38:H38)</f>
        <v>43</v>
      </c>
      <c r="J38" s="12" t="s">
        <v>751</v>
      </c>
      <c r="K38" s="12" t="s">
        <v>751</v>
      </c>
      <c r="M38" s="10" t="s">
        <v>644</v>
      </c>
      <c r="N38" t="s">
        <v>1631</v>
      </c>
      <c r="O38" s="61"/>
    </row>
    <row r="39" spans="2:15" ht="15.75" customHeight="1">
      <c r="B39" t="s">
        <v>1427</v>
      </c>
      <c r="C39">
        <v>0</v>
      </c>
      <c r="D39">
        <v>1</v>
      </c>
      <c r="E39">
        <v>16</v>
      </c>
      <c r="F39">
        <v>1</v>
      </c>
      <c r="G39">
        <v>6</v>
      </c>
      <c r="H39">
        <v>13</v>
      </c>
      <c r="I39">
        <f>SUM(C39:H39)</f>
        <v>37</v>
      </c>
      <c r="J39" s="12" t="s">
        <v>767</v>
      </c>
      <c r="K39" s="12" t="s">
        <v>751</v>
      </c>
      <c r="L39" t="s">
        <v>646</v>
      </c>
      <c r="M39" s="10" t="s">
        <v>645</v>
      </c>
      <c r="N39" t="s">
        <v>1627</v>
      </c>
      <c r="O39" s="61"/>
    </row>
    <row r="40" spans="2:15" ht="15.75" customHeight="1">
      <c r="B40" t="s">
        <v>1428</v>
      </c>
      <c r="C40">
        <v>1</v>
      </c>
      <c r="D40">
        <v>0</v>
      </c>
      <c r="E40">
        <v>9</v>
      </c>
      <c r="F40">
        <v>1</v>
      </c>
      <c r="G40">
        <v>1</v>
      </c>
      <c r="H40">
        <v>8</v>
      </c>
      <c r="I40">
        <f>SUM(C40:H40)</f>
        <v>20</v>
      </c>
      <c r="J40" s="12" t="s">
        <v>751</v>
      </c>
      <c r="K40" s="12" t="s">
        <v>751</v>
      </c>
      <c r="M40" s="10" t="s">
        <v>647</v>
      </c>
      <c r="N40" t="s">
        <v>1629</v>
      </c>
      <c r="O40" s="61"/>
    </row>
    <row r="41" spans="2:15" ht="15.75" customHeight="1">
      <c r="B41" t="s">
        <v>1429</v>
      </c>
      <c r="C41">
        <v>0</v>
      </c>
      <c r="D41">
        <v>0</v>
      </c>
      <c r="E41">
        <v>2</v>
      </c>
      <c r="F41">
        <v>2</v>
      </c>
      <c r="G41">
        <v>0</v>
      </c>
      <c r="H41">
        <v>9</v>
      </c>
      <c r="I41">
        <f>SUM(C41:H41)</f>
        <v>13</v>
      </c>
      <c r="J41" s="12" t="s">
        <v>751</v>
      </c>
      <c r="K41" s="12" t="s">
        <v>751</v>
      </c>
      <c r="M41" s="10" t="s">
        <v>648</v>
      </c>
      <c r="N41" t="s">
        <v>1630</v>
      </c>
      <c r="O41" s="61"/>
    </row>
    <row r="42" spans="2:15" ht="16">
      <c r="B42" t="s">
        <v>1430</v>
      </c>
      <c r="C42">
        <v>2</v>
      </c>
      <c r="D42">
        <v>0</v>
      </c>
      <c r="E42">
        <v>8</v>
      </c>
      <c r="F42">
        <v>0</v>
      </c>
      <c r="G42">
        <v>3</v>
      </c>
      <c r="H42">
        <v>2</v>
      </c>
      <c r="I42">
        <f>SUM(C42:H42)</f>
        <v>15</v>
      </c>
      <c r="J42" s="12" t="s">
        <v>767</v>
      </c>
      <c r="K42" s="12" t="s">
        <v>751</v>
      </c>
      <c r="M42" s="10" t="s">
        <v>654</v>
      </c>
      <c r="N42" t="s">
        <v>1663</v>
      </c>
      <c r="O42" s="61"/>
    </row>
    <row r="43" spans="2:15" ht="16">
      <c r="B43" t="s">
        <v>1431</v>
      </c>
      <c r="C43">
        <v>6</v>
      </c>
      <c r="D43">
        <v>0</v>
      </c>
      <c r="E43">
        <v>6</v>
      </c>
      <c r="F43">
        <v>0</v>
      </c>
      <c r="G43">
        <v>1</v>
      </c>
      <c r="H43" t="s">
        <v>1584</v>
      </c>
      <c r="I43" t="s">
        <v>1584</v>
      </c>
      <c r="J43" t="s">
        <v>656</v>
      </c>
      <c r="K43" t="s">
        <v>656</v>
      </c>
      <c r="L43" t="s">
        <v>1588</v>
      </c>
      <c r="M43" s="10" t="s">
        <v>655</v>
      </c>
      <c r="N43" t="s">
        <v>1665</v>
      </c>
      <c r="O43" s="61"/>
    </row>
    <row r="44" spans="2:15" ht="16">
      <c r="B44" t="s">
        <v>1432</v>
      </c>
      <c r="C44">
        <v>3</v>
      </c>
      <c r="D44">
        <v>4</v>
      </c>
      <c r="E44">
        <v>15</v>
      </c>
      <c r="F44">
        <v>2</v>
      </c>
      <c r="G44">
        <v>3</v>
      </c>
      <c r="H44">
        <v>4</v>
      </c>
      <c r="I44">
        <f t="shared" ref="I44:I71" si="2">SUM(C44:H44)</f>
        <v>31</v>
      </c>
      <c r="J44" s="12" t="s">
        <v>767</v>
      </c>
      <c r="K44" t="s">
        <v>603</v>
      </c>
      <c r="M44" s="10" t="s">
        <v>657</v>
      </c>
      <c r="N44" t="s">
        <v>1662</v>
      </c>
      <c r="O44" s="61"/>
    </row>
    <row r="45" spans="2:15" ht="16">
      <c r="B45" t="s">
        <v>1433</v>
      </c>
      <c r="C45">
        <v>3</v>
      </c>
      <c r="D45">
        <v>0</v>
      </c>
      <c r="E45">
        <v>6</v>
      </c>
      <c r="F45">
        <v>0</v>
      </c>
      <c r="G45">
        <v>0</v>
      </c>
      <c r="H45">
        <v>1</v>
      </c>
      <c r="I45">
        <f t="shared" si="2"/>
        <v>10</v>
      </c>
      <c r="J45" s="12" t="s">
        <v>751</v>
      </c>
      <c r="K45" s="12" t="s">
        <v>751</v>
      </c>
      <c r="M45" s="10" t="s">
        <v>658</v>
      </c>
      <c r="N45" t="s">
        <v>1664</v>
      </c>
      <c r="O45" s="61"/>
    </row>
    <row r="46" spans="2:15" ht="16">
      <c r="B46" t="s">
        <v>1434</v>
      </c>
      <c r="C46">
        <v>5</v>
      </c>
      <c r="D46">
        <v>2</v>
      </c>
      <c r="E46">
        <v>3</v>
      </c>
      <c r="F46">
        <v>2</v>
      </c>
      <c r="G46">
        <v>1</v>
      </c>
      <c r="H46">
        <v>1</v>
      </c>
      <c r="I46">
        <f t="shared" si="2"/>
        <v>14</v>
      </c>
      <c r="J46" s="12" t="s">
        <v>751</v>
      </c>
      <c r="K46" s="12" t="s">
        <v>751</v>
      </c>
      <c r="M46" s="10" t="s">
        <v>659</v>
      </c>
      <c r="N46" t="s">
        <v>1666</v>
      </c>
      <c r="O46" s="61"/>
    </row>
    <row r="47" spans="2:15" ht="16">
      <c r="B47" t="s">
        <v>1435</v>
      </c>
      <c r="C47">
        <v>5</v>
      </c>
      <c r="D47">
        <v>2</v>
      </c>
      <c r="E47">
        <v>10</v>
      </c>
      <c r="F47">
        <v>4</v>
      </c>
      <c r="G47">
        <v>1</v>
      </c>
      <c r="H47">
        <v>1</v>
      </c>
      <c r="I47">
        <f t="shared" si="2"/>
        <v>23</v>
      </c>
      <c r="J47" s="12" t="s">
        <v>767</v>
      </c>
      <c r="K47" s="12" t="s">
        <v>751</v>
      </c>
      <c r="M47" s="10" t="s">
        <v>665</v>
      </c>
      <c r="N47" t="s">
        <v>1658</v>
      </c>
      <c r="O47" s="61"/>
    </row>
    <row r="48" spans="2:15" ht="16">
      <c r="B48" t="s">
        <v>1436</v>
      </c>
      <c r="C48">
        <v>5</v>
      </c>
      <c r="D48">
        <v>2</v>
      </c>
      <c r="E48">
        <v>12</v>
      </c>
      <c r="F48">
        <v>4</v>
      </c>
      <c r="G48">
        <v>3</v>
      </c>
      <c r="H48">
        <v>2</v>
      </c>
      <c r="I48">
        <f t="shared" si="2"/>
        <v>28</v>
      </c>
      <c r="J48" s="12" t="s">
        <v>751</v>
      </c>
      <c r="K48" s="12" t="s">
        <v>767</v>
      </c>
      <c r="M48" s="10" t="s">
        <v>666</v>
      </c>
      <c r="N48" t="s">
        <v>1661</v>
      </c>
      <c r="O48" s="61"/>
    </row>
    <row r="49" spans="2:15" ht="16">
      <c r="B49" t="s">
        <v>1437</v>
      </c>
      <c r="C49">
        <v>4</v>
      </c>
      <c r="D49">
        <v>0</v>
      </c>
      <c r="E49">
        <v>20</v>
      </c>
      <c r="F49">
        <v>2</v>
      </c>
      <c r="G49">
        <v>4</v>
      </c>
      <c r="H49">
        <v>3</v>
      </c>
      <c r="I49">
        <f t="shared" si="2"/>
        <v>33</v>
      </c>
      <c r="J49" s="12" t="s">
        <v>767</v>
      </c>
      <c r="K49" s="12" t="s">
        <v>767</v>
      </c>
      <c r="M49" s="10" t="s">
        <v>667</v>
      </c>
      <c r="N49" t="s">
        <v>1660</v>
      </c>
      <c r="O49" s="61"/>
    </row>
    <row r="50" spans="2:15" ht="16">
      <c r="B50" t="s">
        <v>1438</v>
      </c>
      <c r="C50">
        <v>6</v>
      </c>
      <c r="D50">
        <v>0</v>
      </c>
      <c r="E50">
        <v>17</v>
      </c>
      <c r="F50">
        <v>9</v>
      </c>
      <c r="G50">
        <v>10</v>
      </c>
      <c r="H50">
        <v>3</v>
      </c>
      <c r="I50">
        <f t="shared" si="2"/>
        <v>45</v>
      </c>
      <c r="J50" s="12" t="s">
        <v>767</v>
      </c>
      <c r="K50" s="12" t="s">
        <v>767</v>
      </c>
      <c r="M50" s="10" t="s">
        <v>668</v>
      </c>
      <c r="N50" t="s">
        <v>1659</v>
      </c>
      <c r="O50" s="61"/>
    </row>
    <row r="51" spans="2:15" ht="16">
      <c r="B51" t="s">
        <v>1439</v>
      </c>
      <c r="C51">
        <v>4</v>
      </c>
      <c r="D51">
        <v>2</v>
      </c>
      <c r="E51">
        <v>13</v>
      </c>
      <c r="F51">
        <v>4</v>
      </c>
      <c r="G51">
        <v>6</v>
      </c>
      <c r="H51">
        <v>2</v>
      </c>
      <c r="I51">
        <f t="shared" si="2"/>
        <v>31</v>
      </c>
      <c r="J51" s="12" t="s">
        <v>767</v>
      </c>
      <c r="K51" s="12" t="s">
        <v>767</v>
      </c>
      <c r="M51" s="10" t="s">
        <v>669</v>
      </c>
      <c r="N51" t="s">
        <v>1657</v>
      </c>
      <c r="O51" s="61"/>
    </row>
    <row r="52" spans="2:15" ht="16">
      <c r="B52" t="s">
        <v>1440</v>
      </c>
      <c r="C52">
        <v>0</v>
      </c>
      <c r="D52">
        <v>0</v>
      </c>
      <c r="E52">
        <v>0</v>
      </c>
      <c r="F52">
        <v>8</v>
      </c>
      <c r="G52">
        <v>3</v>
      </c>
      <c r="H52">
        <v>8</v>
      </c>
      <c r="I52">
        <f t="shared" si="2"/>
        <v>19</v>
      </c>
      <c r="J52" t="s">
        <v>1588</v>
      </c>
      <c r="K52" t="s">
        <v>1588</v>
      </c>
      <c r="M52" s="10" t="s">
        <v>672</v>
      </c>
      <c r="N52" t="s">
        <v>1675</v>
      </c>
      <c r="O52" s="61"/>
    </row>
    <row r="53" spans="2:15" ht="16">
      <c r="B53" t="s">
        <v>1441</v>
      </c>
      <c r="C53">
        <v>3</v>
      </c>
      <c r="D53">
        <v>0</v>
      </c>
      <c r="E53">
        <v>3</v>
      </c>
      <c r="F53">
        <v>3</v>
      </c>
      <c r="G53">
        <v>5</v>
      </c>
      <c r="H53">
        <v>16</v>
      </c>
      <c r="I53">
        <f t="shared" si="2"/>
        <v>30</v>
      </c>
      <c r="J53" t="s">
        <v>1588</v>
      </c>
      <c r="K53" s="12" t="s">
        <v>767</v>
      </c>
      <c r="M53" s="10" t="s">
        <v>673</v>
      </c>
      <c r="N53" t="s">
        <v>1673</v>
      </c>
      <c r="O53" s="61"/>
    </row>
    <row r="54" spans="2:15" ht="16">
      <c r="B54" t="s">
        <v>1442</v>
      </c>
      <c r="C54">
        <v>5</v>
      </c>
      <c r="D54">
        <v>0</v>
      </c>
      <c r="E54">
        <v>10</v>
      </c>
      <c r="F54">
        <v>6</v>
      </c>
      <c r="G54">
        <v>5</v>
      </c>
      <c r="H54">
        <v>22</v>
      </c>
      <c r="I54">
        <f t="shared" si="2"/>
        <v>48</v>
      </c>
      <c r="J54" s="12" t="s">
        <v>767</v>
      </c>
      <c r="K54" s="12" t="s">
        <v>767</v>
      </c>
      <c r="M54" s="10" t="s">
        <v>674</v>
      </c>
      <c r="N54" t="s">
        <v>1674</v>
      </c>
      <c r="O54" s="61"/>
    </row>
    <row r="55" spans="2:15" ht="16">
      <c r="B55" t="s">
        <v>1443</v>
      </c>
      <c r="C55">
        <v>8</v>
      </c>
      <c r="D55">
        <v>3</v>
      </c>
      <c r="E55">
        <v>5</v>
      </c>
      <c r="F55">
        <v>6</v>
      </c>
      <c r="G55">
        <v>15</v>
      </c>
      <c r="H55">
        <v>17</v>
      </c>
      <c r="I55">
        <f t="shared" si="2"/>
        <v>54</v>
      </c>
      <c r="J55" s="12" t="s">
        <v>767</v>
      </c>
      <c r="K55" s="12" t="s">
        <v>767</v>
      </c>
      <c r="M55" s="10" t="s">
        <v>675</v>
      </c>
      <c r="N55" t="s">
        <v>1672</v>
      </c>
      <c r="O55" s="61"/>
    </row>
    <row r="56" spans="2:15" ht="16">
      <c r="B56" t="s">
        <v>1444</v>
      </c>
      <c r="C56">
        <v>9</v>
      </c>
      <c r="D56">
        <v>0</v>
      </c>
      <c r="E56">
        <v>6</v>
      </c>
      <c r="F56">
        <v>0</v>
      </c>
      <c r="G56">
        <v>5</v>
      </c>
      <c r="H56">
        <v>10</v>
      </c>
      <c r="I56">
        <f t="shared" si="2"/>
        <v>30</v>
      </c>
      <c r="J56" s="12" t="s">
        <v>751</v>
      </c>
      <c r="K56" s="12" t="s">
        <v>751</v>
      </c>
      <c r="M56" s="10" t="s">
        <v>676</v>
      </c>
      <c r="N56" t="s">
        <v>1676</v>
      </c>
      <c r="O56" s="61"/>
    </row>
    <row r="57" spans="2:15" ht="16">
      <c r="B57" t="s">
        <v>1445</v>
      </c>
      <c r="C57">
        <v>6</v>
      </c>
      <c r="D57">
        <v>0</v>
      </c>
      <c r="E57">
        <v>2</v>
      </c>
      <c r="F57">
        <v>5</v>
      </c>
      <c r="G57">
        <v>1</v>
      </c>
      <c r="H57">
        <v>12</v>
      </c>
      <c r="I57">
        <f t="shared" si="2"/>
        <v>26</v>
      </c>
      <c r="J57" t="s">
        <v>554</v>
      </c>
      <c r="K57" s="12" t="s">
        <v>767</v>
      </c>
      <c r="M57" s="10" t="s">
        <v>680</v>
      </c>
      <c r="N57" t="s">
        <v>1667</v>
      </c>
      <c r="O57" s="61"/>
    </row>
    <row r="58" spans="2:15" ht="16">
      <c r="B58" t="s">
        <v>1446</v>
      </c>
      <c r="C58">
        <v>0</v>
      </c>
      <c r="D58">
        <v>1</v>
      </c>
      <c r="E58">
        <v>0</v>
      </c>
      <c r="F58">
        <v>5</v>
      </c>
      <c r="G58">
        <v>1</v>
      </c>
      <c r="H58">
        <v>11</v>
      </c>
      <c r="I58">
        <f t="shared" si="2"/>
        <v>18</v>
      </c>
      <c r="J58" t="s">
        <v>1588</v>
      </c>
      <c r="K58" t="s">
        <v>1588</v>
      </c>
      <c r="M58" s="10" t="s">
        <v>681</v>
      </c>
      <c r="N58" t="s">
        <v>1668</v>
      </c>
      <c r="O58" s="61"/>
    </row>
    <row r="59" spans="2:15" ht="16">
      <c r="B59" t="s">
        <v>1447</v>
      </c>
      <c r="C59">
        <v>4</v>
      </c>
      <c r="D59">
        <v>0</v>
      </c>
      <c r="E59">
        <v>2</v>
      </c>
      <c r="F59">
        <v>7</v>
      </c>
      <c r="G59">
        <v>4</v>
      </c>
      <c r="H59">
        <v>13</v>
      </c>
      <c r="I59">
        <f t="shared" si="2"/>
        <v>30</v>
      </c>
      <c r="J59" t="s">
        <v>1588</v>
      </c>
      <c r="K59" t="s">
        <v>603</v>
      </c>
      <c r="M59" s="10" t="s">
        <v>682</v>
      </c>
      <c r="N59" t="s">
        <v>1669</v>
      </c>
      <c r="O59" s="61"/>
    </row>
    <row r="60" spans="2:15" ht="16">
      <c r="B60" t="s">
        <v>1448</v>
      </c>
      <c r="C60">
        <v>9</v>
      </c>
      <c r="D60">
        <v>0</v>
      </c>
      <c r="E60">
        <v>12</v>
      </c>
      <c r="F60">
        <v>3</v>
      </c>
      <c r="G60">
        <v>0</v>
      </c>
      <c r="H60">
        <v>17</v>
      </c>
      <c r="I60">
        <f t="shared" si="2"/>
        <v>41</v>
      </c>
      <c r="J60" s="12" t="s">
        <v>751</v>
      </c>
      <c r="K60" s="12" t="s">
        <v>751</v>
      </c>
      <c r="M60" s="10" t="s">
        <v>683</v>
      </c>
      <c r="N60" t="s">
        <v>1671</v>
      </c>
      <c r="O60" s="61"/>
    </row>
    <row r="61" spans="2:15" ht="16">
      <c r="B61" t="s">
        <v>1449</v>
      </c>
      <c r="C61">
        <v>0</v>
      </c>
      <c r="D61">
        <v>0</v>
      </c>
      <c r="E61">
        <v>2</v>
      </c>
      <c r="F61">
        <v>7</v>
      </c>
      <c r="G61">
        <v>3</v>
      </c>
      <c r="H61">
        <v>12</v>
      </c>
      <c r="I61">
        <f t="shared" si="2"/>
        <v>24</v>
      </c>
      <c r="J61" s="12" t="s">
        <v>751</v>
      </c>
      <c r="K61" s="12" t="s">
        <v>751</v>
      </c>
      <c r="L61" t="s">
        <v>1588</v>
      </c>
      <c r="M61" s="10" t="s">
        <v>684</v>
      </c>
      <c r="N61" t="s">
        <v>1670</v>
      </c>
      <c r="O61" s="61"/>
    </row>
    <row r="62" spans="2:15" ht="16">
      <c r="B62" t="s">
        <v>1450</v>
      </c>
      <c r="C62">
        <v>5</v>
      </c>
      <c r="D62">
        <v>2</v>
      </c>
      <c r="E62">
        <v>10</v>
      </c>
      <c r="F62">
        <v>0</v>
      </c>
      <c r="G62">
        <v>0</v>
      </c>
      <c r="H62">
        <v>9</v>
      </c>
      <c r="I62">
        <f t="shared" si="2"/>
        <v>26</v>
      </c>
      <c r="J62" t="s">
        <v>584</v>
      </c>
      <c r="K62" t="s">
        <v>584</v>
      </c>
      <c r="M62" s="10" t="s">
        <v>694</v>
      </c>
      <c r="N62" t="s">
        <v>1642</v>
      </c>
      <c r="O62" s="61"/>
    </row>
    <row r="63" spans="2:15" ht="16">
      <c r="B63" t="s">
        <v>1451</v>
      </c>
      <c r="C63">
        <v>0</v>
      </c>
      <c r="D63">
        <v>0</v>
      </c>
      <c r="E63">
        <v>10</v>
      </c>
      <c r="F63">
        <v>3</v>
      </c>
      <c r="G63">
        <v>8</v>
      </c>
      <c r="H63">
        <v>10</v>
      </c>
      <c r="I63">
        <f t="shared" si="2"/>
        <v>31</v>
      </c>
      <c r="J63" t="s">
        <v>1588</v>
      </c>
      <c r="K63" s="12" t="s">
        <v>751</v>
      </c>
      <c r="M63" s="10" t="s">
        <v>695</v>
      </c>
      <c r="N63" t="s">
        <v>1646</v>
      </c>
      <c r="O63" s="61"/>
    </row>
    <row r="64" spans="2:15" ht="16">
      <c r="B64" t="s">
        <v>1452</v>
      </c>
      <c r="C64">
        <v>2</v>
      </c>
      <c r="D64">
        <v>0</v>
      </c>
      <c r="E64">
        <v>10</v>
      </c>
      <c r="F64">
        <v>1</v>
      </c>
      <c r="G64">
        <v>3</v>
      </c>
      <c r="H64">
        <v>5</v>
      </c>
      <c r="I64">
        <f t="shared" si="2"/>
        <v>21</v>
      </c>
      <c r="J64" s="12" t="s">
        <v>751</v>
      </c>
      <c r="K64" s="12" t="s">
        <v>751</v>
      </c>
      <c r="M64" s="10" t="s">
        <v>696</v>
      </c>
      <c r="N64" t="s">
        <v>1644</v>
      </c>
      <c r="O64" s="61"/>
    </row>
    <row r="65" spans="2:15" ht="16">
      <c r="B65" t="s">
        <v>1453</v>
      </c>
      <c r="C65">
        <v>2</v>
      </c>
      <c r="D65">
        <v>3</v>
      </c>
      <c r="E65">
        <v>10</v>
      </c>
      <c r="F65">
        <v>5</v>
      </c>
      <c r="G65">
        <v>0</v>
      </c>
      <c r="H65">
        <v>8</v>
      </c>
      <c r="I65">
        <f t="shared" si="2"/>
        <v>28</v>
      </c>
      <c r="J65" s="12" t="s">
        <v>751</v>
      </c>
      <c r="K65" s="12" t="s">
        <v>751</v>
      </c>
      <c r="M65" s="10" t="s">
        <v>697</v>
      </c>
      <c r="N65" t="s">
        <v>1645</v>
      </c>
      <c r="O65" s="61"/>
    </row>
    <row r="66" spans="2:15" ht="16">
      <c r="B66" t="s">
        <v>1454</v>
      </c>
      <c r="C66">
        <v>3</v>
      </c>
      <c r="D66">
        <v>0</v>
      </c>
      <c r="E66">
        <v>9</v>
      </c>
      <c r="F66">
        <v>3</v>
      </c>
      <c r="G66">
        <v>4</v>
      </c>
      <c r="H66">
        <v>4</v>
      </c>
      <c r="I66">
        <f t="shared" si="2"/>
        <v>23</v>
      </c>
      <c r="J66" s="12" t="s">
        <v>751</v>
      </c>
      <c r="K66" s="12" t="s">
        <v>751</v>
      </c>
      <c r="M66" s="10" t="s">
        <v>698</v>
      </c>
      <c r="N66" t="s">
        <v>1643</v>
      </c>
      <c r="O66" s="61"/>
    </row>
    <row r="67" spans="2:15" ht="16">
      <c r="B67" t="s">
        <v>1455</v>
      </c>
      <c r="C67">
        <v>5</v>
      </c>
      <c r="D67">
        <v>4</v>
      </c>
      <c r="E67">
        <v>14</v>
      </c>
      <c r="F67">
        <v>13</v>
      </c>
      <c r="G67">
        <v>8</v>
      </c>
      <c r="H67">
        <v>18</v>
      </c>
      <c r="I67">
        <f t="shared" si="2"/>
        <v>62</v>
      </c>
      <c r="J67" s="12" t="s">
        <v>767</v>
      </c>
      <c r="K67" s="12" t="s">
        <v>767</v>
      </c>
      <c r="M67" s="10" t="s">
        <v>707</v>
      </c>
      <c r="N67" t="s">
        <v>1641</v>
      </c>
      <c r="O67" s="61"/>
    </row>
    <row r="68" spans="2:15" ht="16">
      <c r="B68" t="s">
        <v>1456</v>
      </c>
      <c r="C68">
        <v>2</v>
      </c>
      <c r="D68">
        <v>9</v>
      </c>
      <c r="E68">
        <v>4</v>
      </c>
      <c r="F68">
        <v>9</v>
      </c>
      <c r="G68">
        <v>0</v>
      </c>
      <c r="H68">
        <v>9</v>
      </c>
      <c r="I68">
        <f t="shared" si="2"/>
        <v>33</v>
      </c>
      <c r="J68" s="12" t="s">
        <v>767</v>
      </c>
      <c r="K68" s="12" t="s">
        <v>767</v>
      </c>
      <c r="M68" s="10" t="s">
        <v>708</v>
      </c>
      <c r="N68" t="s">
        <v>1637</v>
      </c>
      <c r="O68" s="61"/>
    </row>
    <row r="69" spans="2:15" ht="16">
      <c r="B69" t="s">
        <v>1457</v>
      </c>
      <c r="C69">
        <v>3</v>
      </c>
      <c r="D69">
        <v>8</v>
      </c>
      <c r="E69">
        <v>4</v>
      </c>
      <c r="F69">
        <v>7</v>
      </c>
      <c r="G69">
        <v>6</v>
      </c>
      <c r="H69">
        <v>13</v>
      </c>
      <c r="I69">
        <f t="shared" si="2"/>
        <v>41</v>
      </c>
      <c r="J69" s="12" t="s">
        <v>767</v>
      </c>
      <c r="K69" s="12" t="s">
        <v>767</v>
      </c>
      <c r="M69" s="10" t="s">
        <v>709</v>
      </c>
      <c r="N69" t="s">
        <v>1639</v>
      </c>
      <c r="O69" s="61"/>
    </row>
    <row r="70" spans="2:15" ht="16">
      <c r="B70" t="s">
        <v>1458</v>
      </c>
      <c r="C70">
        <v>2</v>
      </c>
      <c r="D70">
        <v>0</v>
      </c>
      <c r="E70">
        <v>13</v>
      </c>
      <c r="F70">
        <v>1</v>
      </c>
      <c r="G70">
        <v>6</v>
      </c>
      <c r="H70">
        <v>21</v>
      </c>
      <c r="I70">
        <f t="shared" si="2"/>
        <v>43</v>
      </c>
      <c r="J70" s="12" t="s">
        <v>767</v>
      </c>
      <c r="K70" s="12" t="s">
        <v>767</v>
      </c>
      <c r="M70" s="10" t="s">
        <v>710</v>
      </c>
      <c r="N70" t="s">
        <v>1640</v>
      </c>
      <c r="O70" s="61"/>
    </row>
    <row r="71" spans="2:15" ht="16">
      <c r="B71" t="s">
        <v>1459</v>
      </c>
      <c r="C71">
        <v>1</v>
      </c>
      <c r="D71">
        <v>0</v>
      </c>
      <c r="E71">
        <v>16</v>
      </c>
      <c r="F71">
        <v>6</v>
      </c>
      <c r="G71">
        <v>0</v>
      </c>
      <c r="H71">
        <v>20</v>
      </c>
      <c r="I71">
        <f t="shared" si="2"/>
        <v>43</v>
      </c>
      <c r="J71" s="12" t="s">
        <v>767</v>
      </c>
      <c r="K71" s="12" t="s">
        <v>767</v>
      </c>
      <c r="M71" s="10" t="s">
        <v>711</v>
      </c>
      <c r="N71" t="s">
        <v>1638</v>
      </c>
      <c r="O71" s="61"/>
    </row>
    <row r="72" spans="2:15" ht="16">
      <c r="B72" t="s">
        <v>1460</v>
      </c>
      <c r="C72" t="s">
        <v>1584</v>
      </c>
      <c r="D72" t="s">
        <v>1584</v>
      </c>
      <c r="E72" t="s">
        <v>1584</v>
      </c>
      <c r="F72" t="s">
        <v>1584</v>
      </c>
      <c r="G72" t="s">
        <v>1584</v>
      </c>
      <c r="H72" t="s">
        <v>1584</v>
      </c>
      <c r="I72" t="s">
        <v>1584</v>
      </c>
      <c r="J72" t="s">
        <v>1588</v>
      </c>
      <c r="K72" t="s">
        <v>1588</v>
      </c>
      <c r="M72" s="10" t="s">
        <v>723</v>
      </c>
      <c r="N72" t="s">
        <v>1654</v>
      </c>
      <c r="O72" s="61"/>
    </row>
    <row r="73" spans="2:15" ht="16">
      <c r="B73" t="s">
        <v>1461</v>
      </c>
      <c r="C73">
        <v>1</v>
      </c>
      <c r="D73">
        <v>0</v>
      </c>
      <c r="E73">
        <v>3</v>
      </c>
      <c r="F73">
        <v>0</v>
      </c>
      <c r="G73">
        <v>0</v>
      </c>
      <c r="H73">
        <v>3</v>
      </c>
      <c r="I73">
        <f t="shared" ref="I73:I83" si="3">SUM(C73:H73)</f>
        <v>7</v>
      </c>
      <c r="J73" t="s">
        <v>1588</v>
      </c>
      <c r="K73" s="12" t="s">
        <v>751</v>
      </c>
      <c r="M73" s="10" t="s">
        <v>725</v>
      </c>
      <c r="N73" t="s">
        <v>1653</v>
      </c>
      <c r="O73" s="61"/>
    </row>
    <row r="74" spans="2:15" ht="16">
      <c r="B74" t="s">
        <v>1462</v>
      </c>
      <c r="C74">
        <v>0</v>
      </c>
      <c r="D74">
        <v>0</v>
      </c>
      <c r="E74">
        <v>2</v>
      </c>
      <c r="F74">
        <v>2</v>
      </c>
      <c r="G74">
        <v>0</v>
      </c>
      <c r="H74">
        <v>4</v>
      </c>
      <c r="I74">
        <f t="shared" si="3"/>
        <v>8</v>
      </c>
      <c r="J74" s="12" t="s">
        <v>751</v>
      </c>
      <c r="K74" s="12" t="s">
        <v>751</v>
      </c>
      <c r="M74" s="10" t="s">
        <v>727</v>
      </c>
      <c r="N74" t="s">
        <v>1655</v>
      </c>
      <c r="O74" s="61"/>
    </row>
    <row r="75" spans="2:15" ht="16">
      <c r="B75" t="s">
        <v>1463</v>
      </c>
      <c r="C75">
        <v>0</v>
      </c>
      <c r="D75">
        <v>0</v>
      </c>
      <c r="E75">
        <v>10</v>
      </c>
      <c r="F75">
        <v>0</v>
      </c>
      <c r="G75">
        <v>0</v>
      </c>
      <c r="H75">
        <v>9</v>
      </c>
      <c r="I75">
        <f t="shared" si="3"/>
        <v>19</v>
      </c>
      <c r="J75" s="12" t="s">
        <v>767</v>
      </c>
      <c r="K75" s="12" t="s">
        <v>751</v>
      </c>
      <c r="M75" s="10" t="s">
        <v>729</v>
      </c>
      <c r="N75" t="s">
        <v>1652</v>
      </c>
      <c r="O75" s="61"/>
    </row>
    <row r="76" spans="2:15" ht="16">
      <c r="B76" t="s">
        <v>1464</v>
      </c>
      <c r="C76">
        <v>0</v>
      </c>
      <c r="D76">
        <v>0</v>
      </c>
      <c r="E76">
        <v>8</v>
      </c>
      <c r="F76">
        <v>3</v>
      </c>
      <c r="G76">
        <v>0</v>
      </c>
      <c r="H76">
        <v>4</v>
      </c>
      <c r="I76">
        <f t="shared" si="3"/>
        <v>15</v>
      </c>
      <c r="J76" s="12" t="s">
        <v>751</v>
      </c>
      <c r="K76" s="12" t="s">
        <v>751</v>
      </c>
      <c r="M76" s="10" t="s">
        <v>731</v>
      </c>
      <c r="N76" t="s">
        <v>1656</v>
      </c>
      <c r="O76" s="61"/>
    </row>
    <row r="77" spans="2:15" ht="16">
      <c r="B77" t="s">
        <v>1465</v>
      </c>
      <c r="C77">
        <v>0</v>
      </c>
      <c r="D77">
        <v>0</v>
      </c>
      <c r="E77">
        <v>0</v>
      </c>
      <c r="F77">
        <v>0</v>
      </c>
      <c r="G77">
        <v>0</v>
      </c>
      <c r="H77">
        <v>2</v>
      </c>
      <c r="I77">
        <f t="shared" si="3"/>
        <v>2</v>
      </c>
      <c r="J77" s="12" t="s">
        <v>751</v>
      </c>
      <c r="K77" s="12" t="s">
        <v>751</v>
      </c>
      <c r="L77" t="s">
        <v>740</v>
      </c>
      <c r="M77" s="10" t="s">
        <v>739</v>
      </c>
      <c r="N77" t="s">
        <v>1647</v>
      </c>
      <c r="O77" s="61"/>
    </row>
    <row r="78" spans="2:15" ht="16">
      <c r="B78" t="s">
        <v>1466</v>
      </c>
      <c r="C78">
        <v>0</v>
      </c>
      <c r="D78">
        <v>8</v>
      </c>
      <c r="E78">
        <v>0</v>
      </c>
      <c r="F78">
        <v>0</v>
      </c>
      <c r="G78">
        <v>0</v>
      </c>
      <c r="H78">
        <v>3</v>
      </c>
      <c r="I78">
        <f t="shared" si="3"/>
        <v>11</v>
      </c>
      <c r="J78" s="12" t="s">
        <v>767</v>
      </c>
      <c r="K78" s="12" t="s">
        <v>767</v>
      </c>
      <c r="M78" s="10" t="s">
        <v>742</v>
      </c>
      <c r="N78" t="s">
        <v>1650</v>
      </c>
      <c r="O78" s="61"/>
    </row>
    <row r="79" spans="2:15" ht="16">
      <c r="B79" t="s">
        <v>1467</v>
      </c>
      <c r="C79">
        <v>2</v>
      </c>
      <c r="D79">
        <v>0</v>
      </c>
      <c r="E79">
        <v>3</v>
      </c>
      <c r="F79">
        <v>0</v>
      </c>
      <c r="G79">
        <v>0</v>
      </c>
      <c r="H79">
        <v>0</v>
      </c>
      <c r="I79">
        <f t="shared" si="3"/>
        <v>5</v>
      </c>
      <c r="J79" t="s">
        <v>1588</v>
      </c>
      <c r="K79" t="s">
        <v>1588</v>
      </c>
      <c r="M79" s="10" t="s">
        <v>744</v>
      </c>
      <c r="N79" t="s">
        <v>1648</v>
      </c>
      <c r="O79" s="61"/>
    </row>
    <row r="80" spans="2:15" ht="16">
      <c r="B80" t="s">
        <v>1468</v>
      </c>
      <c r="C80">
        <v>3</v>
      </c>
      <c r="D80">
        <v>0</v>
      </c>
      <c r="E80">
        <v>4</v>
      </c>
      <c r="F80">
        <v>2</v>
      </c>
      <c r="G80">
        <v>5</v>
      </c>
      <c r="H80">
        <v>6</v>
      </c>
      <c r="I80">
        <f t="shared" si="3"/>
        <v>20</v>
      </c>
      <c r="J80" s="12" t="s">
        <v>751</v>
      </c>
      <c r="K80" s="12" t="s">
        <v>751</v>
      </c>
      <c r="M80" s="10" t="s">
        <v>746</v>
      </c>
      <c r="N80" t="s">
        <v>1651</v>
      </c>
      <c r="O80" s="61"/>
    </row>
    <row r="81" spans="2:15" ht="16">
      <c r="B81" t="s">
        <v>1469</v>
      </c>
      <c r="C81">
        <v>0</v>
      </c>
      <c r="D81">
        <v>0</v>
      </c>
      <c r="E81">
        <v>9</v>
      </c>
      <c r="F81">
        <v>0</v>
      </c>
      <c r="G81">
        <v>0</v>
      </c>
      <c r="H81">
        <v>4</v>
      </c>
      <c r="I81">
        <f t="shared" si="3"/>
        <v>13</v>
      </c>
      <c r="J81" s="12" t="s">
        <v>767</v>
      </c>
      <c r="K81" s="12" t="s">
        <v>751</v>
      </c>
      <c r="M81" s="10" t="s">
        <v>748</v>
      </c>
      <c r="N81" t="s">
        <v>1649</v>
      </c>
      <c r="O81" s="61"/>
    </row>
    <row r="82" spans="2:15">
      <c r="B82" s="4" t="s">
        <v>29</v>
      </c>
      <c r="C82" s="3">
        <v>5</v>
      </c>
      <c r="D82" s="3">
        <v>0</v>
      </c>
      <c r="E82" s="3">
        <v>14</v>
      </c>
      <c r="F82" s="3">
        <v>9</v>
      </c>
      <c r="G82" s="3">
        <v>4</v>
      </c>
      <c r="H82" s="3">
        <v>10</v>
      </c>
      <c r="I82" s="3">
        <f t="shared" si="3"/>
        <v>42</v>
      </c>
      <c r="J82" s="12" t="s">
        <v>751</v>
      </c>
      <c r="K82" s="12" t="s">
        <v>751</v>
      </c>
      <c r="M82" s="3" t="s">
        <v>30</v>
      </c>
      <c r="N82" s="5" t="s">
        <v>31</v>
      </c>
    </row>
    <row r="83" spans="2:15">
      <c r="B83" s="4" t="s">
        <v>32</v>
      </c>
      <c r="C83" s="3">
        <v>3</v>
      </c>
      <c r="D83" s="3">
        <v>0</v>
      </c>
      <c r="E83" s="3">
        <v>15</v>
      </c>
      <c r="F83" s="3">
        <v>6</v>
      </c>
      <c r="G83" s="3">
        <v>6</v>
      </c>
      <c r="H83" s="3">
        <v>17</v>
      </c>
      <c r="I83" s="3">
        <f t="shared" si="3"/>
        <v>47</v>
      </c>
      <c r="J83" s="12" t="s">
        <v>751</v>
      </c>
      <c r="K83" s="12" t="s">
        <v>751</v>
      </c>
      <c r="M83" s="3" t="s">
        <v>33</v>
      </c>
      <c r="N83" s="5" t="s">
        <v>34</v>
      </c>
    </row>
    <row r="84" spans="2:15">
      <c r="B84" s="4" t="s">
        <v>35</v>
      </c>
      <c r="C84" s="3">
        <v>3</v>
      </c>
      <c r="D84" t="s">
        <v>1584</v>
      </c>
      <c r="E84" s="3">
        <v>13</v>
      </c>
      <c r="F84" s="3">
        <v>19</v>
      </c>
      <c r="G84" s="3">
        <v>11</v>
      </c>
      <c r="H84" s="3">
        <v>20</v>
      </c>
      <c r="I84" t="s">
        <v>1584</v>
      </c>
      <c r="J84" s="12" t="s">
        <v>751</v>
      </c>
      <c r="K84" s="12" t="s">
        <v>751</v>
      </c>
      <c r="L84" t="s">
        <v>1588</v>
      </c>
      <c r="M84" s="3" t="s">
        <v>36</v>
      </c>
      <c r="N84" s="5" t="s">
        <v>37</v>
      </c>
    </row>
    <row r="85" spans="2:15">
      <c r="B85" s="4" t="s">
        <v>38</v>
      </c>
      <c r="C85" s="3">
        <v>0</v>
      </c>
      <c r="D85" s="3">
        <v>1</v>
      </c>
      <c r="E85" s="3">
        <v>17</v>
      </c>
      <c r="F85" s="3">
        <v>8</v>
      </c>
      <c r="G85" s="3">
        <v>14</v>
      </c>
      <c r="H85" s="3">
        <v>9</v>
      </c>
      <c r="I85" s="3">
        <f>SUM(C85:H85)</f>
        <v>49</v>
      </c>
      <c r="J85" s="12" t="s">
        <v>751</v>
      </c>
      <c r="K85" s="12" t="s">
        <v>751</v>
      </c>
      <c r="L85" s="3" t="s">
        <v>41</v>
      </c>
      <c r="M85" s="3" t="s">
        <v>39</v>
      </c>
      <c r="N85" s="5" t="s">
        <v>40</v>
      </c>
    </row>
    <row r="86" spans="2:15">
      <c r="B86" s="4" t="s">
        <v>42</v>
      </c>
      <c r="C86" s="6">
        <v>5</v>
      </c>
      <c r="D86" s="6">
        <v>2</v>
      </c>
      <c r="E86" s="6">
        <v>21</v>
      </c>
      <c r="F86" s="6">
        <v>9</v>
      </c>
      <c r="G86" s="6">
        <v>5</v>
      </c>
      <c r="H86" s="6">
        <v>11</v>
      </c>
      <c r="I86" s="3">
        <f>SUM(C86:H86)</f>
        <v>53</v>
      </c>
      <c r="J86" s="12" t="s">
        <v>751</v>
      </c>
      <c r="K86" s="12" t="s">
        <v>751</v>
      </c>
      <c r="M86" s="3" t="s">
        <v>43</v>
      </c>
      <c r="N86" s="5" t="s">
        <v>44</v>
      </c>
    </row>
    <row r="87" spans="2:15">
      <c r="B87" s="4" t="s">
        <v>65</v>
      </c>
      <c r="C87" s="3">
        <v>4</v>
      </c>
      <c r="D87" s="3">
        <v>5</v>
      </c>
      <c r="E87" s="3">
        <v>27</v>
      </c>
      <c r="F87" s="3">
        <v>8</v>
      </c>
      <c r="G87" s="3">
        <v>12</v>
      </c>
      <c r="H87" s="3">
        <v>25</v>
      </c>
      <c r="I87" s="3">
        <f>SUM(C87:H87)</f>
        <v>81</v>
      </c>
      <c r="J87" s="12" t="s">
        <v>767</v>
      </c>
      <c r="K87" s="12" t="s">
        <v>767</v>
      </c>
      <c r="M87" s="3" t="s">
        <v>66</v>
      </c>
      <c r="N87" s="5" t="s">
        <v>67</v>
      </c>
    </row>
    <row r="88" spans="2:15">
      <c r="B88" s="4" t="s">
        <v>68</v>
      </c>
      <c r="C88" s="3">
        <v>9</v>
      </c>
      <c r="D88" s="3">
        <v>1</v>
      </c>
      <c r="E88" s="3">
        <v>36</v>
      </c>
      <c r="F88" s="3">
        <v>15</v>
      </c>
      <c r="G88" s="3">
        <v>5</v>
      </c>
      <c r="H88" s="3">
        <v>42</v>
      </c>
      <c r="I88" s="3">
        <f>SUM(C88:H88)</f>
        <v>108</v>
      </c>
      <c r="J88" s="12" t="s">
        <v>767</v>
      </c>
      <c r="K88" s="12" t="s">
        <v>767</v>
      </c>
      <c r="M88" s="3" t="s">
        <v>69</v>
      </c>
      <c r="N88" s="5" t="s">
        <v>70</v>
      </c>
    </row>
    <row r="89" spans="2:15">
      <c r="B89" s="4" t="s">
        <v>72</v>
      </c>
      <c r="C89" s="6">
        <v>7</v>
      </c>
      <c r="D89" s="6">
        <v>0</v>
      </c>
      <c r="E89" s="6">
        <v>14</v>
      </c>
      <c r="F89" s="6">
        <v>8</v>
      </c>
      <c r="G89" s="6">
        <v>11</v>
      </c>
      <c r="H89" s="6">
        <v>18</v>
      </c>
      <c r="I89" s="3">
        <f>SUM(C89:H89)</f>
        <v>58</v>
      </c>
      <c r="J89" s="12" t="s">
        <v>767</v>
      </c>
      <c r="K89" s="12" t="s">
        <v>767</v>
      </c>
      <c r="L89" t="s">
        <v>1588</v>
      </c>
      <c r="M89" s="3" t="s">
        <v>73</v>
      </c>
      <c r="N89" s="5" t="s">
        <v>74</v>
      </c>
    </row>
    <row r="90" spans="2:15">
      <c r="B90" s="4" t="s">
        <v>75</v>
      </c>
      <c r="C90" s="3">
        <v>4</v>
      </c>
      <c r="D90" s="3">
        <v>2</v>
      </c>
      <c r="E90" t="s">
        <v>1584</v>
      </c>
      <c r="F90" s="3">
        <v>4</v>
      </c>
      <c r="G90" s="3">
        <v>9</v>
      </c>
      <c r="H90" t="s">
        <v>1584</v>
      </c>
      <c r="I90" s="3">
        <v>52</v>
      </c>
      <c r="J90" s="12" t="s">
        <v>767</v>
      </c>
      <c r="K90" s="12" t="s">
        <v>767</v>
      </c>
      <c r="M90" s="3" t="s">
        <v>76</v>
      </c>
      <c r="N90" s="5" t="s">
        <v>77</v>
      </c>
    </row>
    <row r="91" spans="2:15">
      <c r="B91" s="4" t="s">
        <v>78</v>
      </c>
      <c r="C91" s="3">
        <v>3</v>
      </c>
      <c r="D91" s="3">
        <v>3</v>
      </c>
      <c r="E91" s="3">
        <v>19</v>
      </c>
      <c r="F91" s="3">
        <v>11</v>
      </c>
      <c r="G91" s="3">
        <v>11</v>
      </c>
      <c r="H91" s="3">
        <v>29</v>
      </c>
      <c r="I91" s="3">
        <f>SUM(C91:H91)</f>
        <v>76</v>
      </c>
      <c r="J91" s="12" t="s">
        <v>767</v>
      </c>
      <c r="K91" s="12" t="s">
        <v>767</v>
      </c>
      <c r="L91" s="3" t="s">
        <v>81</v>
      </c>
      <c r="M91" s="3" t="s">
        <v>79</v>
      </c>
      <c r="N91" s="5" t="s">
        <v>80</v>
      </c>
    </row>
    <row r="92" spans="2:15">
      <c r="B92" t="s">
        <v>1470</v>
      </c>
      <c r="C92" s="12">
        <v>6</v>
      </c>
      <c r="D92" s="12">
        <v>7</v>
      </c>
      <c r="E92" s="12">
        <v>16</v>
      </c>
      <c r="F92" s="12">
        <v>9</v>
      </c>
      <c r="G92" s="12">
        <v>9</v>
      </c>
      <c r="H92" s="12">
        <v>17</v>
      </c>
      <c r="I92" s="12">
        <f t="shared" ref="I92:I101" si="4">C92+D92+E92+F92+G92+H92</f>
        <v>64</v>
      </c>
      <c r="J92" s="12" t="s">
        <v>751</v>
      </c>
      <c r="K92" s="12" t="s">
        <v>751</v>
      </c>
      <c r="M92" s="12" t="s">
        <v>935</v>
      </c>
      <c r="N92" s="11" t="s">
        <v>934</v>
      </c>
    </row>
    <row r="93" spans="2:15">
      <c r="B93" t="s">
        <v>1471</v>
      </c>
      <c r="C93" s="12">
        <v>1</v>
      </c>
      <c r="D93" s="12">
        <v>4</v>
      </c>
      <c r="E93" s="12">
        <v>9</v>
      </c>
      <c r="F93" s="12">
        <v>6</v>
      </c>
      <c r="G93" s="12">
        <v>4</v>
      </c>
      <c r="H93" s="12">
        <v>17</v>
      </c>
      <c r="I93" s="12">
        <f t="shared" si="4"/>
        <v>41</v>
      </c>
      <c r="J93" s="12" t="s">
        <v>751</v>
      </c>
      <c r="K93" s="12" t="s">
        <v>751</v>
      </c>
      <c r="L93" t="s">
        <v>1588</v>
      </c>
      <c r="M93" s="12" t="s">
        <v>937</v>
      </c>
      <c r="N93" s="11" t="s">
        <v>936</v>
      </c>
    </row>
    <row r="94" spans="2:15">
      <c r="B94" t="s">
        <v>1472</v>
      </c>
      <c r="C94" s="12">
        <v>7</v>
      </c>
      <c r="D94" s="12">
        <v>6</v>
      </c>
      <c r="E94" s="12">
        <v>12</v>
      </c>
      <c r="F94" s="12">
        <v>12</v>
      </c>
      <c r="G94" s="12">
        <v>6</v>
      </c>
      <c r="H94" s="12">
        <v>23</v>
      </c>
      <c r="I94" s="12">
        <f t="shared" si="4"/>
        <v>66</v>
      </c>
      <c r="J94" s="12" t="s">
        <v>751</v>
      </c>
      <c r="K94" s="12" t="s">
        <v>751</v>
      </c>
      <c r="M94" s="12" t="s">
        <v>939</v>
      </c>
      <c r="N94" s="11" t="s">
        <v>938</v>
      </c>
    </row>
    <row r="95" spans="2:15">
      <c r="B95" t="s">
        <v>1473</v>
      </c>
      <c r="C95" s="12">
        <v>9</v>
      </c>
      <c r="D95" s="12">
        <v>2</v>
      </c>
      <c r="E95" s="12">
        <v>14</v>
      </c>
      <c r="F95" s="12">
        <v>7</v>
      </c>
      <c r="G95" s="12">
        <v>2</v>
      </c>
      <c r="H95" s="12">
        <v>15</v>
      </c>
      <c r="I95" s="12">
        <f t="shared" si="4"/>
        <v>49</v>
      </c>
      <c r="J95" s="12" t="s">
        <v>751</v>
      </c>
      <c r="K95" s="12" t="s">
        <v>751</v>
      </c>
      <c r="M95" s="12" t="s">
        <v>941</v>
      </c>
      <c r="N95" s="11" t="s">
        <v>940</v>
      </c>
    </row>
    <row r="96" spans="2:15">
      <c r="B96" t="s">
        <v>1474</v>
      </c>
      <c r="C96" s="12">
        <v>5</v>
      </c>
      <c r="D96" s="12">
        <v>1</v>
      </c>
      <c r="E96" s="12">
        <v>10</v>
      </c>
      <c r="F96" s="12">
        <v>6</v>
      </c>
      <c r="G96" s="12">
        <v>4</v>
      </c>
      <c r="H96" s="12">
        <v>13</v>
      </c>
      <c r="I96" s="12">
        <f t="shared" si="4"/>
        <v>39</v>
      </c>
      <c r="J96" s="12" t="s">
        <v>751</v>
      </c>
      <c r="K96" s="12" t="s">
        <v>751</v>
      </c>
      <c r="M96" s="12" t="s">
        <v>943</v>
      </c>
      <c r="N96" s="11" t="s">
        <v>942</v>
      </c>
    </row>
    <row r="97" spans="2:14">
      <c r="B97" t="s">
        <v>1475</v>
      </c>
      <c r="C97" s="12">
        <v>13</v>
      </c>
      <c r="D97" s="12">
        <v>10</v>
      </c>
      <c r="E97" s="12">
        <v>28</v>
      </c>
      <c r="F97" s="12">
        <v>29</v>
      </c>
      <c r="G97" s="12">
        <v>7</v>
      </c>
      <c r="H97" s="12">
        <v>37</v>
      </c>
      <c r="I97" s="12">
        <f t="shared" si="4"/>
        <v>124</v>
      </c>
      <c r="J97" s="12" t="s">
        <v>767</v>
      </c>
      <c r="K97" s="12" t="s">
        <v>767</v>
      </c>
      <c r="L97" s="12" t="s">
        <v>962</v>
      </c>
      <c r="M97" s="12" t="s">
        <v>961</v>
      </c>
      <c r="N97" s="11" t="s">
        <v>960</v>
      </c>
    </row>
    <row r="98" spans="2:14">
      <c r="B98" t="s">
        <v>1476</v>
      </c>
      <c r="C98" s="12">
        <v>3</v>
      </c>
      <c r="D98" s="12">
        <v>5</v>
      </c>
      <c r="E98" s="12">
        <v>24</v>
      </c>
      <c r="F98" s="12">
        <v>24</v>
      </c>
      <c r="G98" s="12">
        <v>16</v>
      </c>
      <c r="H98" s="12">
        <v>35</v>
      </c>
      <c r="I98" s="12">
        <f t="shared" si="4"/>
        <v>107</v>
      </c>
      <c r="J98" s="12" t="s">
        <v>751</v>
      </c>
      <c r="K98" s="12" t="s">
        <v>751</v>
      </c>
      <c r="M98" s="12" t="s">
        <v>964</v>
      </c>
      <c r="N98" s="11" t="s">
        <v>963</v>
      </c>
    </row>
    <row r="99" spans="2:14">
      <c r="B99" t="s">
        <v>1477</v>
      </c>
      <c r="C99">
        <v>7</v>
      </c>
      <c r="D99" s="12">
        <v>17</v>
      </c>
      <c r="E99" s="12">
        <v>26</v>
      </c>
      <c r="F99" s="12">
        <v>26</v>
      </c>
      <c r="G99" s="12">
        <v>14</v>
      </c>
      <c r="H99" s="12">
        <v>30</v>
      </c>
      <c r="I99" s="12">
        <f t="shared" si="4"/>
        <v>120</v>
      </c>
      <c r="J99" s="12" t="s">
        <v>767</v>
      </c>
      <c r="K99" s="12" t="s">
        <v>767</v>
      </c>
      <c r="M99" s="12" t="s">
        <v>966</v>
      </c>
      <c r="N99" s="11" t="s">
        <v>965</v>
      </c>
    </row>
    <row r="100" spans="2:14">
      <c r="B100" t="s">
        <v>1478</v>
      </c>
      <c r="C100" s="12">
        <v>4</v>
      </c>
      <c r="D100" s="12">
        <v>12</v>
      </c>
      <c r="E100" s="12">
        <v>20</v>
      </c>
      <c r="F100" s="12">
        <v>24</v>
      </c>
      <c r="G100" s="12">
        <v>2</v>
      </c>
      <c r="H100" s="12">
        <v>27</v>
      </c>
      <c r="I100" s="12">
        <f t="shared" si="4"/>
        <v>89</v>
      </c>
      <c r="J100" s="12" t="s">
        <v>767</v>
      </c>
      <c r="K100" s="12" t="s">
        <v>767</v>
      </c>
      <c r="M100" s="12" t="s">
        <v>968</v>
      </c>
      <c r="N100" s="11" t="s">
        <v>967</v>
      </c>
    </row>
    <row r="101" spans="2:14">
      <c r="B101" t="s">
        <v>1479</v>
      </c>
      <c r="C101" s="12">
        <v>6</v>
      </c>
      <c r="D101" s="12">
        <v>12</v>
      </c>
      <c r="E101" s="12">
        <v>25</v>
      </c>
      <c r="F101" s="12">
        <v>19</v>
      </c>
      <c r="G101" s="12">
        <v>21</v>
      </c>
      <c r="H101" s="12">
        <v>34</v>
      </c>
      <c r="I101" s="12">
        <f t="shared" si="4"/>
        <v>117</v>
      </c>
      <c r="J101" s="12" t="s">
        <v>767</v>
      </c>
      <c r="K101" s="12" t="s">
        <v>767</v>
      </c>
      <c r="M101" s="12" t="s">
        <v>970</v>
      </c>
      <c r="N101" s="11" t="s">
        <v>969</v>
      </c>
    </row>
    <row r="102" spans="2:14">
      <c r="B102" s="4" t="s">
        <v>427</v>
      </c>
      <c r="C102" s="3">
        <v>6</v>
      </c>
      <c r="D102" s="3">
        <v>3</v>
      </c>
      <c r="E102" s="3">
        <v>12</v>
      </c>
      <c r="F102" s="3">
        <v>9</v>
      </c>
      <c r="G102" s="3">
        <v>6</v>
      </c>
      <c r="H102" s="3">
        <v>15</v>
      </c>
      <c r="I102" s="3">
        <f>SUM(C102:H102)</f>
        <v>51</v>
      </c>
      <c r="J102" s="12" t="s">
        <v>751</v>
      </c>
      <c r="K102" s="12" t="s">
        <v>751</v>
      </c>
      <c r="M102" s="3" t="s">
        <v>428</v>
      </c>
      <c r="N102" s="5" t="s">
        <v>429</v>
      </c>
    </row>
    <row r="103" spans="2:14">
      <c r="B103" s="4" t="s">
        <v>430</v>
      </c>
      <c r="C103" s="3">
        <v>6</v>
      </c>
      <c r="D103" s="3">
        <v>0</v>
      </c>
      <c r="E103" s="3">
        <v>13</v>
      </c>
      <c r="F103" s="3">
        <v>5</v>
      </c>
      <c r="G103" s="3">
        <v>8</v>
      </c>
      <c r="H103" s="3">
        <v>16</v>
      </c>
      <c r="I103" s="3">
        <f>SUM(C103:H103)</f>
        <v>48</v>
      </c>
      <c r="J103" s="12" t="s">
        <v>751</v>
      </c>
      <c r="K103" s="12" t="s">
        <v>751</v>
      </c>
      <c r="M103" s="3" t="s">
        <v>431</v>
      </c>
      <c r="N103" s="5" t="s">
        <v>432</v>
      </c>
    </row>
    <row r="104" spans="2:14">
      <c r="B104" s="4" t="s">
        <v>433</v>
      </c>
      <c r="C104" s="3">
        <v>7</v>
      </c>
      <c r="D104" s="3">
        <v>0</v>
      </c>
      <c r="E104" s="3">
        <v>17</v>
      </c>
      <c r="F104" s="3">
        <v>9</v>
      </c>
      <c r="G104" s="3">
        <v>14</v>
      </c>
      <c r="H104" s="3">
        <v>15</v>
      </c>
      <c r="I104" s="3">
        <f>SUM(C104:H104)</f>
        <v>62</v>
      </c>
      <c r="J104" s="12" t="s">
        <v>751</v>
      </c>
      <c r="K104" s="12" t="s">
        <v>751</v>
      </c>
      <c r="M104" s="3" t="s">
        <v>434</v>
      </c>
      <c r="N104" s="5" t="s">
        <v>435</v>
      </c>
    </row>
    <row r="105" spans="2:14">
      <c r="B105" s="4" t="s">
        <v>436</v>
      </c>
      <c r="C105" s="3">
        <v>3</v>
      </c>
      <c r="D105" s="3">
        <v>6</v>
      </c>
      <c r="E105" s="3">
        <v>10</v>
      </c>
      <c r="F105" s="3">
        <v>3</v>
      </c>
      <c r="G105" s="3">
        <v>7</v>
      </c>
      <c r="H105" s="3">
        <v>14</v>
      </c>
      <c r="I105" s="3">
        <f>SUM(C105:H105)</f>
        <v>43</v>
      </c>
      <c r="J105" s="12" t="s">
        <v>751</v>
      </c>
      <c r="K105" s="12" t="s">
        <v>751</v>
      </c>
      <c r="M105" s="3" t="s">
        <v>437</v>
      </c>
      <c r="N105" s="5" t="s">
        <v>438</v>
      </c>
    </row>
    <row r="106" spans="2:14">
      <c r="B106" s="4" t="s">
        <v>439</v>
      </c>
      <c r="C106" s="3">
        <v>15</v>
      </c>
      <c r="D106" s="3">
        <v>6</v>
      </c>
      <c r="E106" s="3">
        <v>7</v>
      </c>
      <c r="F106" s="3">
        <v>4</v>
      </c>
      <c r="G106" s="3">
        <v>6</v>
      </c>
      <c r="H106" s="3">
        <v>11</v>
      </c>
      <c r="I106" s="3">
        <f>SUM(C106:H106)</f>
        <v>49</v>
      </c>
      <c r="J106" s="12" t="s">
        <v>751</v>
      </c>
      <c r="K106" s="12" t="s">
        <v>751</v>
      </c>
      <c r="M106" s="3" t="s">
        <v>440</v>
      </c>
      <c r="N106" s="5" t="s">
        <v>441</v>
      </c>
    </row>
    <row r="107" spans="2:14">
      <c r="B107" s="4" t="s">
        <v>462</v>
      </c>
      <c r="C107" s="3">
        <v>5</v>
      </c>
      <c r="D107" s="3">
        <v>0</v>
      </c>
      <c r="E107" s="3">
        <v>17</v>
      </c>
      <c r="F107" s="3">
        <v>12</v>
      </c>
      <c r="G107" t="s">
        <v>1584</v>
      </c>
      <c r="H107" t="s">
        <v>1584</v>
      </c>
      <c r="I107" t="s">
        <v>1584</v>
      </c>
      <c r="J107" s="12" t="s">
        <v>767</v>
      </c>
      <c r="K107" s="12" t="s">
        <v>751</v>
      </c>
      <c r="M107" s="3" t="s">
        <v>463</v>
      </c>
      <c r="N107" s="5" t="s">
        <v>464</v>
      </c>
    </row>
    <row r="108" spans="2:14">
      <c r="B108" s="4" t="s">
        <v>465</v>
      </c>
      <c r="C108" s="3">
        <v>6</v>
      </c>
      <c r="D108" s="3">
        <v>1</v>
      </c>
      <c r="E108" t="s">
        <v>1584</v>
      </c>
      <c r="F108" s="3">
        <v>13</v>
      </c>
      <c r="G108" s="3">
        <v>9</v>
      </c>
      <c r="H108" s="3">
        <v>15</v>
      </c>
      <c r="I108" t="s">
        <v>1584</v>
      </c>
      <c r="J108" s="12" t="s">
        <v>767</v>
      </c>
      <c r="K108" s="12" t="s">
        <v>751</v>
      </c>
      <c r="L108" t="s">
        <v>1588</v>
      </c>
      <c r="M108" s="3" t="s">
        <v>466</v>
      </c>
      <c r="N108" s="5" t="s">
        <v>467</v>
      </c>
    </row>
    <row r="109" spans="2:14">
      <c r="B109" s="4" t="s">
        <v>468</v>
      </c>
      <c r="C109" s="3">
        <v>13</v>
      </c>
      <c r="D109" s="3">
        <v>9</v>
      </c>
      <c r="E109" s="3">
        <v>18</v>
      </c>
      <c r="F109" s="3">
        <v>19</v>
      </c>
      <c r="G109" s="3">
        <v>16</v>
      </c>
      <c r="H109" s="3">
        <v>23</v>
      </c>
      <c r="I109" s="3">
        <f>SUM(C109:H109)</f>
        <v>98</v>
      </c>
      <c r="J109" s="12" t="s">
        <v>767</v>
      </c>
      <c r="K109" s="12" t="s">
        <v>767</v>
      </c>
      <c r="M109" s="3" t="s">
        <v>469</v>
      </c>
      <c r="N109" s="5" t="s">
        <v>470</v>
      </c>
    </row>
    <row r="110" spans="2:14">
      <c r="B110" s="4" t="s">
        <v>471</v>
      </c>
      <c r="C110" s="3">
        <v>3</v>
      </c>
      <c r="D110" s="3">
        <v>8</v>
      </c>
      <c r="E110" s="3">
        <v>17</v>
      </c>
      <c r="F110" s="3">
        <v>12</v>
      </c>
      <c r="G110" s="3">
        <v>10</v>
      </c>
      <c r="H110" t="s">
        <v>1584</v>
      </c>
      <c r="I110" t="s">
        <v>1584</v>
      </c>
      <c r="J110" s="12" t="s">
        <v>767</v>
      </c>
      <c r="K110" s="12" t="s">
        <v>767</v>
      </c>
      <c r="M110" s="3" t="s">
        <v>472</v>
      </c>
      <c r="N110" s="5" t="s">
        <v>473</v>
      </c>
    </row>
    <row r="111" spans="2:14">
      <c r="B111" s="4" t="s">
        <v>474</v>
      </c>
      <c r="C111" s="3">
        <v>5</v>
      </c>
      <c r="D111" s="3">
        <v>4</v>
      </c>
      <c r="E111" s="3">
        <v>11</v>
      </c>
      <c r="F111" s="3">
        <v>15</v>
      </c>
      <c r="G111" s="3">
        <v>7</v>
      </c>
      <c r="H111" s="3">
        <v>15</v>
      </c>
      <c r="I111" s="3">
        <f>SUM(C111:H111)</f>
        <v>57</v>
      </c>
      <c r="J111" s="12" t="s">
        <v>767</v>
      </c>
      <c r="K111" s="12" t="s">
        <v>751</v>
      </c>
      <c r="M111" s="3" t="s">
        <v>475</v>
      </c>
      <c r="N111" s="5" t="s">
        <v>476</v>
      </c>
    </row>
    <row r="112" spans="2:14">
      <c r="B112" t="s">
        <v>1480</v>
      </c>
      <c r="C112" s="12">
        <v>5</v>
      </c>
      <c r="D112" s="12">
        <v>5</v>
      </c>
      <c r="E112" s="12">
        <v>20</v>
      </c>
      <c r="F112" s="12">
        <v>11</v>
      </c>
      <c r="G112" s="12">
        <v>13</v>
      </c>
      <c r="H112" s="12">
        <v>16</v>
      </c>
      <c r="I112" s="3">
        <f t="shared" ref="I112:I141" si="5">C112+D112+E112+F112+G112+H112</f>
        <v>70</v>
      </c>
      <c r="J112" s="12" t="s">
        <v>767</v>
      </c>
      <c r="K112" s="12" t="s">
        <v>767</v>
      </c>
      <c r="L112" t="s">
        <v>1588</v>
      </c>
      <c r="M112" s="12" t="s">
        <v>972</v>
      </c>
      <c r="N112" s="11" t="s">
        <v>971</v>
      </c>
    </row>
    <row r="113" spans="2:14">
      <c r="B113" t="s">
        <v>1481</v>
      </c>
      <c r="C113" s="12">
        <v>0</v>
      </c>
      <c r="D113" s="12">
        <v>1</v>
      </c>
      <c r="E113" s="12">
        <v>8</v>
      </c>
      <c r="F113" s="12">
        <v>4</v>
      </c>
      <c r="G113" s="12">
        <v>11</v>
      </c>
      <c r="H113" s="12">
        <v>14</v>
      </c>
      <c r="I113" s="3">
        <f t="shared" si="5"/>
        <v>38</v>
      </c>
      <c r="J113" s="12" t="s">
        <v>751</v>
      </c>
      <c r="K113" s="12" t="s">
        <v>751</v>
      </c>
      <c r="L113" t="s">
        <v>1588</v>
      </c>
      <c r="M113" s="12" t="s">
        <v>974</v>
      </c>
      <c r="N113" s="11" t="s">
        <v>973</v>
      </c>
    </row>
    <row r="114" spans="2:14">
      <c r="B114" t="s">
        <v>1482</v>
      </c>
      <c r="C114" s="12">
        <v>2</v>
      </c>
      <c r="D114" s="12">
        <v>2</v>
      </c>
      <c r="E114" s="12">
        <v>15</v>
      </c>
      <c r="F114" s="12">
        <v>7</v>
      </c>
      <c r="G114" s="12">
        <v>5</v>
      </c>
      <c r="H114" s="12">
        <v>13</v>
      </c>
      <c r="I114" s="3">
        <f t="shared" si="5"/>
        <v>44</v>
      </c>
      <c r="J114" s="12" t="s">
        <v>767</v>
      </c>
      <c r="K114" s="12" t="s">
        <v>751</v>
      </c>
      <c r="M114" s="12" t="s">
        <v>976</v>
      </c>
      <c r="N114" s="11" t="s">
        <v>975</v>
      </c>
    </row>
    <row r="115" spans="2:14">
      <c r="B115" t="s">
        <v>1483</v>
      </c>
      <c r="C115" s="12">
        <v>6</v>
      </c>
      <c r="D115" s="12">
        <v>7</v>
      </c>
      <c r="E115" s="12">
        <v>13</v>
      </c>
      <c r="F115" s="12">
        <v>16</v>
      </c>
      <c r="G115" s="12">
        <v>9</v>
      </c>
      <c r="H115" s="12">
        <v>17</v>
      </c>
      <c r="I115" s="3">
        <f t="shared" si="5"/>
        <v>68</v>
      </c>
      <c r="J115" s="12" t="s">
        <v>751</v>
      </c>
      <c r="K115" s="12" t="s">
        <v>751</v>
      </c>
      <c r="M115" s="12" t="s">
        <v>978</v>
      </c>
      <c r="N115" s="11" t="s">
        <v>977</v>
      </c>
    </row>
    <row r="116" spans="2:14">
      <c r="B116" t="s">
        <v>1484</v>
      </c>
      <c r="C116" s="12">
        <v>5</v>
      </c>
      <c r="D116" s="12">
        <v>7</v>
      </c>
      <c r="E116" s="12">
        <v>9</v>
      </c>
      <c r="F116" s="12">
        <v>5</v>
      </c>
      <c r="G116" s="12">
        <v>11</v>
      </c>
      <c r="H116" s="12">
        <v>10</v>
      </c>
      <c r="I116" s="3">
        <f t="shared" si="5"/>
        <v>47</v>
      </c>
      <c r="J116" s="12" t="s">
        <v>751</v>
      </c>
      <c r="K116" s="12" t="s">
        <v>751</v>
      </c>
      <c r="M116" s="12" t="s">
        <v>980</v>
      </c>
      <c r="N116" s="11" t="s">
        <v>979</v>
      </c>
    </row>
    <row r="117" spans="2:14">
      <c r="B117" t="s">
        <v>1485</v>
      </c>
      <c r="C117" s="12">
        <v>10</v>
      </c>
      <c r="D117" s="12">
        <v>5</v>
      </c>
      <c r="E117" s="12">
        <v>20</v>
      </c>
      <c r="F117" s="12">
        <v>2</v>
      </c>
      <c r="G117" s="12">
        <v>13</v>
      </c>
      <c r="H117" s="12">
        <v>18</v>
      </c>
      <c r="I117" s="12">
        <f t="shared" si="5"/>
        <v>68</v>
      </c>
      <c r="J117" s="12" t="s">
        <v>767</v>
      </c>
      <c r="K117" s="12" t="s">
        <v>767</v>
      </c>
      <c r="M117" s="12" t="s">
        <v>1014</v>
      </c>
      <c r="N117" s="11" t="s">
        <v>1013</v>
      </c>
    </row>
    <row r="118" spans="2:14">
      <c r="B118" t="s">
        <v>1486</v>
      </c>
      <c r="C118" s="12">
        <v>5</v>
      </c>
      <c r="D118" s="12">
        <v>12</v>
      </c>
      <c r="E118" s="12">
        <v>25</v>
      </c>
      <c r="F118" s="12">
        <v>16</v>
      </c>
      <c r="G118" s="12">
        <v>12</v>
      </c>
      <c r="H118" s="12">
        <v>21</v>
      </c>
      <c r="I118" s="12">
        <f t="shared" si="5"/>
        <v>91</v>
      </c>
      <c r="J118" s="12" t="s">
        <v>767</v>
      </c>
      <c r="K118" s="12" t="s">
        <v>767</v>
      </c>
      <c r="M118" s="12" t="s">
        <v>1016</v>
      </c>
      <c r="N118" s="11" t="s">
        <v>1015</v>
      </c>
    </row>
    <row r="119" spans="2:14">
      <c r="B119" t="s">
        <v>1487</v>
      </c>
      <c r="C119" s="12">
        <v>6</v>
      </c>
      <c r="D119" s="12">
        <v>20</v>
      </c>
      <c r="E119" s="12">
        <v>20</v>
      </c>
      <c r="F119" s="12">
        <v>13</v>
      </c>
      <c r="G119" s="12">
        <v>11</v>
      </c>
      <c r="H119" s="12">
        <v>19</v>
      </c>
      <c r="I119" s="12">
        <f t="shared" si="5"/>
        <v>89</v>
      </c>
      <c r="J119" s="3" t="s">
        <v>1838</v>
      </c>
      <c r="K119" s="12" t="s">
        <v>1019</v>
      </c>
      <c r="M119" s="12" t="s">
        <v>1018</v>
      </c>
      <c r="N119" s="11" t="s">
        <v>1017</v>
      </c>
    </row>
    <row r="120" spans="2:14">
      <c r="B120" t="s">
        <v>1488</v>
      </c>
      <c r="C120" s="12">
        <v>11</v>
      </c>
      <c r="D120" s="12">
        <v>15</v>
      </c>
      <c r="E120" s="12">
        <v>16</v>
      </c>
      <c r="F120" s="12">
        <v>7</v>
      </c>
      <c r="G120" s="12">
        <v>19</v>
      </c>
      <c r="H120" s="12">
        <v>26</v>
      </c>
      <c r="I120" s="12">
        <f t="shared" si="5"/>
        <v>94</v>
      </c>
      <c r="J120" s="12" t="s">
        <v>767</v>
      </c>
      <c r="K120" s="12" t="s">
        <v>767</v>
      </c>
      <c r="M120" s="12" t="s">
        <v>1021</v>
      </c>
      <c r="N120" s="11" t="s">
        <v>1020</v>
      </c>
    </row>
    <row r="121" spans="2:14">
      <c r="B121" t="s">
        <v>1489</v>
      </c>
      <c r="C121" s="12">
        <v>1</v>
      </c>
      <c r="D121" s="12">
        <v>3</v>
      </c>
      <c r="E121" s="12">
        <v>17</v>
      </c>
      <c r="F121" s="12">
        <v>13</v>
      </c>
      <c r="G121" s="12">
        <v>6</v>
      </c>
      <c r="H121" s="12">
        <v>16</v>
      </c>
      <c r="I121" s="12">
        <f t="shared" si="5"/>
        <v>56</v>
      </c>
      <c r="J121" s="12" t="s">
        <v>767</v>
      </c>
      <c r="K121" s="12" t="s">
        <v>767</v>
      </c>
      <c r="M121" s="12" t="s">
        <v>1023</v>
      </c>
      <c r="N121" s="11" t="s">
        <v>1022</v>
      </c>
    </row>
    <row r="122" spans="2:14">
      <c r="B122" t="s">
        <v>1490</v>
      </c>
      <c r="C122" s="12">
        <v>7</v>
      </c>
      <c r="D122" s="12">
        <v>0</v>
      </c>
      <c r="E122" s="12">
        <v>19</v>
      </c>
      <c r="F122" s="12">
        <v>5</v>
      </c>
      <c r="G122" s="12">
        <v>8</v>
      </c>
      <c r="H122" s="12">
        <v>16</v>
      </c>
      <c r="I122" s="12">
        <f t="shared" si="5"/>
        <v>55</v>
      </c>
      <c r="J122" s="12" t="s">
        <v>751</v>
      </c>
      <c r="K122" s="12" t="s">
        <v>751</v>
      </c>
      <c r="M122" s="12" t="s">
        <v>1042</v>
      </c>
      <c r="N122" s="11" t="s">
        <v>1041</v>
      </c>
    </row>
    <row r="123" spans="2:14">
      <c r="B123" t="s">
        <v>1491</v>
      </c>
      <c r="C123" s="12">
        <v>6</v>
      </c>
      <c r="D123" s="12">
        <v>10</v>
      </c>
      <c r="E123" s="12">
        <v>9</v>
      </c>
      <c r="F123" s="12">
        <v>10</v>
      </c>
      <c r="G123" s="12">
        <v>4</v>
      </c>
      <c r="H123" s="12">
        <v>13</v>
      </c>
      <c r="I123" s="12">
        <f t="shared" si="5"/>
        <v>52</v>
      </c>
      <c r="J123" s="12" t="s">
        <v>751</v>
      </c>
      <c r="K123" s="12" t="s">
        <v>751</v>
      </c>
      <c r="M123" s="12" t="s">
        <v>1044</v>
      </c>
      <c r="N123" s="11" t="s">
        <v>1043</v>
      </c>
    </row>
    <row r="124" spans="2:14">
      <c r="B124" t="s">
        <v>1492</v>
      </c>
      <c r="C124" s="12">
        <v>2</v>
      </c>
      <c r="D124" s="12">
        <v>5</v>
      </c>
      <c r="E124" s="12">
        <v>21</v>
      </c>
      <c r="F124" s="12">
        <v>14</v>
      </c>
      <c r="G124" s="12">
        <v>14</v>
      </c>
      <c r="H124" s="12">
        <v>27</v>
      </c>
      <c r="I124" s="12">
        <f t="shared" si="5"/>
        <v>83</v>
      </c>
      <c r="J124" s="12" t="s">
        <v>751</v>
      </c>
      <c r="K124" s="12" t="s">
        <v>751</v>
      </c>
      <c r="M124" s="12" t="s">
        <v>1046</v>
      </c>
      <c r="N124" s="11" t="s">
        <v>1045</v>
      </c>
    </row>
    <row r="125" spans="2:14">
      <c r="B125" t="s">
        <v>1493</v>
      </c>
      <c r="C125" s="12">
        <v>5</v>
      </c>
      <c r="D125" s="12">
        <v>2</v>
      </c>
      <c r="E125" s="12">
        <v>16</v>
      </c>
      <c r="F125" s="12">
        <v>5</v>
      </c>
      <c r="G125" s="12">
        <v>7</v>
      </c>
      <c r="H125" s="12">
        <v>18</v>
      </c>
      <c r="I125" s="12">
        <f t="shared" si="5"/>
        <v>53</v>
      </c>
      <c r="J125" s="12" t="s">
        <v>751</v>
      </c>
      <c r="K125" s="12" t="s">
        <v>751</v>
      </c>
      <c r="M125" s="12" t="s">
        <v>1048</v>
      </c>
      <c r="N125" s="11" t="s">
        <v>1047</v>
      </c>
    </row>
    <row r="126" spans="2:14">
      <c r="B126" t="s">
        <v>1494</v>
      </c>
      <c r="C126" s="12">
        <v>8</v>
      </c>
      <c r="D126" s="12">
        <v>10</v>
      </c>
      <c r="E126" s="12">
        <v>25</v>
      </c>
      <c r="F126" s="12">
        <v>9</v>
      </c>
      <c r="G126" s="12">
        <v>11</v>
      </c>
      <c r="H126" s="12">
        <v>24</v>
      </c>
      <c r="I126" s="12">
        <f t="shared" si="5"/>
        <v>87</v>
      </c>
      <c r="J126" s="12" t="s">
        <v>751</v>
      </c>
      <c r="K126" s="12" t="s">
        <v>751</v>
      </c>
      <c r="M126" s="12" t="s">
        <v>1050</v>
      </c>
      <c r="N126" s="11" t="s">
        <v>1049</v>
      </c>
    </row>
    <row r="127" spans="2:14">
      <c r="B127" t="s">
        <v>1495</v>
      </c>
      <c r="C127" s="12">
        <v>7</v>
      </c>
      <c r="D127" s="12">
        <v>19</v>
      </c>
      <c r="E127" s="12">
        <v>17</v>
      </c>
      <c r="F127" s="12">
        <v>28</v>
      </c>
      <c r="G127" s="12">
        <v>6</v>
      </c>
      <c r="H127" s="12">
        <v>38</v>
      </c>
      <c r="I127" s="12">
        <f t="shared" si="5"/>
        <v>115</v>
      </c>
      <c r="J127" s="12" t="s">
        <v>767</v>
      </c>
      <c r="K127" s="12" t="s">
        <v>767</v>
      </c>
      <c r="L127" t="s">
        <v>1588</v>
      </c>
      <c r="M127" s="12" t="s">
        <v>1069</v>
      </c>
      <c r="N127" s="12" t="s">
        <v>1068</v>
      </c>
    </row>
    <row r="128" spans="2:14">
      <c r="B128" t="s">
        <v>1496</v>
      </c>
      <c r="C128" s="12">
        <v>4</v>
      </c>
      <c r="D128" s="12">
        <v>18</v>
      </c>
      <c r="E128" s="12">
        <v>27</v>
      </c>
      <c r="F128" s="12">
        <v>23</v>
      </c>
      <c r="G128" s="12">
        <v>6</v>
      </c>
      <c r="H128" s="12">
        <v>34</v>
      </c>
      <c r="I128" s="12">
        <f t="shared" si="5"/>
        <v>112</v>
      </c>
      <c r="J128" s="12" t="s">
        <v>767</v>
      </c>
      <c r="K128" s="12" t="s">
        <v>767</v>
      </c>
      <c r="M128" s="12" t="s">
        <v>1071</v>
      </c>
      <c r="N128" s="11" t="s">
        <v>1070</v>
      </c>
    </row>
    <row r="129" spans="2:14">
      <c r="B129" t="s">
        <v>1497</v>
      </c>
      <c r="C129" s="12">
        <v>0</v>
      </c>
      <c r="D129" s="12">
        <v>16</v>
      </c>
      <c r="E129" s="12">
        <v>30</v>
      </c>
      <c r="F129" s="12">
        <v>33</v>
      </c>
      <c r="G129" s="12">
        <v>7</v>
      </c>
      <c r="H129" s="12">
        <v>29</v>
      </c>
      <c r="I129" s="12">
        <f t="shared" si="5"/>
        <v>115</v>
      </c>
      <c r="J129" s="12" t="s">
        <v>767</v>
      </c>
      <c r="K129" s="12" t="s">
        <v>767</v>
      </c>
      <c r="M129" s="12" t="s">
        <v>1073</v>
      </c>
      <c r="N129" s="11" t="s">
        <v>1072</v>
      </c>
    </row>
    <row r="130" spans="2:14">
      <c r="B130" t="s">
        <v>1498</v>
      </c>
      <c r="C130" s="12">
        <v>8</v>
      </c>
      <c r="D130" s="12">
        <v>5</v>
      </c>
      <c r="E130" s="12">
        <v>21</v>
      </c>
      <c r="F130" s="12">
        <v>24</v>
      </c>
      <c r="G130" s="12">
        <v>31</v>
      </c>
      <c r="H130" s="12">
        <v>21</v>
      </c>
      <c r="I130" s="12">
        <f t="shared" si="5"/>
        <v>110</v>
      </c>
      <c r="J130" s="12" t="s">
        <v>767</v>
      </c>
      <c r="K130" s="12" t="s">
        <v>767</v>
      </c>
      <c r="M130" s="12" t="s">
        <v>1075</v>
      </c>
      <c r="N130" s="11" t="s">
        <v>1074</v>
      </c>
    </row>
    <row r="131" spans="2:14">
      <c r="B131" t="s">
        <v>1499</v>
      </c>
      <c r="C131" s="12">
        <v>4</v>
      </c>
      <c r="D131" s="12">
        <v>18</v>
      </c>
      <c r="E131" s="12">
        <v>31</v>
      </c>
      <c r="F131" s="12">
        <v>23</v>
      </c>
      <c r="G131" s="12">
        <v>15</v>
      </c>
      <c r="H131" s="12">
        <v>45</v>
      </c>
      <c r="I131" s="12">
        <f t="shared" si="5"/>
        <v>136</v>
      </c>
      <c r="J131" s="12" t="s">
        <v>767</v>
      </c>
      <c r="K131" s="12" t="s">
        <v>767</v>
      </c>
      <c r="M131" s="12" t="s">
        <v>1077</v>
      </c>
      <c r="N131" s="11" t="s">
        <v>1076</v>
      </c>
    </row>
    <row r="132" spans="2:14">
      <c r="B132" t="s">
        <v>1500</v>
      </c>
      <c r="C132" s="12">
        <v>10</v>
      </c>
      <c r="D132" s="12">
        <v>18</v>
      </c>
      <c r="E132" s="12">
        <v>8</v>
      </c>
      <c r="F132" s="12">
        <v>6</v>
      </c>
      <c r="G132" s="12">
        <v>7</v>
      </c>
      <c r="H132" s="12">
        <v>13</v>
      </c>
      <c r="I132" s="12">
        <f t="shared" si="5"/>
        <v>62</v>
      </c>
      <c r="J132" s="12" t="s">
        <v>751</v>
      </c>
      <c r="K132" s="12" t="s">
        <v>751</v>
      </c>
      <c r="M132" s="12" t="s">
        <v>1091</v>
      </c>
      <c r="N132" s="11" t="s">
        <v>1090</v>
      </c>
    </row>
    <row r="133" spans="2:14">
      <c r="B133" t="s">
        <v>1501</v>
      </c>
      <c r="C133" s="12">
        <v>5</v>
      </c>
      <c r="D133" s="12">
        <v>8</v>
      </c>
      <c r="E133" s="12">
        <v>12</v>
      </c>
      <c r="F133" s="12">
        <v>9</v>
      </c>
      <c r="G133" s="12">
        <v>4</v>
      </c>
      <c r="H133" s="12">
        <v>15</v>
      </c>
      <c r="I133" s="12">
        <f t="shared" si="5"/>
        <v>53</v>
      </c>
      <c r="J133" s="12" t="s">
        <v>751</v>
      </c>
      <c r="K133" s="12" t="s">
        <v>751</v>
      </c>
      <c r="M133" s="12" t="s">
        <v>1093</v>
      </c>
      <c r="N133" s="11" t="s">
        <v>1092</v>
      </c>
    </row>
    <row r="134" spans="2:14">
      <c r="B134" t="s">
        <v>1502</v>
      </c>
      <c r="C134" s="12">
        <v>7</v>
      </c>
      <c r="D134" s="12">
        <v>13</v>
      </c>
      <c r="E134" s="12">
        <v>13</v>
      </c>
      <c r="F134" s="12">
        <v>8</v>
      </c>
      <c r="G134" s="12">
        <v>6</v>
      </c>
      <c r="H134" s="12">
        <v>24</v>
      </c>
      <c r="I134" s="12">
        <f t="shared" si="5"/>
        <v>71</v>
      </c>
      <c r="J134" s="12" t="s">
        <v>751</v>
      </c>
      <c r="K134" s="12" t="s">
        <v>751</v>
      </c>
      <c r="M134" s="12" t="s">
        <v>1095</v>
      </c>
      <c r="N134" s="11" t="s">
        <v>1094</v>
      </c>
    </row>
    <row r="135" spans="2:14">
      <c r="B135" t="s">
        <v>1503</v>
      </c>
      <c r="C135" s="12">
        <v>4</v>
      </c>
      <c r="D135" s="12">
        <v>4</v>
      </c>
      <c r="E135" s="12">
        <v>20</v>
      </c>
      <c r="F135" s="12">
        <v>11</v>
      </c>
      <c r="G135" s="12">
        <v>0</v>
      </c>
      <c r="H135" s="12">
        <v>4</v>
      </c>
      <c r="I135" s="12">
        <f t="shared" si="5"/>
        <v>43</v>
      </c>
      <c r="J135" s="12" t="s">
        <v>751</v>
      </c>
      <c r="K135" s="12" t="s">
        <v>751</v>
      </c>
      <c r="L135" t="s">
        <v>1588</v>
      </c>
      <c r="M135" s="12" t="s">
        <v>1097</v>
      </c>
      <c r="N135" s="11" t="s">
        <v>1096</v>
      </c>
    </row>
    <row r="136" spans="2:14">
      <c r="B136" t="s">
        <v>1504</v>
      </c>
      <c r="C136" s="12">
        <v>2</v>
      </c>
      <c r="D136" s="12">
        <v>5</v>
      </c>
      <c r="E136" s="12">
        <v>15</v>
      </c>
      <c r="F136" s="12">
        <v>9</v>
      </c>
      <c r="G136" s="12">
        <v>7</v>
      </c>
      <c r="H136" s="12">
        <v>15</v>
      </c>
      <c r="I136" s="12">
        <f t="shared" si="5"/>
        <v>53</v>
      </c>
      <c r="J136" s="12" t="s">
        <v>751</v>
      </c>
      <c r="K136" s="12" t="s">
        <v>751</v>
      </c>
      <c r="M136" s="12" t="s">
        <v>1099</v>
      </c>
      <c r="N136" s="11" t="s">
        <v>1098</v>
      </c>
    </row>
    <row r="137" spans="2:14">
      <c r="B137" t="s">
        <v>1505</v>
      </c>
      <c r="C137" s="12">
        <v>10</v>
      </c>
      <c r="D137" s="12">
        <v>6</v>
      </c>
      <c r="E137" s="12">
        <v>19</v>
      </c>
      <c r="F137" s="12">
        <v>11</v>
      </c>
      <c r="G137" s="12">
        <v>11</v>
      </c>
      <c r="H137" s="12">
        <v>23</v>
      </c>
      <c r="I137" s="12">
        <f t="shared" si="5"/>
        <v>80</v>
      </c>
      <c r="J137" s="12" t="s">
        <v>751</v>
      </c>
      <c r="K137" s="12" t="s">
        <v>767</v>
      </c>
      <c r="M137" s="12" t="s">
        <v>1113</v>
      </c>
      <c r="N137" s="11" t="s">
        <v>1112</v>
      </c>
    </row>
    <row r="138" spans="2:14">
      <c r="B138" t="s">
        <v>1506</v>
      </c>
      <c r="C138" s="12">
        <v>6</v>
      </c>
      <c r="D138" s="12">
        <v>11</v>
      </c>
      <c r="E138" s="12">
        <v>26</v>
      </c>
      <c r="F138" s="12">
        <v>16</v>
      </c>
      <c r="G138" s="12">
        <v>8</v>
      </c>
      <c r="H138" s="12">
        <v>33</v>
      </c>
      <c r="I138" s="12">
        <f t="shared" si="5"/>
        <v>100</v>
      </c>
      <c r="J138" s="12" t="s">
        <v>767</v>
      </c>
      <c r="K138" s="12" t="s">
        <v>767</v>
      </c>
      <c r="M138" s="12" t="s">
        <v>1115</v>
      </c>
      <c r="N138" s="11" t="s">
        <v>1114</v>
      </c>
    </row>
    <row r="139" spans="2:14">
      <c r="B139" t="s">
        <v>1507</v>
      </c>
      <c r="C139" s="12">
        <v>4</v>
      </c>
      <c r="D139" s="12">
        <v>17</v>
      </c>
      <c r="E139" s="12">
        <v>2</v>
      </c>
      <c r="F139" s="12">
        <v>15</v>
      </c>
      <c r="G139" s="12">
        <v>5</v>
      </c>
      <c r="H139" s="12">
        <v>19</v>
      </c>
      <c r="I139" s="12">
        <f t="shared" si="5"/>
        <v>62</v>
      </c>
      <c r="J139" s="12" t="s">
        <v>751</v>
      </c>
      <c r="K139" s="12" t="s">
        <v>751</v>
      </c>
      <c r="M139" s="12" t="s">
        <v>1117</v>
      </c>
      <c r="N139" s="11" t="s">
        <v>1116</v>
      </c>
    </row>
    <row r="140" spans="2:14">
      <c r="B140" t="s">
        <v>1508</v>
      </c>
      <c r="C140" s="12">
        <v>3</v>
      </c>
      <c r="D140" s="12">
        <v>6</v>
      </c>
      <c r="E140" s="12">
        <v>7</v>
      </c>
      <c r="F140" s="12">
        <v>24</v>
      </c>
      <c r="G140" s="12">
        <v>9</v>
      </c>
      <c r="H140" s="12">
        <v>21</v>
      </c>
      <c r="I140" s="12">
        <f t="shared" si="5"/>
        <v>70</v>
      </c>
      <c r="J140" s="12" t="s">
        <v>767</v>
      </c>
      <c r="K140" s="12" t="s">
        <v>767</v>
      </c>
      <c r="M140" s="12" t="s">
        <v>1119</v>
      </c>
      <c r="N140" s="11" t="s">
        <v>1118</v>
      </c>
    </row>
    <row r="141" spans="2:14">
      <c r="B141" t="s">
        <v>1509</v>
      </c>
      <c r="C141" s="12">
        <v>7</v>
      </c>
      <c r="D141" s="12">
        <v>13</v>
      </c>
      <c r="E141" s="12">
        <v>19</v>
      </c>
      <c r="F141" s="12">
        <v>21</v>
      </c>
      <c r="G141" s="12">
        <v>10</v>
      </c>
      <c r="H141" s="12">
        <v>27</v>
      </c>
      <c r="I141" s="12">
        <f t="shared" si="5"/>
        <v>97</v>
      </c>
      <c r="J141" s="12" t="s">
        <v>767</v>
      </c>
      <c r="K141" s="12" t="s">
        <v>767</v>
      </c>
      <c r="M141" s="12" t="s">
        <v>1121</v>
      </c>
      <c r="N141" s="11" t="s">
        <v>1120</v>
      </c>
    </row>
    <row r="142" spans="2:14">
      <c r="B142" s="4" t="s">
        <v>494</v>
      </c>
      <c r="C142" s="3">
        <v>5</v>
      </c>
      <c r="D142" s="3">
        <v>7</v>
      </c>
      <c r="E142" s="3">
        <v>30</v>
      </c>
      <c r="F142" s="3">
        <v>11</v>
      </c>
      <c r="G142" s="3">
        <v>4</v>
      </c>
      <c r="H142" t="s">
        <v>1584</v>
      </c>
      <c r="I142" t="s">
        <v>1584</v>
      </c>
      <c r="J142" s="12" t="s">
        <v>751</v>
      </c>
      <c r="K142" s="12" t="s">
        <v>751</v>
      </c>
      <c r="L142" t="s">
        <v>1588</v>
      </c>
      <c r="M142" s="3" t="s">
        <v>495</v>
      </c>
      <c r="N142" s="5" t="s">
        <v>496</v>
      </c>
    </row>
    <row r="143" spans="2:14">
      <c r="B143" s="4" t="s">
        <v>497</v>
      </c>
      <c r="C143" s="6">
        <v>5</v>
      </c>
      <c r="D143" s="6">
        <v>6</v>
      </c>
      <c r="E143" s="6">
        <v>26</v>
      </c>
      <c r="F143" s="6">
        <v>4</v>
      </c>
      <c r="G143" s="6">
        <v>10</v>
      </c>
      <c r="H143" s="6">
        <v>16</v>
      </c>
      <c r="I143" s="6">
        <f t="shared" ref="I143:I151" si="6">SUM(C143:H143)</f>
        <v>67</v>
      </c>
      <c r="J143" s="12" t="s">
        <v>751</v>
      </c>
      <c r="K143" s="12" t="s">
        <v>751</v>
      </c>
      <c r="M143" s="3" t="s">
        <v>498</v>
      </c>
      <c r="N143" s="5" t="s">
        <v>499</v>
      </c>
    </row>
    <row r="144" spans="2:14">
      <c r="B144" s="4" t="s">
        <v>500</v>
      </c>
      <c r="C144" s="3">
        <v>6</v>
      </c>
      <c r="D144" s="3">
        <v>1</v>
      </c>
      <c r="E144" s="3">
        <v>20</v>
      </c>
      <c r="F144" s="3">
        <v>11</v>
      </c>
      <c r="G144" s="3">
        <v>10</v>
      </c>
      <c r="H144" s="3">
        <v>17</v>
      </c>
      <c r="I144" s="6">
        <f t="shared" si="6"/>
        <v>65</v>
      </c>
      <c r="J144" s="12" t="s">
        <v>751</v>
      </c>
      <c r="K144" s="12" t="s">
        <v>751</v>
      </c>
      <c r="M144" s="3" t="s">
        <v>501</v>
      </c>
      <c r="N144" s="5" t="s">
        <v>502</v>
      </c>
    </row>
    <row r="145" spans="2:14">
      <c r="B145" s="4" t="s">
        <v>503</v>
      </c>
      <c r="C145" s="3">
        <v>0</v>
      </c>
      <c r="D145" s="3">
        <v>5</v>
      </c>
      <c r="E145" s="3">
        <v>22</v>
      </c>
      <c r="F145" s="3">
        <v>9</v>
      </c>
      <c r="G145" s="3">
        <v>14</v>
      </c>
      <c r="H145" s="3">
        <v>14</v>
      </c>
      <c r="I145" s="6">
        <f t="shared" si="6"/>
        <v>64</v>
      </c>
      <c r="J145" s="12" t="s">
        <v>751</v>
      </c>
      <c r="K145" s="3" t="s">
        <v>506</v>
      </c>
      <c r="M145" s="3" t="s">
        <v>504</v>
      </c>
      <c r="N145" s="5" t="s">
        <v>505</v>
      </c>
    </row>
    <row r="146" spans="2:14">
      <c r="B146" s="4" t="s">
        <v>507</v>
      </c>
      <c r="C146" s="3">
        <v>9</v>
      </c>
      <c r="D146" s="3">
        <v>3</v>
      </c>
      <c r="E146" s="3">
        <v>24</v>
      </c>
      <c r="F146" s="3">
        <v>5</v>
      </c>
      <c r="G146" s="3">
        <v>17</v>
      </c>
      <c r="H146" s="3">
        <v>16</v>
      </c>
      <c r="I146" s="6">
        <f t="shared" si="6"/>
        <v>74</v>
      </c>
      <c r="J146" s="12" t="s">
        <v>751</v>
      </c>
      <c r="K146" s="12" t="s">
        <v>751</v>
      </c>
      <c r="M146" s="3" t="s">
        <v>508</v>
      </c>
      <c r="N146" s="5" t="s">
        <v>509</v>
      </c>
    </row>
    <row r="147" spans="2:14">
      <c r="B147" s="4" t="s">
        <v>526</v>
      </c>
      <c r="C147" s="3">
        <v>3</v>
      </c>
      <c r="D147" s="3">
        <v>4</v>
      </c>
      <c r="E147" s="3">
        <v>34</v>
      </c>
      <c r="F147" s="3">
        <v>19</v>
      </c>
      <c r="G147" s="3">
        <v>16</v>
      </c>
      <c r="H147" s="3">
        <v>20</v>
      </c>
      <c r="I147" s="3">
        <f t="shared" si="6"/>
        <v>96</v>
      </c>
      <c r="J147" s="12" t="s">
        <v>767</v>
      </c>
      <c r="K147" s="12" t="s">
        <v>767</v>
      </c>
      <c r="M147" s="3" t="s">
        <v>527</v>
      </c>
      <c r="N147" s="5" t="s">
        <v>528</v>
      </c>
    </row>
    <row r="148" spans="2:14">
      <c r="B148" s="4" t="s">
        <v>529</v>
      </c>
      <c r="C148" s="3">
        <v>0</v>
      </c>
      <c r="D148" s="3">
        <v>8</v>
      </c>
      <c r="E148" s="3">
        <v>21</v>
      </c>
      <c r="F148" s="3">
        <v>10</v>
      </c>
      <c r="G148" s="3">
        <v>12</v>
      </c>
      <c r="H148" s="3">
        <v>19</v>
      </c>
      <c r="I148" s="3">
        <f t="shared" si="6"/>
        <v>70</v>
      </c>
      <c r="J148" s="12" t="s">
        <v>767</v>
      </c>
      <c r="K148" s="12" t="s">
        <v>751</v>
      </c>
      <c r="M148" s="3" t="s">
        <v>530</v>
      </c>
      <c r="N148" s="5" t="s">
        <v>531</v>
      </c>
    </row>
    <row r="149" spans="2:14">
      <c r="B149" s="4" t="s">
        <v>532</v>
      </c>
      <c r="C149" s="3">
        <v>3</v>
      </c>
      <c r="D149" s="3">
        <v>7</v>
      </c>
      <c r="E149" s="3">
        <v>16</v>
      </c>
      <c r="F149" s="3">
        <v>22</v>
      </c>
      <c r="G149" s="3">
        <v>12</v>
      </c>
      <c r="H149" s="3">
        <v>26</v>
      </c>
      <c r="I149" s="3">
        <f t="shared" si="6"/>
        <v>86</v>
      </c>
      <c r="J149" t="s">
        <v>1584</v>
      </c>
      <c r="K149" s="12" t="s">
        <v>767</v>
      </c>
      <c r="L149" t="s">
        <v>1588</v>
      </c>
      <c r="M149" s="3" t="s">
        <v>533</v>
      </c>
      <c r="N149" s="5" t="s">
        <v>534</v>
      </c>
    </row>
    <row r="150" spans="2:14">
      <c r="B150" s="4" t="s">
        <v>535</v>
      </c>
      <c r="C150" s="3">
        <v>5</v>
      </c>
      <c r="D150" s="3">
        <v>5</v>
      </c>
      <c r="E150" s="3">
        <v>29</v>
      </c>
      <c r="F150" s="3">
        <v>4</v>
      </c>
      <c r="G150" s="3">
        <v>5</v>
      </c>
      <c r="H150" s="3">
        <v>17</v>
      </c>
      <c r="I150" s="3">
        <f t="shared" si="6"/>
        <v>65</v>
      </c>
      <c r="J150" s="12" t="s">
        <v>767</v>
      </c>
      <c r="K150" s="12" t="s">
        <v>767</v>
      </c>
      <c r="M150" s="3" t="s">
        <v>536</v>
      </c>
      <c r="N150" s="5" t="s">
        <v>537</v>
      </c>
    </row>
    <row r="151" spans="2:14">
      <c r="B151" s="4" t="s">
        <v>538</v>
      </c>
      <c r="C151" s="3">
        <v>0</v>
      </c>
      <c r="D151" s="3">
        <v>10</v>
      </c>
      <c r="E151" s="3">
        <v>27</v>
      </c>
      <c r="F151" s="3">
        <v>20</v>
      </c>
      <c r="G151" s="3">
        <v>10</v>
      </c>
      <c r="H151" s="3">
        <v>30</v>
      </c>
      <c r="I151" s="3">
        <f t="shared" si="6"/>
        <v>97</v>
      </c>
      <c r="J151" s="12" t="s">
        <v>767</v>
      </c>
      <c r="K151" s="12" t="s">
        <v>767</v>
      </c>
      <c r="M151" s="3" t="s">
        <v>539</v>
      </c>
      <c r="N151" s="5" t="s">
        <v>540</v>
      </c>
    </row>
    <row r="152" spans="2:14">
      <c r="B152" t="s">
        <v>1510</v>
      </c>
      <c r="C152" s="12">
        <v>7</v>
      </c>
      <c r="D152" s="12">
        <v>5</v>
      </c>
      <c r="E152" s="12">
        <v>22</v>
      </c>
      <c r="F152" s="12">
        <v>6</v>
      </c>
      <c r="G152" s="12">
        <v>6</v>
      </c>
      <c r="H152" s="12">
        <v>22</v>
      </c>
      <c r="I152" s="3">
        <f t="shared" ref="I152:I161" si="7">C152+D152+E152+F152+G152+H152</f>
        <v>68</v>
      </c>
      <c r="J152" s="12" t="s">
        <v>751</v>
      </c>
      <c r="K152" s="12" t="s">
        <v>751</v>
      </c>
      <c r="M152" s="12" t="s">
        <v>1141</v>
      </c>
      <c r="N152" s="11" t="s">
        <v>1140</v>
      </c>
    </row>
    <row r="153" spans="2:14">
      <c r="B153" t="s">
        <v>1511</v>
      </c>
      <c r="C153" s="12">
        <v>9</v>
      </c>
      <c r="D153" s="12">
        <v>5</v>
      </c>
      <c r="E153" s="12">
        <v>16</v>
      </c>
      <c r="F153" s="12">
        <v>13</v>
      </c>
      <c r="G153" s="12">
        <v>2</v>
      </c>
      <c r="H153" s="12">
        <v>21</v>
      </c>
      <c r="I153" s="3">
        <f t="shared" si="7"/>
        <v>66</v>
      </c>
      <c r="J153" s="12" t="s">
        <v>751</v>
      </c>
      <c r="K153" s="12" t="s">
        <v>751</v>
      </c>
      <c r="M153" s="12" t="s">
        <v>1143</v>
      </c>
      <c r="N153" s="11" t="s">
        <v>1142</v>
      </c>
    </row>
    <row r="154" spans="2:14">
      <c r="B154" t="s">
        <v>1512</v>
      </c>
      <c r="C154" s="12">
        <v>8</v>
      </c>
      <c r="D154" s="12">
        <v>8</v>
      </c>
      <c r="E154" s="12">
        <v>16</v>
      </c>
      <c r="F154" s="12">
        <v>4</v>
      </c>
      <c r="G154" s="12">
        <v>7</v>
      </c>
      <c r="H154" s="12">
        <v>14</v>
      </c>
      <c r="I154" s="3">
        <f t="shared" si="7"/>
        <v>57</v>
      </c>
      <c r="J154" s="12" t="s">
        <v>751</v>
      </c>
      <c r="K154" s="12" t="s">
        <v>751</v>
      </c>
      <c r="M154" s="12" t="s">
        <v>1145</v>
      </c>
      <c r="N154" s="11" t="s">
        <v>1144</v>
      </c>
    </row>
    <row r="155" spans="2:14">
      <c r="B155" t="s">
        <v>1513</v>
      </c>
      <c r="C155" s="12">
        <v>5</v>
      </c>
      <c r="D155" s="12">
        <v>7</v>
      </c>
      <c r="E155" s="12">
        <v>15</v>
      </c>
      <c r="F155" s="12">
        <v>6</v>
      </c>
      <c r="G155" s="12">
        <v>8</v>
      </c>
      <c r="H155" s="12">
        <v>21</v>
      </c>
      <c r="I155" s="3">
        <f t="shared" si="7"/>
        <v>62</v>
      </c>
      <c r="J155" s="12" t="s">
        <v>751</v>
      </c>
      <c r="K155" s="12" t="s">
        <v>751</v>
      </c>
      <c r="M155" s="12" t="s">
        <v>1147</v>
      </c>
      <c r="N155" s="11" t="s">
        <v>1146</v>
      </c>
    </row>
    <row r="156" spans="2:14">
      <c r="B156" t="s">
        <v>1514</v>
      </c>
      <c r="C156" s="12">
        <v>6</v>
      </c>
      <c r="D156" s="12">
        <v>7</v>
      </c>
      <c r="E156" s="12">
        <v>25</v>
      </c>
      <c r="F156" s="12">
        <v>16</v>
      </c>
      <c r="G156" s="12">
        <v>16</v>
      </c>
      <c r="H156" s="12">
        <v>18</v>
      </c>
      <c r="I156" s="3">
        <f t="shared" si="7"/>
        <v>88</v>
      </c>
      <c r="J156" s="12" t="s">
        <v>751</v>
      </c>
      <c r="K156" s="12" t="s">
        <v>751</v>
      </c>
      <c r="M156" s="12" t="s">
        <v>1149</v>
      </c>
      <c r="N156" s="11" t="s">
        <v>1148</v>
      </c>
    </row>
    <row r="157" spans="2:14">
      <c r="B157" t="s">
        <v>1515</v>
      </c>
      <c r="C157" s="12">
        <v>6</v>
      </c>
      <c r="D157" s="12">
        <v>11</v>
      </c>
      <c r="E157" s="12">
        <v>18</v>
      </c>
      <c r="F157" s="12">
        <v>4</v>
      </c>
      <c r="G157" s="12">
        <v>10</v>
      </c>
      <c r="H157" s="12">
        <v>29</v>
      </c>
      <c r="I157" s="12">
        <f t="shared" si="7"/>
        <v>78</v>
      </c>
      <c r="J157" s="12" t="s">
        <v>767</v>
      </c>
      <c r="K157" s="12" t="s">
        <v>767</v>
      </c>
      <c r="M157" s="12" t="s">
        <v>1164</v>
      </c>
      <c r="N157" s="11" t="s">
        <v>1163</v>
      </c>
    </row>
    <row r="158" spans="2:14">
      <c r="B158" t="s">
        <v>1516</v>
      </c>
      <c r="C158" s="12">
        <v>3</v>
      </c>
      <c r="D158" s="12">
        <v>6</v>
      </c>
      <c r="E158" s="12">
        <v>9</v>
      </c>
      <c r="F158" s="12">
        <v>4</v>
      </c>
      <c r="G158" s="12">
        <v>8</v>
      </c>
      <c r="H158" s="12">
        <v>26</v>
      </c>
      <c r="I158" s="12">
        <f t="shared" si="7"/>
        <v>56</v>
      </c>
      <c r="J158" s="12" t="s">
        <v>751</v>
      </c>
      <c r="K158" s="12" t="s">
        <v>751</v>
      </c>
      <c r="M158" s="12" t="s">
        <v>1166</v>
      </c>
      <c r="N158" s="11" t="s">
        <v>1165</v>
      </c>
    </row>
    <row r="159" spans="2:14">
      <c r="B159" t="s">
        <v>1517</v>
      </c>
      <c r="C159" s="12">
        <v>4</v>
      </c>
      <c r="D159" s="12">
        <v>9</v>
      </c>
      <c r="E159" s="12">
        <v>21</v>
      </c>
      <c r="F159" s="12">
        <v>10</v>
      </c>
      <c r="G159" s="12">
        <v>6</v>
      </c>
      <c r="H159" s="12">
        <v>24</v>
      </c>
      <c r="I159" s="12">
        <f t="shared" si="7"/>
        <v>74</v>
      </c>
      <c r="J159" s="12" t="s">
        <v>767</v>
      </c>
      <c r="K159" s="12" t="s">
        <v>767</v>
      </c>
      <c r="M159" s="12" t="s">
        <v>1169</v>
      </c>
      <c r="N159" s="11" t="s">
        <v>1168</v>
      </c>
    </row>
    <row r="160" spans="2:14">
      <c r="B160" t="s">
        <v>1518</v>
      </c>
      <c r="C160" s="12">
        <v>4</v>
      </c>
      <c r="D160" s="12">
        <v>4</v>
      </c>
      <c r="E160" s="12">
        <v>10</v>
      </c>
      <c r="F160" s="12">
        <v>6</v>
      </c>
      <c r="G160" s="12">
        <v>8</v>
      </c>
      <c r="H160" s="12">
        <v>23</v>
      </c>
      <c r="I160" s="12">
        <f t="shared" si="7"/>
        <v>55</v>
      </c>
      <c r="J160" s="12" t="s">
        <v>767</v>
      </c>
      <c r="K160" s="13" t="s">
        <v>772</v>
      </c>
      <c r="M160" s="12" t="s">
        <v>1171</v>
      </c>
      <c r="N160" s="11" t="s">
        <v>1170</v>
      </c>
    </row>
    <row r="161" spans="2:14">
      <c r="B161" t="s">
        <v>1519</v>
      </c>
      <c r="C161" s="12">
        <v>13</v>
      </c>
      <c r="D161" s="12">
        <v>10</v>
      </c>
      <c r="E161" s="12">
        <v>33</v>
      </c>
      <c r="F161" s="12">
        <v>20</v>
      </c>
      <c r="G161" s="12">
        <v>18</v>
      </c>
      <c r="H161" s="12">
        <v>36</v>
      </c>
      <c r="I161" s="12">
        <f t="shared" si="7"/>
        <v>130</v>
      </c>
      <c r="J161" s="12" t="s">
        <v>767</v>
      </c>
      <c r="K161" s="12" t="s">
        <v>767</v>
      </c>
      <c r="M161" s="12" t="s">
        <v>1173</v>
      </c>
      <c r="N161" s="11" t="s">
        <v>1172</v>
      </c>
    </row>
    <row r="162" spans="2:14">
      <c r="B162" s="4" t="s">
        <v>100</v>
      </c>
      <c r="C162" s="6">
        <v>6</v>
      </c>
      <c r="D162" s="6">
        <v>6</v>
      </c>
      <c r="E162" s="6">
        <v>21</v>
      </c>
      <c r="F162" s="6">
        <v>4</v>
      </c>
      <c r="G162" s="6">
        <v>9</v>
      </c>
      <c r="H162" s="6">
        <v>22</v>
      </c>
      <c r="I162" s="6">
        <f>SUM(C162:H162)</f>
        <v>68</v>
      </c>
      <c r="J162" s="12" t="s">
        <v>751</v>
      </c>
      <c r="K162" s="12" t="s">
        <v>751</v>
      </c>
      <c r="M162" s="3" t="s">
        <v>101</v>
      </c>
      <c r="N162" s="5" t="s">
        <v>102</v>
      </c>
    </row>
    <row r="163" spans="2:14">
      <c r="B163" s="4" t="s">
        <v>103</v>
      </c>
      <c r="C163" s="3">
        <v>4</v>
      </c>
      <c r="D163" s="3">
        <v>15</v>
      </c>
      <c r="E163" s="3">
        <v>19</v>
      </c>
      <c r="F163" s="3">
        <v>5</v>
      </c>
      <c r="G163" t="s">
        <v>1584</v>
      </c>
      <c r="H163" t="s">
        <v>1584</v>
      </c>
      <c r="I163" t="s">
        <v>1584</v>
      </c>
      <c r="J163" s="12" t="s">
        <v>751</v>
      </c>
      <c r="K163" s="12" t="s">
        <v>751</v>
      </c>
      <c r="L163" t="s">
        <v>1588</v>
      </c>
      <c r="M163" s="3" t="s">
        <v>104</v>
      </c>
      <c r="N163" s="5" t="s">
        <v>105</v>
      </c>
    </row>
    <row r="164" spans="2:14">
      <c r="B164" s="4" t="s">
        <v>106</v>
      </c>
      <c r="C164" s="3">
        <v>3</v>
      </c>
      <c r="D164" s="3">
        <v>7</v>
      </c>
      <c r="E164" s="3">
        <v>13</v>
      </c>
      <c r="F164" s="3">
        <v>13</v>
      </c>
      <c r="G164" s="3">
        <v>16</v>
      </c>
      <c r="H164" s="3">
        <v>22</v>
      </c>
      <c r="I164" s="6">
        <f>SUM(C164:H164)</f>
        <v>74</v>
      </c>
      <c r="J164" s="12" t="s">
        <v>751</v>
      </c>
      <c r="K164" s="12" t="s">
        <v>751</v>
      </c>
      <c r="M164" s="3" t="s">
        <v>107</v>
      </c>
      <c r="N164" s="5" t="s">
        <v>108</v>
      </c>
    </row>
    <row r="165" spans="2:14">
      <c r="B165" s="4" t="s">
        <v>109</v>
      </c>
      <c r="C165" s="3">
        <v>4</v>
      </c>
      <c r="D165" s="3">
        <v>2</v>
      </c>
      <c r="E165" s="3">
        <v>19</v>
      </c>
      <c r="F165" s="3">
        <v>11</v>
      </c>
      <c r="G165" s="3">
        <v>14</v>
      </c>
      <c r="H165" s="3">
        <v>18</v>
      </c>
      <c r="I165" s="6">
        <f>SUM(C165:H165)</f>
        <v>68</v>
      </c>
      <c r="J165" s="12" t="s">
        <v>767</v>
      </c>
      <c r="K165" s="12" t="s">
        <v>751</v>
      </c>
      <c r="M165" s="3" t="s">
        <v>110</v>
      </c>
      <c r="N165" s="5" t="s">
        <v>111</v>
      </c>
    </row>
    <row r="166" spans="2:14">
      <c r="B166" s="4" t="s">
        <v>112</v>
      </c>
      <c r="C166" s="3">
        <v>5</v>
      </c>
      <c r="D166" s="3">
        <v>2</v>
      </c>
      <c r="E166" s="3">
        <v>14</v>
      </c>
      <c r="F166" s="3">
        <v>12</v>
      </c>
      <c r="G166" s="3">
        <v>7</v>
      </c>
      <c r="H166" s="3">
        <v>25</v>
      </c>
      <c r="I166" s="6">
        <f>SUM(C166:H166)</f>
        <v>65</v>
      </c>
      <c r="J166" s="12" t="s">
        <v>751</v>
      </c>
      <c r="K166" s="12" t="s">
        <v>751</v>
      </c>
      <c r="M166" s="3" t="s">
        <v>113</v>
      </c>
      <c r="N166" s="5" t="s">
        <v>114</v>
      </c>
    </row>
    <row r="167" spans="2:14">
      <c r="B167" s="4" t="s">
        <v>134</v>
      </c>
      <c r="C167" s="3">
        <v>7</v>
      </c>
      <c r="D167" s="3">
        <v>5</v>
      </c>
      <c r="E167" s="3">
        <v>17</v>
      </c>
      <c r="F167" s="3">
        <v>21</v>
      </c>
      <c r="G167" s="3">
        <v>20</v>
      </c>
      <c r="H167" s="3">
        <v>29</v>
      </c>
      <c r="I167" s="3">
        <f>SUM(C167:H167)</f>
        <v>99</v>
      </c>
      <c r="J167" s="12" t="s">
        <v>767</v>
      </c>
      <c r="K167" s="12" t="s">
        <v>767</v>
      </c>
      <c r="M167" s="3" t="s">
        <v>135</v>
      </c>
      <c r="N167" s="5" t="s">
        <v>136</v>
      </c>
    </row>
    <row r="168" spans="2:14">
      <c r="B168" s="4" t="s">
        <v>137</v>
      </c>
      <c r="C168" s="3">
        <v>6</v>
      </c>
      <c r="D168" s="3">
        <v>2</v>
      </c>
      <c r="E168" s="3">
        <v>11</v>
      </c>
      <c r="F168" s="3">
        <v>25</v>
      </c>
      <c r="G168" s="3">
        <v>11</v>
      </c>
      <c r="H168" s="3">
        <v>32</v>
      </c>
      <c r="I168" s="3">
        <f>SUM(C168:H168)</f>
        <v>87</v>
      </c>
      <c r="J168" t="s">
        <v>1584</v>
      </c>
      <c r="K168" s="12" t="s">
        <v>767</v>
      </c>
      <c r="L168" t="s">
        <v>1588</v>
      </c>
      <c r="M168" s="3" t="s">
        <v>138</v>
      </c>
      <c r="N168" s="5" t="s">
        <v>139</v>
      </c>
    </row>
    <row r="169" spans="2:14">
      <c r="B169" s="4" t="s">
        <v>140</v>
      </c>
      <c r="C169" s="3">
        <v>6</v>
      </c>
      <c r="D169" s="3">
        <v>0</v>
      </c>
      <c r="E169" s="3">
        <v>11</v>
      </c>
      <c r="F169" s="3">
        <v>14</v>
      </c>
      <c r="G169" t="s">
        <v>1584</v>
      </c>
      <c r="H169" t="s">
        <v>1584</v>
      </c>
      <c r="I169" s="3">
        <v>67</v>
      </c>
      <c r="J169" s="12" t="s">
        <v>767</v>
      </c>
      <c r="K169" s="12" t="s">
        <v>767</v>
      </c>
      <c r="M169" s="3" t="s">
        <v>141</v>
      </c>
      <c r="N169" s="5" t="s">
        <v>142</v>
      </c>
    </row>
    <row r="170" spans="2:14">
      <c r="B170" s="4" t="s">
        <v>143</v>
      </c>
      <c r="C170" s="3">
        <v>6</v>
      </c>
      <c r="D170" s="3">
        <v>11</v>
      </c>
      <c r="E170" s="3">
        <v>15</v>
      </c>
      <c r="F170" s="3">
        <v>27</v>
      </c>
      <c r="G170" s="3">
        <v>11</v>
      </c>
      <c r="H170" s="3">
        <v>26</v>
      </c>
      <c r="I170" s="3">
        <f t="shared" ref="I170:I179" si="8">SUM(C170:H170)</f>
        <v>96</v>
      </c>
      <c r="J170" s="12" t="s">
        <v>767</v>
      </c>
      <c r="K170" s="12" t="s">
        <v>767</v>
      </c>
      <c r="M170" s="3" t="s">
        <v>144</v>
      </c>
      <c r="N170" s="5" t="s">
        <v>145</v>
      </c>
    </row>
    <row r="171" spans="2:14" ht="16.5" customHeight="1">
      <c r="B171" s="4" t="s">
        <v>146</v>
      </c>
      <c r="C171" s="3">
        <v>5</v>
      </c>
      <c r="D171" s="3">
        <v>2</v>
      </c>
      <c r="E171" s="3">
        <v>23</v>
      </c>
      <c r="F171" s="3">
        <v>17</v>
      </c>
      <c r="G171" s="3">
        <v>6</v>
      </c>
      <c r="H171" s="3">
        <v>17</v>
      </c>
      <c r="I171" s="3">
        <f t="shared" si="8"/>
        <v>70</v>
      </c>
      <c r="J171" s="12" t="s">
        <v>767</v>
      </c>
      <c r="K171" s="12" t="s">
        <v>767</v>
      </c>
      <c r="M171" s="3" t="s">
        <v>147</v>
      </c>
      <c r="N171" s="5" t="s">
        <v>148</v>
      </c>
    </row>
    <row r="172" spans="2:14">
      <c r="B172" s="4" t="s">
        <v>166</v>
      </c>
      <c r="C172" s="3">
        <v>5</v>
      </c>
      <c r="D172" s="3">
        <v>1</v>
      </c>
      <c r="E172" s="3">
        <v>24</v>
      </c>
      <c r="F172" s="3">
        <v>8</v>
      </c>
      <c r="G172" s="3">
        <v>11</v>
      </c>
      <c r="H172" s="3">
        <v>13</v>
      </c>
      <c r="I172" s="3">
        <f t="shared" si="8"/>
        <v>62</v>
      </c>
      <c r="J172" s="12" t="s">
        <v>751</v>
      </c>
      <c r="K172" s="12" t="s">
        <v>751</v>
      </c>
      <c r="L172" s="3" t="s">
        <v>1839</v>
      </c>
      <c r="M172" s="3" t="s">
        <v>167</v>
      </c>
      <c r="N172" s="5" t="s">
        <v>168</v>
      </c>
    </row>
    <row r="173" spans="2:14">
      <c r="B173" s="4" t="s">
        <v>169</v>
      </c>
      <c r="C173" s="3">
        <v>5</v>
      </c>
      <c r="D173" s="3">
        <v>2</v>
      </c>
      <c r="E173" s="3">
        <v>6</v>
      </c>
      <c r="F173" s="3">
        <v>8</v>
      </c>
      <c r="G173" s="3">
        <v>6</v>
      </c>
      <c r="H173" s="3">
        <v>8</v>
      </c>
      <c r="I173" s="3">
        <f t="shared" si="8"/>
        <v>35</v>
      </c>
      <c r="J173" s="12" t="s">
        <v>751</v>
      </c>
      <c r="K173" s="12" t="s">
        <v>751</v>
      </c>
      <c r="M173" s="3" t="s">
        <v>170</v>
      </c>
      <c r="N173" s="5" t="s">
        <v>171</v>
      </c>
    </row>
    <row r="174" spans="2:14">
      <c r="B174" s="4" t="s">
        <v>172</v>
      </c>
      <c r="C174" s="6">
        <v>7</v>
      </c>
      <c r="D174" s="6">
        <v>3</v>
      </c>
      <c r="E174" s="6">
        <v>15</v>
      </c>
      <c r="F174" s="6">
        <v>11</v>
      </c>
      <c r="G174" s="6">
        <v>6</v>
      </c>
      <c r="H174" s="6">
        <v>15</v>
      </c>
      <c r="I174" s="3">
        <f t="shared" si="8"/>
        <v>57</v>
      </c>
      <c r="J174" s="12" t="s">
        <v>751</v>
      </c>
      <c r="K174" s="12" t="s">
        <v>751</v>
      </c>
      <c r="M174" s="3" t="s">
        <v>173</v>
      </c>
      <c r="N174" s="5" t="s">
        <v>174</v>
      </c>
    </row>
    <row r="175" spans="2:14">
      <c r="B175" s="4" t="s">
        <v>175</v>
      </c>
      <c r="C175" s="3">
        <v>8</v>
      </c>
      <c r="D175" s="3">
        <v>5</v>
      </c>
      <c r="E175" s="3">
        <v>23</v>
      </c>
      <c r="F175" s="3">
        <v>14</v>
      </c>
      <c r="G175" s="3">
        <v>13</v>
      </c>
      <c r="H175" s="3">
        <v>15</v>
      </c>
      <c r="I175" s="3">
        <f t="shared" si="8"/>
        <v>78</v>
      </c>
      <c r="J175" s="12" t="s">
        <v>751</v>
      </c>
      <c r="K175" s="12" t="s">
        <v>751</v>
      </c>
      <c r="M175" s="3" t="s">
        <v>176</v>
      </c>
      <c r="N175" s="5" t="s">
        <v>177</v>
      </c>
    </row>
    <row r="176" spans="2:14">
      <c r="B176" s="4" t="s">
        <v>178</v>
      </c>
      <c r="C176" s="3">
        <v>1</v>
      </c>
      <c r="D176" s="3">
        <v>0</v>
      </c>
      <c r="E176" s="3">
        <v>16</v>
      </c>
      <c r="F176" s="3">
        <v>9</v>
      </c>
      <c r="G176" s="3">
        <v>7</v>
      </c>
      <c r="H176" s="3">
        <v>17</v>
      </c>
      <c r="I176" s="3">
        <f t="shared" si="8"/>
        <v>50</v>
      </c>
      <c r="J176" s="12" t="s">
        <v>751</v>
      </c>
      <c r="K176" s="12" t="s">
        <v>751</v>
      </c>
      <c r="M176" s="3" t="s">
        <v>179</v>
      </c>
      <c r="N176" s="5" t="s">
        <v>180</v>
      </c>
    </row>
    <row r="177" spans="2:14">
      <c r="B177" s="4" t="s">
        <v>192</v>
      </c>
      <c r="C177" s="3">
        <v>8</v>
      </c>
      <c r="D177" s="3">
        <v>5</v>
      </c>
      <c r="E177" s="3">
        <v>47</v>
      </c>
      <c r="F177" s="3">
        <v>26</v>
      </c>
      <c r="G177" s="3">
        <v>11</v>
      </c>
      <c r="H177" s="3">
        <v>29</v>
      </c>
      <c r="I177" s="3">
        <f t="shared" si="8"/>
        <v>126</v>
      </c>
      <c r="J177" s="12" t="s">
        <v>767</v>
      </c>
      <c r="K177" s="12" t="s">
        <v>767</v>
      </c>
      <c r="M177" s="3" t="s">
        <v>193</v>
      </c>
      <c r="N177" s="5" t="s">
        <v>194</v>
      </c>
    </row>
    <row r="178" spans="2:14">
      <c r="B178" s="4" t="s">
        <v>195</v>
      </c>
      <c r="C178" s="3">
        <v>9</v>
      </c>
      <c r="D178" s="3">
        <v>2</v>
      </c>
      <c r="E178" s="3">
        <v>25</v>
      </c>
      <c r="F178" s="3">
        <v>14</v>
      </c>
      <c r="G178" s="3">
        <v>23</v>
      </c>
      <c r="H178" s="3">
        <v>13</v>
      </c>
      <c r="I178" s="3">
        <f t="shared" si="8"/>
        <v>86</v>
      </c>
      <c r="J178" s="12" t="s">
        <v>751</v>
      </c>
      <c r="K178" s="12" t="s">
        <v>751</v>
      </c>
      <c r="M178" s="3" t="s">
        <v>196</v>
      </c>
      <c r="N178" s="5" t="s">
        <v>197</v>
      </c>
    </row>
    <row r="179" spans="2:14">
      <c r="B179" s="4" t="s">
        <v>198</v>
      </c>
      <c r="C179" s="3">
        <v>4</v>
      </c>
      <c r="D179" s="3">
        <v>10</v>
      </c>
      <c r="E179" s="3">
        <v>28</v>
      </c>
      <c r="F179" s="3">
        <v>16</v>
      </c>
      <c r="G179" s="3">
        <v>21</v>
      </c>
      <c r="H179" s="3">
        <v>28</v>
      </c>
      <c r="I179" s="3">
        <f t="shared" si="8"/>
        <v>107</v>
      </c>
      <c r="J179" s="12" t="s">
        <v>767</v>
      </c>
      <c r="K179" s="12" t="s">
        <v>767</v>
      </c>
      <c r="L179" s="3" t="s">
        <v>201</v>
      </c>
      <c r="M179" s="3" t="s">
        <v>199</v>
      </c>
      <c r="N179" s="5" t="s">
        <v>200</v>
      </c>
    </row>
    <row r="180" spans="2:14">
      <c r="B180" s="4" t="s">
        <v>202</v>
      </c>
      <c r="C180" t="s">
        <v>1584</v>
      </c>
      <c r="D180" t="s">
        <v>1584</v>
      </c>
      <c r="E180" s="3">
        <v>34</v>
      </c>
      <c r="F180" s="3">
        <v>15</v>
      </c>
      <c r="G180" s="3">
        <v>22</v>
      </c>
      <c r="H180" s="3">
        <v>25</v>
      </c>
      <c r="I180" t="s">
        <v>1584</v>
      </c>
      <c r="J180" t="s">
        <v>1584</v>
      </c>
      <c r="K180" t="s">
        <v>1584</v>
      </c>
      <c r="L180" t="s">
        <v>1588</v>
      </c>
      <c r="M180" s="3" t="s">
        <v>203</v>
      </c>
      <c r="N180" s="5" t="s">
        <v>204</v>
      </c>
    </row>
    <row r="181" spans="2:14">
      <c r="B181" s="4" t="s">
        <v>205</v>
      </c>
      <c r="C181" s="3">
        <v>3</v>
      </c>
      <c r="D181" s="3">
        <v>2</v>
      </c>
      <c r="E181" s="3">
        <v>19</v>
      </c>
      <c r="F181" s="3">
        <v>1</v>
      </c>
      <c r="G181" s="3">
        <v>5</v>
      </c>
      <c r="H181" s="3">
        <v>19</v>
      </c>
      <c r="I181" s="3">
        <f>SUM(C181:H181)</f>
        <v>49</v>
      </c>
      <c r="J181" s="3" t="s">
        <v>208</v>
      </c>
      <c r="K181" s="3" t="s">
        <v>71</v>
      </c>
      <c r="M181" s="3" t="s">
        <v>206</v>
      </c>
      <c r="N181" s="5" t="s">
        <v>207</v>
      </c>
    </row>
    <row r="182" spans="2:14">
      <c r="B182" t="s">
        <v>1520</v>
      </c>
      <c r="C182" s="12">
        <v>0</v>
      </c>
      <c r="D182" s="12">
        <v>2</v>
      </c>
      <c r="E182" s="12">
        <v>28</v>
      </c>
      <c r="F182" s="12">
        <v>20</v>
      </c>
      <c r="G182" s="12">
        <v>7</v>
      </c>
      <c r="H182" s="12">
        <v>28</v>
      </c>
      <c r="I182" s="12">
        <f t="shared" ref="I182:I191" si="9">C182+D182+E182+F182+G182+H182</f>
        <v>85</v>
      </c>
      <c r="J182" s="12" t="s">
        <v>751</v>
      </c>
      <c r="K182" s="12" t="s">
        <v>751</v>
      </c>
      <c r="M182" s="12" t="s">
        <v>769</v>
      </c>
      <c r="N182" s="11" t="s">
        <v>768</v>
      </c>
    </row>
    <row r="183" spans="2:14">
      <c r="B183" t="s">
        <v>1521</v>
      </c>
      <c r="C183" s="12">
        <v>9</v>
      </c>
      <c r="D183" s="12">
        <v>5</v>
      </c>
      <c r="E183" s="12">
        <v>16</v>
      </c>
      <c r="F183" s="12">
        <v>11</v>
      </c>
      <c r="G183" s="12">
        <v>7</v>
      </c>
      <c r="H183" s="12">
        <v>19</v>
      </c>
      <c r="I183" s="12">
        <f t="shared" si="9"/>
        <v>67</v>
      </c>
      <c r="J183" s="12" t="s">
        <v>751</v>
      </c>
      <c r="K183" s="12" t="s">
        <v>751</v>
      </c>
      <c r="M183" s="12" t="s">
        <v>771</v>
      </c>
      <c r="N183" s="11" t="s">
        <v>770</v>
      </c>
    </row>
    <row r="184" spans="2:14">
      <c r="B184" t="s">
        <v>1522</v>
      </c>
      <c r="C184" s="12">
        <v>14</v>
      </c>
      <c r="D184" s="12">
        <v>16</v>
      </c>
      <c r="E184" s="12">
        <v>20</v>
      </c>
      <c r="F184" s="12">
        <v>13</v>
      </c>
      <c r="G184" s="12">
        <v>6</v>
      </c>
      <c r="H184" s="12">
        <v>29</v>
      </c>
      <c r="I184" s="12">
        <f t="shared" si="9"/>
        <v>98</v>
      </c>
      <c r="J184" s="12" t="s">
        <v>751</v>
      </c>
      <c r="K184" s="12" t="s">
        <v>751</v>
      </c>
      <c r="M184" s="12" t="s">
        <v>774</v>
      </c>
      <c r="N184" s="11" t="s">
        <v>773</v>
      </c>
    </row>
    <row r="185" spans="2:14">
      <c r="B185" t="s">
        <v>1523</v>
      </c>
      <c r="C185" s="12">
        <v>4</v>
      </c>
      <c r="D185" s="12">
        <v>4</v>
      </c>
      <c r="E185" s="12">
        <v>16</v>
      </c>
      <c r="F185" s="12">
        <v>7</v>
      </c>
      <c r="G185" s="12">
        <v>6</v>
      </c>
      <c r="H185" s="12">
        <v>9</v>
      </c>
      <c r="I185" s="12">
        <f t="shared" si="9"/>
        <v>46</v>
      </c>
      <c r="J185" s="12" t="s">
        <v>751</v>
      </c>
      <c r="K185" s="12" t="s">
        <v>751</v>
      </c>
      <c r="M185" s="12" t="s">
        <v>776</v>
      </c>
      <c r="N185" s="11" t="s">
        <v>775</v>
      </c>
    </row>
    <row r="186" spans="2:14">
      <c r="B186" t="s">
        <v>1524</v>
      </c>
      <c r="C186" s="12">
        <v>9</v>
      </c>
      <c r="D186" s="12">
        <v>11</v>
      </c>
      <c r="E186" s="12">
        <v>18</v>
      </c>
      <c r="F186" s="12">
        <v>11</v>
      </c>
      <c r="G186" s="12">
        <v>11</v>
      </c>
      <c r="H186" s="12">
        <v>27</v>
      </c>
      <c r="I186" s="12">
        <f t="shared" si="9"/>
        <v>87</v>
      </c>
      <c r="J186" s="12" t="s">
        <v>751</v>
      </c>
      <c r="K186" s="12" t="s">
        <v>751</v>
      </c>
      <c r="M186" s="12" t="s">
        <v>778</v>
      </c>
      <c r="N186" s="11" t="s">
        <v>777</v>
      </c>
    </row>
    <row r="187" spans="2:14">
      <c r="B187" t="s">
        <v>1525</v>
      </c>
      <c r="C187" s="12">
        <v>9</v>
      </c>
      <c r="D187" s="12">
        <v>12</v>
      </c>
      <c r="E187" s="12">
        <v>12</v>
      </c>
      <c r="F187" s="12">
        <v>15</v>
      </c>
      <c r="G187" s="12">
        <v>16</v>
      </c>
      <c r="H187" s="12">
        <v>29</v>
      </c>
      <c r="I187" s="12">
        <f t="shared" si="9"/>
        <v>93</v>
      </c>
      <c r="J187" s="12" t="s">
        <v>767</v>
      </c>
      <c r="K187" s="12" t="s">
        <v>767</v>
      </c>
      <c r="M187" s="12" t="s">
        <v>796</v>
      </c>
      <c r="N187" s="11" t="s">
        <v>795</v>
      </c>
    </row>
    <row r="188" spans="2:14">
      <c r="B188" t="s">
        <v>1526</v>
      </c>
      <c r="C188" s="12">
        <v>12</v>
      </c>
      <c r="D188" s="12">
        <v>24</v>
      </c>
      <c r="E188" s="12">
        <v>19</v>
      </c>
      <c r="F188" s="12">
        <v>29</v>
      </c>
      <c r="G188" s="12">
        <v>14</v>
      </c>
      <c r="H188" s="12">
        <v>55</v>
      </c>
      <c r="I188" s="12">
        <f t="shared" si="9"/>
        <v>153</v>
      </c>
      <c r="J188" s="12" t="s">
        <v>767</v>
      </c>
      <c r="K188" s="12" t="s">
        <v>767</v>
      </c>
      <c r="M188" s="12" t="s">
        <v>798</v>
      </c>
      <c r="N188" s="11" t="s">
        <v>797</v>
      </c>
    </row>
    <row r="189" spans="2:14">
      <c r="B189" t="s">
        <v>1527</v>
      </c>
      <c r="C189" s="12">
        <v>7</v>
      </c>
      <c r="D189" s="12">
        <v>13</v>
      </c>
      <c r="E189" s="12">
        <v>26</v>
      </c>
      <c r="F189" s="12">
        <v>28</v>
      </c>
      <c r="G189" s="12">
        <v>17</v>
      </c>
      <c r="H189" s="12">
        <v>35</v>
      </c>
      <c r="I189" s="12">
        <f t="shared" si="9"/>
        <v>126</v>
      </c>
      <c r="J189" s="12" t="s">
        <v>767</v>
      </c>
      <c r="K189" s="12" t="s">
        <v>767</v>
      </c>
      <c r="M189" s="12" t="s">
        <v>800</v>
      </c>
      <c r="N189" s="11" t="s">
        <v>799</v>
      </c>
    </row>
    <row r="190" spans="2:14">
      <c r="B190" t="s">
        <v>1528</v>
      </c>
      <c r="C190" s="12">
        <v>0</v>
      </c>
      <c r="D190" s="12">
        <v>7</v>
      </c>
      <c r="E190" s="12">
        <v>12</v>
      </c>
      <c r="F190" s="12">
        <v>11</v>
      </c>
      <c r="G190" s="12">
        <v>17</v>
      </c>
      <c r="H190" s="12">
        <v>24</v>
      </c>
      <c r="I190" s="12">
        <f t="shared" si="9"/>
        <v>71</v>
      </c>
      <c r="J190" s="12" t="s">
        <v>751</v>
      </c>
      <c r="K190" s="12" t="s">
        <v>767</v>
      </c>
      <c r="L190" t="s">
        <v>1588</v>
      </c>
      <c r="M190" s="12" t="s">
        <v>802</v>
      </c>
      <c r="N190" s="11" t="s">
        <v>801</v>
      </c>
    </row>
    <row r="191" spans="2:14">
      <c r="B191" t="s">
        <v>1529</v>
      </c>
      <c r="C191" s="12">
        <v>12</v>
      </c>
      <c r="D191" s="12">
        <v>34</v>
      </c>
      <c r="E191" s="12">
        <v>30</v>
      </c>
      <c r="F191" s="12">
        <v>35</v>
      </c>
      <c r="G191" s="12">
        <v>25</v>
      </c>
      <c r="H191" s="12">
        <v>46</v>
      </c>
      <c r="I191" s="12">
        <f t="shared" si="9"/>
        <v>182</v>
      </c>
      <c r="J191" s="12" t="s">
        <v>767</v>
      </c>
      <c r="K191" s="12" t="s">
        <v>767</v>
      </c>
      <c r="M191" s="12" t="s">
        <v>804</v>
      </c>
      <c r="N191" s="11" t="s">
        <v>803</v>
      </c>
    </row>
    <row r="192" spans="2:14">
      <c r="B192" s="4" t="s">
        <v>225</v>
      </c>
      <c r="C192" s="3">
        <v>0</v>
      </c>
      <c r="D192" s="3">
        <v>7</v>
      </c>
      <c r="E192" s="3">
        <v>9</v>
      </c>
      <c r="F192" s="3">
        <v>1</v>
      </c>
      <c r="G192" s="3">
        <v>3</v>
      </c>
      <c r="H192" t="s">
        <v>1584</v>
      </c>
      <c r="I192" t="s">
        <v>1584</v>
      </c>
      <c r="J192" s="12" t="s">
        <v>751</v>
      </c>
      <c r="K192" s="12" t="s">
        <v>751</v>
      </c>
      <c r="L192" t="s">
        <v>1588</v>
      </c>
      <c r="M192" s="3" t="s">
        <v>226</v>
      </c>
      <c r="N192" s="5" t="s">
        <v>227</v>
      </c>
    </row>
    <row r="193" spans="2:14">
      <c r="B193" s="4" t="s">
        <v>228</v>
      </c>
      <c r="C193" s="3">
        <v>4</v>
      </c>
      <c r="D193" s="3">
        <v>3</v>
      </c>
      <c r="E193" s="3">
        <v>7</v>
      </c>
      <c r="F193" s="3">
        <v>4</v>
      </c>
      <c r="G193" s="3">
        <v>2</v>
      </c>
      <c r="H193" s="3">
        <v>5</v>
      </c>
      <c r="I193" s="3">
        <f t="shared" ref="I193:I206" si="10">SUM(C193:H193)</f>
        <v>25</v>
      </c>
      <c r="J193" s="12" t="s">
        <v>751</v>
      </c>
      <c r="K193" s="12" t="s">
        <v>751</v>
      </c>
      <c r="M193" s="3" t="s">
        <v>229</v>
      </c>
      <c r="N193" s="5" t="s">
        <v>230</v>
      </c>
    </row>
    <row r="194" spans="2:14">
      <c r="B194" s="4" t="s">
        <v>231</v>
      </c>
      <c r="C194" s="3">
        <v>3</v>
      </c>
      <c r="D194" s="3">
        <v>4</v>
      </c>
      <c r="E194" s="3">
        <v>14</v>
      </c>
      <c r="F194" s="3">
        <v>6</v>
      </c>
      <c r="G194" s="3">
        <v>6</v>
      </c>
      <c r="H194" s="3">
        <v>6</v>
      </c>
      <c r="I194" s="3">
        <f t="shared" si="10"/>
        <v>39</v>
      </c>
      <c r="J194" s="12" t="s">
        <v>751</v>
      </c>
      <c r="K194" s="12" t="s">
        <v>751</v>
      </c>
      <c r="M194" s="3" t="s">
        <v>232</v>
      </c>
      <c r="N194" s="5" t="s">
        <v>233</v>
      </c>
    </row>
    <row r="195" spans="2:14">
      <c r="B195" s="4" t="s">
        <v>234</v>
      </c>
      <c r="C195" s="3">
        <v>4</v>
      </c>
      <c r="D195" s="3">
        <v>3</v>
      </c>
      <c r="E195" s="3">
        <v>9</v>
      </c>
      <c r="F195" s="3">
        <v>7</v>
      </c>
      <c r="G195" s="3">
        <v>5</v>
      </c>
      <c r="H195" s="3">
        <v>11</v>
      </c>
      <c r="I195" s="3">
        <f t="shared" si="10"/>
        <v>39</v>
      </c>
      <c r="J195" s="12" t="s">
        <v>751</v>
      </c>
      <c r="K195" s="12" t="s">
        <v>751</v>
      </c>
      <c r="M195" s="3" t="s">
        <v>235</v>
      </c>
      <c r="N195" s="5" t="s">
        <v>236</v>
      </c>
    </row>
    <row r="196" spans="2:14">
      <c r="B196" s="4" t="s">
        <v>237</v>
      </c>
      <c r="C196" s="3">
        <v>4</v>
      </c>
      <c r="D196" s="3">
        <v>0</v>
      </c>
      <c r="E196" s="3">
        <v>10</v>
      </c>
      <c r="F196" s="3">
        <v>4</v>
      </c>
      <c r="G196" s="3">
        <v>6</v>
      </c>
      <c r="H196" s="3">
        <v>3</v>
      </c>
      <c r="I196" s="3">
        <f t="shared" si="10"/>
        <v>27</v>
      </c>
      <c r="J196" s="12" t="s">
        <v>751</v>
      </c>
      <c r="K196" s="12" t="s">
        <v>751</v>
      </c>
      <c r="M196" s="3" t="s">
        <v>238</v>
      </c>
      <c r="N196" s="5" t="s">
        <v>239</v>
      </c>
    </row>
    <row r="197" spans="2:14">
      <c r="B197" s="4" t="s">
        <v>260</v>
      </c>
      <c r="C197" s="3">
        <v>1</v>
      </c>
      <c r="D197" s="3">
        <v>3</v>
      </c>
      <c r="E197" s="3">
        <v>21</v>
      </c>
      <c r="F197" s="3">
        <v>4</v>
      </c>
      <c r="G197" s="3">
        <v>1</v>
      </c>
      <c r="H197" s="3">
        <v>6</v>
      </c>
      <c r="I197" s="3">
        <f t="shared" si="10"/>
        <v>36</v>
      </c>
      <c r="J197" s="12" t="s">
        <v>767</v>
      </c>
      <c r="K197" s="12" t="s">
        <v>767</v>
      </c>
      <c r="M197" s="3" t="s">
        <v>261</v>
      </c>
      <c r="N197" s="5" t="s">
        <v>262</v>
      </c>
    </row>
    <row r="198" spans="2:14">
      <c r="B198" s="4" t="s">
        <v>263</v>
      </c>
      <c r="C198" s="6">
        <v>1</v>
      </c>
      <c r="D198" s="6">
        <v>4</v>
      </c>
      <c r="E198" s="6">
        <v>15</v>
      </c>
      <c r="F198" s="6">
        <v>12</v>
      </c>
      <c r="G198" s="6">
        <v>1</v>
      </c>
      <c r="H198" s="6">
        <v>11</v>
      </c>
      <c r="I198" s="3">
        <f t="shared" si="10"/>
        <v>44</v>
      </c>
      <c r="J198" s="12" t="s">
        <v>751</v>
      </c>
      <c r="K198" s="12" t="s">
        <v>767</v>
      </c>
      <c r="M198" s="3" t="s">
        <v>264</v>
      </c>
      <c r="N198" s="5" t="s">
        <v>265</v>
      </c>
    </row>
    <row r="199" spans="2:14">
      <c r="B199" s="4" t="s">
        <v>266</v>
      </c>
      <c r="C199" s="3">
        <v>5</v>
      </c>
      <c r="D199" s="3">
        <v>0</v>
      </c>
      <c r="E199" s="3">
        <v>26</v>
      </c>
      <c r="F199" s="3">
        <v>11</v>
      </c>
      <c r="G199" s="3">
        <v>10</v>
      </c>
      <c r="H199" s="3">
        <v>14</v>
      </c>
      <c r="I199" s="3">
        <f t="shared" si="10"/>
        <v>66</v>
      </c>
      <c r="J199" s="12" t="s">
        <v>767</v>
      </c>
      <c r="K199" s="12" t="s">
        <v>767</v>
      </c>
      <c r="M199" s="3" t="s">
        <v>267</v>
      </c>
      <c r="N199" s="5" t="s">
        <v>268</v>
      </c>
    </row>
    <row r="200" spans="2:14">
      <c r="B200" s="4" t="s">
        <v>269</v>
      </c>
      <c r="C200" s="3">
        <v>1</v>
      </c>
      <c r="D200" s="3">
        <v>4</v>
      </c>
      <c r="E200" s="3">
        <v>19</v>
      </c>
      <c r="F200" s="3">
        <v>11</v>
      </c>
      <c r="G200" s="3">
        <v>5</v>
      </c>
      <c r="H200" s="3">
        <v>19</v>
      </c>
      <c r="I200" s="3">
        <f t="shared" si="10"/>
        <v>59</v>
      </c>
      <c r="J200" s="12" t="s">
        <v>767</v>
      </c>
      <c r="K200" s="12" t="s">
        <v>751</v>
      </c>
      <c r="M200" s="3" t="s">
        <v>270</v>
      </c>
      <c r="N200" s="5" t="s">
        <v>271</v>
      </c>
    </row>
    <row r="201" spans="2:14">
      <c r="B201" s="4" t="s">
        <v>272</v>
      </c>
      <c r="C201" s="3">
        <v>3</v>
      </c>
      <c r="D201" s="3">
        <v>1</v>
      </c>
      <c r="E201" s="3">
        <v>13</v>
      </c>
      <c r="F201" s="3">
        <v>0</v>
      </c>
      <c r="G201" s="3">
        <v>12</v>
      </c>
      <c r="H201" s="3">
        <v>16</v>
      </c>
      <c r="I201" s="3">
        <f t="shared" si="10"/>
        <v>45</v>
      </c>
      <c r="J201" s="12" t="s">
        <v>767</v>
      </c>
      <c r="K201" s="12" t="s">
        <v>767</v>
      </c>
      <c r="M201" s="3" t="s">
        <v>273</v>
      </c>
      <c r="N201" s="5" t="s">
        <v>274</v>
      </c>
    </row>
    <row r="202" spans="2:14">
      <c r="B202" s="4" t="s">
        <v>294</v>
      </c>
      <c r="C202" s="3">
        <v>7</v>
      </c>
      <c r="D202" s="3">
        <v>8</v>
      </c>
      <c r="E202" s="3">
        <v>26</v>
      </c>
      <c r="F202" s="3">
        <v>5</v>
      </c>
      <c r="G202" s="3">
        <v>9</v>
      </c>
      <c r="H202" s="3">
        <v>17</v>
      </c>
      <c r="I202" s="3">
        <f t="shared" si="10"/>
        <v>72</v>
      </c>
      <c r="J202" s="12" t="s">
        <v>751</v>
      </c>
      <c r="K202" s="12" t="s">
        <v>751</v>
      </c>
      <c r="M202" s="3" t="s">
        <v>295</v>
      </c>
      <c r="N202" s="5" t="s">
        <v>296</v>
      </c>
    </row>
    <row r="203" spans="2:14">
      <c r="B203" s="4" t="s">
        <v>297</v>
      </c>
      <c r="C203" s="3">
        <v>3</v>
      </c>
      <c r="D203" s="3">
        <v>7</v>
      </c>
      <c r="E203" s="3">
        <v>15</v>
      </c>
      <c r="F203" s="3">
        <v>2</v>
      </c>
      <c r="G203" s="3">
        <v>11</v>
      </c>
      <c r="H203" s="3">
        <v>12</v>
      </c>
      <c r="I203" s="3">
        <f t="shared" si="10"/>
        <v>50</v>
      </c>
      <c r="J203" s="12" t="s">
        <v>767</v>
      </c>
      <c r="K203" s="12" t="s">
        <v>767</v>
      </c>
      <c r="M203" s="3" t="s">
        <v>298</v>
      </c>
      <c r="N203" s="5" t="s">
        <v>299</v>
      </c>
    </row>
    <row r="204" spans="2:14">
      <c r="B204" s="4" t="s">
        <v>300</v>
      </c>
      <c r="C204" s="3">
        <v>2</v>
      </c>
      <c r="D204" s="3">
        <v>5</v>
      </c>
      <c r="E204" s="3">
        <v>17</v>
      </c>
      <c r="F204" s="3">
        <v>13</v>
      </c>
      <c r="G204" s="3">
        <v>7</v>
      </c>
      <c r="H204" s="3">
        <v>13</v>
      </c>
      <c r="I204" s="3">
        <f t="shared" si="10"/>
        <v>57</v>
      </c>
      <c r="J204" s="12" t="s">
        <v>751</v>
      </c>
      <c r="K204" s="12" t="s">
        <v>751</v>
      </c>
      <c r="M204" s="3" t="s">
        <v>301</v>
      </c>
      <c r="N204" s="5" t="s">
        <v>302</v>
      </c>
    </row>
    <row r="205" spans="2:14">
      <c r="B205" s="4" t="s">
        <v>303</v>
      </c>
      <c r="C205" s="3">
        <v>3</v>
      </c>
      <c r="D205" s="3">
        <v>2</v>
      </c>
      <c r="E205" s="3">
        <v>21</v>
      </c>
      <c r="F205" s="3">
        <v>7</v>
      </c>
      <c r="G205" s="3">
        <v>9</v>
      </c>
      <c r="H205" s="3">
        <v>23</v>
      </c>
      <c r="I205" s="3">
        <f t="shared" si="10"/>
        <v>65</v>
      </c>
      <c r="J205" s="12" t="s">
        <v>767</v>
      </c>
      <c r="K205" s="12" t="s">
        <v>767</v>
      </c>
      <c r="M205" s="3" t="s">
        <v>304</v>
      </c>
      <c r="N205" s="5" t="s">
        <v>305</v>
      </c>
    </row>
    <row r="206" spans="2:14">
      <c r="B206" s="4" t="s">
        <v>306</v>
      </c>
      <c r="C206" s="3">
        <v>6</v>
      </c>
      <c r="D206" s="3">
        <v>3</v>
      </c>
      <c r="E206" s="3">
        <v>16</v>
      </c>
      <c r="F206" s="3">
        <v>11</v>
      </c>
      <c r="G206" s="3">
        <v>8</v>
      </c>
      <c r="H206" s="3">
        <v>21</v>
      </c>
      <c r="I206" s="3">
        <f t="shared" si="10"/>
        <v>65</v>
      </c>
      <c r="J206" s="12" t="s">
        <v>751</v>
      </c>
      <c r="K206" s="12" t="s">
        <v>751</v>
      </c>
      <c r="M206" s="3" t="s">
        <v>307</v>
      </c>
      <c r="N206" s="5" t="s">
        <v>308</v>
      </c>
    </row>
    <row r="207" spans="2:14">
      <c r="B207" s="4" t="s">
        <v>326</v>
      </c>
      <c r="C207" s="3">
        <v>2</v>
      </c>
      <c r="D207" s="3">
        <v>5</v>
      </c>
      <c r="E207" s="3">
        <v>11</v>
      </c>
      <c r="F207" s="3">
        <v>5</v>
      </c>
      <c r="G207" s="3">
        <v>7</v>
      </c>
      <c r="H207" t="s">
        <v>1584</v>
      </c>
      <c r="I207" t="s">
        <v>1584</v>
      </c>
      <c r="J207" s="12" t="s">
        <v>767</v>
      </c>
      <c r="K207" s="12" t="s">
        <v>767</v>
      </c>
      <c r="L207" t="s">
        <v>1588</v>
      </c>
      <c r="M207" s="3" t="s">
        <v>327</v>
      </c>
      <c r="N207" s="5" t="s">
        <v>328</v>
      </c>
    </row>
    <row r="208" spans="2:14">
      <c r="B208" s="4" t="s">
        <v>329</v>
      </c>
      <c r="C208" s="3">
        <v>2</v>
      </c>
      <c r="D208" s="3">
        <v>2</v>
      </c>
      <c r="E208" s="3">
        <v>26</v>
      </c>
      <c r="F208" s="3">
        <v>13</v>
      </c>
      <c r="G208" s="3">
        <v>24</v>
      </c>
      <c r="H208" s="3">
        <v>22</v>
      </c>
      <c r="I208" s="4">
        <f>SUM(C208:H208)</f>
        <v>89</v>
      </c>
      <c r="J208" s="12" t="s">
        <v>767</v>
      </c>
      <c r="K208" s="12" t="s">
        <v>767</v>
      </c>
      <c r="M208" s="3" t="s">
        <v>330</v>
      </c>
      <c r="N208" s="5" t="s">
        <v>331</v>
      </c>
    </row>
    <row r="209" spans="2:14">
      <c r="B209" s="4" t="s">
        <v>332</v>
      </c>
      <c r="C209" s="6">
        <v>2</v>
      </c>
      <c r="D209" s="6">
        <v>15</v>
      </c>
      <c r="E209" s="6">
        <v>29</v>
      </c>
      <c r="F209" s="6">
        <v>11</v>
      </c>
      <c r="G209" s="6">
        <v>16</v>
      </c>
      <c r="H209" s="6">
        <v>31</v>
      </c>
      <c r="I209" s="4">
        <f>SUM(C209:H209)</f>
        <v>104</v>
      </c>
      <c r="J209" s="12" t="s">
        <v>767</v>
      </c>
      <c r="K209" s="12" t="s">
        <v>767</v>
      </c>
      <c r="L209" s="3" t="s">
        <v>201</v>
      </c>
      <c r="M209" s="3" t="s">
        <v>333</v>
      </c>
      <c r="N209" s="5" t="s">
        <v>334</v>
      </c>
    </row>
    <row r="210" spans="2:14">
      <c r="B210" s="4" t="s">
        <v>335</v>
      </c>
      <c r="C210" s="3">
        <v>1</v>
      </c>
      <c r="D210" s="3">
        <v>16</v>
      </c>
      <c r="E210" s="3">
        <v>22</v>
      </c>
      <c r="F210" s="3">
        <v>9</v>
      </c>
      <c r="G210" s="3">
        <v>16</v>
      </c>
      <c r="H210" s="3">
        <v>25</v>
      </c>
      <c r="I210" s="4">
        <f>SUM(C210:H210)</f>
        <v>89</v>
      </c>
      <c r="J210" s="12" t="s">
        <v>767</v>
      </c>
      <c r="K210" s="12" t="s">
        <v>767</v>
      </c>
      <c r="L210" s="3" t="s">
        <v>338</v>
      </c>
      <c r="M210" s="3" t="s">
        <v>336</v>
      </c>
      <c r="N210" s="5" t="s">
        <v>337</v>
      </c>
    </row>
    <row r="211" spans="2:14">
      <c r="B211" s="4" t="s">
        <v>339</v>
      </c>
      <c r="C211" s="6">
        <v>0</v>
      </c>
      <c r="D211" s="6">
        <v>0</v>
      </c>
      <c r="E211" s="6">
        <v>29</v>
      </c>
      <c r="F211" s="6">
        <v>21</v>
      </c>
      <c r="G211" s="6">
        <v>6</v>
      </c>
      <c r="H211" s="6">
        <v>23</v>
      </c>
      <c r="I211" s="4">
        <f>SUM(C211:H211)</f>
        <v>79</v>
      </c>
      <c r="J211" s="12" t="s">
        <v>751</v>
      </c>
      <c r="K211" s="12" t="s">
        <v>767</v>
      </c>
      <c r="M211" s="3" t="s">
        <v>340</v>
      </c>
      <c r="N211" s="5" t="s">
        <v>341</v>
      </c>
    </row>
    <row r="212" spans="2:14">
      <c r="B212" t="s">
        <v>1530</v>
      </c>
      <c r="C212" s="12">
        <v>6</v>
      </c>
      <c r="D212" s="12">
        <v>2</v>
      </c>
      <c r="E212" s="12">
        <v>17</v>
      </c>
      <c r="F212" s="12">
        <v>9</v>
      </c>
      <c r="G212" s="12">
        <v>8</v>
      </c>
      <c r="H212" s="12">
        <v>22</v>
      </c>
      <c r="I212" s="12">
        <f t="shared" ref="I212:I221" si="11">C212+D212+E212+F212+G212+H212</f>
        <v>64</v>
      </c>
      <c r="J212" s="12" t="s">
        <v>751</v>
      </c>
      <c r="K212" s="12" t="s">
        <v>824</v>
      </c>
      <c r="M212" s="12" t="s">
        <v>823</v>
      </c>
      <c r="N212" s="11" t="s">
        <v>822</v>
      </c>
    </row>
    <row r="213" spans="2:14">
      <c r="B213" t="s">
        <v>1531</v>
      </c>
      <c r="C213" s="12">
        <v>0</v>
      </c>
      <c r="D213" s="12">
        <v>9</v>
      </c>
      <c r="E213" s="12">
        <v>15</v>
      </c>
      <c r="F213" s="12">
        <v>8</v>
      </c>
      <c r="G213" s="12">
        <v>6</v>
      </c>
      <c r="H213" s="12">
        <v>22</v>
      </c>
      <c r="I213" s="12">
        <f t="shared" si="11"/>
        <v>60</v>
      </c>
      <c r="J213" s="12" t="s">
        <v>751</v>
      </c>
      <c r="K213" s="12" t="s">
        <v>751</v>
      </c>
      <c r="M213" s="12" t="s">
        <v>826</v>
      </c>
      <c r="N213" s="11" t="s">
        <v>825</v>
      </c>
    </row>
    <row r="214" spans="2:14">
      <c r="B214" t="s">
        <v>1532</v>
      </c>
      <c r="C214" s="12">
        <v>7</v>
      </c>
      <c r="D214" s="12">
        <v>11</v>
      </c>
      <c r="E214" s="12">
        <v>18</v>
      </c>
      <c r="F214" s="12">
        <v>5</v>
      </c>
      <c r="G214" s="12">
        <v>10</v>
      </c>
      <c r="H214" s="12">
        <v>16</v>
      </c>
      <c r="I214" s="12">
        <f t="shared" si="11"/>
        <v>67</v>
      </c>
      <c r="J214" s="12" t="s">
        <v>751</v>
      </c>
      <c r="K214" s="12" t="s">
        <v>751</v>
      </c>
      <c r="M214" s="12" t="s">
        <v>828</v>
      </c>
      <c r="N214" s="11" t="s">
        <v>827</v>
      </c>
    </row>
    <row r="215" spans="2:14">
      <c r="B215" t="s">
        <v>1533</v>
      </c>
      <c r="C215" s="12">
        <v>6</v>
      </c>
      <c r="D215" s="12">
        <v>5</v>
      </c>
      <c r="E215" s="12">
        <v>15</v>
      </c>
      <c r="F215" s="12">
        <v>13</v>
      </c>
      <c r="G215" s="12">
        <v>6</v>
      </c>
      <c r="H215" s="12">
        <v>15</v>
      </c>
      <c r="I215" s="12">
        <f t="shared" si="11"/>
        <v>60</v>
      </c>
      <c r="J215" s="12" t="s">
        <v>751</v>
      </c>
      <c r="K215" s="12" t="s">
        <v>751</v>
      </c>
      <c r="M215" s="12" t="s">
        <v>830</v>
      </c>
      <c r="N215" s="11" t="s">
        <v>829</v>
      </c>
    </row>
    <row r="216" spans="2:14">
      <c r="B216" t="s">
        <v>1534</v>
      </c>
      <c r="C216" s="12">
        <v>5</v>
      </c>
      <c r="D216" s="12">
        <v>3</v>
      </c>
      <c r="E216" s="12">
        <v>5</v>
      </c>
      <c r="F216" s="12">
        <v>2</v>
      </c>
      <c r="G216" s="12">
        <v>6</v>
      </c>
      <c r="H216" s="12">
        <v>21</v>
      </c>
      <c r="I216" s="12">
        <f t="shared" si="11"/>
        <v>42</v>
      </c>
      <c r="J216" s="12" t="s">
        <v>767</v>
      </c>
      <c r="K216" s="12" t="s">
        <v>767</v>
      </c>
      <c r="M216" s="12" t="s">
        <v>832</v>
      </c>
      <c r="N216" s="11" t="s">
        <v>831</v>
      </c>
    </row>
    <row r="217" spans="2:14">
      <c r="B217" t="s">
        <v>1535</v>
      </c>
      <c r="C217" s="12">
        <v>9</v>
      </c>
      <c r="D217" s="12">
        <v>24</v>
      </c>
      <c r="E217" s="12">
        <v>23</v>
      </c>
      <c r="F217" s="12">
        <v>17</v>
      </c>
      <c r="G217" s="12">
        <v>7</v>
      </c>
      <c r="H217" s="12">
        <v>31</v>
      </c>
      <c r="I217" s="12">
        <f t="shared" si="11"/>
        <v>111</v>
      </c>
      <c r="J217" s="12" t="s">
        <v>767</v>
      </c>
      <c r="K217" s="12" t="s">
        <v>767</v>
      </c>
      <c r="M217" s="12" t="s">
        <v>855</v>
      </c>
      <c r="N217" s="11" t="s">
        <v>854</v>
      </c>
    </row>
    <row r="218" spans="2:14">
      <c r="B218" t="s">
        <v>1536</v>
      </c>
      <c r="C218" s="12">
        <v>7</v>
      </c>
      <c r="D218" s="12">
        <v>16</v>
      </c>
      <c r="E218" s="12">
        <v>15</v>
      </c>
      <c r="F218" s="12">
        <v>11</v>
      </c>
      <c r="G218" s="12">
        <v>11</v>
      </c>
      <c r="H218" s="12">
        <v>17</v>
      </c>
      <c r="I218" s="12">
        <f t="shared" si="11"/>
        <v>77</v>
      </c>
      <c r="J218" s="12" t="s">
        <v>767</v>
      </c>
      <c r="K218" s="12" t="s">
        <v>767</v>
      </c>
      <c r="M218" s="12" t="s">
        <v>857</v>
      </c>
      <c r="N218" s="11" t="s">
        <v>856</v>
      </c>
    </row>
    <row r="219" spans="2:14">
      <c r="B219" t="s">
        <v>1537</v>
      </c>
      <c r="C219" s="12">
        <v>9</v>
      </c>
      <c r="D219" s="12">
        <v>14</v>
      </c>
      <c r="E219" s="12">
        <v>18</v>
      </c>
      <c r="F219" s="12">
        <v>19</v>
      </c>
      <c r="G219" s="12">
        <v>10</v>
      </c>
      <c r="H219" s="12">
        <v>24</v>
      </c>
      <c r="I219" s="12">
        <f t="shared" si="11"/>
        <v>94</v>
      </c>
      <c r="J219" s="12" t="s">
        <v>751</v>
      </c>
      <c r="K219" s="12" t="s">
        <v>767</v>
      </c>
      <c r="M219" s="12" t="s">
        <v>859</v>
      </c>
      <c r="N219" s="11" t="s">
        <v>858</v>
      </c>
    </row>
    <row r="220" spans="2:14">
      <c r="B220" t="s">
        <v>1538</v>
      </c>
      <c r="C220" s="12">
        <v>0</v>
      </c>
      <c r="D220" s="12">
        <v>12</v>
      </c>
      <c r="E220" s="12">
        <v>20</v>
      </c>
      <c r="F220" s="12">
        <v>18</v>
      </c>
      <c r="G220" s="12">
        <v>13</v>
      </c>
      <c r="H220" s="12">
        <v>33</v>
      </c>
      <c r="I220" s="12">
        <f t="shared" si="11"/>
        <v>96</v>
      </c>
      <c r="J220" s="12" t="s">
        <v>751</v>
      </c>
      <c r="K220" s="12" t="s">
        <v>767</v>
      </c>
      <c r="M220" s="12" t="s">
        <v>861</v>
      </c>
      <c r="N220" s="11" t="s">
        <v>860</v>
      </c>
    </row>
    <row r="221" spans="2:14">
      <c r="B221" t="s">
        <v>1539</v>
      </c>
      <c r="C221" s="12">
        <v>11</v>
      </c>
      <c r="D221" s="12">
        <v>17</v>
      </c>
      <c r="E221" s="12">
        <v>17</v>
      </c>
      <c r="F221" s="12">
        <v>24</v>
      </c>
      <c r="G221" s="12">
        <v>7</v>
      </c>
      <c r="H221" s="12">
        <v>31</v>
      </c>
      <c r="I221" s="12">
        <f t="shared" si="11"/>
        <v>107</v>
      </c>
      <c r="J221" s="12" t="s">
        <v>767</v>
      </c>
      <c r="K221" s="12" t="s">
        <v>767</v>
      </c>
      <c r="M221" s="12" t="s">
        <v>863</v>
      </c>
      <c r="N221" s="11" t="s">
        <v>862</v>
      </c>
    </row>
    <row r="222" spans="2:14">
      <c r="B222" s="4" t="s">
        <v>362</v>
      </c>
      <c r="C222" s="3">
        <v>3</v>
      </c>
      <c r="D222" s="3">
        <v>4</v>
      </c>
      <c r="E222" s="3">
        <v>18</v>
      </c>
      <c r="F222" s="3">
        <v>9</v>
      </c>
      <c r="G222" s="3">
        <v>4</v>
      </c>
      <c r="H222" s="3">
        <v>12</v>
      </c>
      <c r="I222" s="3">
        <f t="shared" ref="I222:I231" si="12">SUM(C222:H222)</f>
        <v>50</v>
      </c>
      <c r="J222" s="12" t="s">
        <v>751</v>
      </c>
      <c r="K222" s="12" t="s">
        <v>751</v>
      </c>
      <c r="M222" s="3" t="s">
        <v>363</v>
      </c>
      <c r="N222" s="5" t="s">
        <v>364</v>
      </c>
    </row>
    <row r="223" spans="2:14">
      <c r="B223" s="4" t="s">
        <v>365</v>
      </c>
      <c r="C223" s="3">
        <v>5</v>
      </c>
      <c r="D223" s="3">
        <v>5</v>
      </c>
      <c r="E223" s="3">
        <v>12</v>
      </c>
      <c r="F223" s="3">
        <v>6</v>
      </c>
      <c r="G223" s="3">
        <v>10</v>
      </c>
      <c r="H223" s="3">
        <v>11</v>
      </c>
      <c r="I223" s="3">
        <f t="shared" si="12"/>
        <v>49</v>
      </c>
      <c r="J223" s="12" t="s">
        <v>751</v>
      </c>
      <c r="K223" s="12" t="s">
        <v>751</v>
      </c>
      <c r="M223" s="3" t="s">
        <v>366</v>
      </c>
      <c r="N223" s="5" t="s">
        <v>367</v>
      </c>
    </row>
    <row r="224" spans="2:14">
      <c r="B224" s="4" t="s">
        <v>368</v>
      </c>
      <c r="C224" s="3">
        <v>6</v>
      </c>
      <c r="D224" s="3">
        <v>2</v>
      </c>
      <c r="E224" s="3">
        <v>19</v>
      </c>
      <c r="F224" s="3">
        <v>7</v>
      </c>
      <c r="G224" s="3">
        <v>7</v>
      </c>
      <c r="H224" s="3">
        <v>11</v>
      </c>
      <c r="I224" s="3">
        <f t="shared" si="12"/>
        <v>52</v>
      </c>
      <c r="J224" s="12" t="s">
        <v>751</v>
      </c>
      <c r="K224" s="12" t="s">
        <v>751</v>
      </c>
      <c r="M224" s="3" t="s">
        <v>369</v>
      </c>
      <c r="N224" s="5" t="s">
        <v>370</v>
      </c>
    </row>
    <row r="225" spans="2:14">
      <c r="B225" s="4" t="s">
        <v>371</v>
      </c>
      <c r="C225" s="3">
        <v>4</v>
      </c>
      <c r="D225" s="3">
        <v>5</v>
      </c>
      <c r="E225" s="3">
        <v>20</v>
      </c>
      <c r="F225" s="3">
        <v>9</v>
      </c>
      <c r="G225" s="3">
        <v>14</v>
      </c>
      <c r="H225" s="3">
        <v>14</v>
      </c>
      <c r="I225" s="3">
        <f t="shared" si="12"/>
        <v>66</v>
      </c>
      <c r="J225" s="12" t="s">
        <v>751</v>
      </c>
      <c r="K225" s="12" t="s">
        <v>751</v>
      </c>
      <c r="M225" s="3" t="s">
        <v>372</v>
      </c>
      <c r="N225" s="5" t="s">
        <v>373</v>
      </c>
    </row>
    <row r="226" spans="2:14">
      <c r="B226" s="4" t="s">
        <v>374</v>
      </c>
      <c r="C226" s="6">
        <v>7</v>
      </c>
      <c r="D226" s="6">
        <v>10</v>
      </c>
      <c r="E226" s="6">
        <v>33</v>
      </c>
      <c r="F226" s="6">
        <v>16</v>
      </c>
      <c r="G226" s="6">
        <v>14</v>
      </c>
      <c r="H226" s="6">
        <v>14</v>
      </c>
      <c r="I226" s="3">
        <f t="shared" si="12"/>
        <v>94</v>
      </c>
      <c r="J226" s="12" t="s">
        <v>751</v>
      </c>
      <c r="K226" s="12" t="s">
        <v>751</v>
      </c>
      <c r="M226" s="3" t="s">
        <v>375</v>
      </c>
      <c r="N226" s="5" t="s">
        <v>376</v>
      </c>
    </row>
    <row r="227" spans="2:14">
      <c r="B227" s="4" t="s">
        <v>395</v>
      </c>
      <c r="C227" s="3">
        <v>6</v>
      </c>
      <c r="D227" s="3">
        <v>1</v>
      </c>
      <c r="E227" s="3">
        <v>5</v>
      </c>
      <c r="F227" s="3">
        <v>3</v>
      </c>
      <c r="G227" s="3">
        <v>5</v>
      </c>
      <c r="H227" s="3">
        <v>8</v>
      </c>
      <c r="I227" s="3">
        <f t="shared" si="12"/>
        <v>28</v>
      </c>
      <c r="J227" s="12" t="s">
        <v>751</v>
      </c>
      <c r="K227" s="12" t="s">
        <v>767</v>
      </c>
      <c r="M227" s="3" t="s">
        <v>396</v>
      </c>
      <c r="N227" s="5" t="s">
        <v>397</v>
      </c>
    </row>
    <row r="228" spans="2:14">
      <c r="B228" s="4" t="s">
        <v>398</v>
      </c>
      <c r="C228" s="3">
        <v>3</v>
      </c>
      <c r="D228" s="3">
        <v>4</v>
      </c>
      <c r="E228" s="3">
        <v>3</v>
      </c>
      <c r="F228" s="3">
        <v>0</v>
      </c>
      <c r="G228" s="3">
        <v>0</v>
      </c>
      <c r="H228" s="3">
        <v>7</v>
      </c>
      <c r="I228" s="3">
        <f t="shared" si="12"/>
        <v>17</v>
      </c>
      <c r="J228" s="12" t="s">
        <v>751</v>
      </c>
      <c r="K228" s="12" t="s">
        <v>767</v>
      </c>
      <c r="L228" t="s">
        <v>1588</v>
      </c>
      <c r="M228" s="3" t="s">
        <v>399</v>
      </c>
      <c r="N228" s="5" t="s">
        <v>400</v>
      </c>
    </row>
    <row r="229" spans="2:14">
      <c r="B229" s="4" t="s">
        <v>401</v>
      </c>
      <c r="C229" s="3">
        <v>7</v>
      </c>
      <c r="D229" s="3">
        <v>7</v>
      </c>
      <c r="E229" s="3">
        <v>15</v>
      </c>
      <c r="F229" s="3">
        <v>12</v>
      </c>
      <c r="G229" s="3">
        <v>7</v>
      </c>
      <c r="H229" s="3">
        <v>21</v>
      </c>
      <c r="I229" s="3">
        <f t="shared" si="12"/>
        <v>69</v>
      </c>
      <c r="J229" s="12" t="s">
        <v>767</v>
      </c>
      <c r="K229" s="12" t="s">
        <v>767</v>
      </c>
      <c r="L229" s="3" t="s">
        <v>404</v>
      </c>
      <c r="M229" s="3" t="s">
        <v>402</v>
      </c>
      <c r="N229" s="5" t="s">
        <v>403</v>
      </c>
    </row>
    <row r="230" spans="2:14">
      <c r="B230" s="4" t="s">
        <v>405</v>
      </c>
      <c r="C230" s="3">
        <v>4</v>
      </c>
      <c r="D230" s="3">
        <v>8</v>
      </c>
      <c r="E230" s="3">
        <v>7</v>
      </c>
      <c r="F230" s="3">
        <v>7</v>
      </c>
      <c r="G230" s="3">
        <v>9</v>
      </c>
      <c r="H230" s="3">
        <v>13</v>
      </c>
      <c r="I230" s="3">
        <f t="shared" si="12"/>
        <v>48</v>
      </c>
      <c r="J230" s="12" t="s">
        <v>767</v>
      </c>
      <c r="K230" s="12" t="s">
        <v>767</v>
      </c>
      <c r="L230" s="3" t="s">
        <v>338</v>
      </c>
      <c r="M230" s="3" t="s">
        <v>406</v>
      </c>
      <c r="N230" s="5" t="s">
        <v>407</v>
      </c>
    </row>
    <row r="231" spans="2:14">
      <c r="B231" s="4" t="s">
        <v>408</v>
      </c>
      <c r="C231" s="3">
        <v>3</v>
      </c>
      <c r="D231" s="3">
        <v>6</v>
      </c>
      <c r="E231" s="3">
        <v>19</v>
      </c>
      <c r="F231" s="3">
        <v>6</v>
      </c>
      <c r="G231" s="3">
        <v>8</v>
      </c>
      <c r="H231" s="3">
        <v>15</v>
      </c>
      <c r="I231" s="3">
        <f t="shared" si="12"/>
        <v>57</v>
      </c>
      <c r="J231" s="12" t="s">
        <v>751</v>
      </c>
      <c r="K231" s="12" t="s">
        <v>767</v>
      </c>
      <c r="M231" s="3" t="s">
        <v>409</v>
      </c>
      <c r="N231" s="5" t="s">
        <v>410</v>
      </c>
    </row>
    <row r="232" spans="2:14">
      <c r="B232" t="s">
        <v>1540</v>
      </c>
      <c r="C232" s="12">
        <v>0</v>
      </c>
      <c r="D232" s="12">
        <v>2</v>
      </c>
      <c r="E232" s="12">
        <v>9</v>
      </c>
      <c r="F232" s="12">
        <v>6</v>
      </c>
      <c r="G232" s="12">
        <v>3</v>
      </c>
      <c r="H232" s="12">
        <v>11</v>
      </c>
      <c r="I232" s="12">
        <f t="shared" ref="I232:I241" si="13">C232+D232+E232+F232+G232+H232</f>
        <v>31</v>
      </c>
      <c r="J232" t="s">
        <v>1584</v>
      </c>
      <c r="K232" s="12" t="s">
        <v>751</v>
      </c>
      <c r="M232" s="12" t="s">
        <v>883</v>
      </c>
      <c r="N232" s="11" t="s">
        <v>882</v>
      </c>
    </row>
    <row r="233" spans="2:14">
      <c r="B233" t="s">
        <v>1541</v>
      </c>
      <c r="C233" s="12">
        <v>6</v>
      </c>
      <c r="D233" s="12">
        <v>9</v>
      </c>
      <c r="E233" s="12">
        <v>11</v>
      </c>
      <c r="F233" s="12">
        <v>5</v>
      </c>
      <c r="G233" s="12">
        <v>6</v>
      </c>
      <c r="H233" s="12">
        <v>14</v>
      </c>
      <c r="I233" s="12">
        <f t="shared" si="13"/>
        <v>51</v>
      </c>
      <c r="J233" s="12" t="s">
        <v>751</v>
      </c>
      <c r="K233" s="12" t="s">
        <v>751</v>
      </c>
      <c r="M233" s="12" t="s">
        <v>885</v>
      </c>
      <c r="N233" s="11" t="s">
        <v>884</v>
      </c>
    </row>
    <row r="234" spans="2:14">
      <c r="B234" t="s">
        <v>1542</v>
      </c>
      <c r="C234" s="12">
        <v>7</v>
      </c>
      <c r="D234" s="12">
        <v>2</v>
      </c>
      <c r="E234" s="12">
        <v>9</v>
      </c>
      <c r="F234" s="12">
        <v>7</v>
      </c>
      <c r="G234" s="12">
        <v>13</v>
      </c>
      <c r="H234" s="12">
        <v>16</v>
      </c>
      <c r="I234" s="12">
        <f t="shared" si="13"/>
        <v>54</v>
      </c>
      <c r="J234" s="12" t="s">
        <v>751</v>
      </c>
      <c r="K234" s="12" t="s">
        <v>751</v>
      </c>
      <c r="M234" s="12" t="s">
        <v>887</v>
      </c>
      <c r="N234" s="11" t="s">
        <v>886</v>
      </c>
    </row>
    <row r="235" spans="2:14">
      <c r="B235" t="s">
        <v>1543</v>
      </c>
      <c r="C235" s="12">
        <v>5</v>
      </c>
      <c r="D235" s="12">
        <v>6</v>
      </c>
      <c r="E235" s="12">
        <v>12</v>
      </c>
      <c r="F235" s="12">
        <v>8</v>
      </c>
      <c r="G235" s="12">
        <v>12</v>
      </c>
      <c r="H235" s="12">
        <v>14</v>
      </c>
      <c r="I235" s="12">
        <f t="shared" si="13"/>
        <v>57</v>
      </c>
      <c r="J235" s="12" t="s">
        <v>751</v>
      </c>
      <c r="K235" s="12" t="s">
        <v>751</v>
      </c>
      <c r="M235" s="12" t="s">
        <v>889</v>
      </c>
      <c r="N235" s="11" t="s">
        <v>888</v>
      </c>
    </row>
    <row r="236" spans="2:14">
      <c r="B236" t="s">
        <v>1544</v>
      </c>
      <c r="C236" s="12">
        <v>6</v>
      </c>
      <c r="D236" s="12">
        <v>3</v>
      </c>
      <c r="E236" s="12">
        <v>15</v>
      </c>
      <c r="F236" s="12">
        <v>10</v>
      </c>
      <c r="G236" s="12">
        <v>7</v>
      </c>
      <c r="H236" s="12">
        <v>14</v>
      </c>
      <c r="I236" s="12">
        <f t="shared" si="13"/>
        <v>55</v>
      </c>
      <c r="J236" s="12" t="s">
        <v>751</v>
      </c>
      <c r="K236" s="12" t="s">
        <v>751</v>
      </c>
      <c r="M236" s="12" t="s">
        <v>891</v>
      </c>
      <c r="N236" s="11" t="s">
        <v>890</v>
      </c>
    </row>
    <row r="237" spans="2:14">
      <c r="B237" t="s">
        <v>1545</v>
      </c>
      <c r="C237" s="12">
        <v>6</v>
      </c>
      <c r="D237" s="12">
        <v>16</v>
      </c>
      <c r="E237" s="12">
        <v>21</v>
      </c>
      <c r="F237" s="12">
        <v>12</v>
      </c>
      <c r="G237" s="12">
        <v>8</v>
      </c>
      <c r="H237" s="12">
        <v>23</v>
      </c>
      <c r="I237" s="12">
        <f t="shared" si="13"/>
        <v>86</v>
      </c>
      <c r="J237" s="12" t="s">
        <v>751</v>
      </c>
      <c r="K237" s="12" t="s">
        <v>751</v>
      </c>
      <c r="M237" s="12" t="s">
        <v>909</v>
      </c>
      <c r="N237" s="11" t="s">
        <v>908</v>
      </c>
    </row>
    <row r="238" spans="2:14">
      <c r="B238" t="s">
        <v>1546</v>
      </c>
      <c r="C238" s="12">
        <v>4</v>
      </c>
      <c r="D238" s="12">
        <v>17</v>
      </c>
      <c r="E238" s="12">
        <v>18</v>
      </c>
      <c r="F238" s="12">
        <v>12</v>
      </c>
      <c r="G238" s="12">
        <v>6</v>
      </c>
      <c r="H238" s="12">
        <v>16</v>
      </c>
      <c r="I238" s="12">
        <f t="shared" si="13"/>
        <v>73</v>
      </c>
      <c r="J238" s="12" t="s">
        <v>767</v>
      </c>
      <c r="K238" s="12" t="s">
        <v>767</v>
      </c>
      <c r="M238" s="12" t="s">
        <v>911</v>
      </c>
      <c r="N238" s="11" t="s">
        <v>910</v>
      </c>
    </row>
    <row r="239" spans="2:14">
      <c r="B239" t="s">
        <v>1547</v>
      </c>
      <c r="C239" s="12">
        <v>8</v>
      </c>
      <c r="D239" s="12">
        <v>11</v>
      </c>
      <c r="E239" s="12">
        <v>10</v>
      </c>
      <c r="F239" s="12">
        <v>12</v>
      </c>
      <c r="G239" s="12">
        <v>16</v>
      </c>
      <c r="H239" s="12">
        <v>12</v>
      </c>
      <c r="I239" s="12">
        <f t="shared" si="13"/>
        <v>69</v>
      </c>
      <c r="J239" s="12" t="s">
        <v>751</v>
      </c>
      <c r="K239" s="12" t="s">
        <v>767</v>
      </c>
      <c r="M239" s="12" t="s">
        <v>913</v>
      </c>
      <c r="N239" s="11" t="s">
        <v>912</v>
      </c>
    </row>
    <row r="240" spans="2:14">
      <c r="B240" t="s">
        <v>1548</v>
      </c>
      <c r="C240" s="12">
        <v>8</v>
      </c>
      <c r="D240" s="12">
        <v>4</v>
      </c>
      <c r="E240" s="12">
        <v>11</v>
      </c>
      <c r="F240" s="12">
        <v>7</v>
      </c>
      <c r="G240" s="12">
        <v>7</v>
      </c>
      <c r="H240" s="12">
        <v>18</v>
      </c>
      <c r="I240" s="12">
        <f t="shared" si="13"/>
        <v>55</v>
      </c>
      <c r="J240" s="12" t="s">
        <v>751</v>
      </c>
      <c r="K240" s="12" t="s">
        <v>751</v>
      </c>
      <c r="M240" s="12" t="s">
        <v>915</v>
      </c>
      <c r="N240" s="11" t="s">
        <v>914</v>
      </c>
    </row>
    <row r="241" spans="2:14">
      <c r="B241" t="s">
        <v>1549</v>
      </c>
      <c r="C241" s="12">
        <v>5</v>
      </c>
      <c r="D241" s="12">
        <v>13</v>
      </c>
      <c r="E241" s="12">
        <v>24</v>
      </c>
      <c r="F241" s="12">
        <v>12</v>
      </c>
      <c r="G241" s="12">
        <v>12</v>
      </c>
      <c r="H241" s="12">
        <v>31</v>
      </c>
      <c r="I241" s="12">
        <f t="shared" si="13"/>
        <v>97</v>
      </c>
      <c r="J241" s="12" t="s">
        <v>767</v>
      </c>
      <c r="K241" s="12" t="s">
        <v>767</v>
      </c>
      <c r="M241" s="12" t="s">
        <v>917</v>
      </c>
      <c r="N241" s="11" t="s">
        <v>916</v>
      </c>
    </row>
  </sheetData>
  <phoneticPr fontId="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A9C8-5353-4E02-A0C5-606B784A3107}">
  <dimension ref="A1:M481"/>
  <sheetViews>
    <sheetView workbookViewId="0">
      <selection activeCell="I217" sqref="I217:I218"/>
    </sheetView>
  </sheetViews>
  <sheetFormatPr baseColWidth="10" defaultColWidth="8.83203125" defaultRowHeight="15"/>
  <cols>
    <col min="1" max="1" width="30.33203125" customWidth="1"/>
    <col min="2" max="2" width="24.5" bestFit="1" customWidth="1"/>
    <col min="3" max="3" width="11.5" customWidth="1"/>
    <col min="4" max="4" width="15.33203125" customWidth="1"/>
    <col min="5" max="5" width="18.33203125" customWidth="1"/>
    <col min="6" max="6" width="15.1640625" style="64" customWidth="1"/>
    <col min="7" max="7" width="17" customWidth="1"/>
    <col min="8" max="8" width="14.5" customWidth="1"/>
    <col min="9" max="9" width="14.83203125" customWidth="1"/>
    <col min="11" max="11" width="44.83203125" customWidth="1"/>
    <col min="12" max="12" width="8.5" customWidth="1"/>
  </cols>
  <sheetData>
    <row r="1" spans="1:12" ht="85">
      <c r="A1" s="14" t="s">
        <v>1580</v>
      </c>
      <c r="B1" s="1" t="s">
        <v>1225</v>
      </c>
      <c r="C1" s="16" t="s">
        <v>1</v>
      </c>
      <c r="D1" s="16" t="s">
        <v>1386</v>
      </c>
      <c r="E1" s="16" t="s">
        <v>1836</v>
      </c>
      <c r="F1" s="66" t="s">
        <v>1837</v>
      </c>
      <c r="G1" s="16" t="s">
        <v>1387</v>
      </c>
      <c r="H1" s="16" t="s">
        <v>1388</v>
      </c>
      <c r="I1" s="16" t="s">
        <v>1389</v>
      </c>
      <c r="J1" s="2" t="s">
        <v>1582</v>
      </c>
      <c r="K1" s="1" t="s">
        <v>1593</v>
      </c>
      <c r="L1" s="15"/>
    </row>
    <row r="2" spans="1:12">
      <c r="B2" t="s">
        <v>1226</v>
      </c>
      <c r="C2" t="s">
        <v>542</v>
      </c>
      <c r="D2" s="19" t="s">
        <v>660</v>
      </c>
      <c r="E2" s="3" t="s">
        <v>544</v>
      </c>
      <c r="F2" t="s">
        <v>542</v>
      </c>
      <c r="G2" t="s">
        <v>542</v>
      </c>
      <c r="J2" s="10" t="s">
        <v>196</v>
      </c>
      <c r="K2" t="s">
        <v>541</v>
      </c>
    </row>
    <row r="3" spans="1:12">
      <c r="B3" t="s">
        <v>1227</v>
      </c>
      <c r="C3" t="s">
        <v>542</v>
      </c>
      <c r="D3" s="3" t="s">
        <v>17</v>
      </c>
      <c r="E3" s="3" t="s">
        <v>546</v>
      </c>
      <c r="F3" t="s">
        <v>542</v>
      </c>
      <c r="G3" t="s">
        <v>542</v>
      </c>
      <c r="J3" s="10" t="s">
        <v>428</v>
      </c>
      <c r="K3" t="s">
        <v>545</v>
      </c>
    </row>
    <row r="4" spans="1:12">
      <c r="B4" t="s">
        <v>1228</v>
      </c>
      <c r="C4" t="s">
        <v>542</v>
      </c>
      <c r="D4" s="19" t="s">
        <v>548</v>
      </c>
      <c r="E4" s="3" t="s">
        <v>549</v>
      </c>
      <c r="F4" t="s">
        <v>542</v>
      </c>
      <c r="G4" t="s">
        <v>542</v>
      </c>
      <c r="J4" s="10" t="s">
        <v>351</v>
      </c>
      <c r="K4" t="s">
        <v>547</v>
      </c>
    </row>
    <row r="5" spans="1:12">
      <c r="B5" t="s">
        <v>1229</v>
      </c>
      <c r="C5" t="s">
        <v>542</v>
      </c>
      <c r="D5" s="3" t="s">
        <v>17</v>
      </c>
      <c r="E5" s="3" t="s">
        <v>552</v>
      </c>
      <c r="F5" t="s">
        <v>542</v>
      </c>
      <c r="G5" t="s">
        <v>542</v>
      </c>
      <c r="J5" s="10" t="s">
        <v>369</v>
      </c>
      <c r="K5" t="s">
        <v>550</v>
      </c>
    </row>
    <row r="6" spans="1:12">
      <c r="B6" t="s">
        <v>1230</v>
      </c>
      <c r="C6" t="s">
        <v>542</v>
      </c>
      <c r="D6" s="3" t="s">
        <v>48</v>
      </c>
      <c r="E6" s="3" t="s">
        <v>552</v>
      </c>
      <c r="F6" t="s">
        <v>542</v>
      </c>
      <c r="G6" t="s">
        <v>542</v>
      </c>
      <c r="J6" s="10" t="s">
        <v>486</v>
      </c>
      <c r="K6" t="s">
        <v>551</v>
      </c>
    </row>
    <row r="7" spans="1:12">
      <c r="B7" t="s">
        <v>1390</v>
      </c>
      <c r="H7" t="s">
        <v>650</v>
      </c>
      <c r="I7" t="s">
        <v>542</v>
      </c>
      <c r="J7" s="10" t="s">
        <v>553</v>
      </c>
      <c r="K7" t="s">
        <v>1694</v>
      </c>
      <c r="L7" s="10"/>
    </row>
    <row r="8" spans="1:12">
      <c r="B8" t="s">
        <v>1391</v>
      </c>
      <c r="H8" t="s">
        <v>650</v>
      </c>
      <c r="I8" t="s">
        <v>556</v>
      </c>
      <c r="J8" s="10" t="s">
        <v>555</v>
      </c>
      <c r="K8" t="s">
        <v>1693</v>
      </c>
      <c r="L8" s="10"/>
    </row>
    <row r="9" spans="1:12">
      <c r="B9" t="s">
        <v>1392</v>
      </c>
      <c r="H9" t="s">
        <v>542</v>
      </c>
      <c r="I9" t="s">
        <v>542</v>
      </c>
      <c r="J9" s="10" t="s">
        <v>557</v>
      </c>
      <c r="K9" t="s">
        <v>1692</v>
      </c>
      <c r="L9" s="10"/>
    </row>
    <row r="10" spans="1:12">
      <c r="B10" t="s">
        <v>1393</v>
      </c>
      <c r="H10" t="s">
        <v>542</v>
      </c>
      <c r="I10" t="s">
        <v>542</v>
      </c>
      <c r="J10" s="10" t="s">
        <v>558</v>
      </c>
      <c r="K10" t="s">
        <v>1695</v>
      </c>
      <c r="L10" s="10"/>
    </row>
    <row r="11" spans="1:12">
      <c r="B11" t="s">
        <v>1394</v>
      </c>
      <c r="H11" t="s">
        <v>542</v>
      </c>
      <c r="I11" t="s">
        <v>650</v>
      </c>
      <c r="J11" s="10" t="s">
        <v>559</v>
      </c>
      <c r="K11" t="s">
        <v>1696</v>
      </c>
      <c r="L11" s="10"/>
    </row>
    <row r="12" spans="1:12">
      <c r="B12" t="s">
        <v>1231</v>
      </c>
      <c r="C12" t="s">
        <v>542</v>
      </c>
      <c r="D12" s="3" t="s">
        <v>543</v>
      </c>
      <c r="E12" s="3" t="s">
        <v>544</v>
      </c>
      <c r="F12" t="s">
        <v>542</v>
      </c>
      <c r="G12" t="s">
        <v>542</v>
      </c>
      <c r="J12" s="10" t="s">
        <v>283</v>
      </c>
      <c r="K12" t="s">
        <v>560</v>
      </c>
      <c r="L12" s="17"/>
    </row>
    <row r="13" spans="1:12">
      <c r="B13" t="s">
        <v>1232</v>
      </c>
      <c r="C13" t="s">
        <v>542</v>
      </c>
      <c r="D13" s="3" t="s">
        <v>17</v>
      </c>
      <c r="E13" s="3" t="s">
        <v>552</v>
      </c>
      <c r="F13" t="s">
        <v>542</v>
      </c>
      <c r="G13" t="s">
        <v>542</v>
      </c>
      <c r="J13" s="10" t="s">
        <v>366</v>
      </c>
      <c r="K13" t="s">
        <v>561</v>
      </c>
      <c r="L13" s="17"/>
    </row>
    <row r="14" spans="1:12">
      <c r="B14" t="s">
        <v>1233</v>
      </c>
      <c r="C14" t="s">
        <v>542</v>
      </c>
      <c r="D14" s="3" t="s">
        <v>17</v>
      </c>
      <c r="E14" s="3" t="s">
        <v>544</v>
      </c>
      <c r="F14" t="s">
        <v>542</v>
      </c>
      <c r="G14" t="s">
        <v>542</v>
      </c>
      <c r="J14" s="10" t="s">
        <v>76</v>
      </c>
      <c r="K14" t="s">
        <v>562</v>
      </c>
      <c r="L14" s="17"/>
    </row>
    <row r="15" spans="1:12">
      <c r="B15" t="s">
        <v>1234</v>
      </c>
      <c r="C15" t="s">
        <v>542</v>
      </c>
      <c r="D15" s="3" t="s">
        <v>17</v>
      </c>
      <c r="E15" s="3" t="s">
        <v>544</v>
      </c>
      <c r="F15" t="s">
        <v>542</v>
      </c>
      <c r="G15" t="s">
        <v>542</v>
      </c>
      <c r="J15" s="10" t="s">
        <v>184</v>
      </c>
      <c r="K15" t="s">
        <v>563</v>
      </c>
      <c r="L15" s="17"/>
    </row>
    <row r="16" spans="1:12">
      <c r="B16" t="s">
        <v>1235</v>
      </c>
      <c r="C16" t="s">
        <v>542</v>
      </c>
      <c r="D16" s="3" t="s">
        <v>17</v>
      </c>
      <c r="E16" s="3" t="s">
        <v>544</v>
      </c>
      <c r="F16" t="s">
        <v>542</v>
      </c>
      <c r="G16" t="s">
        <v>542</v>
      </c>
      <c r="J16" s="10" t="s">
        <v>161</v>
      </c>
      <c r="K16" t="s">
        <v>564</v>
      </c>
      <c r="L16" s="17"/>
    </row>
    <row r="17" spans="2:12">
      <c r="B17" t="s">
        <v>1395</v>
      </c>
      <c r="H17" t="s">
        <v>1584</v>
      </c>
      <c r="I17" t="s">
        <v>542</v>
      </c>
      <c r="J17" s="17" t="s">
        <v>565</v>
      </c>
      <c r="K17" t="s">
        <v>1688</v>
      </c>
    </row>
    <row r="18" spans="2:12">
      <c r="B18" t="s">
        <v>1396</v>
      </c>
      <c r="H18" t="s">
        <v>1584</v>
      </c>
      <c r="I18" t="s">
        <v>542</v>
      </c>
      <c r="J18" s="17" t="s">
        <v>566</v>
      </c>
      <c r="K18" t="s">
        <v>1691</v>
      </c>
    </row>
    <row r="19" spans="2:12">
      <c r="B19" t="s">
        <v>1397</v>
      </c>
      <c r="H19" t="s">
        <v>1584</v>
      </c>
      <c r="I19" t="s">
        <v>1584</v>
      </c>
      <c r="J19" s="17" t="s">
        <v>567</v>
      </c>
      <c r="K19" t="s">
        <v>1690</v>
      </c>
    </row>
    <row r="20" spans="2:12">
      <c r="B20" t="s">
        <v>1398</v>
      </c>
      <c r="H20" t="s">
        <v>542</v>
      </c>
      <c r="I20" t="s">
        <v>542</v>
      </c>
      <c r="J20" s="17" t="s">
        <v>568</v>
      </c>
      <c r="K20" t="s">
        <v>1689</v>
      </c>
    </row>
    <row r="21" spans="2:12">
      <c r="B21" t="s">
        <v>1399</v>
      </c>
      <c r="H21" t="s">
        <v>542</v>
      </c>
      <c r="I21" t="s">
        <v>542</v>
      </c>
      <c r="J21" s="17" t="s">
        <v>569</v>
      </c>
      <c r="K21" t="s">
        <v>1687</v>
      </c>
    </row>
    <row r="22" spans="2:12">
      <c r="B22" t="s">
        <v>1236</v>
      </c>
      <c r="C22" t="s">
        <v>542</v>
      </c>
      <c r="D22" s="3" t="s">
        <v>17</v>
      </c>
      <c r="E22" s="3" t="s">
        <v>1697</v>
      </c>
      <c r="F22" t="s">
        <v>542</v>
      </c>
      <c r="G22" t="s">
        <v>542</v>
      </c>
      <c r="J22" s="17" t="s">
        <v>50</v>
      </c>
      <c r="K22" t="s">
        <v>570</v>
      </c>
    </row>
    <row r="23" spans="2:12">
      <c r="B23" t="s">
        <v>1237</v>
      </c>
      <c r="C23" t="s">
        <v>542</v>
      </c>
      <c r="D23" s="3" t="s">
        <v>548</v>
      </c>
      <c r="E23" s="3" t="s">
        <v>1698</v>
      </c>
      <c r="F23" t="s">
        <v>542</v>
      </c>
      <c r="G23" t="s">
        <v>542</v>
      </c>
      <c r="J23" s="17" t="s">
        <v>573</v>
      </c>
      <c r="K23" t="s">
        <v>572</v>
      </c>
    </row>
    <row r="24" spans="2:12">
      <c r="B24" t="s">
        <v>1238</v>
      </c>
      <c r="C24" t="s">
        <v>542</v>
      </c>
      <c r="D24" s="3" t="s">
        <v>17</v>
      </c>
      <c r="E24" s="3" t="s">
        <v>1699</v>
      </c>
      <c r="F24" t="s">
        <v>542</v>
      </c>
      <c r="G24" t="s">
        <v>542</v>
      </c>
      <c r="J24" s="17" t="s">
        <v>91</v>
      </c>
      <c r="K24" t="s">
        <v>575</v>
      </c>
    </row>
    <row r="25" spans="2:12">
      <c r="B25" t="s">
        <v>1239</v>
      </c>
      <c r="C25" t="s">
        <v>542</v>
      </c>
      <c r="D25" s="3" t="s">
        <v>17</v>
      </c>
      <c r="E25" s="3" t="s">
        <v>1700</v>
      </c>
      <c r="F25" t="s">
        <v>542</v>
      </c>
      <c r="G25" t="s">
        <v>542</v>
      </c>
      <c r="J25" s="17" t="s">
        <v>578</v>
      </c>
      <c r="K25" t="s">
        <v>577</v>
      </c>
    </row>
    <row r="26" spans="2:12">
      <c r="B26" t="s">
        <v>1240</v>
      </c>
      <c r="C26" t="s">
        <v>542</v>
      </c>
      <c r="D26" s="3" t="s">
        <v>17</v>
      </c>
      <c r="E26" s="3" t="s">
        <v>1701</v>
      </c>
      <c r="F26" t="s">
        <v>542</v>
      </c>
      <c r="G26" t="s">
        <v>542</v>
      </c>
      <c r="J26" s="17" t="s">
        <v>581</v>
      </c>
      <c r="K26" t="s">
        <v>580</v>
      </c>
    </row>
    <row r="27" spans="2:12">
      <c r="B27" t="s">
        <v>1400</v>
      </c>
      <c r="H27" t="s">
        <v>1584</v>
      </c>
      <c r="I27" t="s">
        <v>1584</v>
      </c>
      <c r="J27" s="17" t="s">
        <v>583</v>
      </c>
      <c r="K27" t="s">
        <v>1624</v>
      </c>
      <c r="L27" s="17"/>
    </row>
    <row r="28" spans="2:12">
      <c r="B28" t="s">
        <v>1401</v>
      </c>
      <c r="H28" t="s">
        <v>1584</v>
      </c>
      <c r="I28" t="s">
        <v>1584</v>
      </c>
      <c r="J28" s="17" t="s">
        <v>585</v>
      </c>
      <c r="K28" t="s">
        <v>1625</v>
      </c>
      <c r="L28" s="17"/>
    </row>
    <row r="29" spans="2:12">
      <c r="B29" t="s">
        <v>1402</v>
      </c>
      <c r="H29" t="s">
        <v>542</v>
      </c>
      <c r="I29" t="s">
        <v>542</v>
      </c>
      <c r="J29" s="17" t="s">
        <v>586</v>
      </c>
      <c r="K29" t="s">
        <v>1622</v>
      </c>
      <c r="L29" s="17"/>
    </row>
    <row r="30" spans="2:12">
      <c r="B30" t="s">
        <v>1403</v>
      </c>
      <c r="H30" t="s">
        <v>1588</v>
      </c>
      <c r="I30" t="s">
        <v>1588</v>
      </c>
      <c r="J30" s="17" t="s">
        <v>588</v>
      </c>
      <c r="K30" t="s">
        <v>1623</v>
      </c>
      <c r="L30" s="17"/>
    </row>
    <row r="31" spans="2:12">
      <c r="B31" t="s">
        <v>1404</v>
      </c>
      <c r="H31" t="s">
        <v>650</v>
      </c>
      <c r="I31" t="s">
        <v>542</v>
      </c>
      <c r="J31" s="10" t="s">
        <v>589</v>
      </c>
      <c r="K31" t="s">
        <v>1626</v>
      </c>
      <c r="L31" s="10"/>
    </row>
    <row r="32" spans="2:12">
      <c r="B32" t="s">
        <v>1241</v>
      </c>
      <c r="C32" t="s">
        <v>542</v>
      </c>
      <c r="D32" s="3" t="s">
        <v>591</v>
      </c>
      <c r="E32" s="3" t="s">
        <v>1702</v>
      </c>
      <c r="F32" t="s">
        <v>542</v>
      </c>
      <c r="G32" t="s">
        <v>542</v>
      </c>
      <c r="J32" s="10" t="s">
        <v>135</v>
      </c>
      <c r="K32" t="s">
        <v>590</v>
      </c>
      <c r="L32" s="10"/>
    </row>
    <row r="33" spans="2:12">
      <c r="B33" t="s">
        <v>1242</v>
      </c>
      <c r="C33" t="s">
        <v>542</v>
      </c>
      <c r="D33" s="3" t="s">
        <v>48</v>
      </c>
      <c r="E33" s="3" t="s">
        <v>1703</v>
      </c>
      <c r="F33" t="s">
        <v>542</v>
      </c>
      <c r="G33" t="s">
        <v>542</v>
      </c>
      <c r="J33" s="10" t="s">
        <v>431</v>
      </c>
      <c r="K33" t="s">
        <v>593</v>
      </c>
      <c r="L33" s="10"/>
    </row>
    <row r="34" spans="2:12">
      <c r="B34" t="s">
        <v>1243</v>
      </c>
      <c r="C34" t="s">
        <v>542</v>
      </c>
      <c r="D34" s="3" t="s">
        <v>461</v>
      </c>
      <c r="E34" s="3" t="s">
        <v>1704</v>
      </c>
      <c r="F34" t="s">
        <v>542</v>
      </c>
      <c r="G34" t="s">
        <v>542</v>
      </c>
      <c r="J34" s="10" t="s">
        <v>595</v>
      </c>
      <c r="K34" t="s">
        <v>594</v>
      </c>
      <c r="L34" s="10"/>
    </row>
    <row r="35" spans="2:12">
      <c r="B35" t="s">
        <v>1244</v>
      </c>
      <c r="C35" t="s">
        <v>542</v>
      </c>
      <c r="D35" s="3" t="s">
        <v>1705</v>
      </c>
      <c r="E35" s="3" t="s">
        <v>1704</v>
      </c>
      <c r="F35" t="s">
        <v>542</v>
      </c>
      <c r="G35" t="s">
        <v>542</v>
      </c>
      <c r="J35" s="10" t="s">
        <v>597</v>
      </c>
      <c r="K35" t="s">
        <v>596</v>
      </c>
      <c r="L35" s="10"/>
    </row>
    <row r="36" spans="2:12">
      <c r="B36" t="s">
        <v>1245</v>
      </c>
      <c r="C36" t="s">
        <v>542</v>
      </c>
      <c r="D36" s="3" t="s">
        <v>17</v>
      </c>
      <c r="E36" s="9" t="s">
        <v>1704</v>
      </c>
      <c r="F36" t="s">
        <v>542</v>
      </c>
      <c r="G36" t="s">
        <v>542</v>
      </c>
      <c r="J36" s="10" t="s">
        <v>316</v>
      </c>
      <c r="K36" t="s">
        <v>598</v>
      </c>
      <c r="L36" s="10"/>
    </row>
    <row r="37" spans="2:12">
      <c r="B37" t="s">
        <v>1405</v>
      </c>
      <c r="H37" t="s">
        <v>1584</v>
      </c>
      <c r="I37" t="s">
        <v>1588</v>
      </c>
      <c r="J37" s="10" t="s">
        <v>599</v>
      </c>
      <c r="K37" t="s">
        <v>1620</v>
      </c>
    </row>
    <row r="38" spans="2:12">
      <c r="B38" t="s">
        <v>1406</v>
      </c>
      <c r="H38" t="s">
        <v>650</v>
      </c>
      <c r="I38" t="s">
        <v>542</v>
      </c>
      <c r="J38" s="10" t="s">
        <v>600</v>
      </c>
      <c r="K38" t="s">
        <v>1621</v>
      </c>
    </row>
    <row r="39" spans="2:12">
      <c r="B39" t="s">
        <v>1407</v>
      </c>
      <c r="H39" t="s">
        <v>650</v>
      </c>
      <c r="I39" t="s">
        <v>650</v>
      </c>
      <c r="J39" s="10" t="s">
        <v>601</v>
      </c>
      <c r="K39" t="s">
        <v>1619</v>
      </c>
    </row>
    <row r="40" spans="2:12">
      <c r="B40" t="s">
        <v>1408</v>
      </c>
      <c r="H40" t="s">
        <v>650</v>
      </c>
      <c r="I40" t="s">
        <v>650</v>
      </c>
      <c r="J40" s="10" t="s">
        <v>602</v>
      </c>
      <c r="K40" t="s">
        <v>1617</v>
      </c>
    </row>
    <row r="41" spans="2:12">
      <c r="B41" t="s">
        <v>1409</v>
      </c>
      <c r="H41" t="s">
        <v>542</v>
      </c>
      <c r="I41" t="s">
        <v>542</v>
      </c>
      <c r="J41" s="10" t="s">
        <v>604</v>
      </c>
      <c r="K41" t="s">
        <v>1618</v>
      </c>
    </row>
    <row r="42" spans="2:12">
      <c r="B42" t="s">
        <v>1246</v>
      </c>
      <c r="C42" t="s">
        <v>542</v>
      </c>
      <c r="D42" s="3" t="s">
        <v>17</v>
      </c>
      <c r="E42" s="3" t="s">
        <v>544</v>
      </c>
      <c r="F42" t="s">
        <v>542</v>
      </c>
      <c r="G42" t="s">
        <v>542</v>
      </c>
      <c r="J42" s="10" t="s">
        <v>478</v>
      </c>
      <c r="K42" t="s">
        <v>605</v>
      </c>
    </row>
    <row r="43" spans="2:12">
      <c r="B43" t="s">
        <v>1247</v>
      </c>
      <c r="C43" t="s">
        <v>542</v>
      </c>
      <c r="D43" s="3" t="s">
        <v>17</v>
      </c>
      <c r="E43" s="3" t="s">
        <v>544</v>
      </c>
      <c r="F43" t="s">
        <v>542</v>
      </c>
      <c r="G43" t="s">
        <v>542</v>
      </c>
      <c r="J43" s="10" t="s">
        <v>176</v>
      </c>
      <c r="K43" t="s">
        <v>606</v>
      </c>
    </row>
    <row r="44" spans="2:12">
      <c r="B44" t="s">
        <v>1248</v>
      </c>
      <c r="C44" t="s">
        <v>542</v>
      </c>
      <c r="D44" s="3" t="s">
        <v>17</v>
      </c>
      <c r="E44" s="3" t="s">
        <v>544</v>
      </c>
      <c r="F44" t="s">
        <v>542</v>
      </c>
      <c r="G44" t="s">
        <v>542</v>
      </c>
      <c r="J44" s="10" t="s">
        <v>73</v>
      </c>
      <c r="K44" t="s">
        <v>607</v>
      </c>
    </row>
    <row r="45" spans="2:12">
      <c r="B45" t="s">
        <v>1249</v>
      </c>
      <c r="C45" t="s">
        <v>542</v>
      </c>
      <c r="D45" s="3" t="s">
        <v>17</v>
      </c>
      <c r="E45" s="3" t="s">
        <v>544</v>
      </c>
      <c r="F45" t="s">
        <v>542</v>
      </c>
      <c r="G45" t="s">
        <v>542</v>
      </c>
      <c r="J45" s="10" t="s">
        <v>264</v>
      </c>
      <c r="K45" t="s">
        <v>608</v>
      </c>
    </row>
    <row r="46" spans="2:12">
      <c r="B46" t="s">
        <v>1250</v>
      </c>
      <c r="C46" t="s">
        <v>542</v>
      </c>
      <c r="D46" s="3" t="s">
        <v>17</v>
      </c>
      <c r="E46" s="3" t="s">
        <v>544</v>
      </c>
      <c r="F46" t="s">
        <v>542</v>
      </c>
      <c r="G46" t="s">
        <v>542</v>
      </c>
      <c r="J46" s="10" t="s">
        <v>375</v>
      </c>
      <c r="K46" t="s">
        <v>609</v>
      </c>
    </row>
    <row r="47" spans="2:12">
      <c r="B47" t="s">
        <v>1410</v>
      </c>
      <c r="H47" t="s">
        <v>542</v>
      </c>
      <c r="I47" t="s">
        <v>542</v>
      </c>
      <c r="J47" s="10" t="s">
        <v>610</v>
      </c>
      <c r="K47" t="s">
        <v>1683</v>
      </c>
      <c r="L47" s="10"/>
    </row>
    <row r="48" spans="2:12">
      <c r="B48" t="s">
        <v>1411</v>
      </c>
      <c r="H48" t="s">
        <v>542</v>
      </c>
      <c r="I48" t="s">
        <v>542</v>
      </c>
      <c r="J48" s="10" t="s">
        <v>611</v>
      </c>
      <c r="K48" t="s">
        <v>1684</v>
      </c>
      <c r="L48" s="10"/>
    </row>
    <row r="49" spans="2:12">
      <c r="B49" t="s">
        <v>1412</v>
      </c>
      <c r="H49" t="s">
        <v>650</v>
      </c>
      <c r="I49" t="s">
        <v>542</v>
      </c>
      <c r="J49" s="10" t="s">
        <v>612</v>
      </c>
      <c r="K49" t="s">
        <v>1681</v>
      </c>
      <c r="L49" s="10"/>
    </row>
    <row r="50" spans="2:12">
      <c r="B50" t="s">
        <v>1413</v>
      </c>
      <c r="H50" t="s">
        <v>1584</v>
      </c>
      <c r="I50" t="s">
        <v>614</v>
      </c>
      <c r="J50" s="10" t="s">
        <v>613</v>
      </c>
      <c r="K50" t="s">
        <v>1682</v>
      </c>
      <c r="L50" s="10"/>
    </row>
    <row r="51" spans="2:12">
      <c r="B51" t="s">
        <v>1414</v>
      </c>
      <c r="H51" t="s">
        <v>542</v>
      </c>
      <c r="I51" t="s">
        <v>650</v>
      </c>
      <c r="J51" s="10" t="s">
        <v>615</v>
      </c>
      <c r="K51" t="s">
        <v>1685</v>
      </c>
      <c r="L51" s="10"/>
    </row>
    <row r="52" spans="2:12">
      <c r="B52" t="s">
        <v>1251</v>
      </c>
      <c r="C52" t="s">
        <v>542</v>
      </c>
      <c r="D52" s="3" t="s">
        <v>1706</v>
      </c>
      <c r="E52" s="3" t="s">
        <v>544</v>
      </c>
      <c r="F52" t="s">
        <v>542</v>
      </c>
      <c r="G52" t="s">
        <v>542</v>
      </c>
      <c r="J52" s="10" t="s">
        <v>617</v>
      </c>
      <c r="K52" t="s">
        <v>616</v>
      </c>
      <c r="L52" s="10"/>
    </row>
    <row r="53" spans="2:12">
      <c r="B53" t="s">
        <v>1252</v>
      </c>
      <c r="C53" t="s">
        <v>542</v>
      </c>
      <c r="D53" s="3" t="s">
        <v>17</v>
      </c>
      <c r="E53" s="3" t="s">
        <v>544</v>
      </c>
      <c r="F53" t="s">
        <v>542</v>
      </c>
      <c r="G53" t="s">
        <v>542</v>
      </c>
      <c r="J53" s="10" t="s">
        <v>396</v>
      </c>
      <c r="K53" t="s">
        <v>618</v>
      </c>
      <c r="L53" s="10"/>
    </row>
    <row r="54" spans="2:12">
      <c r="B54" t="s">
        <v>1253</v>
      </c>
      <c r="C54" t="s">
        <v>542</v>
      </c>
      <c r="D54" s="3" t="s">
        <v>17</v>
      </c>
      <c r="E54" s="3" t="s">
        <v>544</v>
      </c>
      <c r="F54" t="s">
        <v>542</v>
      </c>
      <c r="G54" t="s">
        <v>542</v>
      </c>
      <c r="J54" s="10" t="s">
        <v>249</v>
      </c>
      <c r="K54" t="s">
        <v>619</v>
      </c>
      <c r="L54" s="10"/>
    </row>
    <row r="55" spans="2:12">
      <c r="B55" t="s">
        <v>1254</v>
      </c>
      <c r="C55" t="s">
        <v>542</v>
      </c>
      <c r="D55" s="3" t="s">
        <v>17</v>
      </c>
      <c r="E55" s="3" t="s">
        <v>544</v>
      </c>
      <c r="F55" t="s">
        <v>542</v>
      </c>
      <c r="G55" t="s">
        <v>542</v>
      </c>
      <c r="J55" s="10" t="s">
        <v>517</v>
      </c>
      <c r="K55" t="s">
        <v>620</v>
      </c>
      <c r="L55" s="10"/>
    </row>
    <row r="56" spans="2:12">
      <c r="B56" t="s">
        <v>1255</v>
      </c>
      <c r="C56" t="s">
        <v>542</v>
      </c>
      <c r="D56" s="3" t="s">
        <v>17</v>
      </c>
      <c r="E56" s="3" t="s">
        <v>544</v>
      </c>
      <c r="F56" t="s">
        <v>542</v>
      </c>
      <c r="G56" t="s">
        <v>542</v>
      </c>
      <c r="J56" s="10" t="s">
        <v>482</v>
      </c>
      <c r="K56" t="s">
        <v>621</v>
      </c>
      <c r="L56" s="10"/>
    </row>
    <row r="57" spans="2:12">
      <c r="B57" t="s">
        <v>1415</v>
      </c>
      <c r="H57" t="s">
        <v>650</v>
      </c>
      <c r="I57" t="s">
        <v>542</v>
      </c>
      <c r="J57" s="10" t="s">
        <v>622</v>
      </c>
      <c r="K57" t="s">
        <v>1680</v>
      </c>
    </row>
    <row r="58" spans="2:12">
      <c r="B58" t="s">
        <v>1416</v>
      </c>
      <c r="H58" t="s">
        <v>650</v>
      </c>
      <c r="I58" t="s">
        <v>542</v>
      </c>
      <c r="J58" s="10" t="s">
        <v>623</v>
      </c>
      <c r="K58" t="s">
        <v>1678</v>
      </c>
    </row>
    <row r="59" spans="2:12">
      <c r="B59" t="s">
        <v>1417</v>
      </c>
      <c r="H59" t="s">
        <v>650</v>
      </c>
      <c r="I59" t="s">
        <v>542</v>
      </c>
      <c r="J59" s="10" t="s">
        <v>624</v>
      </c>
      <c r="K59" t="s">
        <v>1677</v>
      </c>
    </row>
    <row r="60" spans="2:12">
      <c r="B60" t="s">
        <v>1418</v>
      </c>
      <c r="H60" t="s">
        <v>542</v>
      </c>
      <c r="I60" t="s">
        <v>542</v>
      </c>
      <c r="J60" s="10" t="s">
        <v>625</v>
      </c>
      <c r="K60" t="s">
        <v>1686</v>
      </c>
    </row>
    <row r="61" spans="2:12">
      <c r="B61" t="s">
        <v>1419</v>
      </c>
      <c r="H61" t="s">
        <v>650</v>
      </c>
      <c r="I61" t="s">
        <v>650</v>
      </c>
      <c r="J61" s="10" t="s">
        <v>626</v>
      </c>
      <c r="K61" t="s">
        <v>1679</v>
      </c>
    </row>
    <row r="62" spans="2:12">
      <c r="B62" t="s">
        <v>1256</v>
      </c>
      <c r="C62" t="s">
        <v>542</v>
      </c>
      <c r="D62" s="3" t="s">
        <v>17</v>
      </c>
      <c r="E62" s="3" t="s">
        <v>1707</v>
      </c>
      <c r="F62" t="s">
        <v>542</v>
      </c>
      <c r="G62" t="s">
        <v>542</v>
      </c>
      <c r="J62" s="10" t="s">
        <v>203</v>
      </c>
      <c r="K62" t="s">
        <v>627</v>
      </c>
    </row>
    <row r="63" spans="2:12">
      <c r="B63" t="s">
        <v>1257</v>
      </c>
      <c r="C63" t="s">
        <v>542</v>
      </c>
      <c r="D63" s="3" t="s">
        <v>17</v>
      </c>
      <c r="E63" s="3" t="s">
        <v>1708</v>
      </c>
      <c r="F63" t="s">
        <v>542</v>
      </c>
      <c r="G63" t="s">
        <v>542</v>
      </c>
      <c r="J63" s="10" t="s">
        <v>46</v>
      </c>
      <c r="K63" t="s">
        <v>628</v>
      </c>
    </row>
    <row r="64" spans="2:12">
      <c r="B64" t="s">
        <v>1258</v>
      </c>
      <c r="C64" t="s">
        <v>542</v>
      </c>
      <c r="D64" s="3" t="s">
        <v>17</v>
      </c>
      <c r="E64" s="3" t="s">
        <v>1709</v>
      </c>
      <c r="F64" t="s">
        <v>542</v>
      </c>
      <c r="G64" t="s">
        <v>542</v>
      </c>
      <c r="J64" s="10" t="s">
        <v>83</v>
      </c>
      <c r="K64" t="s">
        <v>629</v>
      </c>
    </row>
    <row r="65" spans="2:12">
      <c r="B65" t="s">
        <v>1259</v>
      </c>
      <c r="C65" t="s">
        <v>542</v>
      </c>
      <c r="D65" s="3" t="s">
        <v>17</v>
      </c>
      <c r="E65" s="3" t="s">
        <v>1710</v>
      </c>
      <c r="F65" t="s">
        <v>542</v>
      </c>
      <c r="G65" t="s">
        <v>542</v>
      </c>
      <c r="J65" s="10" t="s">
        <v>402</v>
      </c>
      <c r="K65" t="s">
        <v>630</v>
      </c>
    </row>
    <row r="66" spans="2:12">
      <c r="B66" t="s">
        <v>1260</v>
      </c>
      <c r="C66" t="s">
        <v>542</v>
      </c>
      <c r="D66" s="3" t="s">
        <v>17</v>
      </c>
      <c r="E66" s="3" t="s">
        <v>1710</v>
      </c>
      <c r="F66" t="s">
        <v>542</v>
      </c>
      <c r="G66" t="s">
        <v>542</v>
      </c>
      <c r="J66" s="10" t="s">
        <v>229</v>
      </c>
      <c r="K66" t="s">
        <v>631</v>
      </c>
    </row>
    <row r="67" spans="2:12">
      <c r="B67" t="s">
        <v>1420</v>
      </c>
      <c r="H67" t="s">
        <v>587</v>
      </c>
      <c r="I67" t="s">
        <v>603</v>
      </c>
      <c r="J67" s="10" t="s">
        <v>632</v>
      </c>
      <c r="K67" t="s">
        <v>1636</v>
      </c>
      <c r="L67" s="10"/>
    </row>
    <row r="68" spans="2:12">
      <c r="B68" t="s">
        <v>1421</v>
      </c>
      <c r="H68" t="s">
        <v>1584</v>
      </c>
      <c r="I68" t="s">
        <v>1584</v>
      </c>
      <c r="J68" s="10" t="s">
        <v>633</v>
      </c>
      <c r="K68" t="s">
        <v>1633</v>
      </c>
      <c r="L68" s="10"/>
    </row>
    <row r="69" spans="2:12">
      <c r="B69" t="s">
        <v>1422</v>
      </c>
      <c r="H69" t="s">
        <v>650</v>
      </c>
      <c r="I69" t="s">
        <v>650</v>
      </c>
      <c r="J69" s="10" t="s">
        <v>634</v>
      </c>
      <c r="K69" t="s">
        <v>1635</v>
      </c>
      <c r="L69" s="10"/>
    </row>
    <row r="70" spans="2:12">
      <c r="B70" t="s">
        <v>1423</v>
      </c>
      <c r="H70" t="s">
        <v>650</v>
      </c>
      <c r="I70" t="s">
        <v>542</v>
      </c>
      <c r="J70" s="10" t="s">
        <v>635</v>
      </c>
      <c r="K70" t="s">
        <v>1634</v>
      </c>
      <c r="L70" s="10"/>
    </row>
    <row r="71" spans="2:12">
      <c r="B71" t="s">
        <v>1424</v>
      </c>
      <c r="H71" t="s">
        <v>542</v>
      </c>
      <c r="I71" t="s">
        <v>542</v>
      </c>
      <c r="J71" s="10" t="s">
        <v>636</v>
      </c>
      <c r="K71" t="s">
        <v>1632</v>
      </c>
      <c r="L71" s="10"/>
    </row>
    <row r="72" spans="2:12">
      <c r="B72" t="s">
        <v>1261</v>
      </c>
      <c r="C72" t="s">
        <v>542</v>
      </c>
      <c r="D72" s="3" t="s">
        <v>17</v>
      </c>
      <c r="E72" s="3" t="s">
        <v>1711</v>
      </c>
      <c r="F72" s="64" t="s">
        <v>1849</v>
      </c>
      <c r="G72" t="s">
        <v>542</v>
      </c>
      <c r="J72" s="10" t="s">
        <v>343</v>
      </c>
      <c r="K72" t="s">
        <v>637</v>
      </c>
      <c r="L72" s="10"/>
    </row>
    <row r="73" spans="2:12">
      <c r="B73" t="s">
        <v>1262</v>
      </c>
      <c r="C73" t="s">
        <v>542</v>
      </c>
      <c r="D73" s="3" t="s">
        <v>48</v>
      </c>
      <c r="E73" s="3" t="s">
        <v>1712</v>
      </c>
      <c r="F73" s="65" t="s">
        <v>751</v>
      </c>
      <c r="G73" t="s">
        <v>542</v>
      </c>
      <c r="J73" s="10" t="s">
        <v>419</v>
      </c>
      <c r="K73" t="s">
        <v>638</v>
      </c>
      <c r="L73" s="10"/>
    </row>
    <row r="74" spans="2:12">
      <c r="B74" t="s">
        <v>1263</v>
      </c>
      <c r="C74" t="s">
        <v>542</v>
      </c>
      <c r="D74" s="3" t="s">
        <v>17</v>
      </c>
      <c r="E74" s="3" t="s">
        <v>1713</v>
      </c>
      <c r="F74" s="65" t="s">
        <v>751</v>
      </c>
      <c r="G74" t="s">
        <v>542</v>
      </c>
      <c r="J74" s="10" t="s">
        <v>640</v>
      </c>
      <c r="K74" t="s">
        <v>639</v>
      </c>
      <c r="L74" s="10"/>
    </row>
    <row r="75" spans="2:12">
      <c r="B75" t="s">
        <v>1264</v>
      </c>
      <c r="C75" t="s">
        <v>542</v>
      </c>
      <c r="D75" s="3" t="s">
        <v>17</v>
      </c>
      <c r="E75" s="3" t="s">
        <v>1714</v>
      </c>
      <c r="F75" s="65" t="s">
        <v>751</v>
      </c>
      <c r="G75" t="s">
        <v>542</v>
      </c>
      <c r="J75" s="10" t="s">
        <v>437</v>
      </c>
      <c r="K75" t="s">
        <v>641</v>
      </c>
      <c r="L75" s="10"/>
    </row>
    <row r="76" spans="2:12">
      <c r="B76" t="s">
        <v>1265</v>
      </c>
      <c r="C76" t="s">
        <v>542</v>
      </c>
      <c r="D76" s="3" t="s">
        <v>17</v>
      </c>
      <c r="E76" s="3" t="s">
        <v>1704</v>
      </c>
      <c r="F76" s="65" t="s">
        <v>751</v>
      </c>
      <c r="G76" t="s">
        <v>542</v>
      </c>
      <c r="J76" s="10" t="s">
        <v>422</v>
      </c>
      <c r="K76" t="s">
        <v>642</v>
      </c>
      <c r="L76" s="10"/>
    </row>
    <row r="77" spans="2:12">
      <c r="B77" t="s">
        <v>1425</v>
      </c>
      <c r="H77" t="s">
        <v>1584</v>
      </c>
      <c r="I77" t="s">
        <v>1584</v>
      </c>
      <c r="J77" s="10" t="s">
        <v>643</v>
      </c>
      <c r="K77" t="s">
        <v>1628</v>
      </c>
    </row>
    <row r="78" spans="2:12">
      <c r="B78" t="s">
        <v>1426</v>
      </c>
      <c r="H78" t="s">
        <v>587</v>
      </c>
      <c r="I78" t="s">
        <v>542</v>
      </c>
      <c r="J78" s="10" t="s">
        <v>644</v>
      </c>
      <c r="K78" t="s">
        <v>1631</v>
      </c>
    </row>
    <row r="79" spans="2:12">
      <c r="B79" t="s">
        <v>1427</v>
      </c>
      <c r="H79" t="s">
        <v>650</v>
      </c>
      <c r="I79" t="s">
        <v>542</v>
      </c>
      <c r="J79" s="10" t="s">
        <v>645</v>
      </c>
      <c r="K79" t="s">
        <v>1627</v>
      </c>
    </row>
    <row r="80" spans="2:12">
      <c r="B80" t="s">
        <v>1428</v>
      </c>
      <c r="H80" t="s">
        <v>587</v>
      </c>
      <c r="I80" t="s">
        <v>542</v>
      </c>
      <c r="J80" s="10" t="s">
        <v>647</v>
      </c>
      <c r="K80" t="s">
        <v>1629</v>
      </c>
    </row>
    <row r="81" spans="2:13">
      <c r="B81" t="s">
        <v>1429</v>
      </c>
      <c r="H81" t="s">
        <v>542</v>
      </c>
      <c r="I81" t="s">
        <v>542</v>
      </c>
      <c r="J81" s="10" t="s">
        <v>648</v>
      </c>
      <c r="K81" t="s">
        <v>1630</v>
      </c>
    </row>
    <row r="82" spans="2:13">
      <c r="B82" t="s">
        <v>1266</v>
      </c>
      <c r="C82" t="s">
        <v>542</v>
      </c>
      <c r="D82" s="3" t="s">
        <v>17</v>
      </c>
      <c r="E82" s="3" t="s">
        <v>1715</v>
      </c>
      <c r="F82" s="64" t="s">
        <v>1850</v>
      </c>
      <c r="G82" t="s">
        <v>542</v>
      </c>
      <c r="J82" s="10" t="s">
        <v>15</v>
      </c>
      <c r="K82" s="63" t="s">
        <v>1608</v>
      </c>
      <c r="L82" s="10"/>
      <c r="M82" s="63"/>
    </row>
    <row r="83" spans="2:13">
      <c r="B83" t="s">
        <v>1267</v>
      </c>
      <c r="C83" t="s">
        <v>542</v>
      </c>
      <c r="D83" s="3" t="s">
        <v>480</v>
      </c>
      <c r="E83" s="3" t="s">
        <v>546</v>
      </c>
      <c r="F83" s="64" t="s">
        <v>1850</v>
      </c>
      <c r="G83" t="s">
        <v>542</v>
      </c>
      <c r="J83" s="10" t="s">
        <v>406</v>
      </c>
      <c r="K83" s="63" t="s">
        <v>1607</v>
      </c>
      <c r="L83" s="10"/>
      <c r="M83" s="63"/>
    </row>
    <row r="84" spans="2:13">
      <c r="B84" t="s">
        <v>1268</v>
      </c>
      <c r="C84" t="s">
        <v>650</v>
      </c>
      <c r="D84" s="3" t="s">
        <v>17</v>
      </c>
      <c r="E84" s="3" t="s">
        <v>1716</v>
      </c>
      <c r="F84" s="64" t="s">
        <v>1850</v>
      </c>
      <c r="G84" t="s">
        <v>542</v>
      </c>
      <c r="J84" s="10" t="s">
        <v>107</v>
      </c>
      <c r="K84" s="63" t="s">
        <v>1610</v>
      </c>
      <c r="L84" s="10"/>
      <c r="M84" s="63"/>
    </row>
    <row r="85" spans="2:13">
      <c r="B85" t="s">
        <v>1269</v>
      </c>
      <c r="C85" t="s">
        <v>542</v>
      </c>
      <c r="D85" s="3" t="s">
        <v>17</v>
      </c>
      <c r="E85" s="3" t="s">
        <v>1717</v>
      </c>
      <c r="F85" s="64" t="s">
        <v>1850</v>
      </c>
      <c r="G85" t="s">
        <v>542</v>
      </c>
      <c r="J85" s="10" t="s">
        <v>327</v>
      </c>
      <c r="K85" s="63" t="s">
        <v>1609</v>
      </c>
      <c r="L85" s="10"/>
      <c r="M85" s="63"/>
    </row>
    <row r="86" spans="2:13">
      <c r="B86" t="s">
        <v>1270</v>
      </c>
      <c r="C86" t="s">
        <v>542</v>
      </c>
      <c r="D86" s="3" t="s">
        <v>17</v>
      </c>
      <c r="E86" s="3" t="s">
        <v>1718</v>
      </c>
      <c r="F86" s="64" t="s">
        <v>1850</v>
      </c>
      <c r="G86" t="s">
        <v>542</v>
      </c>
      <c r="J86" s="10" t="s">
        <v>533</v>
      </c>
      <c r="K86" s="63" t="s">
        <v>1606</v>
      </c>
      <c r="L86" s="10"/>
      <c r="M86" s="63"/>
    </row>
    <row r="87" spans="2:13">
      <c r="B87" t="s">
        <v>1430</v>
      </c>
      <c r="H87" t="s">
        <v>650</v>
      </c>
      <c r="I87" t="s">
        <v>542</v>
      </c>
      <c r="J87" s="10" t="s">
        <v>654</v>
      </c>
      <c r="K87" t="s">
        <v>1663</v>
      </c>
      <c r="L87" s="10"/>
    </row>
    <row r="88" spans="2:13">
      <c r="B88" t="s">
        <v>1431</v>
      </c>
      <c r="H88" t="s">
        <v>1589</v>
      </c>
      <c r="I88" t="s">
        <v>656</v>
      </c>
      <c r="J88" s="10" t="s">
        <v>655</v>
      </c>
      <c r="K88" t="s">
        <v>1665</v>
      </c>
      <c r="L88" s="10"/>
    </row>
    <row r="89" spans="2:13">
      <c r="B89" t="s">
        <v>1432</v>
      </c>
      <c r="H89" t="s">
        <v>650</v>
      </c>
      <c r="I89" t="s">
        <v>650</v>
      </c>
      <c r="J89" s="10" t="s">
        <v>657</v>
      </c>
      <c r="K89" t="s">
        <v>1662</v>
      </c>
      <c r="L89" s="10"/>
    </row>
    <row r="90" spans="2:13">
      <c r="B90" t="s">
        <v>1433</v>
      </c>
      <c r="H90" t="s">
        <v>542</v>
      </c>
      <c r="I90" t="s">
        <v>542</v>
      </c>
      <c r="J90" s="10" t="s">
        <v>658</v>
      </c>
      <c r="K90" t="s">
        <v>1664</v>
      </c>
      <c r="L90" s="10"/>
    </row>
    <row r="91" spans="2:13">
      <c r="B91" t="s">
        <v>1434</v>
      </c>
      <c r="H91" t="s">
        <v>542</v>
      </c>
      <c r="I91" t="s">
        <v>542</v>
      </c>
      <c r="J91" s="10" t="s">
        <v>659</v>
      </c>
      <c r="K91" t="s">
        <v>1666</v>
      </c>
      <c r="L91" s="10"/>
    </row>
    <row r="92" spans="2:13">
      <c r="B92" t="s">
        <v>1271</v>
      </c>
      <c r="C92" t="s">
        <v>542</v>
      </c>
      <c r="D92" s="3" t="s">
        <v>660</v>
      </c>
      <c r="E92" s="3" t="s">
        <v>1719</v>
      </c>
      <c r="F92" s="64" t="s">
        <v>1850</v>
      </c>
      <c r="G92" t="s">
        <v>542</v>
      </c>
      <c r="J92" s="10" t="s">
        <v>33</v>
      </c>
      <c r="K92" s="63" t="s">
        <v>1613</v>
      </c>
      <c r="L92" s="10"/>
    </row>
    <row r="93" spans="2:13">
      <c r="B93" t="s">
        <v>1272</v>
      </c>
      <c r="C93" t="s">
        <v>650</v>
      </c>
      <c r="D93" s="3" t="s">
        <v>661</v>
      </c>
      <c r="E93" s="3" t="s">
        <v>1720</v>
      </c>
      <c r="F93" s="64" t="s">
        <v>1850</v>
      </c>
      <c r="G93" t="s">
        <v>542</v>
      </c>
      <c r="J93" s="10" t="s">
        <v>30</v>
      </c>
      <c r="K93" s="63" t="s">
        <v>1611</v>
      </c>
      <c r="L93" s="10"/>
    </row>
    <row r="94" spans="2:13">
      <c r="B94" t="s">
        <v>1273</v>
      </c>
      <c r="C94" t="s">
        <v>650</v>
      </c>
      <c r="D94" s="3" t="s">
        <v>661</v>
      </c>
      <c r="E94" s="3" t="s">
        <v>1721</v>
      </c>
      <c r="F94" s="64" t="s">
        <v>1850</v>
      </c>
      <c r="G94" t="s">
        <v>542</v>
      </c>
      <c r="J94" s="10" t="s">
        <v>66</v>
      </c>
      <c r="K94" s="63" t="s">
        <v>1615</v>
      </c>
      <c r="L94" s="10"/>
    </row>
    <row r="95" spans="2:13">
      <c r="B95" t="s">
        <v>1274</v>
      </c>
      <c r="C95" t="s">
        <v>650</v>
      </c>
      <c r="D95" s="3" t="s">
        <v>48</v>
      </c>
      <c r="E95" s="3" t="s">
        <v>1704</v>
      </c>
      <c r="F95" s="64" t="s">
        <v>1850</v>
      </c>
      <c r="G95" t="s">
        <v>542</v>
      </c>
      <c r="J95" s="10" t="s">
        <v>459</v>
      </c>
      <c r="K95" s="63" t="s">
        <v>1612</v>
      </c>
      <c r="L95" s="10"/>
    </row>
    <row r="96" spans="2:13">
      <c r="B96" t="s">
        <v>1275</v>
      </c>
      <c r="C96" t="s">
        <v>650</v>
      </c>
      <c r="D96" s="3" t="s">
        <v>48</v>
      </c>
      <c r="E96" s="3" t="s">
        <v>1704</v>
      </c>
      <c r="F96" s="64" t="s">
        <v>1850</v>
      </c>
      <c r="G96" t="s">
        <v>542</v>
      </c>
      <c r="J96" s="10" t="s">
        <v>98</v>
      </c>
      <c r="K96" s="63" t="s">
        <v>1614</v>
      </c>
      <c r="L96" s="10"/>
    </row>
    <row r="97" spans="2:12">
      <c r="B97" t="s">
        <v>1435</v>
      </c>
      <c r="H97" t="s">
        <v>650</v>
      </c>
      <c r="I97" t="s">
        <v>542</v>
      </c>
      <c r="J97" s="10" t="s">
        <v>665</v>
      </c>
      <c r="K97" t="s">
        <v>1658</v>
      </c>
    </row>
    <row r="98" spans="2:12">
      <c r="B98" t="s">
        <v>1436</v>
      </c>
      <c r="H98" t="s">
        <v>587</v>
      </c>
      <c r="I98" t="s">
        <v>650</v>
      </c>
      <c r="J98" s="10" t="s">
        <v>666</v>
      </c>
      <c r="K98" t="s">
        <v>1661</v>
      </c>
    </row>
    <row r="99" spans="2:12">
      <c r="B99" t="s">
        <v>1437</v>
      </c>
      <c r="H99" t="s">
        <v>650</v>
      </c>
      <c r="I99" t="s">
        <v>650</v>
      </c>
      <c r="J99" s="10" t="s">
        <v>667</v>
      </c>
      <c r="K99" t="s">
        <v>1660</v>
      </c>
    </row>
    <row r="100" spans="2:12">
      <c r="B100" t="s">
        <v>1438</v>
      </c>
      <c r="H100" t="s">
        <v>650</v>
      </c>
      <c r="I100" t="s">
        <v>650</v>
      </c>
      <c r="J100" s="10" t="s">
        <v>668</v>
      </c>
      <c r="K100" t="s">
        <v>1659</v>
      </c>
    </row>
    <row r="101" spans="2:12">
      <c r="B101" t="s">
        <v>1439</v>
      </c>
      <c r="H101" t="s">
        <v>650</v>
      </c>
      <c r="I101" t="s">
        <v>650</v>
      </c>
      <c r="J101" s="10" t="s">
        <v>669</v>
      </c>
      <c r="K101" t="s">
        <v>1657</v>
      </c>
    </row>
    <row r="102" spans="2:12">
      <c r="B102" t="s">
        <v>1276</v>
      </c>
      <c r="C102" t="s">
        <v>542</v>
      </c>
      <c r="D102" s="3" t="s">
        <v>17</v>
      </c>
      <c r="E102" s="3" t="s">
        <v>1722</v>
      </c>
      <c r="F102" s="65" t="s">
        <v>751</v>
      </c>
      <c r="G102" t="s">
        <v>650</v>
      </c>
      <c r="J102" s="10" t="s">
        <v>336</v>
      </c>
      <c r="K102" s="62" t="s">
        <v>1600</v>
      </c>
    </row>
    <row r="103" spans="2:12">
      <c r="B103" t="s">
        <v>1277</v>
      </c>
      <c r="C103" t="s">
        <v>542</v>
      </c>
      <c r="D103" s="3" t="s">
        <v>17</v>
      </c>
      <c r="E103" s="3" t="s">
        <v>1723</v>
      </c>
      <c r="F103" s="65" t="s">
        <v>751</v>
      </c>
      <c r="G103" t="s">
        <v>650</v>
      </c>
      <c r="J103" s="10" t="s">
        <v>670</v>
      </c>
      <c r="K103" s="62" t="s">
        <v>1596</v>
      </c>
    </row>
    <row r="104" spans="2:12">
      <c r="B104" t="s">
        <v>1278</v>
      </c>
      <c r="C104" t="s">
        <v>542</v>
      </c>
      <c r="D104" s="3" t="s">
        <v>17</v>
      </c>
      <c r="E104" s="3" t="s">
        <v>1717</v>
      </c>
      <c r="F104" s="65" t="s">
        <v>751</v>
      </c>
      <c r="G104" t="s">
        <v>650</v>
      </c>
      <c r="J104" s="10" t="s">
        <v>495</v>
      </c>
      <c r="K104" s="62" t="s">
        <v>1597</v>
      </c>
    </row>
    <row r="105" spans="2:12">
      <c r="B105" t="s">
        <v>1279</v>
      </c>
      <c r="C105" t="s">
        <v>542</v>
      </c>
      <c r="D105" s="3" t="s">
        <v>17</v>
      </c>
      <c r="E105" s="3" t="s">
        <v>1717</v>
      </c>
      <c r="F105" s="65" t="s">
        <v>751</v>
      </c>
      <c r="G105" t="s">
        <v>650</v>
      </c>
      <c r="J105" s="10" t="s">
        <v>104</v>
      </c>
      <c r="K105" s="62" t="s">
        <v>1598</v>
      </c>
    </row>
    <row r="106" spans="2:12">
      <c r="B106" t="s">
        <v>1280</v>
      </c>
      <c r="C106" t="s">
        <v>542</v>
      </c>
      <c r="D106" s="3" t="s">
        <v>17</v>
      </c>
      <c r="E106" s="3" t="s">
        <v>1724</v>
      </c>
      <c r="F106" s="65" t="s">
        <v>751</v>
      </c>
      <c r="G106" t="s">
        <v>650</v>
      </c>
      <c r="J106" s="10" t="s">
        <v>167</v>
      </c>
      <c r="K106" s="62" t="s">
        <v>1599</v>
      </c>
    </row>
    <row r="107" spans="2:12">
      <c r="B107" t="s">
        <v>1440</v>
      </c>
      <c r="H107" t="s">
        <v>1588</v>
      </c>
      <c r="I107" t="s">
        <v>1588</v>
      </c>
      <c r="J107" s="10" t="s">
        <v>672</v>
      </c>
      <c r="K107" t="s">
        <v>1675</v>
      </c>
      <c r="L107" s="10"/>
    </row>
    <row r="108" spans="2:12">
      <c r="B108" t="s">
        <v>1441</v>
      </c>
      <c r="H108" t="s">
        <v>1588</v>
      </c>
      <c r="I108" t="s">
        <v>650</v>
      </c>
      <c r="J108" s="10" t="s">
        <v>673</v>
      </c>
      <c r="K108" t="s">
        <v>1673</v>
      </c>
      <c r="L108" s="10"/>
    </row>
    <row r="109" spans="2:12">
      <c r="B109" t="s">
        <v>1442</v>
      </c>
      <c r="H109" t="s">
        <v>650</v>
      </c>
      <c r="I109" t="s">
        <v>650</v>
      </c>
      <c r="J109" s="10" t="s">
        <v>674</v>
      </c>
      <c r="K109" t="s">
        <v>1674</v>
      </c>
      <c r="L109" s="10"/>
    </row>
    <row r="110" spans="2:12">
      <c r="B110" t="s">
        <v>1443</v>
      </c>
      <c r="H110" t="s">
        <v>650</v>
      </c>
      <c r="I110" t="s">
        <v>650</v>
      </c>
      <c r="J110" s="10" t="s">
        <v>675</v>
      </c>
      <c r="K110" t="s">
        <v>1672</v>
      </c>
      <c r="L110" s="10"/>
    </row>
    <row r="111" spans="2:12">
      <c r="B111" t="s">
        <v>1444</v>
      </c>
      <c r="H111" t="s">
        <v>542</v>
      </c>
      <c r="I111" t="s">
        <v>542</v>
      </c>
      <c r="J111" s="10" t="s">
        <v>676</v>
      </c>
      <c r="K111" t="s">
        <v>1676</v>
      </c>
      <c r="L111" s="10"/>
    </row>
    <row r="112" spans="2:12">
      <c r="B112" t="s">
        <v>1281</v>
      </c>
      <c r="C112" t="s">
        <v>542</v>
      </c>
      <c r="D112" s="3" t="s">
        <v>591</v>
      </c>
      <c r="E112" s="3" t="s">
        <v>1725</v>
      </c>
      <c r="F112" s="65" t="s">
        <v>751</v>
      </c>
      <c r="G112" t="s">
        <v>650</v>
      </c>
      <c r="J112" s="10" t="s">
        <v>110</v>
      </c>
      <c r="K112" s="62" t="s">
        <v>1602</v>
      </c>
      <c r="L112" s="10"/>
    </row>
    <row r="113" spans="2:12">
      <c r="B113" t="s">
        <v>1282</v>
      </c>
      <c r="C113" t="s">
        <v>542</v>
      </c>
      <c r="D113" s="3" t="s">
        <v>48</v>
      </c>
      <c r="E113" s="3" t="s">
        <v>1726</v>
      </c>
      <c r="F113" s="65" t="s">
        <v>751</v>
      </c>
      <c r="G113" t="s">
        <v>650</v>
      </c>
      <c r="J113" s="10" t="s">
        <v>187</v>
      </c>
      <c r="K113" s="62" t="s">
        <v>1603</v>
      </c>
      <c r="L113" s="10"/>
    </row>
    <row r="114" spans="2:12">
      <c r="B114" t="s">
        <v>1283</v>
      </c>
      <c r="C114" t="s">
        <v>650</v>
      </c>
      <c r="D114" s="3" t="s">
        <v>48</v>
      </c>
      <c r="E114" s="3" t="s">
        <v>1704</v>
      </c>
      <c r="F114" s="65" t="s">
        <v>751</v>
      </c>
      <c r="G114" t="s">
        <v>650</v>
      </c>
      <c r="J114" s="10" t="s">
        <v>170</v>
      </c>
      <c r="K114" s="62" t="s">
        <v>1605</v>
      </c>
      <c r="L114" s="10"/>
    </row>
    <row r="115" spans="2:12">
      <c r="B115" t="s">
        <v>1284</v>
      </c>
      <c r="C115" t="s">
        <v>542</v>
      </c>
      <c r="D115" s="3" t="s">
        <v>48</v>
      </c>
      <c r="E115" s="9" t="s">
        <v>1727</v>
      </c>
      <c r="F115" s="65" t="s">
        <v>751</v>
      </c>
      <c r="G115" t="s">
        <v>650</v>
      </c>
      <c r="J115" s="10" t="s">
        <v>399</v>
      </c>
      <c r="K115" s="62" t="s">
        <v>1601</v>
      </c>
      <c r="L115" s="10"/>
    </row>
    <row r="116" spans="2:12">
      <c r="B116" t="s">
        <v>1285</v>
      </c>
      <c r="C116" t="s">
        <v>542</v>
      </c>
      <c r="D116" s="3" t="s">
        <v>48</v>
      </c>
      <c r="E116" s="9" t="s">
        <v>1704</v>
      </c>
      <c r="F116" s="65" t="s">
        <v>751</v>
      </c>
      <c r="G116" t="s">
        <v>650</v>
      </c>
      <c r="J116" s="10" t="s">
        <v>678</v>
      </c>
      <c r="K116" s="62" t="s">
        <v>1604</v>
      </c>
      <c r="L116" s="10"/>
    </row>
    <row r="117" spans="2:12">
      <c r="B117" t="s">
        <v>1445</v>
      </c>
      <c r="H117" t="s">
        <v>650</v>
      </c>
      <c r="I117" t="s">
        <v>650</v>
      </c>
      <c r="J117" s="10" t="s">
        <v>680</v>
      </c>
      <c r="K117" t="s">
        <v>1667</v>
      </c>
    </row>
    <row r="118" spans="2:12">
      <c r="B118" t="s">
        <v>1446</v>
      </c>
      <c r="H118" t="s">
        <v>1584</v>
      </c>
      <c r="I118" t="s">
        <v>1584</v>
      </c>
      <c r="J118" s="10" t="s">
        <v>681</v>
      </c>
      <c r="K118" t="s">
        <v>1668</v>
      </c>
    </row>
    <row r="119" spans="2:12">
      <c r="B119" t="s">
        <v>1447</v>
      </c>
      <c r="H119" t="s">
        <v>1584</v>
      </c>
      <c r="I119" t="s">
        <v>650</v>
      </c>
      <c r="J119" s="10" t="s">
        <v>682</v>
      </c>
      <c r="K119" t="s">
        <v>1669</v>
      </c>
    </row>
    <row r="120" spans="2:12">
      <c r="B120" t="s">
        <v>1448</v>
      </c>
      <c r="H120" t="s">
        <v>542</v>
      </c>
      <c r="I120" t="s">
        <v>542</v>
      </c>
      <c r="J120" s="10" t="s">
        <v>683</v>
      </c>
      <c r="K120" t="s">
        <v>1671</v>
      </c>
    </row>
    <row r="121" spans="2:12">
      <c r="B121" t="s">
        <v>1449</v>
      </c>
      <c r="H121" t="s">
        <v>542</v>
      </c>
      <c r="I121" t="s">
        <v>542</v>
      </c>
      <c r="J121" s="10" t="s">
        <v>684</v>
      </c>
      <c r="K121" t="s">
        <v>1670</v>
      </c>
    </row>
    <row r="122" spans="2:12">
      <c r="B122" t="s">
        <v>1286</v>
      </c>
      <c r="C122" t="s">
        <v>542</v>
      </c>
      <c r="D122" s="3" t="s">
        <v>17</v>
      </c>
      <c r="E122" s="3" t="s">
        <v>1728</v>
      </c>
      <c r="F122" s="64" t="s">
        <v>1853</v>
      </c>
      <c r="G122" t="s">
        <v>542</v>
      </c>
      <c r="J122" s="10" t="s">
        <v>330</v>
      </c>
      <c r="K122" t="s">
        <v>685</v>
      </c>
    </row>
    <row r="123" spans="2:12">
      <c r="B123" t="s">
        <v>1287</v>
      </c>
      <c r="C123" t="s">
        <v>542</v>
      </c>
      <c r="D123" s="3" t="s">
        <v>17</v>
      </c>
      <c r="E123" s="3" t="s">
        <v>1729</v>
      </c>
      <c r="F123" s="64" t="s">
        <v>1853</v>
      </c>
      <c r="G123" t="s">
        <v>542</v>
      </c>
      <c r="J123" s="10" t="s">
        <v>217</v>
      </c>
      <c r="K123" t="s">
        <v>687</v>
      </c>
    </row>
    <row r="124" spans="2:12">
      <c r="B124" t="s">
        <v>1288</v>
      </c>
      <c r="C124" t="s">
        <v>542</v>
      </c>
      <c r="D124" s="3" t="s">
        <v>17</v>
      </c>
      <c r="E124" s="3" t="s">
        <v>1730</v>
      </c>
      <c r="F124" s="64" t="s">
        <v>1853</v>
      </c>
      <c r="G124" t="s">
        <v>542</v>
      </c>
      <c r="J124" s="10" t="s">
        <v>95</v>
      </c>
      <c r="K124" t="s">
        <v>689</v>
      </c>
    </row>
    <row r="125" spans="2:12">
      <c r="B125" t="s">
        <v>1289</v>
      </c>
      <c r="C125" t="s">
        <v>691</v>
      </c>
      <c r="D125" s="3" t="s">
        <v>17</v>
      </c>
      <c r="E125" s="3" t="s">
        <v>1731</v>
      </c>
      <c r="F125" s="64" t="s">
        <v>1853</v>
      </c>
      <c r="G125" t="s">
        <v>542</v>
      </c>
      <c r="J125" s="10" t="s">
        <v>539</v>
      </c>
      <c r="K125" t="s">
        <v>690</v>
      </c>
    </row>
    <row r="126" spans="2:12">
      <c r="B126" t="s">
        <v>1290</v>
      </c>
      <c r="C126" t="s">
        <v>542</v>
      </c>
      <c r="D126" s="3" t="s">
        <v>461</v>
      </c>
      <c r="E126" s="9" t="s">
        <v>1732</v>
      </c>
      <c r="F126" s="64" t="s">
        <v>1853</v>
      </c>
      <c r="G126" t="s">
        <v>542</v>
      </c>
      <c r="J126" s="10" t="s">
        <v>333</v>
      </c>
      <c r="K126" t="s">
        <v>693</v>
      </c>
    </row>
    <row r="127" spans="2:12">
      <c r="B127" t="s">
        <v>1450</v>
      </c>
      <c r="H127" t="s">
        <v>1584</v>
      </c>
      <c r="I127" t="s">
        <v>1584</v>
      </c>
      <c r="J127" s="10" t="s">
        <v>694</v>
      </c>
      <c r="K127" t="s">
        <v>1642</v>
      </c>
      <c r="L127" s="10"/>
    </row>
    <row r="128" spans="2:12">
      <c r="B128" t="s">
        <v>1451</v>
      </c>
      <c r="H128" t="s">
        <v>1584</v>
      </c>
      <c r="I128" t="s">
        <v>542</v>
      </c>
      <c r="J128" s="10" t="s">
        <v>695</v>
      </c>
      <c r="K128" t="s">
        <v>1646</v>
      </c>
      <c r="L128" s="10"/>
    </row>
    <row r="129" spans="2:12">
      <c r="B129" t="s">
        <v>1452</v>
      </c>
      <c r="H129" t="s">
        <v>542</v>
      </c>
      <c r="I129" t="s">
        <v>542</v>
      </c>
      <c r="J129" s="10" t="s">
        <v>696</v>
      </c>
      <c r="K129" t="s">
        <v>1644</v>
      </c>
      <c r="L129" s="10"/>
    </row>
    <row r="130" spans="2:12">
      <c r="B130" t="s">
        <v>1453</v>
      </c>
      <c r="H130" t="s">
        <v>542</v>
      </c>
      <c r="I130" t="s">
        <v>542</v>
      </c>
      <c r="J130" s="10" t="s">
        <v>697</v>
      </c>
      <c r="K130" t="s">
        <v>1645</v>
      </c>
      <c r="L130" s="10"/>
    </row>
    <row r="131" spans="2:12">
      <c r="B131" t="s">
        <v>1454</v>
      </c>
      <c r="H131" t="s">
        <v>542</v>
      </c>
      <c r="I131" t="s">
        <v>542</v>
      </c>
      <c r="J131" s="10" t="s">
        <v>698</v>
      </c>
      <c r="K131" t="s">
        <v>1643</v>
      </c>
      <c r="L131" s="10"/>
    </row>
    <row r="132" spans="2:12">
      <c r="B132" t="s">
        <v>1291</v>
      </c>
      <c r="C132" t="s">
        <v>650</v>
      </c>
      <c r="D132" s="3" t="s">
        <v>48</v>
      </c>
      <c r="E132" s="3" t="s">
        <v>1726</v>
      </c>
      <c r="F132" s="65" t="s">
        <v>751</v>
      </c>
      <c r="G132" t="s">
        <v>542</v>
      </c>
      <c r="J132" s="10" t="s">
        <v>24</v>
      </c>
      <c r="K132" t="s">
        <v>699</v>
      </c>
      <c r="L132" s="10"/>
    </row>
    <row r="133" spans="2:12">
      <c r="B133" t="s">
        <v>1292</v>
      </c>
      <c r="C133" t="s">
        <v>650</v>
      </c>
      <c r="D133" s="3" t="s">
        <v>701</v>
      </c>
      <c r="E133" s="3" t="s">
        <v>1733</v>
      </c>
      <c r="F133" s="65" t="s">
        <v>751</v>
      </c>
      <c r="G133" t="s">
        <v>542</v>
      </c>
      <c r="J133" s="10" t="s">
        <v>372</v>
      </c>
      <c r="K133" t="s">
        <v>700</v>
      </c>
      <c r="L133" s="10"/>
    </row>
    <row r="134" spans="2:12">
      <c r="B134" t="s">
        <v>1293</v>
      </c>
      <c r="C134" t="s">
        <v>650</v>
      </c>
      <c r="D134" s="3" t="s">
        <v>48</v>
      </c>
      <c r="E134" s="3" t="s">
        <v>1734</v>
      </c>
      <c r="F134" s="65" t="s">
        <v>751</v>
      </c>
      <c r="G134" t="s">
        <v>542</v>
      </c>
      <c r="J134" s="10" t="s">
        <v>101</v>
      </c>
      <c r="K134" t="s">
        <v>703</v>
      </c>
      <c r="L134" s="10"/>
    </row>
    <row r="135" spans="2:12">
      <c r="B135" t="s">
        <v>1294</v>
      </c>
      <c r="C135" t="s">
        <v>650</v>
      </c>
      <c r="D135" s="3" t="s">
        <v>48</v>
      </c>
      <c r="E135" s="3" t="s">
        <v>1712</v>
      </c>
      <c r="F135" s="65" t="s">
        <v>751</v>
      </c>
      <c r="G135" t="s">
        <v>542</v>
      </c>
      <c r="J135" s="10" t="s">
        <v>199</v>
      </c>
      <c r="K135" t="s">
        <v>705</v>
      </c>
      <c r="L135" s="10"/>
    </row>
    <row r="136" spans="2:12">
      <c r="B136" t="s">
        <v>1295</v>
      </c>
      <c r="C136" t="s">
        <v>650</v>
      </c>
      <c r="D136" s="3" t="s">
        <v>48</v>
      </c>
      <c r="E136" s="3" t="s">
        <v>1735</v>
      </c>
      <c r="F136" s="65" t="s">
        <v>751</v>
      </c>
      <c r="G136" t="s">
        <v>542</v>
      </c>
      <c r="J136" s="10" t="s">
        <v>164</v>
      </c>
      <c r="K136" t="s">
        <v>706</v>
      </c>
      <c r="L136" s="10"/>
    </row>
    <row r="137" spans="2:12">
      <c r="B137" t="s">
        <v>1455</v>
      </c>
      <c r="H137" t="s">
        <v>650</v>
      </c>
      <c r="I137" t="s">
        <v>650</v>
      </c>
      <c r="J137" s="10" t="s">
        <v>707</v>
      </c>
      <c r="K137" t="s">
        <v>1641</v>
      </c>
    </row>
    <row r="138" spans="2:12">
      <c r="B138" t="s">
        <v>1456</v>
      </c>
      <c r="H138" t="s">
        <v>650</v>
      </c>
      <c r="I138" t="s">
        <v>650</v>
      </c>
      <c r="J138" s="10" t="s">
        <v>708</v>
      </c>
      <c r="K138" t="s">
        <v>1637</v>
      </c>
    </row>
    <row r="139" spans="2:12">
      <c r="B139" t="s">
        <v>1457</v>
      </c>
      <c r="H139" t="s">
        <v>650</v>
      </c>
      <c r="I139" t="s">
        <v>650</v>
      </c>
      <c r="J139" s="10" t="s">
        <v>709</v>
      </c>
      <c r="K139" t="s">
        <v>1639</v>
      </c>
    </row>
    <row r="140" spans="2:12">
      <c r="B140" t="s">
        <v>1458</v>
      </c>
      <c r="H140" t="s">
        <v>650</v>
      </c>
      <c r="I140" t="s">
        <v>650</v>
      </c>
      <c r="J140" s="10" t="s">
        <v>710</v>
      </c>
      <c r="K140" t="s">
        <v>1640</v>
      </c>
    </row>
    <row r="141" spans="2:12">
      <c r="B141" t="s">
        <v>1459</v>
      </c>
      <c r="H141" t="s">
        <v>650</v>
      </c>
      <c r="I141" t="s">
        <v>650</v>
      </c>
      <c r="J141" s="10" t="s">
        <v>711</v>
      </c>
      <c r="K141" t="s">
        <v>1638</v>
      </c>
    </row>
    <row r="142" spans="2:12">
      <c r="B142" t="s">
        <v>1296</v>
      </c>
      <c r="C142" t="s">
        <v>542</v>
      </c>
      <c r="D142" s="3" t="s">
        <v>661</v>
      </c>
      <c r="E142" s="3" t="s">
        <v>1736</v>
      </c>
      <c r="F142" s="64" t="s">
        <v>1853</v>
      </c>
      <c r="G142" t="s">
        <v>542</v>
      </c>
      <c r="J142" s="10" t="s">
        <v>713</v>
      </c>
      <c r="K142" t="s">
        <v>712</v>
      </c>
    </row>
    <row r="143" spans="2:12">
      <c r="B143" t="s">
        <v>1297</v>
      </c>
      <c r="C143" t="s">
        <v>542</v>
      </c>
      <c r="D143" s="3" t="s">
        <v>17</v>
      </c>
      <c r="E143" s="3" t="s">
        <v>1731</v>
      </c>
      <c r="F143" s="65" t="s">
        <v>751</v>
      </c>
      <c r="G143" t="s">
        <v>542</v>
      </c>
      <c r="J143" s="10" t="s">
        <v>347</v>
      </c>
      <c r="K143" t="s">
        <v>715</v>
      </c>
    </row>
    <row r="144" spans="2:12">
      <c r="B144" t="s">
        <v>1298</v>
      </c>
      <c r="C144" t="s">
        <v>542</v>
      </c>
      <c r="D144" s="3" t="s">
        <v>17</v>
      </c>
      <c r="E144" s="3" t="s">
        <v>1717</v>
      </c>
      <c r="F144" s="65" t="s">
        <v>751</v>
      </c>
      <c r="G144" t="s">
        <v>542</v>
      </c>
      <c r="J144" s="10" t="s">
        <v>291</v>
      </c>
      <c r="K144" t="s">
        <v>717</v>
      </c>
    </row>
    <row r="145" spans="2:12">
      <c r="B145" t="s">
        <v>1299</v>
      </c>
      <c r="C145" t="s">
        <v>542</v>
      </c>
      <c r="D145" s="3" t="s">
        <v>17</v>
      </c>
      <c r="E145" s="3" t="s">
        <v>1737</v>
      </c>
      <c r="F145" s="65" t="s">
        <v>751</v>
      </c>
      <c r="G145" t="s">
        <v>542</v>
      </c>
      <c r="J145" s="10" t="s">
        <v>179</v>
      </c>
      <c r="K145" t="s">
        <v>718</v>
      </c>
    </row>
    <row r="146" spans="2:12">
      <c r="B146" t="s">
        <v>1300</v>
      </c>
      <c r="C146" t="s">
        <v>542</v>
      </c>
      <c r="D146" s="3" t="s">
        <v>17</v>
      </c>
      <c r="E146" s="9" t="s">
        <v>721</v>
      </c>
      <c r="F146" s="65" t="s">
        <v>751</v>
      </c>
      <c r="G146" t="s">
        <v>542</v>
      </c>
      <c r="J146" s="10" t="s">
        <v>447</v>
      </c>
      <c r="K146" t="s">
        <v>720</v>
      </c>
    </row>
    <row r="147" spans="2:12">
      <c r="B147" t="s">
        <v>1460</v>
      </c>
      <c r="H147" t="s">
        <v>1584</v>
      </c>
      <c r="I147" t="s">
        <v>1584</v>
      </c>
      <c r="J147" s="10" t="s">
        <v>723</v>
      </c>
      <c r="K147" t="s">
        <v>1654</v>
      </c>
      <c r="L147" s="10"/>
    </row>
    <row r="148" spans="2:12">
      <c r="B148" t="s">
        <v>1461</v>
      </c>
      <c r="H148" t="s">
        <v>1584</v>
      </c>
      <c r="I148" t="s">
        <v>542</v>
      </c>
      <c r="J148" s="10" t="s">
        <v>725</v>
      </c>
      <c r="K148" t="s">
        <v>1653</v>
      </c>
      <c r="L148" s="10"/>
    </row>
    <row r="149" spans="2:12">
      <c r="B149" t="s">
        <v>1462</v>
      </c>
      <c r="H149" t="s">
        <v>542</v>
      </c>
      <c r="I149" t="s">
        <v>542</v>
      </c>
      <c r="J149" s="10" t="s">
        <v>727</v>
      </c>
      <c r="K149" t="s">
        <v>1655</v>
      </c>
      <c r="L149" s="10"/>
    </row>
    <row r="150" spans="2:12">
      <c r="B150" t="s">
        <v>1463</v>
      </c>
      <c r="H150" t="s">
        <v>650</v>
      </c>
      <c r="I150" t="s">
        <v>542</v>
      </c>
      <c r="J150" s="10" t="s">
        <v>729</v>
      </c>
      <c r="K150" t="s">
        <v>1652</v>
      </c>
      <c r="L150" s="10"/>
    </row>
    <row r="151" spans="2:12">
      <c r="B151" t="s">
        <v>1464</v>
      </c>
      <c r="H151" t="s">
        <v>542</v>
      </c>
      <c r="I151" t="s">
        <v>542</v>
      </c>
      <c r="J151" s="10" t="s">
        <v>731</v>
      </c>
      <c r="K151" t="s">
        <v>1656</v>
      </c>
      <c r="L151" s="10"/>
    </row>
    <row r="152" spans="2:12">
      <c r="B152" t="s">
        <v>1301</v>
      </c>
      <c r="C152" t="s">
        <v>542</v>
      </c>
      <c r="D152" s="3" t="s">
        <v>660</v>
      </c>
      <c r="E152" s="3" t="s">
        <v>1738</v>
      </c>
      <c r="F152" s="65" t="s">
        <v>751</v>
      </c>
      <c r="G152" t="s">
        <v>542</v>
      </c>
      <c r="J152" s="10" t="s">
        <v>267</v>
      </c>
      <c r="K152" t="s">
        <v>732</v>
      </c>
      <c r="L152" s="10"/>
    </row>
    <row r="153" spans="2:12">
      <c r="B153" t="s">
        <v>1302</v>
      </c>
      <c r="C153" t="s">
        <v>542</v>
      </c>
      <c r="D153" s="3" t="s">
        <v>48</v>
      </c>
      <c r="E153" s="3" t="s">
        <v>734</v>
      </c>
      <c r="F153" s="65" t="s">
        <v>751</v>
      </c>
      <c r="G153" t="s">
        <v>542</v>
      </c>
      <c r="J153" s="10" t="s">
        <v>378</v>
      </c>
      <c r="K153" t="s">
        <v>733</v>
      </c>
      <c r="L153" s="10"/>
    </row>
    <row r="154" spans="2:12">
      <c r="B154" t="s">
        <v>1303</v>
      </c>
      <c r="C154" t="s">
        <v>650</v>
      </c>
      <c r="D154" s="3" t="s">
        <v>48</v>
      </c>
      <c r="E154" s="3" t="s">
        <v>1739</v>
      </c>
      <c r="F154" s="65" t="s">
        <v>751</v>
      </c>
      <c r="G154" t="s">
        <v>542</v>
      </c>
      <c r="J154" s="10" t="s">
        <v>147</v>
      </c>
      <c r="K154" t="s">
        <v>735</v>
      </c>
      <c r="L154" s="10"/>
    </row>
    <row r="155" spans="2:12">
      <c r="B155" t="s">
        <v>1304</v>
      </c>
      <c r="C155" t="s">
        <v>542</v>
      </c>
      <c r="D155" s="3" t="s">
        <v>17</v>
      </c>
      <c r="E155" s="3" t="s">
        <v>1724</v>
      </c>
      <c r="F155" s="65" t="s">
        <v>751</v>
      </c>
      <c r="G155" t="s">
        <v>542</v>
      </c>
      <c r="J155" s="10" t="s">
        <v>392</v>
      </c>
      <c r="K155" t="s">
        <v>736</v>
      </c>
      <c r="L155" s="10"/>
    </row>
    <row r="156" spans="2:12">
      <c r="B156" t="s">
        <v>1305</v>
      </c>
      <c r="C156" t="s">
        <v>542</v>
      </c>
      <c r="D156" s="3" t="s">
        <v>48</v>
      </c>
      <c r="E156" s="3" t="s">
        <v>1740</v>
      </c>
      <c r="F156" s="65" t="s">
        <v>751</v>
      </c>
      <c r="G156" t="s">
        <v>542</v>
      </c>
      <c r="J156" s="10" t="s">
        <v>389</v>
      </c>
      <c r="K156" t="s">
        <v>737</v>
      </c>
      <c r="L156" s="10"/>
    </row>
    <row r="157" spans="2:12">
      <c r="B157" t="s">
        <v>1465</v>
      </c>
      <c r="H157" t="s">
        <v>542</v>
      </c>
      <c r="I157" t="s">
        <v>542</v>
      </c>
      <c r="J157" s="10" t="s">
        <v>739</v>
      </c>
      <c r="K157" t="s">
        <v>1647</v>
      </c>
    </row>
    <row r="158" spans="2:12">
      <c r="B158" t="s">
        <v>1466</v>
      </c>
      <c r="H158" t="s">
        <v>650</v>
      </c>
      <c r="I158" t="s">
        <v>650</v>
      </c>
      <c r="J158" s="10" t="s">
        <v>742</v>
      </c>
      <c r="K158" t="s">
        <v>1650</v>
      </c>
    </row>
    <row r="159" spans="2:12">
      <c r="B159" t="s">
        <v>1467</v>
      </c>
      <c r="H159" t="s">
        <v>1584</v>
      </c>
      <c r="I159" t="s">
        <v>1584</v>
      </c>
      <c r="J159" s="10" t="s">
        <v>744</v>
      </c>
      <c r="K159" t="s">
        <v>1648</v>
      </c>
    </row>
    <row r="160" spans="2:12">
      <c r="B160" t="s">
        <v>1468</v>
      </c>
      <c r="H160" t="s">
        <v>542</v>
      </c>
      <c r="I160" t="s">
        <v>542</v>
      </c>
      <c r="J160" s="10" t="s">
        <v>746</v>
      </c>
      <c r="K160" t="s">
        <v>1651</v>
      </c>
    </row>
    <row r="161" spans="2:11">
      <c r="B161" t="s">
        <v>1469</v>
      </c>
      <c r="H161" t="s">
        <v>650</v>
      </c>
      <c r="I161" t="s">
        <v>542</v>
      </c>
      <c r="J161" s="10" t="s">
        <v>748</v>
      </c>
      <c r="K161" t="s">
        <v>1649</v>
      </c>
    </row>
    <row r="162" spans="2:11">
      <c r="B162" s="4" t="s">
        <v>9</v>
      </c>
      <c r="C162" t="s">
        <v>542</v>
      </c>
      <c r="D162" s="3" t="s">
        <v>13</v>
      </c>
      <c r="E162" s="3" t="s">
        <v>1722</v>
      </c>
      <c r="F162" s="19" t="s">
        <v>1851</v>
      </c>
      <c r="G162" t="s">
        <v>542</v>
      </c>
      <c r="J162" s="3" t="s">
        <v>10</v>
      </c>
      <c r="K162" s="4" t="s">
        <v>11</v>
      </c>
    </row>
    <row r="163" spans="2:11">
      <c r="B163" s="4" t="s">
        <v>14</v>
      </c>
      <c r="C163" t="s">
        <v>542</v>
      </c>
      <c r="D163" s="3" t="s">
        <v>17</v>
      </c>
      <c r="E163" s="3" t="s">
        <v>1741</v>
      </c>
      <c r="F163" s="19" t="s">
        <v>1852</v>
      </c>
      <c r="G163" t="s">
        <v>542</v>
      </c>
      <c r="J163" s="3" t="s">
        <v>15</v>
      </c>
      <c r="K163" s="4" t="s">
        <v>16</v>
      </c>
    </row>
    <row r="164" spans="2:11">
      <c r="B164" s="4" t="s">
        <v>19</v>
      </c>
      <c r="C164" t="s">
        <v>542</v>
      </c>
      <c r="D164" s="3" t="s">
        <v>22</v>
      </c>
      <c r="E164" s="3" t="s">
        <v>1742</v>
      </c>
      <c r="F164" s="19" t="s">
        <v>1852</v>
      </c>
      <c r="G164" t="s">
        <v>542</v>
      </c>
      <c r="J164" s="3" t="s">
        <v>20</v>
      </c>
      <c r="K164" s="4" t="s">
        <v>21</v>
      </c>
    </row>
    <row r="165" spans="2:11">
      <c r="B165" s="4" t="s">
        <v>23</v>
      </c>
      <c r="C165" t="s">
        <v>542</v>
      </c>
      <c r="D165" s="3" t="s">
        <v>17</v>
      </c>
      <c r="E165" s="3" t="s">
        <v>1743</v>
      </c>
      <c r="F165" s="19" t="s">
        <v>1852</v>
      </c>
      <c r="G165" t="s">
        <v>542</v>
      </c>
      <c r="J165" s="3" t="s">
        <v>24</v>
      </c>
      <c r="K165" s="4" t="s">
        <v>25</v>
      </c>
    </row>
    <row r="166" spans="2:11">
      <c r="B166" s="4" t="s">
        <v>26</v>
      </c>
      <c r="C166" t="s">
        <v>542</v>
      </c>
      <c r="D166" s="3" t="s">
        <v>13</v>
      </c>
      <c r="E166" s="3" t="s">
        <v>1697</v>
      </c>
      <c r="F166" s="19" t="s">
        <v>1852</v>
      </c>
      <c r="G166" t="s">
        <v>542</v>
      </c>
      <c r="J166" s="3" t="s">
        <v>27</v>
      </c>
      <c r="K166" s="4" t="s">
        <v>28</v>
      </c>
    </row>
    <row r="167" spans="2:11">
      <c r="B167" s="4" t="s">
        <v>29</v>
      </c>
      <c r="H167" t="s">
        <v>542</v>
      </c>
      <c r="I167" t="s">
        <v>542</v>
      </c>
      <c r="J167" s="3" t="s">
        <v>30</v>
      </c>
      <c r="K167" s="5" t="s">
        <v>31</v>
      </c>
    </row>
    <row r="168" spans="2:11">
      <c r="B168" s="4" t="s">
        <v>32</v>
      </c>
      <c r="H168" t="s">
        <v>542</v>
      </c>
      <c r="I168" t="s">
        <v>542</v>
      </c>
      <c r="J168" s="3" t="s">
        <v>33</v>
      </c>
      <c r="K168" s="5" t="s">
        <v>34</v>
      </c>
    </row>
    <row r="169" spans="2:11">
      <c r="B169" s="4" t="s">
        <v>35</v>
      </c>
      <c r="H169" t="s">
        <v>542</v>
      </c>
      <c r="I169" t="s">
        <v>542</v>
      </c>
      <c r="J169" s="3" t="s">
        <v>36</v>
      </c>
      <c r="K169" s="5" t="s">
        <v>37</v>
      </c>
    </row>
    <row r="170" spans="2:11">
      <c r="B170" s="4" t="s">
        <v>38</v>
      </c>
      <c r="H170" t="s">
        <v>542</v>
      </c>
      <c r="I170" t="s">
        <v>542</v>
      </c>
      <c r="J170" s="3" t="s">
        <v>39</v>
      </c>
      <c r="K170" s="5" t="s">
        <v>40</v>
      </c>
    </row>
    <row r="171" spans="2:11">
      <c r="B171" s="4" t="s">
        <v>42</v>
      </c>
      <c r="H171" t="s">
        <v>542</v>
      </c>
      <c r="I171" t="s">
        <v>542</v>
      </c>
      <c r="J171" s="3" t="s">
        <v>43</v>
      </c>
      <c r="K171" s="5" t="s">
        <v>44</v>
      </c>
    </row>
    <row r="172" spans="2:11">
      <c r="B172" s="4" t="s">
        <v>45</v>
      </c>
      <c r="C172" t="s">
        <v>542</v>
      </c>
      <c r="D172" s="3" t="s">
        <v>48</v>
      </c>
      <c r="E172" s="3" t="s">
        <v>1744</v>
      </c>
      <c r="F172" s="19" t="s">
        <v>1852</v>
      </c>
      <c r="G172" t="s">
        <v>542</v>
      </c>
      <c r="J172" s="3" t="s">
        <v>46</v>
      </c>
      <c r="K172" s="4" t="s">
        <v>47</v>
      </c>
    </row>
    <row r="173" spans="2:11">
      <c r="B173" s="4" t="s">
        <v>49</v>
      </c>
      <c r="C173" t="s">
        <v>542</v>
      </c>
      <c r="D173" s="3" t="s">
        <v>48</v>
      </c>
      <c r="E173" s="3" t="s">
        <v>1726</v>
      </c>
      <c r="F173" s="19" t="s">
        <v>1852</v>
      </c>
      <c r="G173" t="s">
        <v>542</v>
      </c>
      <c r="J173" s="3" t="s">
        <v>50</v>
      </c>
      <c r="K173" s="4" t="s">
        <v>51</v>
      </c>
    </row>
    <row r="174" spans="2:11">
      <c r="B174" s="4" t="s">
        <v>52</v>
      </c>
      <c r="C174" t="s">
        <v>542</v>
      </c>
      <c r="D174" s="3" t="s">
        <v>55</v>
      </c>
      <c r="E174" s="3" t="s">
        <v>1745</v>
      </c>
      <c r="F174" s="19" t="s">
        <v>1852</v>
      </c>
      <c r="G174" t="s">
        <v>542</v>
      </c>
      <c r="J174" s="3" t="s">
        <v>53</v>
      </c>
      <c r="K174" s="4" t="s">
        <v>54</v>
      </c>
    </row>
    <row r="175" spans="2:11">
      <c r="B175" s="4" t="s">
        <v>56</v>
      </c>
      <c r="C175" t="s">
        <v>542</v>
      </c>
      <c r="D175" s="3" t="s">
        <v>59</v>
      </c>
      <c r="E175" s="3" t="s">
        <v>60</v>
      </c>
      <c r="F175" s="19" t="s">
        <v>1852</v>
      </c>
      <c r="G175" t="s">
        <v>542</v>
      </c>
      <c r="J175" s="3" t="s">
        <v>57</v>
      </c>
      <c r="K175" s="4" t="s">
        <v>58</v>
      </c>
    </row>
    <row r="176" spans="2:11">
      <c r="B176" s="4" t="s">
        <v>61</v>
      </c>
      <c r="C176" t="s">
        <v>542</v>
      </c>
      <c r="D176" s="3" t="s">
        <v>64</v>
      </c>
      <c r="E176" s="3" t="s">
        <v>1746</v>
      </c>
      <c r="F176" s="19" t="s">
        <v>1851</v>
      </c>
      <c r="G176" t="s">
        <v>542</v>
      </c>
      <c r="J176" s="3" t="s">
        <v>62</v>
      </c>
      <c r="K176" s="4" t="s">
        <v>63</v>
      </c>
    </row>
    <row r="177" spans="2:11">
      <c r="B177" s="4" t="s">
        <v>65</v>
      </c>
      <c r="H177" t="s">
        <v>650</v>
      </c>
      <c r="I177" t="s">
        <v>650</v>
      </c>
      <c r="J177" s="3" t="s">
        <v>66</v>
      </c>
      <c r="K177" s="5" t="s">
        <v>67</v>
      </c>
    </row>
    <row r="178" spans="2:11">
      <c r="B178" s="4" t="s">
        <v>68</v>
      </c>
      <c r="H178" t="s">
        <v>650</v>
      </c>
      <c r="I178" t="s">
        <v>650</v>
      </c>
      <c r="J178" s="3" t="s">
        <v>69</v>
      </c>
      <c r="K178" s="5" t="s">
        <v>70</v>
      </c>
    </row>
    <row r="179" spans="2:11">
      <c r="B179" s="4" t="s">
        <v>72</v>
      </c>
      <c r="H179" t="s">
        <v>650</v>
      </c>
      <c r="I179" t="s">
        <v>650</v>
      </c>
      <c r="J179" s="3" t="s">
        <v>73</v>
      </c>
      <c r="K179" s="5" t="s">
        <v>74</v>
      </c>
    </row>
    <row r="180" spans="2:11">
      <c r="B180" s="4" t="s">
        <v>75</v>
      </c>
      <c r="H180" t="s">
        <v>650</v>
      </c>
      <c r="I180" t="s">
        <v>650</v>
      </c>
      <c r="J180" s="3" t="s">
        <v>76</v>
      </c>
      <c r="K180" s="5" t="s">
        <v>77</v>
      </c>
    </row>
    <row r="181" spans="2:11">
      <c r="B181" s="4" t="s">
        <v>78</v>
      </c>
      <c r="H181" t="s">
        <v>650</v>
      </c>
      <c r="I181" t="s">
        <v>650</v>
      </c>
      <c r="J181" s="3" t="s">
        <v>79</v>
      </c>
      <c r="K181" s="5" t="s">
        <v>80</v>
      </c>
    </row>
    <row r="182" spans="2:11">
      <c r="B182" t="s">
        <v>1336</v>
      </c>
      <c r="C182" s="12" t="s">
        <v>1586</v>
      </c>
      <c r="D182" s="12" t="s">
        <v>920</v>
      </c>
      <c r="E182" s="12" t="s">
        <v>921</v>
      </c>
      <c r="F182" s="19" t="s">
        <v>1852</v>
      </c>
      <c r="G182" t="s">
        <v>542</v>
      </c>
      <c r="J182" s="12" t="s">
        <v>919</v>
      </c>
      <c r="K182" s="11" t="s">
        <v>918</v>
      </c>
    </row>
    <row r="183" spans="2:11">
      <c r="B183" t="s">
        <v>1337</v>
      </c>
      <c r="C183" s="12" t="s">
        <v>751</v>
      </c>
      <c r="D183" s="3" t="s">
        <v>1840</v>
      </c>
      <c r="E183" s="12" t="s">
        <v>924</v>
      </c>
      <c r="F183" s="19" t="s">
        <v>1852</v>
      </c>
      <c r="G183" t="s">
        <v>542</v>
      </c>
      <c r="J183" s="12" t="s">
        <v>923</v>
      </c>
      <c r="K183" s="11" t="s">
        <v>922</v>
      </c>
    </row>
    <row r="184" spans="2:11">
      <c r="B184" t="s">
        <v>1338</v>
      </c>
      <c r="C184" s="12" t="s">
        <v>751</v>
      </c>
      <c r="D184" s="3" t="s">
        <v>1748</v>
      </c>
      <c r="E184" s="12" t="s">
        <v>927</v>
      </c>
      <c r="F184" s="19" t="s">
        <v>1852</v>
      </c>
      <c r="G184" t="s">
        <v>542</v>
      </c>
      <c r="J184" s="12" t="s">
        <v>926</v>
      </c>
      <c r="K184" s="11" t="s">
        <v>925</v>
      </c>
    </row>
    <row r="185" spans="2:11">
      <c r="B185" t="s">
        <v>1339</v>
      </c>
      <c r="C185" s="12" t="s">
        <v>751</v>
      </c>
      <c r="D185" s="12" t="s">
        <v>751</v>
      </c>
      <c r="E185" s="12" t="s">
        <v>930</v>
      </c>
      <c r="F185" s="19" t="s">
        <v>1852</v>
      </c>
      <c r="G185" t="s">
        <v>542</v>
      </c>
      <c r="J185" s="12" t="s">
        <v>929</v>
      </c>
      <c r="K185" s="11" t="s">
        <v>928</v>
      </c>
    </row>
    <row r="186" spans="2:11">
      <c r="B186" t="s">
        <v>1340</v>
      </c>
      <c r="C186" s="12" t="s">
        <v>767</v>
      </c>
      <c r="D186" s="12" t="s">
        <v>933</v>
      </c>
      <c r="E186" s="3" t="s">
        <v>1749</v>
      </c>
      <c r="F186" s="19" t="s">
        <v>1852</v>
      </c>
      <c r="G186" t="s">
        <v>542</v>
      </c>
      <c r="J186" s="12" t="s">
        <v>932</v>
      </c>
      <c r="K186" s="11" t="s">
        <v>931</v>
      </c>
    </row>
    <row r="187" spans="2:11">
      <c r="B187" t="s">
        <v>1470</v>
      </c>
      <c r="H187" t="s">
        <v>542</v>
      </c>
      <c r="I187" t="s">
        <v>542</v>
      </c>
      <c r="J187" s="12" t="s">
        <v>935</v>
      </c>
      <c r="K187" s="11" t="s">
        <v>934</v>
      </c>
    </row>
    <row r="188" spans="2:11">
      <c r="B188" t="s">
        <v>1471</v>
      </c>
      <c r="H188" t="s">
        <v>542</v>
      </c>
      <c r="I188" t="s">
        <v>542</v>
      </c>
      <c r="J188" s="12" t="s">
        <v>937</v>
      </c>
      <c r="K188" s="11" t="s">
        <v>936</v>
      </c>
    </row>
    <row r="189" spans="2:11">
      <c r="B189" t="s">
        <v>1472</v>
      </c>
      <c r="H189" t="s">
        <v>542</v>
      </c>
      <c r="I189" t="s">
        <v>542</v>
      </c>
      <c r="J189" s="12" t="s">
        <v>939</v>
      </c>
      <c r="K189" s="11" t="s">
        <v>938</v>
      </c>
    </row>
    <row r="190" spans="2:11">
      <c r="B190" t="s">
        <v>1473</v>
      </c>
      <c r="H190" t="s">
        <v>542</v>
      </c>
      <c r="I190" t="s">
        <v>542</v>
      </c>
      <c r="J190" s="12" t="s">
        <v>941</v>
      </c>
      <c r="K190" s="11" t="s">
        <v>940</v>
      </c>
    </row>
    <row r="191" spans="2:11">
      <c r="B191" t="s">
        <v>1474</v>
      </c>
      <c r="H191" t="s">
        <v>542</v>
      </c>
      <c r="I191" t="s">
        <v>542</v>
      </c>
      <c r="J191" s="12" t="s">
        <v>943</v>
      </c>
      <c r="K191" s="11" t="s">
        <v>942</v>
      </c>
    </row>
    <row r="192" spans="2:11">
      <c r="B192" t="s">
        <v>1341</v>
      </c>
      <c r="C192" s="3" t="s">
        <v>1750</v>
      </c>
      <c r="D192" s="12" t="s">
        <v>946</v>
      </c>
      <c r="E192" s="12" t="s">
        <v>947</v>
      </c>
      <c r="F192" s="19" t="s">
        <v>1852</v>
      </c>
      <c r="G192" t="s">
        <v>542</v>
      </c>
      <c r="J192" s="12" t="s">
        <v>945</v>
      </c>
      <c r="K192" s="11" t="s">
        <v>944</v>
      </c>
    </row>
    <row r="193" spans="2:11">
      <c r="B193" t="s">
        <v>1342</v>
      </c>
      <c r="C193" s="12" t="s">
        <v>751</v>
      </c>
      <c r="D193" s="3" t="s">
        <v>1751</v>
      </c>
      <c r="E193" s="12" t="s">
        <v>950</v>
      </c>
      <c r="F193" s="19" t="s">
        <v>1852</v>
      </c>
      <c r="G193" t="s">
        <v>542</v>
      </c>
      <c r="J193" s="12" t="s">
        <v>949</v>
      </c>
      <c r="K193" s="11" t="s">
        <v>948</v>
      </c>
    </row>
    <row r="194" spans="2:11">
      <c r="B194" t="s">
        <v>1343</v>
      </c>
      <c r="C194" s="12" t="s">
        <v>767</v>
      </c>
      <c r="D194" s="12" t="s">
        <v>786</v>
      </c>
      <c r="E194" s="12" t="s">
        <v>953</v>
      </c>
      <c r="F194" s="19" t="s">
        <v>1852</v>
      </c>
      <c r="G194" t="s">
        <v>542</v>
      </c>
      <c r="J194" s="12" t="s">
        <v>952</v>
      </c>
      <c r="K194" s="11" t="s">
        <v>951</v>
      </c>
    </row>
    <row r="195" spans="2:11">
      <c r="B195" t="s">
        <v>1344</v>
      </c>
      <c r="C195" s="12" t="s">
        <v>751</v>
      </c>
      <c r="D195" s="12" t="s">
        <v>786</v>
      </c>
      <c r="E195" s="12" t="s">
        <v>956</v>
      </c>
      <c r="F195" s="19" t="s">
        <v>1852</v>
      </c>
      <c r="G195" t="s">
        <v>542</v>
      </c>
      <c r="J195" s="12" t="s">
        <v>955</v>
      </c>
      <c r="K195" s="11" t="s">
        <v>954</v>
      </c>
    </row>
    <row r="196" spans="2:11">
      <c r="B196" t="s">
        <v>1345</v>
      </c>
      <c r="C196" s="12" t="s">
        <v>751</v>
      </c>
      <c r="D196" s="12" t="s">
        <v>786</v>
      </c>
      <c r="E196" s="12" t="s">
        <v>959</v>
      </c>
      <c r="F196" s="19" t="s">
        <v>1852</v>
      </c>
      <c r="G196" t="s">
        <v>542</v>
      </c>
      <c r="J196" s="12" t="s">
        <v>958</v>
      </c>
      <c r="K196" s="11" t="s">
        <v>957</v>
      </c>
    </row>
    <row r="197" spans="2:11">
      <c r="B197" t="s">
        <v>1475</v>
      </c>
      <c r="H197" t="s">
        <v>650</v>
      </c>
      <c r="I197" t="s">
        <v>650</v>
      </c>
      <c r="J197" s="12" t="s">
        <v>961</v>
      </c>
      <c r="K197" s="11" t="s">
        <v>960</v>
      </c>
    </row>
    <row r="198" spans="2:11">
      <c r="B198" t="s">
        <v>1476</v>
      </c>
      <c r="H198" t="s">
        <v>542</v>
      </c>
      <c r="I198" t="s">
        <v>542</v>
      </c>
      <c r="J198" s="12" t="s">
        <v>964</v>
      </c>
      <c r="K198" s="11" t="s">
        <v>963</v>
      </c>
    </row>
    <row r="199" spans="2:11">
      <c r="B199" t="s">
        <v>1477</v>
      </c>
      <c r="H199" t="s">
        <v>650</v>
      </c>
      <c r="I199" t="s">
        <v>650</v>
      </c>
      <c r="J199" s="12" t="s">
        <v>966</v>
      </c>
      <c r="K199" s="11" t="s">
        <v>965</v>
      </c>
    </row>
    <row r="200" spans="2:11">
      <c r="B200" t="s">
        <v>1478</v>
      </c>
      <c r="H200" t="s">
        <v>650</v>
      </c>
      <c r="I200" t="s">
        <v>650</v>
      </c>
      <c r="J200" s="12" t="s">
        <v>968</v>
      </c>
      <c r="K200" s="11" t="s">
        <v>967</v>
      </c>
    </row>
    <row r="201" spans="2:11">
      <c r="B201" t="s">
        <v>1479</v>
      </c>
      <c r="H201" t="s">
        <v>650</v>
      </c>
      <c r="I201" t="s">
        <v>650</v>
      </c>
      <c r="J201" s="12" t="s">
        <v>970</v>
      </c>
      <c r="K201" s="11" t="s">
        <v>969</v>
      </c>
    </row>
    <row r="202" spans="2:11">
      <c r="B202" s="4" t="s">
        <v>411</v>
      </c>
      <c r="C202" t="s">
        <v>542</v>
      </c>
      <c r="D202" s="3" t="s">
        <v>414</v>
      </c>
      <c r="E202" s="3" t="s">
        <v>1752</v>
      </c>
      <c r="F202" s="19" t="s">
        <v>1852</v>
      </c>
      <c r="G202" t="s">
        <v>542</v>
      </c>
      <c r="J202" s="3" t="s">
        <v>412</v>
      </c>
      <c r="K202" s="4" t="s">
        <v>413</v>
      </c>
    </row>
    <row r="203" spans="2:11">
      <c r="B203" s="4" t="s">
        <v>415</v>
      </c>
      <c r="C203" t="s">
        <v>542</v>
      </c>
      <c r="D203" s="3" t="s">
        <v>17</v>
      </c>
      <c r="E203" s="3" t="s">
        <v>1753</v>
      </c>
      <c r="F203" s="19" t="s">
        <v>1852</v>
      </c>
      <c r="G203" t="s">
        <v>542</v>
      </c>
      <c r="J203" s="3" t="s">
        <v>416</v>
      </c>
      <c r="K203" s="4" t="s">
        <v>417</v>
      </c>
    </row>
    <row r="204" spans="2:11">
      <c r="B204" s="4" t="s">
        <v>418</v>
      </c>
      <c r="C204" t="s">
        <v>542</v>
      </c>
      <c r="D204" s="3" t="s">
        <v>17</v>
      </c>
      <c r="E204" s="3" t="s">
        <v>1754</v>
      </c>
      <c r="F204" s="19" t="s">
        <v>1852</v>
      </c>
      <c r="G204" t="s">
        <v>542</v>
      </c>
      <c r="J204" s="3" t="s">
        <v>419</v>
      </c>
      <c r="K204" s="4" t="s">
        <v>420</v>
      </c>
    </row>
    <row r="205" spans="2:11">
      <c r="B205" s="4" t="s">
        <v>421</v>
      </c>
      <c r="C205" t="s">
        <v>542</v>
      </c>
      <c r="D205" s="3" t="s">
        <v>13</v>
      </c>
      <c r="E205" s="3" t="s">
        <v>1743</v>
      </c>
      <c r="F205" s="19" t="s">
        <v>1852</v>
      </c>
      <c r="G205" t="s">
        <v>542</v>
      </c>
      <c r="J205" s="3" t="s">
        <v>422</v>
      </c>
      <c r="K205" s="4" t="s">
        <v>423</v>
      </c>
    </row>
    <row r="206" spans="2:11">
      <c r="B206" s="4" t="s">
        <v>424</v>
      </c>
      <c r="C206" t="s">
        <v>542</v>
      </c>
      <c r="D206" s="3" t="s">
        <v>155</v>
      </c>
      <c r="E206" s="3" t="s">
        <v>1755</v>
      </c>
      <c r="F206" s="19" t="s">
        <v>1852</v>
      </c>
      <c r="G206" t="s">
        <v>542</v>
      </c>
      <c r="J206" s="3" t="s">
        <v>425</v>
      </c>
      <c r="K206" s="4" t="s">
        <v>426</v>
      </c>
    </row>
    <row r="207" spans="2:11">
      <c r="B207" s="4" t="s">
        <v>427</v>
      </c>
      <c r="H207" t="s">
        <v>542</v>
      </c>
      <c r="I207" t="s">
        <v>542</v>
      </c>
      <c r="J207" s="3" t="s">
        <v>428</v>
      </c>
      <c r="K207" s="5" t="s">
        <v>429</v>
      </c>
    </row>
    <row r="208" spans="2:11">
      <c r="B208" s="4" t="s">
        <v>430</v>
      </c>
      <c r="H208" t="s">
        <v>542</v>
      </c>
      <c r="I208" t="s">
        <v>542</v>
      </c>
      <c r="J208" s="3" t="s">
        <v>431</v>
      </c>
      <c r="K208" s="5" t="s">
        <v>432</v>
      </c>
    </row>
    <row r="209" spans="2:11">
      <c r="B209" s="4" t="s">
        <v>433</v>
      </c>
      <c r="H209" t="s">
        <v>542</v>
      </c>
      <c r="I209" t="s">
        <v>542</v>
      </c>
      <c r="J209" s="3" t="s">
        <v>434</v>
      </c>
      <c r="K209" s="5" t="s">
        <v>435</v>
      </c>
    </row>
    <row r="210" spans="2:11">
      <c r="B210" s="4" t="s">
        <v>436</v>
      </c>
      <c r="H210" t="s">
        <v>542</v>
      </c>
      <c r="I210" t="s">
        <v>542</v>
      </c>
      <c r="J210" s="3" t="s">
        <v>437</v>
      </c>
      <c r="K210" s="5" t="s">
        <v>438</v>
      </c>
    </row>
    <row r="211" spans="2:11">
      <c r="B211" s="4" t="s">
        <v>439</v>
      </c>
      <c r="H211" t="s">
        <v>542</v>
      </c>
      <c r="I211" t="s">
        <v>542</v>
      </c>
      <c r="J211" s="3" t="s">
        <v>440</v>
      </c>
      <c r="K211" s="5" t="s">
        <v>441</v>
      </c>
    </row>
    <row r="212" spans="2:11">
      <c r="B212" s="4" t="s">
        <v>442</v>
      </c>
      <c r="C212" t="s">
        <v>542</v>
      </c>
      <c r="D212" s="3" t="s">
        <v>445</v>
      </c>
      <c r="E212" s="3" t="s">
        <v>1756</v>
      </c>
      <c r="F212" s="19" t="s">
        <v>1852</v>
      </c>
      <c r="G212" t="s">
        <v>542</v>
      </c>
      <c r="J212" s="3" t="s">
        <v>443</v>
      </c>
      <c r="K212" s="4" t="s">
        <v>444</v>
      </c>
    </row>
    <row r="213" spans="2:11">
      <c r="B213" s="4" t="s">
        <v>446</v>
      </c>
      <c r="C213" t="s">
        <v>542</v>
      </c>
      <c r="D213" s="3" t="s">
        <v>449</v>
      </c>
      <c r="E213" s="3" t="s">
        <v>1757</v>
      </c>
      <c r="F213" s="65" t="s">
        <v>751</v>
      </c>
      <c r="G213" t="s">
        <v>542</v>
      </c>
      <c r="J213" s="3" t="s">
        <v>447</v>
      </c>
      <c r="K213" s="4" t="s">
        <v>448</v>
      </c>
    </row>
    <row r="214" spans="2:11">
      <c r="B214" s="4" t="s">
        <v>450</v>
      </c>
      <c r="C214" t="s">
        <v>542</v>
      </c>
      <c r="D214" s="3" t="s">
        <v>48</v>
      </c>
      <c r="E214" s="3" t="s">
        <v>1841</v>
      </c>
      <c r="F214" s="65" t="s">
        <v>751</v>
      </c>
      <c r="G214" t="s">
        <v>542</v>
      </c>
      <c r="J214" s="3" t="s">
        <v>451</v>
      </c>
      <c r="K214" s="4" t="s">
        <v>452</v>
      </c>
    </row>
    <row r="215" spans="2:11">
      <c r="B215" s="4" t="s">
        <v>453</v>
      </c>
      <c r="C215" t="s">
        <v>542</v>
      </c>
      <c r="D215" s="3" t="s">
        <v>456</v>
      </c>
      <c r="E215" s="3" t="s">
        <v>457</v>
      </c>
      <c r="F215" s="65" t="s">
        <v>751</v>
      </c>
      <c r="G215" t="s">
        <v>542</v>
      </c>
      <c r="J215" s="3" t="s">
        <v>454</v>
      </c>
      <c r="K215" s="4" t="s">
        <v>455</v>
      </c>
    </row>
    <row r="216" spans="2:11">
      <c r="B216" s="4" t="s">
        <v>458</v>
      </c>
      <c r="C216" t="s">
        <v>542</v>
      </c>
      <c r="D216" s="3" t="s">
        <v>461</v>
      </c>
      <c r="E216" s="3" t="s">
        <v>1759</v>
      </c>
      <c r="F216" s="65" t="s">
        <v>751</v>
      </c>
      <c r="G216" t="s">
        <v>542</v>
      </c>
      <c r="J216" s="3" t="s">
        <v>459</v>
      </c>
      <c r="K216" s="4" t="s">
        <v>460</v>
      </c>
    </row>
    <row r="217" spans="2:11">
      <c r="B217" s="4" t="s">
        <v>462</v>
      </c>
      <c r="H217" t="s">
        <v>650</v>
      </c>
      <c r="I217" t="s">
        <v>542</v>
      </c>
      <c r="J217" s="3" t="s">
        <v>463</v>
      </c>
      <c r="K217" s="5" t="s">
        <v>464</v>
      </c>
    </row>
    <row r="218" spans="2:11">
      <c r="B218" s="4" t="s">
        <v>465</v>
      </c>
      <c r="H218" t="s">
        <v>650</v>
      </c>
      <c r="I218" t="s">
        <v>542</v>
      </c>
      <c r="J218" s="3" t="s">
        <v>466</v>
      </c>
      <c r="K218" s="5" t="s">
        <v>467</v>
      </c>
    </row>
    <row r="219" spans="2:11">
      <c r="B219" s="4" t="s">
        <v>468</v>
      </c>
      <c r="H219" t="s">
        <v>650</v>
      </c>
      <c r="I219" t="s">
        <v>650</v>
      </c>
      <c r="J219" s="3" t="s">
        <v>469</v>
      </c>
      <c r="K219" s="5" t="s">
        <v>470</v>
      </c>
    </row>
    <row r="220" spans="2:11">
      <c r="B220" s="4" t="s">
        <v>471</v>
      </c>
      <c r="H220" t="s">
        <v>650</v>
      </c>
      <c r="I220" t="s">
        <v>650</v>
      </c>
      <c r="J220" s="3" t="s">
        <v>472</v>
      </c>
      <c r="K220" s="5" t="s">
        <v>473</v>
      </c>
    </row>
    <row r="221" spans="2:11">
      <c r="B221" s="4" t="s">
        <v>474</v>
      </c>
      <c r="H221" t="s">
        <v>650</v>
      </c>
      <c r="I221" t="s">
        <v>542</v>
      </c>
      <c r="J221" s="3" t="s">
        <v>475</v>
      </c>
      <c r="K221" s="5" t="s">
        <v>476</v>
      </c>
    </row>
    <row r="222" spans="2:11">
      <c r="B222" t="s">
        <v>1346</v>
      </c>
      <c r="C222" s="12" t="s">
        <v>751</v>
      </c>
      <c r="D222" s="3" t="s">
        <v>1760</v>
      </c>
      <c r="E222" s="3" t="s">
        <v>1761</v>
      </c>
      <c r="F222" s="19" t="s">
        <v>1852</v>
      </c>
      <c r="G222" t="s">
        <v>650</v>
      </c>
      <c r="J222" s="12" t="s">
        <v>982</v>
      </c>
      <c r="K222" s="11" t="s">
        <v>981</v>
      </c>
    </row>
    <row r="223" spans="2:11">
      <c r="B223" t="s">
        <v>1347</v>
      </c>
      <c r="C223" s="12" t="s">
        <v>751</v>
      </c>
      <c r="D223" s="12" t="s">
        <v>985</v>
      </c>
      <c r="E223" s="3" t="s">
        <v>1762</v>
      </c>
      <c r="F223" s="19" t="s">
        <v>1852</v>
      </c>
      <c r="G223" t="s">
        <v>650</v>
      </c>
      <c r="J223" s="12" t="s">
        <v>984</v>
      </c>
      <c r="K223" s="11" t="s">
        <v>983</v>
      </c>
    </row>
    <row r="224" spans="2:11">
      <c r="B224" t="s">
        <v>1348</v>
      </c>
      <c r="C224" s="12" t="s">
        <v>751</v>
      </c>
      <c r="D224" s="3" t="s">
        <v>1763</v>
      </c>
      <c r="E224" s="12" t="s">
        <v>989</v>
      </c>
      <c r="F224" s="19" t="s">
        <v>1852</v>
      </c>
      <c r="G224" t="s">
        <v>650</v>
      </c>
      <c r="J224" s="12" t="s">
        <v>988</v>
      </c>
      <c r="K224" s="11" t="s">
        <v>987</v>
      </c>
    </row>
    <row r="225" spans="2:11">
      <c r="B225" t="s">
        <v>1349</v>
      </c>
      <c r="C225" s="12" t="s">
        <v>751</v>
      </c>
      <c r="D225" s="12" t="s">
        <v>993</v>
      </c>
      <c r="E225" s="3" t="s">
        <v>1764</v>
      </c>
      <c r="F225" s="19" t="s">
        <v>1852</v>
      </c>
      <c r="G225" t="s">
        <v>650</v>
      </c>
      <c r="J225" s="12" t="s">
        <v>992</v>
      </c>
      <c r="K225" s="11" t="s">
        <v>991</v>
      </c>
    </row>
    <row r="226" spans="2:11">
      <c r="B226" t="s">
        <v>1350</v>
      </c>
      <c r="C226" s="12" t="s">
        <v>751</v>
      </c>
      <c r="D226" s="3" t="s">
        <v>1765</v>
      </c>
      <c r="E226" s="12" t="s">
        <v>997</v>
      </c>
      <c r="F226" s="19" t="s">
        <v>1852</v>
      </c>
      <c r="G226" t="s">
        <v>650</v>
      </c>
      <c r="J226" s="12" t="s">
        <v>996</v>
      </c>
      <c r="K226" s="11" t="s">
        <v>995</v>
      </c>
    </row>
    <row r="227" spans="2:11">
      <c r="B227" t="s">
        <v>1480</v>
      </c>
      <c r="H227" t="s">
        <v>650</v>
      </c>
      <c r="I227" t="s">
        <v>650</v>
      </c>
      <c r="J227" s="12" t="s">
        <v>972</v>
      </c>
      <c r="K227" s="11" t="s">
        <v>971</v>
      </c>
    </row>
    <row r="228" spans="2:11">
      <c r="B228" t="s">
        <v>1481</v>
      </c>
      <c r="H228" t="s">
        <v>542</v>
      </c>
      <c r="I228" t="s">
        <v>542</v>
      </c>
      <c r="J228" s="12" t="s">
        <v>974</v>
      </c>
      <c r="K228" s="11" t="s">
        <v>973</v>
      </c>
    </row>
    <row r="229" spans="2:11">
      <c r="B229" t="s">
        <v>1482</v>
      </c>
      <c r="H229" t="s">
        <v>650</v>
      </c>
      <c r="I229" t="s">
        <v>542</v>
      </c>
      <c r="J229" s="12" t="s">
        <v>976</v>
      </c>
      <c r="K229" s="11" t="s">
        <v>975</v>
      </c>
    </row>
    <row r="230" spans="2:11">
      <c r="B230" t="s">
        <v>1483</v>
      </c>
      <c r="H230" t="s">
        <v>542</v>
      </c>
      <c r="I230" t="s">
        <v>542</v>
      </c>
      <c r="J230" s="12" t="s">
        <v>978</v>
      </c>
      <c r="K230" s="11" t="s">
        <v>977</v>
      </c>
    </row>
    <row r="231" spans="2:11">
      <c r="B231" t="s">
        <v>1484</v>
      </c>
      <c r="H231" t="s">
        <v>542</v>
      </c>
      <c r="I231" t="s">
        <v>542</v>
      </c>
      <c r="J231" s="12" t="s">
        <v>980</v>
      </c>
      <c r="K231" s="11" t="s">
        <v>979</v>
      </c>
    </row>
    <row r="232" spans="2:11">
      <c r="B232" s="18" t="s">
        <v>1351</v>
      </c>
      <c r="C232" s="12" t="s">
        <v>1000</v>
      </c>
      <c r="D232" s="12" t="s">
        <v>1001</v>
      </c>
      <c r="E232" s="3" t="s">
        <v>1766</v>
      </c>
      <c r="F232" s="65" t="s">
        <v>751</v>
      </c>
      <c r="G232" t="s">
        <v>650</v>
      </c>
      <c r="J232" s="12" t="s">
        <v>999</v>
      </c>
      <c r="K232" s="11" t="s">
        <v>998</v>
      </c>
    </row>
    <row r="233" spans="2:11">
      <c r="B233" s="18" t="s">
        <v>1352</v>
      </c>
      <c r="C233" s="12" t="s">
        <v>751</v>
      </c>
      <c r="D233" s="12" t="s">
        <v>1004</v>
      </c>
      <c r="E233" s="3" t="s">
        <v>1767</v>
      </c>
      <c r="F233" s="19" t="s">
        <v>1852</v>
      </c>
      <c r="G233" t="s">
        <v>650</v>
      </c>
      <c r="J233" s="12" t="s">
        <v>1003</v>
      </c>
      <c r="K233" s="11" t="s">
        <v>1002</v>
      </c>
    </row>
    <row r="234" spans="2:11">
      <c r="B234" s="18" t="s">
        <v>1353</v>
      </c>
      <c r="C234" s="12" t="s">
        <v>767</v>
      </c>
      <c r="D234" s="12" t="s">
        <v>844</v>
      </c>
      <c r="E234" s="12" t="s">
        <v>845</v>
      </c>
      <c r="F234" s="19" t="s">
        <v>1852</v>
      </c>
      <c r="G234" t="s">
        <v>650</v>
      </c>
      <c r="J234" s="12" t="s">
        <v>1006</v>
      </c>
      <c r="K234" s="11" t="s">
        <v>1005</v>
      </c>
    </row>
    <row r="235" spans="2:11">
      <c r="B235" s="18" t="s">
        <v>1354</v>
      </c>
      <c r="C235" s="12" t="s">
        <v>767</v>
      </c>
      <c r="D235" s="12" t="s">
        <v>1009</v>
      </c>
      <c r="E235" s="12" t="s">
        <v>1010</v>
      </c>
      <c r="F235" s="19" t="s">
        <v>1852</v>
      </c>
      <c r="G235" t="s">
        <v>650</v>
      </c>
      <c r="J235" s="12" t="s">
        <v>1008</v>
      </c>
      <c r="K235" s="11" t="s">
        <v>1007</v>
      </c>
    </row>
    <row r="236" spans="2:11">
      <c r="B236" s="18" t="s">
        <v>1355</v>
      </c>
      <c r="C236" s="12" t="s">
        <v>751</v>
      </c>
      <c r="D236" s="12" t="s">
        <v>786</v>
      </c>
      <c r="E236" s="3" t="s">
        <v>1768</v>
      </c>
      <c r="F236" s="19" t="s">
        <v>1848</v>
      </c>
      <c r="G236" t="s">
        <v>650</v>
      </c>
      <c r="J236" s="12" t="s">
        <v>1012</v>
      </c>
      <c r="K236" s="11" t="s">
        <v>1011</v>
      </c>
    </row>
    <row r="237" spans="2:11">
      <c r="B237" t="s">
        <v>1485</v>
      </c>
      <c r="H237" t="s">
        <v>650</v>
      </c>
      <c r="I237" t="s">
        <v>650</v>
      </c>
      <c r="J237" s="12" t="s">
        <v>1014</v>
      </c>
      <c r="K237" s="11" t="s">
        <v>1013</v>
      </c>
    </row>
    <row r="238" spans="2:11">
      <c r="B238" t="s">
        <v>1486</v>
      </c>
      <c r="H238" t="s">
        <v>650</v>
      </c>
      <c r="I238" t="s">
        <v>650</v>
      </c>
      <c r="J238" s="12" t="s">
        <v>1016</v>
      </c>
      <c r="K238" s="11" t="s">
        <v>1015</v>
      </c>
    </row>
    <row r="239" spans="2:11">
      <c r="B239" t="s">
        <v>1487</v>
      </c>
      <c r="H239" t="s">
        <v>542</v>
      </c>
      <c r="I239" t="s">
        <v>650</v>
      </c>
      <c r="J239" s="12" t="s">
        <v>1018</v>
      </c>
      <c r="K239" s="11" t="s">
        <v>1017</v>
      </c>
    </row>
    <row r="240" spans="2:11">
      <c r="B240" t="s">
        <v>1488</v>
      </c>
      <c r="H240" t="s">
        <v>650</v>
      </c>
      <c r="I240" t="s">
        <v>650</v>
      </c>
      <c r="J240" s="12" t="s">
        <v>1021</v>
      </c>
      <c r="K240" s="11" t="s">
        <v>1020</v>
      </c>
    </row>
    <row r="241" spans="2:11">
      <c r="B241" t="s">
        <v>1489</v>
      </c>
      <c r="H241" t="s">
        <v>650</v>
      </c>
      <c r="I241" t="s">
        <v>650</v>
      </c>
      <c r="J241" s="12" t="s">
        <v>1023</v>
      </c>
      <c r="K241" s="11" t="s">
        <v>1022</v>
      </c>
    </row>
    <row r="242" spans="2:11">
      <c r="B242" t="s">
        <v>1356</v>
      </c>
      <c r="C242" s="12" t="s">
        <v>751</v>
      </c>
      <c r="D242" s="3" t="s">
        <v>1769</v>
      </c>
      <c r="E242" s="12" t="s">
        <v>1026</v>
      </c>
      <c r="F242" s="64" t="s">
        <v>1853</v>
      </c>
      <c r="G242" t="s">
        <v>650</v>
      </c>
      <c r="J242" s="12" t="s">
        <v>1025</v>
      </c>
      <c r="K242" s="11" t="s">
        <v>1024</v>
      </c>
    </row>
    <row r="243" spans="2:11">
      <c r="B243" t="s">
        <v>1357</v>
      </c>
      <c r="C243" s="12" t="s">
        <v>751</v>
      </c>
      <c r="D243" s="12" t="s">
        <v>1029</v>
      </c>
      <c r="E243" s="12" t="s">
        <v>1030</v>
      </c>
      <c r="F243" s="64" t="s">
        <v>1853</v>
      </c>
      <c r="G243" t="s">
        <v>650</v>
      </c>
      <c r="J243" s="12" t="s">
        <v>1028</v>
      </c>
      <c r="K243" s="11" t="s">
        <v>1027</v>
      </c>
    </row>
    <row r="244" spans="2:11">
      <c r="B244" t="s">
        <v>1358</v>
      </c>
      <c r="C244" s="12" t="s">
        <v>751</v>
      </c>
      <c r="D244" s="12" t="s">
        <v>1033</v>
      </c>
      <c r="E244" s="12" t="s">
        <v>1034</v>
      </c>
      <c r="F244" s="64" t="s">
        <v>1853</v>
      </c>
      <c r="G244" t="s">
        <v>650</v>
      </c>
      <c r="J244" s="12" t="s">
        <v>1032</v>
      </c>
      <c r="K244" s="11" t="s">
        <v>1031</v>
      </c>
    </row>
    <row r="245" spans="2:11">
      <c r="B245" t="s">
        <v>1359</v>
      </c>
      <c r="C245" s="12" t="s">
        <v>751</v>
      </c>
      <c r="D245" s="12" t="s">
        <v>751</v>
      </c>
      <c r="E245" s="3" t="s">
        <v>1770</v>
      </c>
      <c r="F245" s="64" t="s">
        <v>1853</v>
      </c>
      <c r="G245" t="s">
        <v>650</v>
      </c>
      <c r="J245" s="12" t="s">
        <v>1036</v>
      </c>
      <c r="K245" s="11" t="s">
        <v>1035</v>
      </c>
    </row>
    <row r="246" spans="2:11">
      <c r="B246" t="s">
        <v>1360</v>
      </c>
      <c r="C246" s="12" t="s">
        <v>751</v>
      </c>
      <c r="D246" s="12" t="s">
        <v>1039</v>
      </c>
      <c r="E246" s="12" t="s">
        <v>1040</v>
      </c>
      <c r="F246" s="64" t="s">
        <v>1853</v>
      </c>
      <c r="G246" t="s">
        <v>650</v>
      </c>
      <c r="J246" s="12" t="s">
        <v>1038</v>
      </c>
      <c r="K246" s="11" t="s">
        <v>1037</v>
      </c>
    </row>
    <row r="247" spans="2:11">
      <c r="B247" t="s">
        <v>1490</v>
      </c>
      <c r="H247" t="s">
        <v>542</v>
      </c>
      <c r="I247" t="s">
        <v>542</v>
      </c>
      <c r="J247" s="12" t="s">
        <v>1042</v>
      </c>
      <c r="K247" s="11" t="s">
        <v>1041</v>
      </c>
    </row>
    <row r="248" spans="2:11">
      <c r="B248" t="s">
        <v>1491</v>
      </c>
      <c r="H248" t="s">
        <v>542</v>
      </c>
      <c r="I248" t="s">
        <v>542</v>
      </c>
      <c r="J248" s="12" t="s">
        <v>1044</v>
      </c>
      <c r="K248" s="11" t="s">
        <v>1043</v>
      </c>
    </row>
    <row r="249" spans="2:11">
      <c r="B249" t="s">
        <v>1492</v>
      </c>
      <c r="H249" t="s">
        <v>542</v>
      </c>
      <c r="I249" t="s">
        <v>542</v>
      </c>
      <c r="J249" s="12" t="s">
        <v>1046</v>
      </c>
      <c r="K249" s="11" t="s">
        <v>1045</v>
      </c>
    </row>
    <row r="250" spans="2:11">
      <c r="B250" t="s">
        <v>1493</v>
      </c>
      <c r="H250" t="s">
        <v>542</v>
      </c>
      <c r="I250" t="s">
        <v>542</v>
      </c>
      <c r="J250" s="12" t="s">
        <v>1048</v>
      </c>
      <c r="K250" s="11" t="s">
        <v>1047</v>
      </c>
    </row>
    <row r="251" spans="2:11">
      <c r="B251" t="s">
        <v>1494</v>
      </c>
      <c r="H251" t="s">
        <v>542</v>
      </c>
      <c r="I251" t="s">
        <v>542</v>
      </c>
      <c r="J251" s="12" t="s">
        <v>1050</v>
      </c>
      <c r="K251" s="11" t="s">
        <v>1049</v>
      </c>
    </row>
    <row r="252" spans="2:11">
      <c r="B252" t="s">
        <v>1361</v>
      </c>
      <c r="C252" s="12" t="s">
        <v>751</v>
      </c>
      <c r="D252" s="12" t="s">
        <v>1053</v>
      </c>
      <c r="E252" s="12" t="s">
        <v>1054</v>
      </c>
      <c r="F252" s="64" t="s">
        <v>1853</v>
      </c>
      <c r="G252" t="s">
        <v>650</v>
      </c>
      <c r="J252" s="12" t="s">
        <v>1052</v>
      </c>
      <c r="K252" s="11" t="s">
        <v>1051</v>
      </c>
    </row>
    <row r="253" spans="2:11">
      <c r="B253" t="s">
        <v>1362</v>
      </c>
      <c r="C253" s="12" t="s">
        <v>751</v>
      </c>
      <c r="D253" s="12" t="s">
        <v>894</v>
      </c>
      <c r="E253" s="12" t="s">
        <v>1026</v>
      </c>
      <c r="F253" s="64" t="s">
        <v>1853</v>
      </c>
      <c r="G253" t="s">
        <v>650</v>
      </c>
      <c r="J253" s="12" t="s">
        <v>1056</v>
      </c>
      <c r="K253" s="11" t="s">
        <v>1055</v>
      </c>
    </row>
    <row r="254" spans="2:11">
      <c r="B254" t="s">
        <v>1363</v>
      </c>
      <c r="C254" s="12" t="s">
        <v>751</v>
      </c>
      <c r="D254" s="12" t="s">
        <v>757</v>
      </c>
      <c r="E254" s="12" t="s">
        <v>1059</v>
      </c>
      <c r="F254" s="64" t="s">
        <v>1853</v>
      </c>
      <c r="G254" t="s">
        <v>650</v>
      </c>
      <c r="J254" s="12" t="s">
        <v>1058</v>
      </c>
      <c r="K254" s="11" t="s">
        <v>1057</v>
      </c>
    </row>
    <row r="255" spans="2:11">
      <c r="B255" t="s">
        <v>1364</v>
      </c>
      <c r="C255" s="12" t="s">
        <v>767</v>
      </c>
      <c r="D255" s="12" t="s">
        <v>1062</v>
      </c>
      <c r="E255" s="12" t="s">
        <v>1063</v>
      </c>
      <c r="F255" s="64" t="s">
        <v>1853</v>
      </c>
      <c r="G255" t="s">
        <v>650</v>
      </c>
      <c r="J255" s="12" t="s">
        <v>1061</v>
      </c>
      <c r="K255" s="11" t="s">
        <v>1060</v>
      </c>
    </row>
    <row r="256" spans="2:11">
      <c r="B256" t="s">
        <v>1365</v>
      </c>
      <c r="C256" s="12" t="s">
        <v>751</v>
      </c>
      <c r="D256" s="12" t="s">
        <v>1066</v>
      </c>
      <c r="E256" s="12" t="s">
        <v>1067</v>
      </c>
      <c r="F256" s="64" t="s">
        <v>1853</v>
      </c>
      <c r="G256" t="s">
        <v>650</v>
      </c>
      <c r="J256" s="12" t="s">
        <v>1065</v>
      </c>
      <c r="K256" s="11" t="s">
        <v>1064</v>
      </c>
    </row>
    <row r="257" spans="2:11">
      <c r="B257" t="s">
        <v>1495</v>
      </c>
      <c r="H257" t="s">
        <v>650</v>
      </c>
      <c r="I257" t="s">
        <v>650</v>
      </c>
      <c r="J257" s="12" t="s">
        <v>1069</v>
      </c>
      <c r="K257" s="12" t="s">
        <v>1068</v>
      </c>
    </row>
    <row r="258" spans="2:11">
      <c r="B258" t="s">
        <v>1496</v>
      </c>
      <c r="H258" t="s">
        <v>650</v>
      </c>
      <c r="I258" t="s">
        <v>650</v>
      </c>
      <c r="J258" s="12" t="s">
        <v>1071</v>
      </c>
      <c r="K258" s="11" t="s">
        <v>1070</v>
      </c>
    </row>
    <row r="259" spans="2:11">
      <c r="B259" t="s">
        <v>1497</v>
      </c>
      <c r="H259" t="s">
        <v>650</v>
      </c>
      <c r="I259" t="s">
        <v>650</v>
      </c>
      <c r="J259" s="12" t="s">
        <v>1073</v>
      </c>
      <c r="K259" s="11" t="s">
        <v>1072</v>
      </c>
    </row>
    <row r="260" spans="2:11">
      <c r="B260" t="s">
        <v>1498</v>
      </c>
      <c r="H260" t="s">
        <v>650</v>
      </c>
      <c r="I260" t="s">
        <v>650</v>
      </c>
      <c r="J260" s="12" t="s">
        <v>1075</v>
      </c>
      <c r="K260" s="11" t="s">
        <v>1074</v>
      </c>
    </row>
    <row r="261" spans="2:11">
      <c r="B261" t="s">
        <v>1499</v>
      </c>
      <c r="H261" t="s">
        <v>650</v>
      </c>
      <c r="I261" t="s">
        <v>650</v>
      </c>
      <c r="J261" s="12" t="s">
        <v>1077</v>
      </c>
      <c r="K261" s="11" t="s">
        <v>1076</v>
      </c>
    </row>
    <row r="262" spans="2:11">
      <c r="B262" t="s">
        <v>1366</v>
      </c>
      <c r="C262" s="12" t="s">
        <v>751</v>
      </c>
      <c r="D262" s="12" t="s">
        <v>786</v>
      </c>
      <c r="E262" s="3" t="s">
        <v>1771</v>
      </c>
      <c r="F262" s="65" t="s">
        <v>751</v>
      </c>
      <c r="G262" t="s">
        <v>542</v>
      </c>
      <c r="J262" s="12" t="s">
        <v>1079</v>
      </c>
      <c r="K262" s="11" t="s">
        <v>1078</v>
      </c>
    </row>
    <row r="263" spans="2:11">
      <c r="B263" t="s">
        <v>1367</v>
      </c>
      <c r="C263" s="12" t="s">
        <v>751</v>
      </c>
      <c r="D263" s="3" t="s">
        <v>1772</v>
      </c>
      <c r="E263" s="12" t="s">
        <v>927</v>
      </c>
      <c r="F263" s="65" t="s">
        <v>751</v>
      </c>
      <c r="G263" t="s">
        <v>542</v>
      </c>
      <c r="J263" s="12" t="s">
        <v>1081</v>
      </c>
      <c r="K263" s="11" t="s">
        <v>1080</v>
      </c>
    </row>
    <row r="264" spans="2:11">
      <c r="B264" t="s">
        <v>1368</v>
      </c>
      <c r="C264" s="12" t="s">
        <v>751</v>
      </c>
      <c r="D264" s="12" t="s">
        <v>1029</v>
      </c>
      <c r="E264" s="12" t="s">
        <v>817</v>
      </c>
      <c r="F264" s="65" t="s">
        <v>751</v>
      </c>
      <c r="G264" t="s">
        <v>542</v>
      </c>
      <c r="J264" s="12" t="s">
        <v>1083</v>
      </c>
      <c r="K264" s="11" t="s">
        <v>1082</v>
      </c>
    </row>
    <row r="265" spans="2:11">
      <c r="B265" t="s">
        <v>1369</v>
      </c>
      <c r="C265" s="12" t="s">
        <v>751</v>
      </c>
      <c r="D265" s="3" t="s">
        <v>1773</v>
      </c>
      <c r="E265" s="12" t="s">
        <v>1086</v>
      </c>
      <c r="F265" s="65" t="s">
        <v>751</v>
      </c>
      <c r="G265" t="s">
        <v>542</v>
      </c>
      <c r="J265" s="12" t="s">
        <v>1085</v>
      </c>
      <c r="K265" s="11" t="s">
        <v>1084</v>
      </c>
    </row>
    <row r="266" spans="2:11">
      <c r="B266" t="s">
        <v>1370</v>
      </c>
      <c r="C266" s="12" t="s">
        <v>751</v>
      </c>
      <c r="D266" s="12" t="s">
        <v>1089</v>
      </c>
      <c r="E266" s="3" t="s">
        <v>1774</v>
      </c>
      <c r="F266" s="65" t="s">
        <v>751</v>
      </c>
      <c r="G266" t="s">
        <v>542</v>
      </c>
      <c r="J266" s="12" t="s">
        <v>1088</v>
      </c>
      <c r="K266" s="11" t="s">
        <v>1087</v>
      </c>
    </row>
    <row r="267" spans="2:11">
      <c r="B267" t="s">
        <v>1500</v>
      </c>
      <c r="H267" t="s">
        <v>542</v>
      </c>
      <c r="I267" t="s">
        <v>542</v>
      </c>
      <c r="J267" s="12" t="s">
        <v>1091</v>
      </c>
      <c r="K267" s="11" t="s">
        <v>1090</v>
      </c>
    </row>
    <row r="268" spans="2:11">
      <c r="B268" t="s">
        <v>1501</v>
      </c>
      <c r="H268" t="s">
        <v>542</v>
      </c>
      <c r="I268" t="s">
        <v>542</v>
      </c>
      <c r="J268" s="12" t="s">
        <v>1093</v>
      </c>
      <c r="K268" s="11" t="s">
        <v>1092</v>
      </c>
    </row>
    <row r="269" spans="2:11">
      <c r="B269" t="s">
        <v>1502</v>
      </c>
      <c r="H269" t="s">
        <v>542</v>
      </c>
      <c r="I269" t="s">
        <v>542</v>
      </c>
      <c r="J269" s="12" t="s">
        <v>1095</v>
      </c>
      <c r="K269" s="11" t="s">
        <v>1094</v>
      </c>
    </row>
    <row r="270" spans="2:11">
      <c r="B270" t="s">
        <v>1503</v>
      </c>
      <c r="H270" t="s">
        <v>542</v>
      </c>
      <c r="I270" t="s">
        <v>542</v>
      </c>
      <c r="J270" s="12" t="s">
        <v>1097</v>
      </c>
      <c r="K270" s="11" t="s">
        <v>1096</v>
      </c>
    </row>
    <row r="271" spans="2:11">
      <c r="B271" t="s">
        <v>1504</v>
      </c>
      <c r="H271" t="s">
        <v>542</v>
      </c>
      <c r="I271" t="s">
        <v>542</v>
      </c>
      <c r="J271" s="12" t="s">
        <v>1099</v>
      </c>
      <c r="K271" s="11" t="s">
        <v>1098</v>
      </c>
    </row>
    <row r="272" spans="2:11">
      <c r="B272" t="s">
        <v>1371</v>
      </c>
      <c r="C272" s="3" t="s">
        <v>1584</v>
      </c>
      <c r="D272" s="12" t="s">
        <v>767</v>
      </c>
      <c r="E272" s="12" t="s">
        <v>1102</v>
      </c>
      <c r="F272" s="65" t="s">
        <v>751</v>
      </c>
      <c r="G272" t="s">
        <v>542</v>
      </c>
      <c r="J272" s="12" t="s">
        <v>1101</v>
      </c>
      <c r="K272" s="11" t="s">
        <v>1100</v>
      </c>
    </row>
    <row r="273" spans="2:11">
      <c r="B273" t="s">
        <v>1372</v>
      </c>
      <c r="C273" s="12" t="s">
        <v>767</v>
      </c>
      <c r="D273" s="12" t="s">
        <v>786</v>
      </c>
      <c r="E273" s="8" t="s">
        <v>1767</v>
      </c>
      <c r="F273" s="65" t="s">
        <v>751</v>
      </c>
      <c r="G273" t="s">
        <v>542</v>
      </c>
      <c r="J273" s="12" t="s">
        <v>1104</v>
      </c>
      <c r="K273" s="11" t="s">
        <v>1103</v>
      </c>
    </row>
    <row r="274" spans="2:11">
      <c r="B274" t="s">
        <v>1373</v>
      </c>
      <c r="C274" s="12" t="s">
        <v>767</v>
      </c>
      <c r="D274" s="12" t="s">
        <v>786</v>
      </c>
      <c r="E274" s="12" t="s">
        <v>1107</v>
      </c>
      <c r="F274" s="65" t="s">
        <v>751</v>
      </c>
      <c r="G274" t="s">
        <v>542</v>
      </c>
      <c r="J274" s="12" t="s">
        <v>1106</v>
      </c>
      <c r="K274" s="11" t="s">
        <v>1105</v>
      </c>
    </row>
    <row r="275" spans="2:11">
      <c r="B275" t="s">
        <v>1374</v>
      </c>
      <c r="C275" s="12" t="s">
        <v>767</v>
      </c>
      <c r="D275" s="12" t="s">
        <v>786</v>
      </c>
      <c r="E275" s="3" t="s">
        <v>1775</v>
      </c>
      <c r="F275" s="65" t="s">
        <v>751</v>
      </c>
      <c r="G275" t="s">
        <v>542</v>
      </c>
      <c r="J275" s="12" t="s">
        <v>1109</v>
      </c>
      <c r="K275" s="11" t="s">
        <v>1108</v>
      </c>
    </row>
    <row r="276" spans="2:11">
      <c r="B276" t="s">
        <v>1375</v>
      </c>
      <c r="C276" s="12" t="s">
        <v>767</v>
      </c>
      <c r="D276" s="12" t="s">
        <v>767</v>
      </c>
      <c r="E276" s="3" t="s">
        <v>1776</v>
      </c>
      <c r="F276" s="65" t="s">
        <v>751</v>
      </c>
      <c r="G276" t="s">
        <v>542</v>
      </c>
      <c r="J276" s="12" t="s">
        <v>1111</v>
      </c>
      <c r="K276" s="11" t="s">
        <v>1110</v>
      </c>
    </row>
    <row r="277" spans="2:11">
      <c r="B277" t="s">
        <v>1505</v>
      </c>
      <c r="H277" t="s">
        <v>542</v>
      </c>
      <c r="I277" t="s">
        <v>650</v>
      </c>
      <c r="J277" s="12" t="s">
        <v>1113</v>
      </c>
      <c r="K277" s="11" t="s">
        <v>1112</v>
      </c>
    </row>
    <row r="278" spans="2:11">
      <c r="B278" t="s">
        <v>1506</v>
      </c>
      <c r="H278" t="s">
        <v>650</v>
      </c>
      <c r="I278" t="s">
        <v>650</v>
      </c>
      <c r="J278" s="12" t="s">
        <v>1115</v>
      </c>
      <c r="K278" s="11" t="s">
        <v>1114</v>
      </c>
    </row>
    <row r="279" spans="2:11">
      <c r="B279" t="s">
        <v>1507</v>
      </c>
      <c r="H279" t="s">
        <v>542</v>
      </c>
      <c r="I279" t="s">
        <v>542</v>
      </c>
      <c r="J279" s="12" t="s">
        <v>1117</v>
      </c>
      <c r="K279" s="11" t="s">
        <v>1116</v>
      </c>
    </row>
    <row r="280" spans="2:11">
      <c r="B280" t="s">
        <v>1508</v>
      </c>
      <c r="H280" t="s">
        <v>650</v>
      </c>
      <c r="I280" t="s">
        <v>650</v>
      </c>
      <c r="J280" s="12" t="s">
        <v>1119</v>
      </c>
      <c r="K280" s="11" t="s">
        <v>1118</v>
      </c>
    </row>
    <row r="281" spans="2:11">
      <c r="B281" t="s">
        <v>1509</v>
      </c>
      <c r="H281" t="s">
        <v>650</v>
      </c>
      <c r="I281" t="s">
        <v>650</v>
      </c>
      <c r="J281" s="12" t="s">
        <v>1121</v>
      </c>
      <c r="K281" s="11" t="s">
        <v>1120</v>
      </c>
    </row>
    <row r="282" spans="2:11">
      <c r="B282" s="4" t="s">
        <v>477</v>
      </c>
      <c r="C282" t="s">
        <v>542</v>
      </c>
      <c r="D282" s="3" t="s">
        <v>480</v>
      </c>
      <c r="E282" s="3" t="s">
        <v>1743</v>
      </c>
      <c r="F282" s="19" t="s">
        <v>1852</v>
      </c>
      <c r="G282" t="s">
        <v>650</v>
      </c>
      <c r="J282" s="3" t="s">
        <v>478</v>
      </c>
      <c r="K282" s="4" t="s">
        <v>479</v>
      </c>
    </row>
    <row r="283" spans="2:11">
      <c r="B283" s="4" t="s">
        <v>481</v>
      </c>
      <c r="C283" t="s">
        <v>542</v>
      </c>
      <c r="D283" s="3" t="s">
        <v>484</v>
      </c>
      <c r="E283" s="3" t="s">
        <v>1777</v>
      </c>
      <c r="F283" s="19" t="s">
        <v>1852</v>
      </c>
      <c r="G283" t="s">
        <v>650</v>
      </c>
      <c r="J283" s="3" t="s">
        <v>482</v>
      </c>
      <c r="K283" s="4" t="s">
        <v>483</v>
      </c>
    </row>
    <row r="284" spans="2:11">
      <c r="B284" s="4" t="s">
        <v>485</v>
      </c>
      <c r="C284" t="s">
        <v>542</v>
      </c>
      <c r="D284" s="3" t="s">
        <v>93</v>
      </c>
      <c r="E284" s="3" t="s">
        <v>1778</v>
      </c>
      <c r="F284" s="19" t="s">
        <v>1852</v>
      </c>
      <c r="G284" t="s">
        <v>650</v>
      </c>
      <c r="J284" s="3" t="s">
        <v>486</v>
      </c>
      <c r="K284" s="4" t="s">
        <v>487</v>
      </c>
    </row>
    <row r="285" spans="2:11">
      <c r="B285" s="4" t="s">
        <v>488</v>
      </c>
      <c r="C285" t="s">
        <v>542</v>
      </c>
      <c r="D285" s="3" t="s">
        <v>17</v>
      </c>
      <c r="E285" s="3" t="s">
        <v>1779</v>
      </c>
      <c r="F285" s="19" t="s">
        <v>1852</v>
      </c>
      <c r="G285" t="s">
        <v>650</v>
      </c>
      <c r="J285" s="3" t="s">
        <v>489</v>
      </c>
      <c r="K285" s="4" t="s">
        <v>490</v>
      </c>
    </row>
    <row r="286" spans="2:11">
      <c r="B286" s="4" t="s">
        <v>491</v>
      </c>
      <c r="C286" t="s">
        <v>542</v>
      </c>
      <c r="D286" s="3" t="s">
        <v>17</v>
      </c>
      <c r="E286" s="3" t="s">
        <v>289</v>
      </c>
      <c r="F286" s="19" t="s">
        <v>1852</v>
      </c>
      <c r="G286" t="s">
        <v>650</v>
      </c>
      <c r="J286" s="3" t="s">
        <v>492</v>
      </c>
      <c r="K286" s="4" t="s">
        <v>493</v>
      </c>
    </row>
    <row r="287" spans="2:11">
      <c r="B287" s="4" t="s">
        <v>494</v>
      </c>
      <c r="H287" t="s">
        <v>542</v>
      </c>
      <c r="I287" t="s">
        <v>542</v>
      </c>
      <c r="J287" s="3" t="s">
        <v>495</v>
      </c>
      <c r="K287" s="5" t="s">
        <v>496</v>
      </c>
    </row>
    <row r="288" spans="2:11">
      <c r="B288" s="4" t="s">
        <v>497</v>
      </c>
      <c r="H288" t="s">
        <v>542</v>
      </c>
      <c r="I288" t="s">
        <v>542</v>
      </c>
      <c r="J288" s="3" t="s">
        <v>498</v>
      </c>
      <c r="K288" s="5" t="s">
        <v>499</v>
      </c>
    </row>
    <row r="289" spans="2:11">
      <c r="B289" s="4" t="s">
        <v>500</v>
      </c>
      <c r="H289" t="s">
        <v>542</v>
      </c>
      <c r="I289" t="s">
        <v>542</v>
      </c>
      <c r="J289" s="3" t="s">
        <v>501</v>
      </c>
      <c r="K289" s="5" t="s">
        <v>502</v>
      </c>
    </row>
    <row r="290" spans="2:11">
      <c r="B290" s="4" t="s">
        <v>503</v>
      </c>
      <c r="H290" t="s">
        <v>542</v>
      </c>
      <c r="I290" s="3" t="s">
        <v>506</v>
      </c>
      <c r="J290" s="3" t="s">
        <v>504</v>
      </c>
      <c r="K290" s="5" t="s">
        <v>505</v>
      </c>
    </row>
    <row r="291" spans="2:11">
      <c r="B291" s="4" t="s">
        <v>507</v>
      </c>
      <c r="H291" t="s">
        <v>542</v>
      </c>
      <c r="I291" t="s">
        <v>542</v>
      </c>
      <c r="J291" s="3" t="s">
        <v>508</v>
      </c>
      <c r="K291" s="5" t="s">
        <v>509</v>
      </c>
    </row>
    <row r="292" spans="2:11">
      <c r="B292" s="4" t="s">
        <v>510</v>
      </c>
      <c r="C292" t="s">
        <v>542</v>
      </c>
      <c r="D292" s="3" t="s">
        <v>48</v>
      </c>
      <c r="E292" s="3" t="s">
        <v>60</v>
      </c>
      <c r="F292" s="65" t="s">
        <v>751</v>
      </c>
      <c r="G292" t="s">
        <v>650</v>
      </c>
      <c r="J292" s="3" t="s">
        <v>511</v>
      </c>
      <c r="K292" s="4" t="s">
        <v>512</v>
      </c>
    </row>
    <row r="293" spans="2:11">
      <c r="B293" s="4" t="s">
        <v>513</v>
      </c>
      <c r="C293" t="s">
        <v>542</v>
      </c>
      <c r="D293" s="3" t="s">
        <v>48</v>
      </c>
      <c r="E293" s="3" t="s">
        <v>1780</v>
      </c>
      <c r="F293" s="65" t="s">
        <v>751</v>
      </c>
      <c r="G293" t="s">
        <v>650</v>
      </c>
      <c r="J293" s="3" t="s">
        <v>514</v>
      </c>
      <c r="K293" s="4" t="s">
        <v>515</v>
      </c>
    </row>
    <row r="294" spans="2:11">
      <c r="B294" s="4" t="s">
        <v>516</v>
      </c>
      <c r="C294" t="s">
        <v>542</v>
      </c>
      <c r="D294" s="3" t="s">
        <v>48</v>
      </c>
      <c r="E294" s="3" t="s">
        <v>1781</v>
      </c>
      <c r="F294" s="65" t="s">
        <v>751</v>
      </c>
      <c r="G294" t="s">
        <v>650</v>
      </c>
      <c r="J294" s="3" t="s">
        <v>517</v>
      </c>
      <c r="K294" s="4" t="s">
        <v>518</v>
      </c>
    </row>
    <row r="295" spans="2:11">
      <c r="B295" s="4" t="s">
        <v>519</v>
      </c>
      <c r="C295" t="s">
        <v>650</v>
      </c>
      <c r="D295" s="3" t="s">
        <v>48</v>
      </c>
      <c r="E295" s="3" t="s">
        <v>522</v>
      </c>
      <c r="F295" s="65" t="s">
        <v>751</v>
      </c>
      <c r="G295" t="s">
        <v>650</v>
      </c>
      <c r="J295" s="3" t="s">
        <v>520</v>
      </c>
      <c r="K295" s="4" t="s">
        <v>521</v>
      </c>
    </row>
    <row r="296" spans="2:11">
      <c r="B296" s="4" t="s">
        <v>523</v>
      </c>
      <c r="C296" t="s">
        <v>542</v>
      </c>
      <c r="D296" s="3" t="s">
        <v>48</v>
      </c>
      <c r="E296" s="3" t="s">
        <v>1782</v>
      </c>
      <c r="F296" s="64" t="s">
        <v>1853</v>
      </c>
      <c r="G296" t="s">
        <v>650</v>
      </c>
      <c r="J296" s="3" t="s">
        <v>524</v>
      </c>
      <c r="K296" s="4" t="s">
        <v>525</v>
      </c>
    </row>
    <row r="297" spans="2:11">
      <c r="B297" s="4" t="s">
        <v>526</v>
      </c>
      <c r="H297" t="s">
        <v>650</v>
      </c>
      <c r="I297" t="s">
        <v>650</v>
      </c>
      <c r="J297" s="3" t="s">
        <v>527</v>
      </c>
      <c r="K297" s="5" t="s">
        <v>528</v>
      </c>
    </row>
    <row r="298" spans="2:11">
      <c r="B298" s="4" t="s">
        <v>529</v>
      </c>
      <c r="H298" t="s">
        <v>650</v>
      </c>
      <c r="I298" t="s">
        <v>542</v>
      </c>
      <c r="J298" s="3" t="s">
        <v>530</v>
      </c>
      <c r="K298" s="5" t="s">
        <v>531</v>
      </c>
    </row>
    <row r="299" spans="2:11">
      <c r="B299" s="4" t="s">
        <v>532</v>
      </c>
      <c r="H299" s="3" t="s">
        <v>1584</v>
      </c>
      <c r="I299" t="s">
        <v>650</v>
      </c>
      <c r="J299" s="3" t="s">
        <v>533</v>
      </c>
      <c r="K299" s="5" t="s">
        <v>534</v>
      </c>
    </row>
    <row r="300" spans="2:11">
      <c r="B300" s="4" t="s">
        <v>535</v>
      </c>
      <c r="H300" t="s">
        <v>650</v>
      </c>
      <c r="I300" t="s">
        <v>650</v>
      </c>
      <c r="J300" s="3" t="s">
        <v>536</v>
      </c>
      <c r="K300" s="5" t="s">
        <v>537</v>
      </c>
    </row>
    <row r="301" spans="2:11">
      <c r="B301" s="4" t="s">
        <v>538</v>
      </c>
      <c r="H301" t="s">
        <v>650</v>
      </c>
      <c r="I301" t="s">
        <v>650</v>
      </c>
      <c r="J301" s="3" t="s">
        <v>539</v>
      </c>
      <c r="K301" s="5" t="s">
        <v>540</v>
      </c>
    </row>
    <row r="302" spans="2:11">
      <c r="B302" t="s">
        <v>1376</v>
      </c>
      <c r="C302" s="12" t="s">
        <v>1124</v>
      </c>
      <c r="D302" s="12" t="s">
        <v>1125</v>
      </c>
      <c r="E302" s="3" t="s">
        <v>1783</v>
      </c>
      <c r="F302" s="19" t="s">
        <v>1852</v>
      </c>
      <c r="G302" t="s">
        <v>650</v>
      </c>
      <c r="J302" s="12" t="s">
        <v>1123</v>
      </c>
      <c r="K302" s="11" t="s">
        <v>1122</v>
      </c>
    </row>
    <row r="303" spans="2:11">
      <c r="B303" t="s">
        <v>1377</v>
      </c>
      <c r="C303" s="12" t="s">
        <v>751</v>
      </c>
      <c r="D303" s="12" t="s">
        <v>751</v>
      </c>
      <c r="E303" s="12" t="s">
        <v>1128</v>
      </c>
      <c r="F303" s="19" t="s">
        <v>1852</v>
      </c>
      <c r="G303" t="s">
        <v>650</v>
      </c>
      <c r="J303" s="12" t="s">
        <v>1127</v>
      </c>
      <c r="K303" s="11" t="s">
        <v>1126</v>
      </c>
    </row>
    <row r="304" spans="2:11">
      <c r="B304" t="s">
        <v>1378</v>
      </c>
      <c r="C304" s="12" t="s">
        <v>751</v>
      </c>
      <c r="D304" s="12" t="s">
        <v>1131</v>
      </c>
      <c r="E304" s="12" t="s">
        <v>1132</v>
      </c>
      <c r="F304" s="19" t="s">
        <v>1852</v>
      </c>
      <c r="G304" t="s">
        <v>650</v>
      </c>
      <c r="J304" s="12" t="s">
        <v>1130</v>
      </c>
      <c r="K304" s="11" t="s">
        <v>1129</v>
      </c>
    </row>
    <row r="305" spans="2:11">
      <c r="B305" t="s">
        <v>1379</v>
      </c>
      <c r="C305" s="12" t="s">
        <v>751</v>
      </c>
      <c r="D305" s="12" t="s">
        <v>1135</v>
      </c>
      <c r="E305" s="12" t="s">
        <v>1136</v>
      </c>
      <c r="F305" s="19" t="s">
        <v>1852</v>
      </c>
      <c r="G305" t="s">
        <v>650</v>
      </c>
      <c r="J305" s="12" t="s">
        <v>1134</v>
      </c>
      <c r="K305" s="11" t="s">
        <v>1133</v>
      </c>
    </row>
    <row r="306" spans="2:11">
      <c r="B306" t="s">
        <v>1380</v>
      </c>
      <c r="C306" s="12" t="s">
        <v>751</v>
      </c>
      <c r="D306" s="12" t="s">
        <v>1139</v>
      </c>
      <c r="E306" s="3" t="s">
        <v>1784</v>
      </c>
      <c r="F306" s="64" t="s">
        <v>1853</v>
      </c>
      <c r="G306" t="s">
        <v>542</v>
      </c>
      <c r="J306" s="12" t="s">
        <v>1138</v>
      </c>
      <c r="K306" s="11" t="s">
        <v>1137</v>
      </c>
    </row>
    <row r="307" spans="2:11">
      <c r="B307" t="s">
        <v>1510</v>
      </c>
      <c r="H307" t="s">
        <v>542</v>
      </c>
      <c r="I307" t="s">
        <v>542</v>
      </c>
      <c r="J307" s="12" t="s">
        <v>1141</v>
      </c>
      <c r="K307" s="11" t="s">
        <v>1140</v>
      </c>
    </row>
    <row r="308" spans="2:11">
      <c r="B308" t="s">
        <v>1511</v>
      </c>
      <c r="H308" t="s">
        <v>542</v>
      </c>
      <c r="I308" t="s">
        <v>542</v>
      </c>
      <c r="J308" s="12" t="s">
        <v>1143</v>
      </c>
      <c r="K308" s="11" t="s">
        <v>1142</v>
      </c>
    </row>
    <row r="309" spans="2:11">
      <c r="B309" t="s">
        <v>1512</v>
      </c>
      <c r="H309" t="s">
        <v>542</v>
      </c>
      <c r="I309" t="s">
        <v>542</v>
      </c>
      <c r="J309" s="12" t="s">
        <v>1145</v>
      </c>
      <c r="K309" s="11" t="s">
        <v>1144</v>
      </c>
    </row>
    <row r="310" spans="2:11">
      <c r="B310" t="s">
        <v>1513</v>
      </c>
      <c r="H310" t="s">
        <v>542</v>
      </c>
      <c r="I310" t="s">
        <v>542</v>
      </c>
      <c r="J310" s="12" t="s">
        <v>1147</v>
      </c>
      <c r="K310" s="11" t="s">
        <v>1146</v>
      </c>
    </row>
    <row r="311" spans="2:11">
      <c r="B311" t="s">
        <v>1514</v>
      </c>
      <c r="H311" t="s">
        <v>542</v>
      </c>
      <c r="I311" t="s">
        <v>542</v>
      </c>
      <c r="J311" s="12" t="s">
        <v>1149</v>
      </c>
      <c r="K311" s="11" t="s">
        <v>1148</v>
      </c>
    </row>
    <row r="312" spans="2:11">
      <c r="B312" t="s">
        <v>1381</v>
      </c>
      <c r="C312" t="s">
        <v>650</v>
      </c>
      <c r="D312" s="12" t="s">
        <v>1152</v>
      </c>
      <c r="E312" s="3" t="s">
        <v>1786</v>
      </c>
      <c r="F312" s="19" t="s">
        <v>1852</v>
      </c>
      <c r="G312" t="s">
        <v>542</v>
      </c>
      <c r="J312" s="12" t="s">
        <v>1151</v>
      </c>
      <c r="K312" s="11" t="s">
        <v>1150</v>
      </c>
    </row>
    <row r="313" spans="2:11">
      <c r="B313" t="s">
        <v>1382</v>
      </c>
      <c r="C313" s="12" t="s">
        <v>767</v>
      </c>
      <c r="D313" s="12" t="s">
        <v>754</v>
      </c>
      <c r="E313" s="12" t="s">
        <v>1155</v>
      </c>
      <c r="F313" s="64" t="s">
        <v>1853</v>
      </c>
      <c r="G313" t="s">
        <v>542</v>
      </c>
      <c r="J313" s="12" t="s">
        <v>1154</v>
      </c>
      <c r="K313" s="11" t="s">
        <v>1153</v>
      </c>
    </row>
    <row r="314" spans="2:11">
      <c r="B314" t="s">
        <v>1383</v>
      </c>
      <c r="C314" s="12" t="s">
        <v>767</v>
      </c>
      <c r="D314" s="12" t="s">
        <v>767</v>
      </c>
      <c r="E314" s="12" t="s">
        <v>1158</v>
      </c>
      <c r="F314" s="19" t="s">
        <v>1852</v>
      </c>
      <c r="G314" t="s">
        <v>650</v>
      </c>
      <c r="J314" s="12" t="s">
        <v>1157</v>
      </c>
      <c r="K314" s="11" t="s">
        <v>1156</v>
      </c>
    </row>
    <row r="315" spans="2:11">
      <c r="B315" t="s">
        <v>1384</v>
      </c>
      <c r="C315" s="12" t="s">
        <v>751</v>
      </c>
      <c r="D315" s="12" t="s">
        <v>767</v>
      </c>
      <c r="E315" s="3" t="s">
        <v>1787</v>
      </c>
      <c r="F315" s="64" t="s">
        <v>1853</v>
      </c>
      <c r="G315" t="s">
        <v>650</v>
      </c>
      <c r="J315" s="12" t="s">
        <v>1160</v>
      </c>
      <c r="K315" s="11" t="s">
        <v>1159</v>
      </c>
    </row>
    <row r="316" spans="2:11">
      <c r="B316" t="s">
        <v>1385</v>
      </c>
      <c r="C316" s="12" t="s">
        <v>751</v>
      </c>
      <c r="D316" s="12" t="s">
        <v>767</v>
      </c>
      <c r="E316" s="3" t="s">
        <v>1788</v>
      </c>
      <c r="F316" s="64" t="s">
        <v>1853</v>
      </c>
      <c r="G316" t="s">
        <v>650</v>
      </c>
      <c r="J316" s="12" t="s">
        <v>1162</v>
      </c>
      <c r="K316" s="11" t="s">
        <v>1161</v>
      </c>
    </row>
    <row r="317" spans="2:11">
      <c r="B317" t="s">
        <v>1515</v>
      </c>
      <c r="H317" t="s">
        <v>650</v>
      </c>
      <c r="I317" t="s">
        <v>650</v>
      </c>
      <c r="J317" s="12" t="s">
        <v>1164</v>
      </c>
      <c r="K317" s="11" t="s">
        <v>1163</v>
      </c>
    </row>
    <row r="318" spans="2:11">
      <c r="B318" t="s">
        <v>1516</v>
      </c>
      <c r="H318" s="12" t="s">
        <v>1167</v>
      </c>
      <c r="I318" s="12" t="s">
        <v>772</v>
      </c>
      <c r="J318" s="12" t="s">
        <v>1166</v>
      </c>
      <c r="K318" s="11" t="s">
        <v>1165</v>
      </c>
    </row>
    <row r="319" spans="2:11">
      <c r="B319" t="s">
        <v>1517</v>
      </c>
      <c r="H319" t="s">
        <v>650</v>
      </c>
      <c r="I319" t="s">
        <v>650</v>
      </c>
      <c r="J319" s="12" t="s">
        <v>1169</v>
      </c>
      <c r="K319" s="11" t="s">
        <v>1168</v>
      </c>
    </row>
    <row r="320" spans="2:11">
      <c r="B320" t="s">
        <v>1518</v>
      </c>
      <c r="H320" t="s">
        <v>650</v>
      </c>
      <c r="I320" t="s">
        <v>542</v>
      </c>
      <c r="J320" s="12" t="s">
        <v>1171</v>
      </c>
      <c r="K320" s="11" t="s">
        <v>1170</v>
      </c>
    </row>
    <row r="321" spans="2:11">
      <c r="B321" t="s">
        <v>1519</v>
      </c>
      <c r="H321" t="s">
        <v>650</v>
      </c>
      <c r="I321" t="s">
        <v>650</v>
      </c>
      <c r="J321" s="12" t="s">
        <v>1173</v>
      </c>
      <c r="K321" s="11" t="s">
        <v>1172</v>
      </c>
    </row>
    <row r="322" spans="2:11">
      <c r="B322" s="4" t="s">
        <v>82</v>
      </c>
      <c r="C322" t="s">
        <v>542</v>
      </c>
      <c r="D322" s="3" t="s">
        <v>13</v>
      </c>
      <c r="E322" s="3" t="s">
        <v>1789</v>
      </c>
      <c r="F322" s="64" t="s">
        <v>1853</v>
      </c>
      <c r="G322" t="s">
        <v>650</v>
      </c>
      <c r="J322" s="3" t="s">
        <v>83</v>
      </c>
      <c r="K322" s="4" t="s">
        <v>84</v>
      </c>
    </row>
    <row r="323" spans="2:11">
      <c r="B323" s="4" t="s">
        <v>85</v>
      </c>
      <c r="C323" t="s">
        <v>542</v>
      </c>
      <c r="D323" s="3" t="s">
        <v>88</v>
      </c>
      <c r="E323" s="3" t="s">
        <v>89</v>
      </c>
      <c r="F323" s="19" t="s">
        <v>1852</v>
      </c>
      <c r="G323" t="s">
        <v>650</v>
      </c>
      <c r="J323" s="3" t="s">
        <v>86</v>
      </c>
      <c r="K323" s="4" t="s">
        <v>87</v>
      </c>
    </row>
    <row r="324" spans="2:11">
      <c r="B324" s="4" t="s">
        <v>90</v>
      </c>
      <c r="C324" t="s">
        <v>542</v>
      </c>
      <c r="D324" s="3" t="s">
        <v>93</v>
      </c>
      <c r="E324" s="3" t="s">
        <v>1790</v>
      </c>
      <c r="F324" s="64" t="s">
        <v>1853</v>
      </c>
      <c r="G324" t="s">
        <v>650</v>
      </c>
      <c r="J324" s="3" t="s">
        <v>91</v>
      </c>
      <c r="K324" s="4" t="s">
        <v>92</v>
      </c>
    </row>
    <row r="325" spans="2:11">
      <c r="B325" s="4" t="s">
        <v>94</v>
      </c>
      <c r="C325" t="s">
        <v>542</v>
      </c>
      <c r="D325" s="3" t="s">
        <v>17</v>
      </c>
      <c r="E325" s="3" t="s">
        <v>1791</v>
      </c>
      <c r="F325" s="64" t="s">
        <v>1853</v>
      </c>
      <c r="G325" t="s">
        <v>650</v>
      </c>
      <c r="J325" s="3" t="s">
        <v>95</v>
      </c>
      <c r="K325" s="4" t="s">
        <v>96</v>
      </c>
    </row>
    <row r="326" spans="2:11">
      <c r="B326" s="4" t="s">
        <v>97</v>
      </c>
      <c r="C326" t="s">
        <v>542</v>
      </c>
      <c r="D326" s="3" t="s">
        <v>93</v>
      </c>
      <c r="E326" s="3" t="s">
        <v>1842</v>
      </c>
      <c r="F326" s="64" t="s">
        <v>1853</v>
      </c>
      <c r="G326" t="s">
        <v>650</v>
      </c>
      <c r="J326" s="3" t="s">
        <v>98</v>
      </c>
      <c r="K326" s="4" t="s">
        <v>99</v>
      </c>
    </row>
    <row r="327" spans="2:11">
      <c r="B327" s="4" t="s">
        <v>100</v>
      </c>
      <c r="H327" t="s">
        <v>542</v>
      </c>
      <c r="I327" t="s">
        <v>542</v>
      </c>
      <c r="J327" s="3" t="s">
        <v>101</v>
      </c>
      <c r="K327" s="5" t="s">
        <v>102</v>
      </c>
    </row>
    <row r="328" spans="2:11">
      <c r="B328" s="4" t="s">
        <v>103</v>
      </c>
      <c r="H328" t="s">
        <v>542</v>
      </c>
      <c r="I328" t="s">
        <v>542</v>
      </c>
      <c r="J328" s="3" t="s">
        <v>104</v>
      </c>
      <c r="K328" s="5" t="s">
        <v>105</v>
      </c>
    </row>
    <row r="329" spans="2:11">
      <c r="B329" s="4" t="s">
        <v>106</v>
      </c>
      <c r="H329" t="s">
        <v>542</v>
      </c>
      <c r="I329" t="s">
        <v>542</v>
      </c>
      <c r="J329" s="3" t="s">
        <v>107</v>
      </c>
      <c r="K329" s="5" t="s">
        <v>108</v>
      </c>
    </row>
    <row r="330" spans="2:11">
      <c r="B330" s="4" t="s">
        <v>109</v>
      </c>
      <c r="H330" t="s">
        <v>650</v>
      </c>
      <c r="I330" t="s">
        <v>542</v>
      </c>
      <c r="J330" s="3" t="s">
        <v>110</v>
      </c>
      <c r="K330" s="5" t="s">
        <v>111</v>
      </c>
    </row>
    <row r="331" spans="2:11">
      <c r="B331" s="4" t="s">
        <v>112</v>
      </c>
      <c r="H331" t="s">
        <v>542</v>
      </c>
      <c r="I331" t="s">
        <v>542</v>
      </c>
      <c r="J331" s="3" t="s">
        <v>113</v>
      </c>
      <c r="K331" s="5" t="s">
        <v>114</v>
      </c>
    </row>
    <row r="332" spans="2:11">
      <c r="B332" s="4" t="s">
        <v>115</v>
      </c>
      <c r="C332" t="s">
        <v>542</v>
      </c>
      <c r="D332" s="3" t="s">
        <v>118</v>
      </c>
      <c r="E332" s="3" t="s">
        <v>119</v>
      </c>
      <c r="F332" s="65" t="s">
        <v>751</v>
      </c>
      <c r="G332" t="s">
        <v>650</v>
      </c>
      <c r="J332" s="3" t="s">
        <v>116</v>
      </c>
      <c r="K332" s="4" t="s">
        <v>117</v>
      </c>
    </row>
    <row r="333" spans="2:11">
      <c r="B333" s="4" t="s">
        <v>120</v>
      </c>
      <c r="C333" t="s">
        <v>542</v>
      </c>
      <c r="D333" s="3" t="s">
        <v>48</v>
      </c>
      <c r="E333" s="3" t="s">
        <v>1793</v>
      </c>
      <c r="F333" s="65" t="s">
        <v>751</v>
      </c>
      <c r="G333" t="s">
        <v>650</v>
      </c>
      <c r="J333" s="3" t="s">
        <v>121</v>
      </c>
      <c r="K333" s="4" t="s">
        <v>122</v>
      </c>
    </row>
    <row r="334" spans="2:11">
      <c r="B334" s="4" t="s">
        <v>123</v>
      </c>
      <c r="C334" t="s">
        <v>542</v>
      </c>
      <c r="D334" s="3" t="s">
        <v>48</v>
      </c>
      <c r="E334" s="3" t="s">
        <v>1794</v>
      </c>
      <c r="F334" s="65" t="s">
        <v>751</v>
      </c>
      <c r="G334" t="s">
        <v>650</v>
      </c>
      <c r="J334" s="3" t="s">
        <v>124</v>
      </c>
      <c r="K334" s="4" t="s">
        <v>125</v>
      </c>
    </row>
    <row r="335" spans="2:11">
      <c r="B335" s="4" t="s">
        <v>126</v>
      </c>
      <c r="C335" t="s">
        <v>542</v>
      </c>
      <c r="D335" s="3" t="s">
        <v>118</v>
      </c>
      <c r="E335" s="3" t="s">
        <v>129</v>
      </c>
      <c r="F335" s="65" t="s">
        <v>751</v>
      </c>
      <c r="G335" t="s">
        <v>650</v>
      </c>
      <c r="J335" s="3" t="s">
        <v>127</v>
      </c>
      <c r="K335" s="4" t="s">
        <v>128</v>
      </c>
    </row>
    <row r="336" spans="2:11">
      <c r="B336" s="4" t="s">
        <v>130</v>
      </c>
      <c r="C336" t="s">
        <v>542</v>
      </c>
      <c r="D336" s="3" t="s">
        <v>48</v>
      </c>
      <c r="E336" s="3" t="s">
        <v>133</v>
      </c>
      <c r="F336" s="65" t="s">
        <v>751</v>
      </c>
      <c r="G336" t="s">
        <v>650</v>
      </c>
      <c r="J336" s="3" t="s">
        <v>131</v>
      </c>
      <c r="K336" s="4" t="s">
        <v>132</v>
      </c>
    </row>
    <row r="337" spans="2:11">
      <c r="B337" s="4" t="s">
        <v>134</v>
      </c>
      <c r="H337" t="s">
        <v>650</v>
      </c>
      <c r="I337" t="s">
        <v>650</v>
      </c>
      <c r="J337" s="3" t="s">
        <v>135</v>
      </c>
      <c r="K337" s="5" t="s">
        <v>136</v>
      </c>
    </row>
    <row r="338" spans="2:11">
      <c r="B338" s="4" t="s">
        <v>137</v>
      </c>
      <c r="H338" s="3" t="s">
        <v>1584</v>
      </c>
      <c r="I338" t="s">
        <v>650</v>
      </c>
      <c r="J338" s="3" t="s">
        <v>138</v>
      </c>
      <c r="K338" s="5" t="s">
        <v>139</v>
      </c>
    </row>
    <row r="339" spans="2:11">
      <c r="B339" s="4" t="s">
        <v>140</v>
      </c>
      <c r="H339" t="s">
        <v>650</v>
      </c>
      <c r="I339" t="s">
        <v>650</v>
      </c>
      <c r="J339" s="3" t="s">
        <v>141</v>
      </c>
      <c r="K339" s="5" t="s">
        <v>142</v>
      </c>
    </row>
    <row r="340" spans="2:11">
      <c r="B340" s="4" t="s">
        <v>143</v>
      </c>
      <c r="H340" t="s">
        <v>650</v>
      </c>
      <c r="I340" t="s">
        <v>650</v>
      </c>
      <c r="J340" s="3" t="s">
        <v>144</v>
      </c>
      <c r="K340" s="5" t="s">
        <v>145</v>
      </c>
    </row>
    <row r="341" spans="2:11">
      <c r="B341" s="4" t="s">
        <v>146</v>
      </c>
      <c r="H341" t="s">
        <v>650</v>
      </c>
      <c r="I341" t="s">
        <v>650</v>
      </c>
      <c r="J341" s="3" t="s">
        <v>147</v>
      </c>
      <c r="K341" s="5" t="s">
        <v>148</v>
      </c>
    </row>
    <row r="342" spans="2:11">
      <c r="B342" s="4" t="s">
        <v>149</v>
      </c>
      <c r="C342" t="s">
        <v>542</v>
      </c>
      <c r="D342" s="3" t="s">
        <v>17</v>
      </c>
      <c r="E342" s="3" t="s">
        <v>1743</v>
      </c>
      <c r="F342" s="19" t="s">
        <v>1852</v>
      </c>
      <c r="G342" t="s">
        <v>542</v>
      </c>
      <c r="J342" s="3" t="s">
        <v>150</v>
      </c>
      <c r="K342" s="4" t="s">
        <v>151</v>
      </c>
    </row>
    <row r="343" spans="2:11">
      <c r="B343" s="4" t="s">
        <v>152</v>
      </c>
      <c r="C343" t="s">
        <v>542</v>
      </c>
      <c r="D343" s="3" t="s">
        <v>155</v>
      </c>
      <c r="E343" s="3" t="s">
        <v>1795</v>
      </c>
      <c r="F343" s="19" t="s">
        <v>1855</v>
      </c>
      <c r="G343" t="s">
        <v>542</v>
      </c>
      <c r="J343" s="3" t="s">
        <v>153</v>
      </c>
      <c r="K343" s="4" t="s">
        <v>154</v>
      </c>
    </row>
    <row r="344" spans="2:11">
      <c r="B344" s="4" t="s">
        <v>156</v>
      </c>
      <c r="C344" t="s">
        <v>542</v>
      </c>
      <c r="D344" s="3" t="s">
        <v>159</v>
      </c>
      <c r="E344" s="3" t="s">
        <v>1796</v>
      </c>
      <c r="F344" s="19" t="s">
        <v>1851</v>
      </c>
      <c r="J344" s="3" t="s">
        <v>157</v>
      </c>
      <c r="K344" s="4" t="s">
        <v>158</v>
      </c>
    </row>
    <row r="345" spans="2:11">
      <c r="B345" s="4" t="s">
        <v>160</v>
      </c>
      <c r="C345" t="s">
        <v>542</v>
      </c>
      <c r="D345" s="3" t="s">
        <v>17</v>
      </c>
      <c r="E345" s="3" t="s">
        <v>1754</v>
      </c>
      <c r="F345" s="19" t="s">
        <v>1851</v>
      </c>
      <c r="G345" t="s">
        <v>542</v>
      </c>
      <c r="J345" s="3" t="s">
        <v>161</v>
      </c>
      <c r="K345" s="4" t="s">
        <v>162</v>
      </c>
    </row>
    <row r="346" spans="2:11">
      <c r="B346" s="4" t="s">
        <v>163</v>
      </c>
      <c r="C346" t="s">
        <v>542</v>
      </c>
      <c r="D346" s="3" t="s">
        <v>93</v>
      </c>
      <c r="E346" s="3" t="s">
        <v>1743</v>
      </c>
      <c r="F346" s="19" t="s">
        <v>1851</v>
      </c>
      <c r="G346" t="s">
        <v>542</v>
      </c>
      <c r="J346" s="3" t="s">
        <v>164</v>
      </c>
      <c r="K346" s="4" t="s">
        <v>165</v>
      </c>
    </row>
    <row r="347" spans="2:11">
      <c r="B347" s="4" t="s">
        <v>166</v>
      </c>
      <c r="H347" t="s">
        <v>542</v>
      </c>
      <c r="I347" t="s">
        <v>542</v>
      </c>
      <c r="J347" s="3" t="s">
        <v>167</v>
      </c>
      <c r="K347" s="5" t="s">
        <v>168</v>
      </c>
    </row>
    <row r="348" spans="2:11">
      <c r="B348" s="4" t="s">
        <v>169</v>
      </c>
      <c r="H348" t="s">
        <v>542</v>
      </c>
      <c r="I348" t="s">
        <v>542</v>
      </c>
      <c r="J348" s="3" t="s">
        <v>170</v>
      </c>
      <c r="K348" s="5" t="s">
        <v>171</v>
      </c>
    </row>
    <row r="349" spans="2:11">
      <c r="B349" s="4" t="s">
        <v>172</v>
      </c>
      <c r="H349" t="s">
        <v>542</v>
      </c>
      <c r="I349" t="s">
        <v>542</v>
      </c>
      <c r="J349" s="3" t="s">
        <v>173</v>
      </c>
      <c r="K349" s="5" t="s">
        <v>174</v>
      </c>
    </row>
    <row r="350" spans="2:11">
      <c r="B350" s="4" t="s">
        <v>175</v>
      </c>
      <c r="H350" t="s">
        <v>542</v>
      </c>
      <c r="I350" t="s">
        <v>542</v>
      </c>
      <c r="J350" s="3" t="s">
        <v>176</v>
      </c>
      <c r="K350" s="5" t="s">
        <v>177</v>
      </c>
    </row>
    <row r="351" spans="2:11">
      <c r="B351" s="4" t="s">
        <v>178</v>
      </c>
      <c r="H351" t="s">
        <v>542</v>
      </c>
      <c r="I351" t="s">
        <v>542</v>
      </c>
      <c r="J351" s="3" t="s">
        <v>179</v>
      </c>
      <c r="K351" s="5" t="s">
        <v>180</v>
      </c>
    </row>
    <row r="352" spans="2:11">
      <c r="B352" s="4" t="s">
        <v>181</v>
      </c>
      <c r="C352" t="s">
        <v>650</v>
      </c>
      <c r="D352" s="3" t="s">
        <v>182</v>
      </c>
      <c r="E352" s="3" t="s">
        <v>1797</v>
      </c>
      <c r="F352" s="19" t="s">
        <v>1851</v>
      </c>
      <c r="G352" t="s">
        <v>542</v>
      </c>
      <c r="J352" s="3" t="s">
        <v>1550</v>
      </c>
      <c r="K352" s="4" t="s">
        <v>1551</v>
      </c>
    </row>
    <row r="353" spans="2:11">
      <c r="B353" s="4" t="s">
        <v>183</v>
      </c>
      <c r="C353" t="s">
        <v>650</v>
      </c>
      <c r="D353" s="3" t="s">
        <v>185</v>
      </c>
      <c r="E353" s="3" t="s">
        <v>1798</v>
      </c>
      <c r="F353" s="19" t="s">
        <v>1851</v>
      </c>
      <c r="G353" t="s">
        <v>542</v>
      </c>
      <c r="J353" s="3" t="s">
        <v>184</v>
      </c>
      <c r="K353" s="4" t="s">
        <v>1552</v>
      </c>
    </row>
    <row r="354" spans="2:11">
      <c r="B354" s="4" t="s">
        <v>186</v>
      </c>
      <c r="C354" t="s">
        <v>542</v>
      </c>
      <c r="D354" s="3" t="s">
        <v>188</v>
      </c>
      <c r="E354" s="3" t="s">
        <v>1799</v>
      </c>
      <c r="F354" s="19" t="s">
        <v>1851</v>
      </c>
      <c r="G354" t="s">
        <v>542</v>
      </c>
      <c r="J354" s="3" t="s">
        <v>187</v>
      </c>
      <c r="K354" s="4" t="s">
        <v>1553</v>
      </c>
    </row>
    <row r="355" spans="2:11">
      <c r="B355" s="4" t="s">
        <v>189</v>
      </c>
      <c r="C355" t="s">
        <v>542</v>
      </c>
      <c r="D355" s="3" t="s">
        <v>48</v>
      </c>
      <c r="E355" s="3" t="s">
        <v>190</v>
      </c>
      <c r="F355" s="19" t="s">
        <v>1854</v>
      </c>
      <c r="G355" t="s">
        <v>542</v>
      </c>
      <c r="J355" s="3" t="s">
        <v>1554</v>
      </c>
      <c r="K355" s="4" t="s">
        <v>1555</v>
      </c>
    </row>
    <row r="356" spans="2:11">
      <c r="B356" s="4" t="s">
        <v>191</v>
      </c>
      <c r="C356" t="s">
        <v>650</v>
      </c>
      <c r="D356" s="3" t="s">
        <v>48</v>
      </c>
      <c r="E356" s="3" t="s">
        <v>1757</v>
      </c>
      <c r="F356" s="19" t="s">
        <v>1851</v>
      </c>
      <c r="G356" t="s">
        <v>542</v>
      </c>
      <c r="J356" s="3" t="s">
        <v>1556</v>
      </c>
      <c r="K356" s="4" t="s">
        <v>1557</v>
      </c>
    </row>
    <row r="357" spans="2:11">
      <c r="B357" s="4" t="s">
        <v>192</v>
      </c>
      <c r="H357" t="s">
        <v>650</v>
      </c>
      <c r="I357" t="s">
        <v>650</v>
      </c>
      <c r="J357" s="3" t="s">
        <v>193</v>
      </c>
      <c r="K357" s="5" t="s">
        <v>194</v>
      </c>
    </row>
    <row r="358" spans="2:11">
      <c r="B358" s="4" t="s">
        <v>195</v>
      </c>
      <c r="H358" t="s">
        <v>542</v>
      </c>
      <c r="I358" t="s">
        <v>542</v>
      </c>
      <c r="J358" s="3" t="s">
        <v>196</v>
      </c>
      <c r="K358" s="5" t="s">
        <v>197</v>
      </c>
    </row>
    <row r="359" spans="2:11">
      <c r="B359" s="4" t="s">
        <v>198</v>
      </c>
      <c r="H359" t="s">
        <v>650</v>
      </c>
      <c r="I359" t="s">
        <v>650</v>
      </c>
      <c r="J359" s="3" t="s">
        <v>199</v>
      </c>
      <c r="K359" s="5" t="s">
        <v>200</v>
      </c>
    </row>
    <row r="360" spans="2:11">
      <c r="B360" s="4" t="s">
        <v>202</v>
      </c>
      <c r="H360" s="3" t="s">
        <v>1584</v>
      </c>
      <c r="I360" t="s">
        <v>1584</v>
      </c>
      <c r="J360" s="3" t="s">
        <v>203</v>
      </c>
      <c r="K360" s="5" t="s">
        <v>204</v>
      </c>
    </row>
    <row r="361" spans="2:11">
      <c r="B361" s="4" t="s">
        <v>205</v>
      </c>
      <c r="H361" t="s">
        <v>650</v>
      </c>
      <c r="I361" t="s">
        <v>650</v>
      </c>
      <c r="J361" s="3" t="s">
        <v>206</v>
      </c>
      <c r="K361" s="5" t="s">
        <v>207</v>
      </c>
    </row>
    <row r="362" spans="2:11">
      <c r="B362" t="s">
        <v>1306</v>
      </c>
      <c r="C362" s="12" t="s">
        <v>751</v>
      </c>
      <c r="D362" s="12" t="s">
        <v>752</v>
      </c>
      <c r="E362" s="3" t="s">
        <v>1800</v>
      </c>
      <c r="F362" s="19" t="s">
        <v>1852</v>
      </c>
      <c r="G362" s="12" t="s">
        <v>753</v>
      </c>
      <c r="J362" s="12" t="s">
        <v>750</v>
      </c>
      <c r="K362" s="11" t="s">
        <v>749</v>
      </c>
    </row>
    <row r="363" spans="2:11">
      <c r="B363" t="s">
        <v>1307</v>
      </c>
      <c r="C363" s="12" t="s">
        <v>751</v>
      </c>
      <c r="D363" s="12" t="s">
        <v>757</v>
      </c>
      <c r="E363" s="12" t="s">
        <v>758</v>
      </c>
      <c r="F363" s="19" t="s">
        <v>1852</v>
      </c>
      <c r="G363" s="12" t="s">
        <v>754</v>
      </c>
      <c r="J363" s="12" t="s">
        <v>756</v>
      </c>
      <c r="K363" s="11" t="s">
        <v>755</v>
      </c>
    </row>
    <row r="364" spans="2:11">
      <c r="B364" t="s">
        <v>1308</v>
      </c>
      <c r="C364" s="12" t="s">
        <v>751</v>
      </c>
      <c r="D364" s="12" t="s">
        <v>751</v>
      </c>
      <c r="E364" s="3" t="s">
        <v>1801</v>
      </c>
      <c r="F364" s="19" t="s">
        <v>1852</v>
      </c>
      <c r="G364" s="12" t="s">
        <v>754</v>
      </c>
      <c r="J364" s="12" t="s">
        <v>760</v>
      </c>
      <c r="K364" s="11" t="s">
        <v>759</v>
      </c>
    </row>
    <row r="365" spans="2:11">
      <c r="B365" t="s">
        <v>1309</v>
      </c>
      <c r="C365" s="12" t="s">
        <v>751</v>
      </c>
      <c r="D365" s="12" t="s">
        <v>763</v>
      </c>
      <c r="E365" s="3" t="s">
        <v>1802</v>
      </c>
      <c r="F365" s="19" t="s">
        <v>1852</v>
      </c>
      <c r="G365" s="12" t="s">
        <v>754</v>
      </c>
      <c r="J365" s="12" t="s">
        <v>762</v>
      </c>
      <c r="K365" s="11" t="s">
        <v>761</v>
      </c>
    </row>
    <row r="366" spans="2:11">
      <c r="B366" t="s">
        <v>1310</v>
      </c>
      <c r="C366" s="12" t="s">
        <v>751</v>
      </c>
      <c r="D366" s="12" t="s">
        <v>766</v>
      </c>
      <c r="E366" s="3" t="s">
        <v>1802</v>
      </c>
      <c r="F366" s="19" t="s">
        <v>1852</v>
      </c>
      <c r="G366" s="12" t="s">
        <v>754</v>
      </c>
      <c r="J366" s="12" t="s">
        <v>765</v>
      </c>
      <c r="K366" s="11" t="s">
        <v>764</v>
      </c>
    </row>
    <row r="367" spans="2:11">
      <c r="B367" t="s">
        <v>1520</v>
      </c>
      <c r="H367" t="s">
        <v>542</v>
      </c>
      <c r="I367" t="s">
        <v>542</v>
      </c>
      <c r="J367" s="12" t="s">
        <v>769</v>
      </c>
      <c r="K367" s="11" t="s">
        <v>768</v>
      </c>
    </row>
    <row r="368" spans="2:11">
      <c r="B368" t="s">
        <v>1521</v>
      </c>
      <c r="H368" t="s">
        <v>542</v>
      </c>
      <c r="I368" t="s">
        <v>542</v>
      </c>
      <c r="J368" s="12" t="s">
        <v>771</v>
      </c>
      <c r="K368" s="11" t="s">
        <v>770</v>
      </c>
    </row>
    <row r="369" spans="2:11">
      <c r="B369" t="s">
        <v>1522</v>
      </c>
      <c r="H369" t="s">
        <v>542</v>
      </c>
      <c r="I369" t="s">
        <v>542</v>
      </c>
      <c r="J369" s="12" t="s">
        <v>774</v>
      </c>
      <c r="K369" s="11" t="s">
        <v>773</v>
      </c>
    </row>
    <row r="370" spans="2:11">
      <c r="B370" t="s">
        <v>1523</v>
      </c>
      <c r="H370" t="s">
        <v>542</v>
      </c>
      <c r="I370" t="s">
        <v>542</v>
      </c>
      <c r="J370" s="12" t="s">
        <v>776</v>
      </c>
      <c r="K370" s="11" t="s">
        <v>775</v>
      </c>
    </row>
    <row r="371" spans="2:11">
      <c r="B371" t="s">
        <v>1524</v>
      </c>
      <c r="H371" t="s">
        <v>542</v>
      </c>
      <c r="I371" t="s">
        <v>542</v>
      </c>
      <c r="J371" s="12" t="s">
        <v>778</v>
      </c>
      <c r="K371" s="11" t="s">
        <v>777</v>
      </c>
    </row>
    <row r="372" spans="2:11">
      <c r="B372" t="s">
        <v>1311</v>
      </c>
      <c r="C372" s="12" t="s">
        <v>751</v>
      </c>
      <c r="D372" s="12" t="s">
        <v>781</v>
      </c>
      <c r="E372" s="12" t="s">
        <v>782</v>
      </c>
      <c r="F372" s="65" t="s">
        <v>751</v>
      </c>
      <c r="G372" t="s">
        <v>650</v>
      </c>
      <c r="J372" s="12" t="s">
        <v>780</v>
      </c>
      <c r="K372" s="11" t="s">
        <v>779</v>
      </c>
    </row>
    <row r="373" spans="2:11">
      <c r="B373" t="s">
        <v>1312</v>
      </c>
      <c r="C373" s="12" t="s">
        <v>785</v>
      </c>
      <c r="D373" s="12" t="s">
        <v>786</v>
      </c>
      <c r="E373" s="3" t="s">
        <v>1803</v>
      </c>
      <c r="F373" s="19" t="s">
        <v>1852</v>
      </c>
      <c r="G373" t="s">
        <v>650</v>
      </c>
      <c r="J373" s="12" t="s">
        <v>784</v>
      </c>
      <c r="K373" s="11" t="s">
        <v>783</v>
      </c>
    </row>
    <row r="374" spans="2:11">
      <c r="B374" t="s">
        <v>1313</v>
      </c>
      <c r="C374" s="12" t="s">
        <v>767</v>
      </c>
      <c r="D374" s="12" t="s">
        <v>786</v>
      </c>
      <c r="E374" s="3" t="s">
        <v>1804</v>
      </c>
      <c r="F374" s="64" t="s">
        <v>1853</v>
      </c>
      <c r="G374" t="s">
        <v>650</v>
      </c>
      <c r="J374" s="12" t="s">
        <v>788</v>
      </c>
      <c r="K374" s="11" t="s">
        <v>787</v>
      </c>
    </row>
    <row r="375" spans="2:11">
      <c r="B375" t="s">
        <v>1314</v>
      </c>
      <c r="C375" s="12" t="s">
        <v>767</v>
      </c>
      <c r="D375" s="12" t="s">
        <v>786</v>
      </c>
      <c r="E375" s="12" t="s">
        <v>791</v>
      </c>
      <c r="F375" s="64" t="s">
        <v>1853</v>
      </c>
      <c r="G375" t="s">
        <v>650</v>
      </c>
      <c r="J375" s="12" t="s">
        <v>790</v>
      </c>
      <c r="K375" s="11" t="s">
        <v>789</v>
      </c>
    </row>
    <row r="376" spans="2:11">
      <c r="B376" t="s">
        <v>1315</v>
      </c>
      <c r="C376" s="12" t="s">
        <v>767</v>
      </c>
      <c r="D376" s="12" t="s">
        <v>786</v>
      </c>
      <c r="E376" s="12" t="s">
        <v>794</v>
      </c>
      <c r="F376" s="64" t="s">
        <v>1853</v>
      </c>
      <c r="G376" t="s">
        <v>650</v>
      </c>
      <c r="J376" s="12" t="s">
        <v>793</v>
      </c>
      <c r="K376" s="11" t="s">
        <v>792</v>
      </c>
    </row>
    <row r="377" spans="2:11">
      <c r="B377" t="s">
        <v>1525</v>
      </c>
      <c r="H377" t="s">
        <v>650</v>
      </c>
      <c r="I377" t="s">
        <v>650</v>
      </c>
      <c r="J377" s="12" t="s">
        <v>796</v>
      </c>
      <c r="K377" s="11" t="s">
        <v>795</v>
      </c>
    </row>
    <row r="378" spans="2:11">
      <c r="B378" t="s">
        <v>1526</v>
      </c>
      <c r="H378" t="s">
        <v>650</v>
      </c>
      <c r="I378" t="s">
        <v>650</v>
      </c>
      <c r="J378" s="12" t="s">
        <v>798</v>
      </c>
      <c r="K378" s="11" t="s">
        <v>797</v>
      </c>
    </row>
    <row r="379" spans="2:11">
      <c r="B379" t="s">
        <v>1527</v>
      </c>
      <c r="H379" t="s">
        <v>650</v>
      </c>
      <c r="I379" t="s">
        <v>650</v>
      </c>
      <c r="J379" s="12" t="s">
        <v>800</v>
      </c>
      <c r="K379" s="11" t="s">
        <v>799</v>
      </c>
    </row>
    <row r="380" spans="2:11">
      <c r="B380" t="s">
        <v>1528</v>
      </c>
      <c r="H380" t="s">
        <v>542</v>
      </c>
      <c r="I380" t="s">
        <v>650</v>
      </c>
      <c r="J380" s="12" t="s">
        <v>802</v>
      </c>
      <c r="K380" s="11" t="s">
        <v>801</v>
      </c>
    </row>
    <row r="381" spans="2:11">
      <c r="B381" t="s">
        <v>1529</v>
      </c>
      <c r="H381" t="s">
        <v>650</v>
      </c>
      <c r="I381" t="s">
        <v>650</v>
      </c>
      <c r="J381" s="12" t="s">
        <v>804</v>
      </c>
      <c r="K381" s="11" t="s">
        <v>803</v>
      </c>
    </row>
    <row r="382" spans="2:11">
      <c r="B382" s="4" t="s">
        <v>209</v>
      </c>
      <c r="C382" t="s">
        <v>542</v>
      </c>
      <c r="D382" s="3" t="s">
        <v>155</v>
      </c>
      <c r="E382" s="8" t="s">
        <v>1805</v>
      </c>
      <c r="F382" s="65" t="s">
        <v>751</v>
      </c>
      <c r="G382" t="s">
        <v>650</v>
      </c>
      <c r="J382" s="3" t="s">
        <v>210</v>
      </c>
      <c r="K382" s="4" t="s">
        <v>211</v>
      </c>
    </row>
    <row r="383" spans="2:11">
      <c r="B383" s="4" t="s">
        <v>212</v>
      </c>
      <c r="C383" t="s">
        <v>542</v>
      </c>
      <c r="D383" s="3" t="s">
        <v>155</v>
      </c>
      <c r="E383" s="3" t="s">
        <v>215</v>
      </c>
      <c r="F383" s="64" t="s">
        <v>1853</v>
      </c>
      <c r="G383" t="s">
        <v>650</v>
      </c>
      <c r="J383" s="3" t="s">
        <v>213</v>
      </c>
      <c r="K383" s="4" t="s">
        <v>214</v>
      </c>
    </row>
    <row r="384" spans="2:11">
      <c r="B384" s="4" t="s">
        <v>216</v>
      </c>
      <c r="C384" t="s">
        <v>542</v>
      </c>
      <c r="D384" s="3" t="s">
        <v>13</v>
      </c>
      <c r="E384" s="3" t="s">
        <v>1806</v>
      </c>
      <c r="F384" s="64" t="s">
        <v>1853</v>
      </c>
      <c r="G384" t="s">
        <v>650</v>
      </c>
      <c r="J384" s="3" t="s">
        <v>217</v>
      </c>
      <c r="K384" s="4" t="s">
        <v>218</v>
      </c>
    </row>
    <row r="385" spans="2:11">
      <c r="B385" s="4" t="s">
        <v>219</v>
      </c>
      <c r="C385" t="s">
        <v>542</v>
      </c>
      <c r="D385" s="3" t="s">
        <v>12</v>
      </c>
      <c r="E385" s="3" t="s">
        <v>1807</v>
      </c>
      <c r="F385" s="64" t="s">
        <v>1853</v>
      </c>
      <c r="G385" t="s">
        <v>650</v>
      </c>
      <c r="J385" s="3" t="s">
        <v>220</v>
      </c>
      <c r="K385" s="4" t="s">
        <v>221</v>
      </c>
    </row>
    <row r="386" spans="2:11">
      <c r="B386" s="4" t="s">
        <v>222</v>
      </c>
      <c r="C386" t="s">
        <v>542</v>
      </c>
      <c r="D386" s="3" t="s">
        <v>1808</v>
      </c>
      <c r="E386" s="3" t="s">
        <v>1809</v>
      </c>
      <c r="F386" s="64" t="s">
        <v>1853</v>
      </c>
      <c r="G386" t="s">
        <v>650</v>
      </c>
      <c r="J386" s="3" t="s">
        <v>223</v>
      </c>
      <c r="K386" s="4" t="s">
        <v>224</v>
      </c>
    </row>
    <row r="387" spans="2:11">
      <c r="B387" s="4" t="s">
        <v>225</v>
      </c>
      <c r="H387" t="s">
        <v>542</v>
      </c>
      <c r="I387" t="s">
        <v>542</v>
      </c>
      <c r="J387" s="3" t="s">
        <v>226</v>
      </c>
      <c r="K387" s="5" t="s">
        <v>227</v>
      </c>
    </row>
    <row r="388" spans="2:11">
      <c r="B388" s="4" t="s">
        <v>228</v>
      </c>
      <c r="H388" t="s">
        <v>542</v>
      </c>
      <c r="I388" t="s">
        <v>542</v>
      </c>
      <c r="J388" s="3" t="s">
        <v>229</v>
      </c>
      <c r="K388" s="5" t="s">
        <v>230</v>
      </c>
    </row>
    <row r="389" spans="2:11">
      <c r="B389" s="4" t="s">
        <v>231</v>
      </c>
      <c r="H389" t="s">
        <v>542</v>
      </c>
      <c r="I389" t="s">
        <v>542</v>
      </c>
      <c r="J389" s="3" t="s">
        <v>232</v>
      </c>
      <c r="K389" s="5" t="s">
        <v>233</v>
      </c>
    </row>
    <row r="390" spans="2:11">
      <c r="B390" s="4" t="s">
        <v>234</v>
      </c>
      <c r="H390" t="s">
        <v>542</v>
      </c>
      <c r="I390" t="s">
        <v>542</v>
      </c>
      <c r="J390" s="3" t="s">
        <v>235</v>
      </c>
      <c r="K390" s="5" t="s">
        <v>236</v>
      </c>
    </row>
    <row r="391" spans="2:11">
      <c r="B391" s="4" t="s">
        <v>237</v>
      </c>
      <c r="H391" t="s">
        <v>542</v>
      </c>
      <c r="I391" t="s">
        <v>542</v>
      </c>
      <c r="J391" s="3" t="s">
        <v>238</v>
      </c>
      <c r="K391" s="5" t="s">
        <v>239</v>
      </c>
    </row>
    <row r="392" spans="2:11">
      <c r="B392" s="4" t="s">
        <v>240</v>
      </c>
      <c r="C392" t="s">
        <v>650</v>
      </c>
      <c r="D392" s="3" t="s">
        <v>243</v>
      </c>
      <c r="E392" s="3" t="s">
        <v>1810</v>
      </c>
      <c r="F392" s="65" t="s">
        <v>751</v>
      </c>
      <c r="G392" t="s">
        <v>650</v>
      </c>
      <c r="J392" s="3" t="s">
        <v>241</v>
      </c>
      <c r="K392" s="4" t="s">
        <v>242</v>
      </c>
    </row>
    <row r="393" spans="2:11">
      <c r="B393" s="4" t="s">
        <v>244</v>
      </c>
      <c r="C393" t="s">
        <v>542</v>
      </c>
      <c r="D393" s="3" t="s">
        <v>64</v>
      </c>
      <c r="E393" s="3" t="s">
        <v>247</v>
      </c>
      <c r="F393" s="65" t="s">
        <v>751</v>
      </c>
      <c r="G393" t="s">
        <v>650</v>
      </c>
      <c r="J393" s="3" t="s">
        <v>245</v>
      </c>
      <c r="K393" s="4" t="s">
        <v>246</v>
      </c>
    </row>
    <row r="394" spans="2:11">
      <c r="B394" s="4" t="s">
        <v>248</v>
      </c>
      <c r="C394" t="s">
        <v>542</v>
      </c>
      <c r="D394" s="3" t="s">
        <v>251</v>
      </c>
      <c r="E394" s="3" t="s">
        <v>1811</v>
      </c>
      <c r="F394" s="64" t="s">
        <v>1853</v>
      </c>
      <c r="G394" t="s">
        <v>650</v>
      </c>
      <c r="J394" s="3" t="s">
        <v>249</v>
      </c>
      <c r="K394" s="4" t="s">
        <v>250</v>
      </c>
    </row>
    <row r="395" spans="2:11">
      <c r="B395" s="4" t="s">
        <v>252</v>
      </c>
      <c r="C395" t="s">
        <v>542</v>
      </c>
      <c r="D395" s="3" t="s">
        <v>55</v>
      </c>
      <c r="E395" s="3" t="s">
        <v>1812</v>
      </c>
      <c r="F395" s="64" t="s">
        <v>1853</v>
      </c>
      <c r="G395" t="s">
        <v>650</v>
      </c>
      <c r="J395" s="3" t="s">
        <v>253</v>
      </c>
      <c r="K395" s="4" t="s">
        <v>254</v>
      </c>
    </row>
    <row r="396" spans="2:11">
      <c r="B396" s="4" t="s">
        <v>255</v>
      </c>
      <c r="C396" t="s">
        <v>542</v>
      </c>
      <c r="D396" s="3" t="s">
        <v>258</v>
      </c>
      <c r="E396" s="3" t="s">
        <v>259</v>
      </c>
      <c r="F396" s="65" t="s">
        <v>751</v>
      </c>
      <c r="G396" t="s">
        <v>650</v>
      </c>
      <c r="J396" s="3" t="s">
        <v>256</v>
      </c>
      <c r="K396" s="4" t="s">
        <v>257</v>
      </c>
    </row>
    <row r="397" spans="2:11">
      <c r="B397" s="4" t="s">
        <v>260</v>
      </c>
      <c r="H397" t="s">
        <v>650</v>
      </c>
      <c r="I397" t="s">
        <v>650</v>
      </c>
      <c r="J397" s="3" t="s">
        <v>261</v>
      </c>
      <c r="K397" s="5" t="s">
        <v>262</v>
      </c>
    </row>
    <row r="398" spans="2:11">
      <c r="B398" s="4" t="s">
        <v>263</v>
      </c>
      <c r="H398" t="s">
        <v>542</v>
      </c>
      <c r="I398" t="s">
        <v>650</v>
      </c>
      <c r="J398" s="3" t="s">
        <v>264</v>
      </c>
      <c r="K398" s="5" t="s">
        <v>265</v>
      </c>
    </row>
    <row r="399" spans="2:11">
      <c r="B399" s="4" t="s">
        <v>266</v>
      </c>
      <c r="H399" t="s">
        <v>650</v>
      </c>
      <c r="I399" t="s">
        <v>650</v>
      </c>
      <c r="J399" s="3" t="s">
        <v>267</v>
      </c>
      <c r="K399" s="5" t="s">
        <v>268</v>
      </c>
    </row>
    <row r="400" spans="2:11">
      <c r="B400" s="4" t="s">
        <v>269</v>
      </c>
      <c r="H400" t="s">
        <v>650</v>
      </c>
      <c r="I400" t="s">
        <v>542</v>
      </c>
      <c r="J400" s="3" t="s">
        <v>270</v>
      </c>
      <c r="K400" s="5" t="s">
        <v>271</v>
      </c>
    </row>
    <row r="401" spans="2:11">
      <c r="B401" s="4" t="s">
        <v>272</v>
      </c>
      <c r="H401" t="s">
        <v>650</v>
      </c>
      <c r="I401" t="s">
        <v>650</v>
      </c>
      <c r="J401" s="3" t="s">
        <v>273</v>
      </c>
      <c r="K401" s="5" t="s">
        <v>274</v>
      </c>
    </row>
    <row r="402" spans="2:11">
      <c r="B402" s="4" t="s">
        <v>275</v>
      </c>
      <c r="C402" t="s">
        <v>542</v>
      </c>
      <c r="D402" s="3" t="s">
        <v>17</v>
      </c>
      <c r="E402" s="3" t="s">
        <v>1813</v>
      </c>
      <c r="F402" s="65" t="s">
        <v>751</v>
      </c>
      <c r="G402" t="s">
        <v>542</v>
      </c>
      <c r="J402" s="3" t="s">
        <v>276</v>
      </c>
      <c r="K402" s="4" t="s">
        <v>277</v>
      </c>
    </row>
    <row r="403" spans="2:11">
      <c r="B403" s="4" t="s">
        <v>278</v>
      </c>
      <c r="C403" t="s">
        <v>542</v>
      </c>
      <c r="D403" s="3" t="s">
        <v>281</v>
      </c>
      <c r="E403" s="3" t="s">
        <v>1584</v>
      </c>
      <c r="F403" s="65" t="s">
        <v>751</v>
      </c>
      <c r="G403" t="s">
        <v>542</v>
      </c>
      <c r="J403" s="3" t="s">
        <v>279</v>
      </c>
      <c r="K403" s="4" t="s">
        <v>280</v>
      </c>
    </row>
    <row r="404" spans="2:11">
      <c r="B404" s="4" t="s">
        <v>282</v>
      </c>
      <c r="C404" t="s">
        <v>542</v>
      </c>
      <c r="D404" s="3" t="s">
        <v>285</v>
      </c>
      <c r="E404" s="3" t="s">
        <v>1814</v>
      </c>
      <c r="F404" s="64" t="s">
        <v>1853</v>
      </c>
      <c r="G404" t="s">
        <v>542</v>
      </c>
      <c r="J404" s="3" t="s">
        <v>283</v>
      </c>
      <c r="K404" s="4" t="s">
        <v>284</v>
      </c>
    </row>
    <row r="405" spans="2:11">
      <c r="B405" s="4" t="s">
        <v>286</v>
      </c>
      <c r="C405" t="s">
        <v>542</v>
      </c>
      <c r="D405" s="3" t="s">
        <v>17</v>
      </c>
      <c r="E405" s="3" t="s">
        <v>289</v>
      </c>
      <c r="F405" s="64" t="s">
        <v>1853</v>
      </c>
      <c r="G405" t="s">
        <v>542</v>
      </c>
      <c r="J405" s="3" t="s">
        <v>287</v>
      </c>
      <c r="K405" s="4" t="s">
        <v>288</v>
      </c>
    </row>
    <row r="406" spans="2:11">
      <c r="B406" s="4" t="s">
        <v>290</v>
      </c>
      <c r="C406" t="s">
        <v>542</v>
      </c>
      <c r="D406" s="3" t="s">
        <v>293</v>
      </c>
      <c r="E406" s="3" t="s">
        <v>1815</v>
      </c>
      <c r="F406" s="64" t="s">
        <v>1853</v>
      </c>
      <c r="G406" t="s">
        <v>542</v>
      </c>
      <c r="J406" s="3" t="s">
        <v>291</v>
      </c>
      <c r="K406" s="4" t="s">
        <v>292</v>
      </c>
    </row>
    <row r="407" spans="2:11">
      <c r="B407" s="4" t="s">
        <v>294</v>
      </c>
      <c r="H407" t="s">
        <v>542</v>
      </c>
      <c r="I407" t="s">
        <v>542</v>
      </c>
      <c r="J407" s="3" t="s">
        <v>295</v>
      </c>
      <c r="K407" s="5" t="s">
        <v>296</v>
      </c>
    </row>
    <row r="408" spans="2:11">
      <c r="B408" s="4" t="s">
        <v>297</v>
      </c>
      <c r="H408" t="s">
        <v>650</v>
      </c>
      <c r="I408" t="s">
        <v>650</v>
      </c>
      <c r="J408" s="3" t="s">
        <v>298</v>
      </c>
      <c r="K408" s="5" t="s">
        <v>299</v>
      </c>
    </row>
    <row r="409" spans="2:11">
      <c r="B409" s="4" t="s">
        <v>300</v>
      </c>
      <c r="H409" t="s">
        <v>542</v>
      </c>
      <c r="I409" t="s">
        <v>542</v>
      </c>
      <c r="J409" s="3" t="s">
        <v>301</v>
      </c>
      <c r="K409" s="5" t="s">
        <v>302</v>
      </c>
    </row>
    <row r="410" spans="2:11">
      <c r="B410" s="4" t="s">
        <v>303</v>
      </c>
      <c r="H410" t="s">
        <v>650</v>
      </c>
      <c r="I410" t="s">
        <v>650</v>
      </c>
      <c r="J410" s="3" t="s">
        <v>304</v>
      </c>
      <c r="K410" s="5" t="s">
        <v>305</v>
      </c>
    </row>
    <row r="411" spans="2:11">
      <c r="B411" s="4" t="s">
        <v>306</v>
      </c>
      <c r="H411" t="s">
        <v>542</v>
      </c>
      <c r="I411" t="s">
        <v>542</v>
      </c>
      <c r="J411" s="3" t="s">
        <v>307</v>
      </c>
      <c r="K411" s="5" t="s">
        <v>308</v>
      </c>
    </row>
    <row r="412" spans="2:11">
      <c r="B412" s="4" t="s">
        <v>309</v>
      </c>
      <c r="C412" t="s">
        <v>650</v>
      </c>
      <c r="D412" s="3" t="s">
        <v>64</v>
      </c>
      <c r="E412" s="3" t="s">
        <v>1816</v>
      </c>
      <c r="F412" s="65" t="s">
        <v>751</v>
      </c>
      <c r="G412" t="s">
        <v>542</v>
      </c>
      <c r="J412" s="3" t="s">
        <v>310</v>
      </c>
      <c r="K412" s="4" t="s">
        <v>311</v>
      </c>
    </row>
    <row r="413" spans="2:11">
      <c r="B413" s="4" t="s">
        <v>312</v>
      </c>
      <c r="C413" t="s">
        <v>542</v>
      </c>
      <c r="D413" s="3" t="s">
        <v>48</v>
      </c>
      <c r="E413" s="3" t="s">
        <v>1817</v>
      </c>
      <c r="F413" s="64" t="s">
        <v>1853</v>
      </c>
      <c r="G413" t="s">
        <v>542</v>
      </c>
      <c r="J413" s="3" t="s">
        <v>313</v>
      </c>
      <c r="K413" s="4" t="s">
        <v>314</v>
      </c>
    </row>
    <row r="414" spans="2:11">
      <c r="B414" s="4" t="s">
        <v>315</v>
      </c>
      <c r="C414" t="s">
        <v>650</v>
      </c>
      <c r="D414" s="3" t="s">
        <v>318</v>
      </c>
      <c r="E414" s="3" t="s">
        <v>1818</v>
      </c>
      <c r="F414" s="65" t="s">
        <v>751</v>
      </c>
      <c r="G414" t="s">
        <v>542</v>
      </c>
      <c r="J414" s="3" t="s">
        <v>316</v>
      </c>
      <c r="K414" s="4" t="s">
        <v>317</v>
      </c>
    </row>
    <row r="415" spans="2:11">
      <c r="B415" s="4" t="s">
        <v>319</v>
      </c>
      <c r="C415" t="s">
        <v>650</v>
      </c>
      <c r="D415" s="3" t="s">
        <v>64</v>
      </c>
      <c r="E415" s="3" t="s">
        <v>1798</v>
      </c>
      <c r="F415" s="65" t="s">
        <v>751</v>
      </c>
      <c r="G415" t="s">
        <v>542</v>
      </c>
      <c r="J415" s="3" t="s">
        <v>320</v>
      </c>
      <c r="K415" s="4" t="s">
        <v>321</v>
      </c>
    </row>
    <row r="416" spans="2:11">
      <c r="B416" s="4" t="s">
        <v>322</v>
      </c>
      <c r="C416" t="s">
        <v>650</v>
      </c>
      <c r="D416" s="3" t="s">
        <v>64</v>
      </c>
      <c r="E416" s="3" t="s">
        <v>325</v>
      </c>
      <c r="F416" s="64" t="s">
        <v>1853</v>
      </c>
      <c r="G416" t="s">
        <v>542</v>
      </c>
      <c r="J416" s="3" t="s">
        <v>323</v>
      </c>
      <c r="K416" s="4" t="s">
        <v>324</v>
      </c>
    </row>
    <row r="417" spans="2:11">
      <c r="B417" s="4" t="s">
        <v>326</v>
      </c>
      <c r="H417" t="s">
        <v>650</v>
      </c>
      <c r="I417" t="s">
        <v>650</v>
      </c>
      <c r="J417" s="3" t="s">
        <v>327</v>
      </c>
      <c r="K417" s="5" t="s">
        <v>328</v>
      </c>
    </row>
    <row r="418" spans="2:11">
      <c r="B418" s="4" t="s">
        <v>329</v>
      </c>
      <c r="H418" t="s">
        <v>650</v>
      </c>
      <c r="I418" t="s">
        <v>650</v>
      </c>
      <c r="J418" s="3" t="s">
        <v>330</v>
      </c>
      <c r="K418" s="5" t="s">
        <v>331</v>
      </c>
    </row>
    <row r="419" spans="2:11">
      <c r="B419" s="4" t="s">
        <v>332</v>
      </c>
      <c r="H419" t="s">
        <v>650</v>
      </c>
      <c r="I419" t="s">
        <v>650</v>
      </c>
      <c r="J419" s="3" t="s">
        <v>333</v>
      </c>
      <c r="K419" s="5" t="s">
        <v>334</v>
      </c>
    </row>
    <row r="420" spans="2:11">
      <c r="B420" s="4" t="s">
        <v>335</v>
      </c>
      <c r="H420" t="s">
        <v>650</v>
      </c>
      <c r="I420" t="s">
        <v>650</v>
      </c>
      <c r="J420" s="3" t="s">
        <v>336</v>
      </c>
      <c r="K420" s="5" t="s">
        <v>337</v>
      </c>
    </row>
    <row r="421" spans="2:11">
      <c r="B421" s="4" t="s">
        <v>339</v>
      </c>
      <c r="H421" t="s">
        <v>542</v>
      </c>
      <c r="I421" t="s">
        <v>650</v>
      </c>
      <c r="J421" s="3" t="s">
        <v>340</v>
      </c>
      <c r="K421" s="5" t="s">
        <v>341</v>
      </c>
    </row>
    <row r="422" spans="2:11">
      <c r="B422" t="s">
        <v>1316</v>
      </c>
      <c r="C422" s="12" t="s">
        <v>751</v>
      </c>
      <c r="D422" s="12" t="s">
        <v>807</v>
      </c>
      <c r="E422" s="12" t="s">
        <v>808</v>
      </c>
      <c r="F422" s="65" t="s">
        <v>751</v>
      </c>
      <c r="G422" t="s">
        <v>542</v>
      </c>
      <c r="J422" s="12" t="s">
        <v>806</v>
      </c>
      <c r="K422" s="11" t="s">
        <v>805</v>
      </c>
    </row>
    <row r="423" spans="2:11">
      <c r="B423" t="s">
        <v>1317</v>
      </c>
      <c r="C423" s="12" t="s">
        <v>751</v>
      </c>
      <c r="D423" s="12" t="s">
        <v>811</v>
      </c>
      <c r="E423" s="12" t="s">
        <v>812</v>
      </c>
      <c r="F423" s="65" t="s">
        <v>751</v>
      </c>
      <c r="G423" t="s">
        <v>542</v>
      </c>
      <c r="J423" s="12" t="s">
        <v>810</v>
      </c>
      <c r="K423" s="11" t="s">
        <v>809</v>
      </c>
    </row>
    <row r="424" spans="2:11">
      <c r="B424" t="s">
        <v>1318</v>
      </c>
      <c r="C424" s="12" t="s">
        <v>751</v>
      </c>
      <c r="D424" s="3" t="s">
        <v>1773</v>
      </c>
      <c r="E424" s="3" t="s">
        <v>1820</v>
      </c>
      <c r="F424" s="65" t="s">
        <v>751</v>
      </c>
      <c r="G424" t="s">
        <v>542</v>
      </c>
      <c r="J424" s="12" t="s">
        <v>814</v>
      </c>
      <c r="K424" s="11" t="s">
        <v>813</v>
      </c>
    </row>
    <row r="425" spans="2:11">
      <c r="B425" t="s">
        <v>1319</v>
      </c>
      <c r="C425" s="12" t="s">
        <v>751</v>
      </c>
      <c r="D425" s="12" t="s">
        <v>757</v>
      </c>
      <c r="E425" s="12" t="s">
        <v>817</v>
      </c>
      <c r="F425" s="65" t="s">
        <v>751</v>
      </c>
      <c r="G425" t="s">
        <v>542</v>
      </c>
      <c r="J425" s="12" t="s">
        <v>816</v>
      </c>
      <c r="K425" s="11" t="s">
        <v>815</v>
      </c>
    </row>
    <row r="426" spans="2:11">
      <c r="B426" t="s">
        <v>1320</v>
      </c>
      <c r="C426" s="12" t="s">
        <v>751</v>
      </c>
      <c r="D426" s="12" t="s">
        <v>820</v>
      </c>
      <c r="E426" s="12" t="s">
        <v>821</v>
      </c>
      <c r="F426" s="65" t="s">
        <v>751</v>
      </c>
      <c r="G426" t="s">
        <v>542</v>
      </c>
      <c r="J426" s="12" t="s">
        <v>819</v>
      </c>
      <c r="K426" s="11" t="s">
        <v>818</v>
      </c>
    </row>
    <row r="427" spans="2:11">
      <c r="B427" t="s">
        <v>1530</v>
      </c>
      <c r="H427" t="s">
        <v>542</v>
      </c>
      <c r="I427" t="s">
        <v>650</v>
      </c>
      <c r="J427" s="12" t="s">
        <v>823</v>
      </c>
      <c r="K427" s="11" t="s">
        <v>822</v>
      </c>
    </row>
    <row r="428" spans="2:11">
      <c r="B428" t="s">
        <v>1531</v>
      </c>
      <c r="H428" t="s">
        <v>542</v>
      </c>
      <c r="I428" t="s">
        <v>542</v>
      </c>
      <c r="J428" s="12" t="s">
        <v>826</v>
      </c>
      <c r="K428" s="11" t="s">
        <v>825</v>
      </c>
    </row>
    <row r="429" spans="2:11">
      <c r="B429" t="s">
        <v>1532</v>
      </c>
      <c r="H429" t="s">
        <v>542</v>
      </c>
      <c r="I429" t="s">
        <v>542</v>
      </c>
      <c r="J429" s="12" t="s">
        <v>828</v>
      </c>
      <c r="K429" s="11" t="s">
        <v>827</v>
      </c>
    </row>
    <row r="430" spans="2:11">
      <c r="B430" t="s">
        <v>1533</v>
      </c>
      <c r="H430" t="s">
        <v>542</v>
      </c>
      <c r="I430" t="s">
        <v>542</v>
      </c>
      <c r="J430" s="12" t="s">
        <v>830</v>
      </c>
      <c r="K430" s="11" t="s">
        <v>829</v>
      </c>
    </row>
    <row r="431" spans="2:11">
      <c r="B431" t="s">
        <v>1534</v>
      </c>
      <c r="H431" t="s">
        <v>650</v>
      </c>
      <c r="I431" t="s">
        <v>650</v>
      </c>
      <c r="J431" s="12" t="s">
        <v>832</v>
      </c>
      <c r="K431" s="11" t="s">
        <v>831</v>
      </c>
    </row>
    <row r="432" spans="2:11">
      <c r="B432" t="s">
        <v>1321</v>
      </c>
      <c r="C432" s="12" t="s">
        <v>767</v>
      </c>
      <c r="D432" s="12" t="s">
        <v>835</v>
      </c>
      <c r="E432" s="12" t="s">
        <v>836</v>
      </c>
      <c r="F432" s="65" t="s">
        <v>751</v>
      </c>
      <c r="G432" t="s">
        <v>542</v>
      </c>
      <c r="J432" s="12" t="s">
        <v>834</v>
      </c>
      <c r="K432" s="11" t="s">
        <v>833</v>
      </c>
    </row>
    <row r="433" spans="2:11">
      <c r="B433" t="s">
        <v>1322</v>
      </c>
      <c r="C433" s="12" t="s">
        <v>751</v>
      </c>
      <c r="D433" s="12" t="s">
        <v>839</v>
      </c>
      <c r="E433" s="12" t="s">
        <v>840</v>
      </c>
      <c r="F433" s="65" t="s">
        <v>751</v>
      </c>
      <c r="G433" t="s">
        <v>542</v>
      </c>
      <c r="J433" s="12" t="s">
        <v>838</v>
      </c>
      <c r="K433" s="11" t="s">
        <v>837</v>
      </c>
    </row>
    <row r="434" spans="2:11">
      <c r="B434" t="s">
        <v>1323</v>
      </c>
      <c r="C434" s="12" t="s">
        <v>785</v>
      </c>
      <c r="D434" s="12" t="s">
        <v>844</v>
      </c>
      <c r="E434" s="12" t="s">
        <v>845</v>
      </c>
      <c r="F434" s="65" t="s">
        <v>751</v>
      </c>
      <c r="G434" t="s">
        <v>542</v>
      </c>
      <c r="J434" s="12" t="s">
        <v>843</v>
      </c>
      <c r="K434" s="11" t="s">
        <v>842</v>
      </c>
    </row>
    <row r="435" spans="2:11">
      <c r="B435" t="s">
        <v>1324</v>
      </c>
      <c r="C435" s="12" t="s">
        <v>767</v>
      </c>
      <c r="D435" s="12" t="s">
        <v>849</v>
      </c>
      <c r="E435" s="12" t="s">
        <v>850</v>
      </c>
      <c r="F435" s="65" t="s">
        <v>751</v>
      </c>
      <c r="G435" t="s">
        <v>542</v>
      </c>
      <c r="J435" s="12" t="s">
        <v>848</v>
      </c>
      <c r="K435" s="11" t="s">
        <v>847</v>
      </c>
    </row>
    <row r="436" spans="2:11">
      <c r="B436" t="s">
        <v>1325</v>
      </c>
      <c r="C436" s="12" t="s">
        <v>767</v>
      </c>
      <c r="D436" s="12" t="s">
        <v>853</v>
      </c>
      <c r="E436" s="12" t="s">
        <v>791</v>
      </c>
      <c r="F436" s="65" t="s">
        <v>751</v>
      </c>
      <c r="G436" t="s">
        <v>542</v>
      </c>
      <c r="J436" s="12" t="s">
        <v>852</v>
      </c>
      <c r="K436" s="11" t="s">
        <v>851</v>
      </c>
    </row>
    <row r="437" spans="2:11">
      <c r="B437" t="s">
        <v>1535</v>
      </c>
      <c r="H437" t="s">
        <v>650</v>
      </c>
      <c r="I437" t="s">
        <v>650</v>
      </c>
      <c r="J437" s="12" t="s">
        <v>855</v>
      </c>
      <c r="K437" s="11" t="s">
        <v>854</v>
      </c>
    </row>
    <row r="438" spans="2:11">
      <c r="B438" t="s">
        <v>1536</v>
      </c>
      <c r="H438" t="s">
        <v>650</v>
      </c>
      <c r="I438" t="s">
        <v>650</v>
      </c>
      <c r="J438" s="12" t="s">
        <v>857</v>
      </c>
      <c r="K438" s="11" t="s">
        <v>856</v>
      </c>
    </row>
    <row r="439" spans="2:11">
      <c r="B439" t="s">
        <v>1537</v>
      </c>
      <c r="H439" t="s">
        <v>542</v>
      </c>
      <c r="I439" t="s">
        <v>650</v>
      </c>
      <c r="J439" s="12" t="s">
        <v>859</v>
      </c>
      <c r="K439" s="11" t="s">
        <v>858</v>
      </c>
    </row>
    <row r="440" spans="2:11">
      <c r="B440" t="s">
        <v>1538</v>
      </c>
      <c r="H440" t="s">
        <v>542</v>
      </c>
      <c r="I440" t="s">
        <v>650</v>
      </c>
      <c r="J440" s="12" t="s">
        <v>861</v>
      </c>
      <c r="K440" s="11" t="s">
        <v>860</v>
      </c>
    </row>
    <row r="441" spans="2:11">
      <c r="B441" t="s">
        <v>1539</v>
      </c>
      <c r="H441" t="s">
        <v>650</v>
      </c>
      <c r="I441" t="s">
        <v>650</v>
      </c>
      <c r="J441" s="12" t="s">
        <v>863</v>
      </c>
      <c r="K441" s="11" t="s">
        <v>862</v>
      </c>
    </row>
    <row r="442" spans="2:11">
      <c r="B442" s="4" t="s">
        <v>342</v>
      </c>
      <c r="C442" t="s">
        <v>542</v>
      </c>
      <c r="D442" s="3" t="s">
        <v>345</v>
      </c>
      <c r="E442" s="3" t="s">
        <v>1822</v>
      </c>
      <c r="F442" s="64" t="s">
        <v>1853</v>
      </c>
      <c r="G442" t="s">
        <v>542</v>
      </c>
      <c r="J442" s="3" t="s">
        <v>343</v>
      </c>
      <c r="K442" s="4" t="s">
        <v>344</v>
      </c>
    </row>
    <row r="443" spans="2:11">
      <c r="B443" s="4" t="s">
        <v>346</v>
      </c>
      <c r="C443" t="s">
        <v>542</v>
      </c>
      <c r="D443" s="3" t="s">
        <v>349</v>
      </c>
      <c r="E443" s="3" t="s">
        <v>1824</v>
      </c>
      <c r="F443" s="64" t="s">
        <v>1853</v>
      </c>
      <c r="G443" t="s">
        <v>542</v>
      </c>
      <c r="J443" s="3" t="s">
        <v>347</v>
      </c>
      <c r="K443" s="4" t="s">
        <v>348</v>
      </c>
    </row>
    <row r="444" spans="2:11">
      <c r="B444" s="4" t="s">
        <v>350</v>
      </c>
      <c r="C444" t="s">
        <v>542</v>
      </c>
      <c r="D444" s="3" t="s">
        <v>353</v>
      </c>
      <c r="E444" s="3" t="s">
        <v>1825</v>
      </c>
      <c r="F444" s="65" t="s">
        <v>751</v>
      </c>
      <c r="G444" t="s">
        <v>542</v>
      </c>
      <c r="J444" s="3" t="s">
        <v>351</v>
      </c>
      <c r="K444" s="4" t="s">
        <v>352</v>
      </c>
    </row>
    <row r="445" spans="2:11">
      <c r="B445" s="4" t="s">
        <v>354</v>
      </c>
      <c r="C445" t="s">
        <v>542</v>
      </c>
      <c r="D445" s="3" t="s">
        <v>285</v>
      </c>
      <c r="E445" s="3" t="s">
        <v>1826</v>
      </c>
      <c r="F445" s="64" t="s">
        <v>1853</v>
      </c>
      <c r="G445" t="s">
        <v>542</v>
      </c>
      <c r="J445" s="3" t="s">
        <v>355</v>
      </c>
      <c r="K445" s="4" t="s">
        <v>356</v>
      </c>
    </row>
    <row r="446" spans="2:11">
      <c r="B446" s="4" t="s">
        <v>357</v>
      </c>
      <c r="C446" t="s">
        <v>542</v>
      </c>
      <c r="D446" s="3" t="s">
        <v>360</v>
      </c>
      <c r="E446" s="3" t="s">
        <v>361</v>
      </c>
      <c r="F446" s="64" t="s">
        <v>1853</v>
      </c>
      <c r="G446" t="s">
        <v>542</v>
      </c>
      <c r="J446" s="3" t="s">
        <v>358</v>
      </c>
      <c r="K446" s="4" t="s">
        <v>359</v>
      </c>
    </row>
    <row r="447" spans="2:11">
      <c r="B447" s="4" t="s">
        <v>362</v>
      </c>
      <c r="H447" t="s">
        <v>542</v>
      </c>
      <c r="I447" t="s">
        <v>542</v>
      </c>
      <c r="J447" s="3" t="s">
        <v>363</v>
      </c>
      <c r="K447" s="5" t="s">
        <v>364</v>
      </c>
    </row>
    <row r="448" spans="2:11">
      <c r="B448" s="4" t="s">
        <v>365</v>
      </c>
      <c r="H448" t="s">
        <v>542</v>
      </c>
      <c r="I448" t="s">
        <v>542</v>
      </c>
      <c r="J448" s="3" t="s">
        <v>366</v>
      </c>
      <c r="K448" s="5" t="s">
        <v>367</v>
      </c>
    </row>
    <row r="449" spans="2:11">
      <c r="B449" s="4" t="s">
        <v>368</v>
      </c>
      <c r="H449" t="s">
        <v>542</v>
      </c>
      <c r="I449" t="s">
        <v>542</v>
      </c>
      <c r="J449" s="3" t="s">
        <v>369</v>
      </c>
      <c r="K449" s="5" t="s">
        <v>370</v>
      </c>
    </row>
    <row r="450" spans="2:11">
      <c r="B450" s="4" t="s">
        <v>371</v>
      </c>
      <c r="H450" t="s">
        <v>542</v>
      </c>
      <c r="I450" t="s">
        <v>542</v>
      </c>
      <c r="J450" s="3" t="s">
        <v>372</v>
      </c>
      <c r="K450" s="5" t="s">
        <v>373</v>
      </c>
    </row>
    <row r="451" spans="2:11">
      <c r="B451" s="4" t="s">
        <v>374</v>
      </c>
      <c r="H451" t="s">
        <v>542</v>
      </c>
      <c r="I451" t="s">
        <v>542</v>
      </c>
      <c r="J451" s="3" t="s">
        <v>375</v>
      </c>
      <c r="K451" s="5" t="s">
        <v>376</v>
      </c>
    </row>
    <row r="452" spans="2:11">
      <c r="B452" s="4" t="s">
        <v>377</v>
      </c>
      <c r="C452" t="s">
        <v>542</v>
      </c>
      <c r="D452" s="3" t="s">
        <v>380</v>
      </c>
      <c r="E452" s="3" t="s">
        <v>1827</v>
      </c>
      <c r="F452" s="65" t="s">
        <v>751</v>
      </c>
      <c r="G452" t="s">
        <v>542</v>
      </c>
      <c r="J452" s="3" t="s">
        <v>378</v>
      </c>
      <c r="K452" s="4" t="s">
        <v>379</v>
      </c>
    </row>
    <row r="453" spans="2:11">
      <c r="B453" s="4" t="s">
        <v>381</v>
      </c>
      <c r="C453" t="s">
        <v>542</v>
      </c>
      <c r="D453" s="3" t="s">
        <v>64</v>
      </c>
      <c r="E453" s="3" t="s">
        <v>384</v>
      </c>
      <c r="F453" s="65" t="s">
        <v>751</v>
      </c>
      <c r="G453" t="s">
        <v>542</v>
      </c>
      <c r="J453" s="3" t="s">
        <v>382</v>
      </c>
      <c r="K453" s="4" t="s">
        <v>383</v>
      </c>
    </row>
    <row r="454" spans="2:11">
      <c r="B454" s="4" t="s">
        <v>385</v>
      </c>
      <c r="C454" t="s">
        <v>542</v>
      </c>
      <c r="D454" s="3" t="s">
        <v>64</v>
      </c>
      <c r="E454" s="3" t="s">
        <v>1780</v>
      </c>
      <c r="F454" s="65" t="s">
        <v>751</v>
      </c>
      <c r="G454" t="s">
        <v>542</v>
      </c>
      <c r="J454" s="3" t="s">
        <v>386</v>
      </c>
      <c r="K454" s="4" t="s">
        <v>387</v>
      </c>
    </row>
    <row r="455" spans="2:11">
      <c r="B455" s="4" t="s">
        <v>388</v>
      </c>
      <c r="C455" t="s">
        <v>542</v>
      </c>
      <c r="D455" s="3" t="s">
        <v>48</v>
      </c>
      <c r="E455" s="3" t="s">
        <v>1828</v>
      </c>
      <c r="F455" s="65" t="s">
        <v>751</v>
      </c>
      <c r="G455" t="s">
        <v>542</v>
      </c>
      <c r="J455" s="3" t="s">
        <v>389</v>
      </c>
      <c r="K455" s="4" t="s">
        <v>390</v>
      </c>
    </row>
    <row r="456" spans="2:11">
      <c r="B456" s="4" t="s">
        <v>391</v>
      </c>
      <c r="C456" t="s">
        <v>542</v>
      </c>
      <c r="D456" s="3" t="s">
        <v>394</v>
      </c>
      <c r="E456" s="3" t="s">
        <v>1829</v>
      </c>
      <c r="F456" s="65" t="s">
        <v>751</v>
      </c>
      <c r="G456" t="s">
        <v>542</v>
      </c>
      <c r="J456" s="3" t="s">
        <v>392</v>
      </c>
      <c r="K456" s="4" t="s">
        <v>393</v>
      </c>
    </row>
    <row r="457" spans="2:11">
      <c r="B457" s="4" t="s">
        <v>395</v>
      </c>
      <c r="H457" t="s">
        <v>542</v>
      </c>
      <c r="I457" t="s">
        <v>650</v>
      </c>
      <c r="J457" s="3" t="s">
        <v>396</v>
      </c>
      <c r="K457" s="5" t="s">
        <v>397</v>
      </c>
    </row>
    <row r="458" spans="2:11">
      <c r="B458" s="4" t="s">
        <v>398</v>
      </c>
      <c r="H458" t="s">
        <v>542</v>
      </c>
      <c r="I458" t="s">
        <v>650</v>
      </c>
      <c r="J458" s="3" t="s">
        <v>399</v>
      </c>
      <c r="K458" s="5" t="s">
        <v>400</v>
      </c>
    </row>
    <row r="459" spans="2:11">
      <c r="B459" s="4" t="s">
        <v>401</v>
      </c>
      <c r="H459" t="s">
        <v>650</v>
      </c>
      <c r="I459" t="s">
        <v>650</v>
      </c>
      <c r="J459" s="3" t="s">
        <v>402</v>
      </c>
      <c r="K459" s="5" t="s">
        <v>403</v>
      </c>
    </row>
    <row r="460" spans="2:11">
      <c r="B460" s="4" t="s">
        <v>405</v>
      </c>
      <c r="H460" t="s">
        <v>650</v>
      </c>
      <c r="I460" t="s">
        <v>650</v>
      </c>
      <c r="J460" s="3" t="s">
        <v>406</v>
      </c>
      <c r="K460" s="5" t="s">
        <v>407</v>
      </c>
    </row>
    <row r="461" spans="2:11">
      <c r="B461" s="4" t="s">
        <v>408</v>
      </c>
      <c r="H461" t="s">
        <v>542</v>
      </c>
      <c r="I461" t="s">
        <v>650</v>
      </c>
      <c r="J461" s="3" t="s">
        <v>409</v>
      </c>
      <c r="K461" s="5" t="s">
        <v>410</v>
      </c>
    </row>
    <row r="462" spans="2:11">
      <c r="B462" t="s">
        <v>1326</v>
      </c>
      <c r="C462" s="12" t="s">
        <v>751</v>
      </c>
      <c r="D462" s="12" t="s">
        <v>866</v>
      </c>
      <c r="E462" s="3" t="s">
        <v>1830</v>
      </c>
      <c r="F462" s="65" t="s">
        <v>751</v>
      </c>
      <c r="G462" t="s">
        <v>542</v>
      </c>
      <c r="J462" s="12" t="s">
        <v>865</v>
      </c>
      <c r="K462" s="11" t="s">
        <v>864</v>
      </c>
    </row>
    <row r="463" spans="2:11">
      <c r="B463" t="s">
        <v>1327</v>
      </c>
      <c r="C463" s="12" t="s">
        <v>751</v>
      </c>
      <c r="D463" s="12" t="s">
        <v>869</v>
      </c>
      <c r="E463" s="3" t="s">
        <v>870</v>
      </c>
      <c r="F463" s="65" t="s">
        <v>751</v>
      </c>
      <c r="G463" t="s">
        <v>542</v>
      </c>
      <c r="J463" s="12" t="s">
        <v>868</v>
      </c>
      <c r="K463" s="11" t="s">
        <v>867</v>
      </c>
    </row>
    <row r="464" spans="2:11">
      <c r="B464" t="s">
        <v>1328</v>
      </c>
      <c r="C464" s="12" t="s">
        <v>751</v>
      </c>
      <c r="D464" s="12" t="s">
        <v>874</v>
      </c>
      <c r="E464" s="12" t="s">
        <v>875</v>
      </c>
      <c r="F464" s="64" t="s">
        <v>1853</v>
      </c>
      <c r="G464" t="s">
        <v>542</v>
      </c>
      <c r="J464" s="12" t="s">
        <v>873</v>
      </c>
      <c r="K464" s="11" t="s">
        <v>872</v>
      </c>
    </row>
    <row r="465" spans="2:11">
      <c r="B465" t="s">
        <v>1329</v>
      </c>
      <c r="C465" s="12" t="s">
        <v>751</v>
      </c>
      <c r="D465" s="12" t="s">
        <v>878</v>
      </c>
      <c r="E465" s="3" t="s">
        <v>1831</v>
      </c>
      <c r="F465" s="65" t="s">
        <v>751</v>
      </c>
      <c r="G465" t="s">
        <v>542</v>
      </c>
      <c r="J465" s="12" t="s">
        <v>877</v>
      </c>
      <c r="K465" s="11" t="s">
        <v>876</v>
      </c>
    </row>
    <row r="466" spans="2:11">
      <c r="B466" t="s">
        <v>1330</v>
      </c>
      <c r="C466" s="12" t="s">
        <v>767</v>
      </c>
      <c r="D466" s="12" t="s">
        <v>767</v>
      </c>
      <c r="E466" s="12" t="s">
        <v>881</v>
      </c>
      <c r="F466" s="65" t="s">
        <v>751</v>
      </c>
      <c r="G466" t="s">
        <v>542</v>
      </c>
      <c r="J466" s="12" t="s">
        <v>880</v>
      </c>
      <c r="K466" s="11" t="s">
        <v>879</v>
      </c>
    </row>
    <row r="467" spans="2:11">
      <c r="B467" t="s">
        <v>1540</v>
      </c>
      <c r="H467" t="s">
        <v>542</v>
      </c>
      <c r="I467" t="s">
        <v>542</v>
      </c>
      <c r="J467" s="12" t="s">
        <v>883</v>
      </c>
      <c r="K467" s="11" t="s">
        <v>882</v>
      </c>
    </row>
    <row r="468" spans="2:11">
      <c r="B468" t="s">
        <v>1541</v>
      </c>
      <c r="H468" t="s">
        <v>542</v>
      </c>
      <c r="I468" t="s">
        <v>542</v>
      </c>
      <c r="J468" s="12" t="s">
        <v>885</v>
      </c>
      <c r="K468" s="11" t="s">
        <v>884</v>
      </c>
    </row>
    <row r="469" spans="2:11">
      <c r="B469" t="s">
        <v>1542</v>
      </c>
      <c r="H469" t="s">
        <v>542</v>
      </c>
      <c r="I469" t="s">
        <v>542</v>
      </c>
      <c r="J469" s="12" t="s">
        <v>887</v>
      </c>
      <c r="K469" s="11" t="s">
        <v>886</v>
      </c>
    </row>
    <row r="470" spans="2:11">
      <c r="B470" t="s">
        <v>1543</v>
      </c>
      <c r="H470" t="s">
        <v>542</v>
      </c>
      <c r="I470" t="s">
        <v>542</v>
      </c>
      <c r="J470" s="12" t="s">
        <v>889</v>
      </c>
      <c r="K470" s="11" t="s">
        <v>888</v>
      </c>
    </row>
    <row r="471" spans="2:11">
      <c r="B471" t="s">
        <v>1544</v>
      </c>
      <c r="H471" t="s">
        <v>542</v>
      </c>
      <c r="I471" t="s">
        <v>542</v>
      </c>
      <c r="J471" s="12" t="s">
        <v>891</v>
      </c>
      <c r="K471" s="11" t="s">
        <v>890</v>
      </c>
    </row>
    <row r="472" spans="2:11">
      <c r="B472" s="18" t="s">
        <v>1331</v>
      </c>
      <c r="C472" s="12" t="s">
        <v>767</v>
      </c>
      <c r="D472" s="12" t="s">
        <v>894</v>
      </c>
      <c r="E472" s="12" t="s">
        <v>895</v>
      </c>
      <c r="F472" s="65" t="s">
        <v>751</v>
      </c>
      <c r="G472" t="s">
        <v>542</v>
      </c>
      <c r="J472" s="12" t="s">
        <v>893</v>
      </c>
      <c r="K472" s="11" t="s">
        <v>892</v>
      </c>
    </row>
    <row r="473" spans="2:11">
      <c r="B473" s="18" t="s">
        <v>1332</v>
      </c>
      <c r="C473" s="12" t="s">
        <v>767</v>
      </c>
      <c r="D473" s="12" t="s">
        <v>898</v>
      </c>
      <c r="E473" s="12" t="s">
        <v>899</v>
      </c>
      <c r="F473" s="19" t="s">
        <v>1852</v>
      </c>
      <c r="G473" t="s">
        <v>542</v>
      </c>
      <c r="J473" s="12" t="s">
        <v>897</v>
      </c>
      <c r="K473" s="11" t="s">
        <v>896</v>
      </c>
    </row>
    <row r="474" spans="2:11">
      <c r="B474" s="18" t="s">
        <v>1333</v>
      </c>
      <c r="C474" s="12" t="s">
        <v>767</v>
      </c>
      <c r="D474" s="12" t="s">
        <v>898</v>
      </c>
      <c r="E474" s="3" t="s">
        <v>1832</v>
      </c>
      <c r="F474" s="65" t="s">
        <v>751</v>
      </c>
      <c r="G474" t="s">
        <v>542</v>
      </c>
      <c r="J474" s="12" t="s">
        <v>901</v>
      </c>
      <c r="K474" s="11" t="s">
        <v>900</v>
      </c>
    </row>
    <row r="475" spans="2:11">
      <c r="B475" s="18" t="s">
        <v>1334</v>
      </c>
      <c r="C475" s="12" t="s">
        <v>767</v>
      </c>
      <c r="D475" s="20" t="s">
        <v>904</v>
      </c>
      <c r="E475" s="12" t="s">
        <v>905</v>
      </c>
      <c r="F475" s="65" t="s">
        <v>751</v>
      </c>
      <c r="G475" t="s">
        <v>542</v>
      </c>
      <c r="J475" s="12" t="s">
        <v>903</v>
      </c>
      <c r="K475" s="11" t="s">
        <v>902</v>
      </c>
    </row>
    <row r="476" spans="2:11">
      <c r="B476" s="18" t="s">
        <v>1335</v>
      </c>
      <c r="C476" s="12" t="s">
        <v>751</v>
      </c>
      <c r="D476" s="12" t="s">
        <v>786</v>
      </c>
      <c r="E476" s="3" t="s">
        <v>1835</v>
      </c>
      <c r="F476" s="65" t="s">
        <v>751</v>
      </c>
      <c r="G476" t="s">
        <v>542</v>
      </c>
      <c r="J476" s="12" t="s">
        <v>907</v>
      </c>
      <c r="K476" s="11" t="s">
        <v>906</v>
      </c>
    </row>
    <row r="477" spans="2:11">
      <c r="B477" t="s">
        <v>1545</v>
      </c>
      <c r="H477" t="s">
        <v>542</v>
      </c>
      <c r="I477" t="s">
        <v>542</v>
      </c>
      <c r="J477" s="12" t="s">
        <v>909</v>
      </c>
      <c r="K477" s="11" t="s">
        <v>908</v>
      </c>
    </row>
    <row r="478" spans="2:11">
      <c r="B478" t="s">
        <v>1546</v>
      </c>
      <c r="H478" t="s">
        <v>650</v>
      </c>
      <c r="I478" t="s">
        <v>650</v>
      </c>
      <c r="J478" s="12" t="s">
        <v>911</v>
      </c>
      <c r="K478" s="11" t="s">
        <v>910</v>
      </c>
    </row>
    <row r="479" spans="2:11">
      <c r="B479" t="s">
        <v>1547</v>
      </c>
      <c r="H479" t="s">
        <v>542</v>
      </c>
      <c r="I479" t="s">
        <v>650</v>
      </c>
      <c r="J479" s="12" t="s">
        <v>913</v>
      </c>
      <c r="K479" s="11" t="s">
        <v>912</v>
      </c>
    </row>
    <row r="480" spans="2:11">
      <c r="B480" t="s">
        <v>1548</v>
      </c>
      <c r="H480" t="s">
        <v>542</v>
      </c>
      <c r="I480" t="s">
        <v>542</v>
      </c>
      <c r="J480" s="12" t="s">
        <v>915</v>
      </c>
      <c r="K480" s="11" t="s">
        <v>914</v>
      </c>
    </row>
    <row r="481" spans="2:11">
      <c r="B481" t="s">
        <v>1549</v>
      </c>
      <c r="H481" t="s">
        <v>650</v>
      </c>
      <c r="I481" t="s">
        <v>650</v>
      </c>
      <c r="J481" s="12" t="s">
        <v>917</v>
      </c>
      <c r="K481" s="11" t="s">
        <v>916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3362-C04B-434E-B553-F6EA3CDC66F7}">
  <dimension ref="A1:Q577"/>
  <sheetViews>
    <sheetView topLeftCell="B2" workbookViewId="0">
      <selection activeCell="J354" sqref="J354"/>
    </sheetView>
  </sheetViews>
  <sheetFormatPr baseColWidth="10" defaultColWidth="8.83203125" defaultRowHeight="15"/>
  <cols>
    <col min="1" max="1" width="31.5" customWidth="1"/>
    <col min="2" max="2" width="28.33203125" customWidth="1"/>
    <col min="3" max="3" width="15.83203125" customWidth="1"/>
    <col min="4" max="4" width="16.5" customWidth="1"/>
    <col min="5" max="8" width="18.33203125" customWidth="1"/>
    <col min="9" max="10" width="17.1640625" customWidth="1"/>
    <col min="11" max="11" width="17" customWidth="1"/>
    <col min="12" max="12" width="15.5" customWidth="1"/>
    <col min="13" max="13" width="14.83203125" customWidth="1"/>
    <col min="15" max="15" width="43.5" bestFit="1" customWidth="1"/>
    <col min="16" max="16" width="8" customWidth="1"/>
  </cols>
  <sheetData>
    <row r="1" spans="1:16" ht="85">
      <c r="A1" s="14" t="s">
        <v>1580</v>
      </c>
      <c r="B1" s="1" t="s">
        <v>1225</v>
      </c>
      <c r="C1" s="2" t="s">
        <v>1</v>
      </c>
      <c r="D1" s="2" t="s">
        <v>1561</v>
      </c>
      <c r="E1" s="2" t="s">
        <v>1559</v>
      </c>
      <c r="F1" s="2" t="s">
        <v>1563</v>
      </c>
      <c r="G1" s="2" t="s">
        <v>1560</v>
      </c>
      <c r="H1" s="2" t="s">
        <v>1843</v>
      </c>
      <c r="I1" s="2" t="s">
        <v>1594</v>
      </c>
      <c r="J1" s="2" t="s">
        <v>1595</v>
      </c>
      <c r="K1" s="2" t="s">
        <v>1387</v>
      </c>
      <c r="L1" s="2" t="s">
        <v>1562</v>
      </c>
      <c r="M1" s="2" t="s">
        <v>1389</v>
      </c>
      <c r="N1" s="2" t="s">
        <v>1582</v>
      </c>
      <c r="O1" s="1" t="s">
        <v>1593</v>
      </c>
      <c r="P1" s="22"/>
    </row>
    <row r="2" spans="1:16">
      <c r="B2" t="s">
        <v>1226</v>
      </c>
      <c r="C2" s="23" t="s">
        <v>542</v>
      </c>
      <c r="D2" s="24" t="s">
        <v>650</v>
      </c>
      <c r="E2" s="23" t="s">
        <v>542</v>
      </c>
      <c r="F2" s="23" t="s">
        <v>542</v>
      </c>
      <c r="G2" s="23" t="s">
        <v>542</v>
      </c>
      <c r="H2" s="23" t="s">
        <v>542</v>
      </c>
      <c r="I2" s="23" t="s">
        <v>542</v>
      </c>
      <c r="J2" s="23" t="s">
        <v>542</v>
      </c>
      <c r="K2" s="23" t="s">
        <v>542</v>
      </c>
      <c r="N2" s="10" t="s">
        <v>196</v>
      </c>
      <c r="O2" t="s">
        <v>541</v>
      </c>
    </row>
    <row r="3" spans="1:16">
      <c r="B3" t="s">
        <v>1227</v>
      </c>
      <c r="C3" s="23" t="s">
        <v>542</v>
      </c>
      <c r="D3" s="23" t="s">
        <v>542</v>
      </c>
      <c r="E3" s="23" t="s">
        <v>1558</v>
      </c>
      <c r="F3" s="23" t="s">
        <v>542</v>
      </c>
      <c r="G3" s="23" t="s">
        <v>542</v>
      </c>
      <c r="H3" s="23" t="s">
        <v>542</v>
      </c>
      <c r="I3" s="23" t="s">
        <v>542</v>
      </c>
      <c r="J3" s="23" t="s">
        <v>542</v>
      </c>
      <c r="K3" s="23" t="s">
        <v>542</v>
      </c>
      <c r="N3" s="10" t="s">
        <v>428</v>
      </c>
      <c r="O3" t="s">
        <v>545</v>
      </c>
    </row>
    <row r="4" spans="1:16">
      <c r="B4" t="s">
        <v>1228</v>
      </c>
      <c r="C4" s="23" t="s">
        <v>542</v>
      </c>
      <c r="D4" s="23" t="s">
        <v>542</v>
      </c>
      <c r="E4" s="23" t="s">
        <v>1558</v>
      </c>
      <c r="F4" s="23" t="s">
        <v>542</v>
      </c>
      <c r="G4" s="23" t="s">
        <v>542</v>
      </c>
      <c r="H4" s="23" t="s">
        <v>542</v>
      </c>
      <c r="I4" s="23" t="s">
        <v>542</v>
      </c>
      <c r="J4" s="23" t="s">
        <v>542</v>
      </c>
      <c r="K4" s="23" t="s">
        <v>542</v>
      </c>
      <c r="N4" s="10" t="s">
        <v>351</v>
      </c>
      <c r="O4" t="s">
        <v>547</v>
      </c>
    </row>
    <row r="5" spans="1:16">
      <c r="B5" t="s">
        <v>1229</v>
      </c>
      <c r="C5" s="23" t="s">
        <v>542</v>
      </c>
      <c r="D5" s="23" t="s">
        <v>542</v>
      </c>
      <c r="E5" s="23" t="s">
        <v>1558</v>
      </c>
      <c r="F5" s="23" t="s">
        <v>542</v>
      </c>
      <c r="G5" s="23" t="s">
        <v>542</v>
      </c>
      <c r="H5" s="23" t="s">
        <v>542</v>
      </c>
      <c r="I5" s="23" t="s">
        <v>542</v>
      </c>
      <c r="J5" s="23" t="s">
        <v>542</v>
      </c>
      <c r="K5" s="23" t="s">
        <v>542</v>
      </c>
      <c r="N5" s="10" t="s">
        <v>369</v>
      </c>
      <c r="O5" t="s">
        <v>550</v>
      </c>
    </row>
    <row r="6" spans="1:16">
      <c r="B6" t="s">
        <v>1230</v>
      </c>
      <c r="C6" s="23" t="s">
        <v>542</v>
      </c>
      <c r="D6" s="24" t="s">
        <v>650</v>
      </c>
      <c r="E6" s="23" t="s">
        <v>1558</v>
      </c>
      <c r="F6" s="23" t="s">
        <v>542</v>
      </c>
      <c r="G6" s="23" t="s">
        <v>542</v>
      </c>
      <c r="H6" s="23" t="s">
        <v>542</v>
      </c>
      <c r="I6" s="23" t="s">
        <v>542</v>
      </c>
      <c r="J6" s="23" t="s">
        <v>542</v>
      </c>
      <c r="K6" s="23" t="s">
        <v>542</v>
      </c>
      <c r="N6" s="10" t="s">
        <v>486</v>
      </c>
      <c r="O6" t="s">
        <v>551</v>
      </c>
    </row>
    <row r="7" spans="1:16">
      <c r="B7" s="25" t="s">
        <v>1564</v>
      </c>
      <c r="C7" s="25">
        <v>0</v>
      </c>
      <c r="D7" s="27">
        <f>2/5</f>
        <v>0.4</v>
      </c>
      <c r="E7" s="27">
        <f>4/5</f>
        <v>0.8</v>
      </c>
      <c r="F7" s="27">
        <v>0</v>
      </c>
      <c r="G7" s="27">
        <v>0</v>
      </c>
      <c r="H7" s="27">
        <v>0</v>
      </c>
      <c r="I7" s="25">
        <v>0</v>
      </c>
      <c r="J7" s="25">
        <v>0</v>
      </c>
      <c r="K7" s="25">
        <v>0</v>
      </c>
      <c r="L7" s="25"/>
      <c r="M7" s="25"/>
      <c r="N7" s="26"/>
      <c r="O7" s="25"/>
    </row>
    <row r="8" spans="1:16">
      <c r="B8" t="s">
        <v>1390</v>
      </c>
      <c r="L8" s="23" t="s">
        <v>1558</v>
      </c>
      <c r="M8" s="23" t="s">
        <v>542</v>
      </c>
      <c r="N8" s="10" t="s">
        <v>553</v>
      </c>
      <c r="O8" t="s">
        <v>1694</v>
      </c>
      <c r="P8" s="10"/>
    </row>
    <row r="9" spans="1:16">
      <c r="B9" t="s">
        <v>1391</v>
      </c>
      <c r="L9" s="23" t="s">
        <v>1558</v>
      </c>
      <c r="M9" s="23" t="s">
        <v>542</v>
      </c>
      <c r="N9" s="10" t="s">
        <v>555</v>
      </c>
      <c r="O9" t="s">
        <v>1693</v>
      </c>
      <c r="P9" s="10"/>
    </row>
    <row r="10" spans="1:16">
      <c r="B10" t="s">
        <v>1392</v>
      </c>
      <c r="L10" s="23" t="s">
        <v>542</v>
      </c>
      <c r="M10" s="23" t="s">
        <v>542</v>
      </c>
      <c r="N10" s="10" t="s">
        <v>557</v>
      </c>
      <c r="O10" t="s">
        <v>1692</v>
      </c>
      <c r="P10" s="10"/>
    </row>
    <row r="11" spans="1:16">
      <c r="B11" t="s">
        <v>1393</v>
      </c>
      <c r="L11" s="23" t="s">
        <v>542</v>
      </c>
      <c r="M11" s="23" t="s">
        <v>542</v>
      </c>
      <c r="N11" s="10" t="s">
        <v>558</v>
      </c>
      <c r="O11" t="s">
        <v>1695</v>
      </c>
      <c r="P11" s="10"/>
    </row>
    <row r="12" spans="1:16">
      <c r="B12" t="s">
        <v>1394</v>
      </c>
      <c r="L12" s="23" t="s">
        <v>542</v>
      </c>
      <c r="M12" s="23" t="s">
        <v>1558</v>
      </c>
      <c r="N12" s="10" t="s">
        <v>559</v>
      </c>
      <c r="O12" t="s">
        <v>1696</v>
      </c>
      <c r="P12" s="10"/>
    </row>
    <row r="13" spans="1:16">
      <c r="B13" s="25" t="s">
        <v>1564</v>
      </c>
      <c r="C13" s="25"/>
      <c r="D13" s="27"/>
      <c r="E13" s="27"/>
      <c r="F13" s="27"/>
      <c r="G13" s="27"/>
      <c r="H13" s="27"/>
      <c r="I13" s="25"/>
      <c r="J13" s="25"/>
      <c r="K13" s="25"/>
      <c r="L13" s="25">
        <f>2/5</f>
        <v>0.4</v>
      </c>
      <c r="M13" s="25">
        <f>1/5</f>
        <v>0.2</v>
      </c>
      <c r="N13" s="26"/>
      <c r="O13" s="25"/>
      <c r="P13" s="17"/>
    </row>
    <row r="14" spans="1:16">
      <c r="B14" t="s">
        <v>1231</v>
      </c>
      <c r="C14" t="s">
        <v>542</v>
      </c>
      <c r="D14" s="24" t="s">
        <v>650</v>
      </c>
      <c r="E14" s="23" t="s">
        <v>542</v>
      </c>
      <c r="F14" s="23" t="s">
        <v>542</v>
      </c>
      <c r="G14" s="23" t="s">
        <v>542</v>
      </c>
      <c r="H14" s="23" t="s">
        <v>542</v>
      </c>
      <c r="I14" s="23" t="s">
        <v>542</v>
      </c>
      <c r="J14" s="23" t="s">
        <v>542</v>
      </c>
      <c r="K14" s="23" t="s">
        <v>542</v>
      </c>
      <c r="N14" s="10" t="s">
        <v>283</v>
      </c>
      <c r="O14" t="s">
        <v>560</v>
      </c>
      <c r="P14" s="17"/>
    </row>
    <row r="15" spans="1:16">
      <c r="B15" t="s">
        <v>1232</v>
      </c>
      <c r="C15" t="s">
        <v>542</v>
      </c>
      <c r="D15" s="23" t="s">
        <v>542</v>
      </c>
      <c r="E15" s="23" t="s">
        <v>1558</v>
      </c>
      <c r="F15" s="23" t="s">
        <v>542</v>
      </c>
      <c r="G15" s="23" t="s">
        <v>542</v>
      </c>
      <c r="H15" s="23" t="s">
        <v>542</v>
      </c>
      <c r="I15" s="23" t="s">
        <v>542</v>
      </c>
      <c r="J15" s="23" t="s">
        <v>542</v>
      </c>
      <c r="K15" s="23" t="s">
        <v>542</v>
      </c>
      <c r="N15" s="10" t="s">
        <v>366</v>
      </c>
      <c r="O15" t="s">
        <v>561</v>
      </c>
      <c r="P15" s="17"/>
    </row>
    <row r="16" spans="1:16">
      <c r="B16" t="s">
        <v>1233</v>
      </c>
      <c r="C16" t="s">
        <v>542</v>
      </c>
      <c r="D16" s="23" t="s">
        <v>542</v>
      </c>
      <c r="E16" s="23" t="s">
        <v>542</v>
      </c>
      <c r="F16" s="23" t="s">
        <v>542</v>
      </c>
      <c r="G16" s="23" t="s">
        <v>542</v>
      </c>
      <c r="H16" s="23" t="s">
        <v>542</v>
      </c>
      <c r="I16" s="23" t="s">
        <v>542</v>
      </c>
      <c r="J16" s="23" t="s">
        <v>542</v>
      </c>
      <c r="K16" s="23" t="s">
        <v>542</v>
      </c>
      <c r="N16" s="10" t="s">
        <v>76</v>
      </c>
      <c r="O16" t="s">
        <v>562</v>
      </c>
      <c r="P16" s="17"/>
    </row>
    <row r="17" spans="2:16">
      <c r="B17" t="s">
        <v>1234</v>
      </c>
      <c r="C17" t="s">
        <v>542</v>
      </c>
      <c r="D17" s="23" t="s">
        <v>542</v>
      </c>
      <c r="E17" s="23" t="s">
        <v>542</v>
      </c>
      <c r="F17" s="23" t="s">
        <v>542</v>
      </c>
      <c r="G17" s="23" t="s">
        <v>542</v>
      </c>
      <c r="H17" s="23" t="s">
        <v>542</v>
      </c>
      <c r="I17" s="23" t="s">
        <v>542</v>
      </c>
      <c r="J17" s="23" t="s">
        <v>542</v>
      </c>
      <c r="K17" s="23" t="s">
        <v>542</v>
      </c>
      <c r="N17" s="10" t="s">
        <v>184</v>
      </c>
      <c r="O17" t="s">
        <v>563</v>
      </c>
      <c r="P17" s="17"/>
    </row>
    <row r="18" spans="2:16">
      <c r="B18" t="s">
        <v>1235</v>
      </c>
      <c r="C18" t="s">
        <v>542</v>
      </c>
      <c r="D18" s="23" t="s">
        <v>542</v>
      </c>
      <c r="E18" s="23" t="s">
        <v>542</v>
      </c>
      <c r="F18" s="23" t="s">
        <v>542</v>
      </c>
      <c r="G18" s="23" t="s">
        <v>542</v>
      </c>
      <c r="H18" s="23" t="s">
        <v>542</v>
      </c>
      <c r="I18" s="23" t="s">
        <v>542</v>
      </c>
      <c r="J18" s="23" t="s">
        <v>542</v>
      </c>
      <c r="K18" s="23" t="s">
        <v>542</v>
      </c>
      <c r="N18" s="10" t="s">
        <v>161</v>
      </c>
      <c r="O18" t="s">
        <v>564</v>
      </c>
    </row>
    <row r="19" spans="2:16">
      <c r="B19" s="25" t="s">
        <v>1564</v>
      </c>
      <c r="C19" s="25">
        <v>0</v>
      </c>
      <c r="D19" s="27">
        <f>1/5</f>
        <v>0.2</v>
      </c>
      <c r="E19" s="27">
        <f>1/5</f>
        <v>0.2</v>
      </c>
      <c r="F19" s="27">
        <v>0</v>
      </c>
      <c r="G19" s="27">
        <v>0</v>
      </c>
      <c r="H19" s="27">
        <v>0</v>
      </c>
      <c r="I19" s="25">
        <v>0</v>
      </c>
      <c r="J19" s="25">
        <v>0</v>
      </c>
      <c r="K19" s="25">
        <v>0</v>
      </c>
      <c r="L19" s="25"/>
      <c r="M19" s="25"/>
      <c r="N19" s="26"/>
      <c r="O19" s="25"/>
    </row>
    <row r="20" spans="2:16">
      <c r="B20" t="s">
        <v>1395</v>
      </c>
      <c r="L20" t="s">
        <v>584</v>
      </c>
      <c r="M20" s="23" t="s">
        <v>542</v>
      </c>
      <c r="N20" s="17" t="s">
        <v>565</v>
      </c>
      <c r="O20" t="s">
        <v>1688</v>
      </c>
    </row>
    <row r="21" spans="2:16">
      <c r="B21" t="s">
        <v>1396</v>
      </c>
      <c r="L21" t="s">
        <v>584</v>
      </c>
      <c r="M21" s="23" t="s">
        <v>542</v>
      </c>
      <c r="N21" s="17" t="s">
        <v>566</v>
      </c>
      <c r="O21" t="s">
        <v>1691</v>
      </c>
    </row>
    <row r="22" spans="2:16">
      <c r="B22" t="s">
        <v>1397</v>
      </c>
      <c r="L22" t="s">
        <v>584</v>
      </c>
      <c r="M22" t="s">
        <v>584</v>
      </c>
      <c r="N22" s="17" t="s">
        <v>567</v>
      </c>
      <c r="O22" t="s">
        <v>1690</v>
      </c>
    </row>
    <row r="23" spans="2:16">
      <c r="B23" t="s">
        <v>1398</v>
      </c>
      <c r="L23" s="23" t="s">
        <v>542</v>
      </c>
      <c r="M23" s="23" t="s">
        <v>542</v>
      </c>
      <c r="N23" s="17" t="s">
        <v>568</v>
      </c>
      <c r="O23" t="s">
        <v>1689</v>
      </c>
    </row>
    <row r="24" spans="2:16">
      <c r="B24" t="s">
        <v>1399</v>
      </c>
      <c r="L24" s="23" t="s">
        <v>542</v>
      </c>
      <c r="M24" s="23" t="s">
        <v>542</v>
      </c>
      <c r="N24" s="17" t="s">
        <v>569</v>
      </c>
      <c r="O24" t="s">
        <v>1687</v>
      </c>
    </row>
    <row r="25" spans="2:16">
      <c r="B25" s="25" t="s">
        <v>1564</v>
      </c>
      <c r="C25" s="25"/>
      <c r="D25" s="27"/>
      <c r="E25" s="27"/>
      <c r="F25" s="27"/>
      <c r="G25" s="27"/>
      <c r="H25" s="27"/>
      <c r="I25" s="25"/>
      <c r="J25" s="25"/>
      <c r="K25" s="25"/>
      <c r="L25" s="25">
        <v>0</v>
      </c>
      <c r="M25" s="25">
        <v>0</v>
      </c>
      <c r="N25" s="26"/>
      <c r="O25" s="25"/>
    </row>
    <row r="26" spans="2:16">
      <c r="B26" t="s">
        <v>1236</v>
      </c>
      <c r="C26" t="s">
        <v>542</v>
      </c>
      <c r="D26" t="s">
        <v>542</v>
      </c>
      <c r="E26" s="23" t="s">
        <v>650</v>
      </c>
      <c r="F26" s="23" t="s">
        <v>650</v>
      </c>
      <c r="G26" s="23" t="s">
        <v>650</v>
      </c>
      <c r="H26" s="23" t="s">
        <v>650</v>
      </c>
      <c r="I26" s="23" t="s">
        <v>542</v>
      </c>
      <c r="J26" s="23" t="s">
        <v>542</v>
      </c>
      <c r="K26" s="23" t="s">
        <v>542</v>
      </c>
      <c r="N26" s="17" t="s">
        <v>50</v>
      </c>
      <c r="O26" t="s">
        <v>570</v>
      </c>
    </row>
    <row r="27" spans="2:16">
      <c r="B27" t="s">
        <v>1237</v>
      </c>
      <c r="C27" t="s">
        <v>542</v>
      </c>
      <c r="D27" t="s">
        <v>542</v>
      </c>
      <c r="E27" s="23" t="s">
        <v>650</v>
      </c>
      <c r="F27" s="23" t="s">
        <v>650</v>
      </c>
      <c r="G27" s="23" t="s">
        <v>650</v>
      </c>
      <c r="H27" s="23" t="s">
        <v>542</v>
      </c>
      <c r="I27" s="23" t="s">
        <v>542</v>
      </c>
      <c r="J27" s="23" t="s">
        <v>542</v>
      </c>
      <c r="K27" s="23" t="s">
        <v>542</v>
      </c>
      <c r="N27" s="17" t="s">
        <v>573</v>
      </c>
      <c r="O27" t="s">
        <v>572</v>
      </c>
    </row>
    <row r="28" spans="2:16">
      <c r="B28" t="s">
        <v>1238</v>
      </c>
      <c r="C28" t="s">
        <v>542</v>
      </c>
      <c r="D28" t="s">
        <v>542</v>
      </c>
      <c r="E28" s="23" t="s">
        <v>650</v>
      </c>
      <c r="F28" s="23" t="s">
        <v>650</v>
      </c>
      <c r="G28" s="23" t="s">
        <v>650</v>
      </c>
      <c r="H28" s="23" t="s">
        <v>650</v>
      </c>
      <c r="I28" s="23" t="s">
        <v>542</v>
      </c>
      <c r="J28" s="23" t="s">
        <v>542</v>
      </c>
      <c r="K28" s="23" t="s">
        <v>542</v>
      </c>
      <c r="N28" s="17" t="s">
        <v>91</v>
      </c>
      <c r="O28" t="s">
        <v>575</v>
      </c>
    </row>
    <row r="29" spans="2:16">
      <c r="B29" t="s">
        <v>1239</v>
      </c>
      <c r="C29" t="s">
        <v>542</v>
      </c>
      <c r="D29" t="s">
        <v>542</v>
      </c>
      <c r="E29" s="23" t="s">
        <v>650</v>
      </c>
      <c r="F29" s="23" t="s">
        <v>650</v>
      </c>
      <c r="G29" s="23" t="s">
        <v>650</v>
      </c>
      <c r="H29" s="23" t="s">
        <v>542</v>
      </c>
      <c r="I29" s="23" t="s">
        <v>542</v>
      </c>
      <c r="J29" s="23" t="s">
        <v>542</v>
      </c>
      <c r="K29" s="23" t="s">
        <v>542</v>
      </c>
      <c r="N29" s="17" t="s">
        <v>578</v>
      </c>
      <c r="O29" t="s">
        <v>577</v>
      </c>
    </row>
    <row r="30" spans="2:16">
      <c r="B30" t="s">
        <v>1240</v>
      </c>
      <c r="C30" t="s">
        <v>542</v>
      </c>
      <c r="D30" t="s">
        <v>542</v>
      </c>
      <c r="E30" s="23" t="s">
        <v>650</v>
      </c>
      <c r="F30" s="23" t="s">
        <v>650</v>
      </c>
      <c r="G30" s="23" t="s">
        <v>650</v>
      </c>
      <c r="H30" s="23" t="s">
        <v>650</v>
      </c>
      <c r="I30" s="23" t="s">
        <v>542</v>
      </c>
      <c r="J30" s="23" t="s">
        <v>542</v>
      </c>
      <c r="K30" s="23" t="s">
        <v>542</v>
      </c>
      <c r="N30" s="17" t="s">
        <v>581</v>
      </c>
      <c r="O30" t="s">
        <v>580</v>
      </c>
    </row>
    <row r="31" spans="2:16">
      <c r="B31" s="25" t="s">
        <v>1564</v>
      </c>
      <c r="C31" s="25">
        <v>0</v>
      </c>
      <c r="D31" s="27">
        <v>0</v>
      </c>
      <c r="E31" s="27">
        <v>1</v>
      </c>
      <c r="F31" s="27">
        <v>1</v>
      </c>
      <c r="G31" s="27">
        <v>1</v>
      </c>
      <c r="H31" s="27">
        <f>3/5</f>
        <v>0.6</v>
      </c>
      <c r="I31" s="25">
        <v>0</v>
      </c>
      <c r="J31" s="25">
        <v>0</v>
      </c>
      <c r="K31" s="25">
        <v>0</v>
      </c>
      <c r="L31" s="25"/>
      <c r="M31" s="25"/>
      <c r="N31" s="26"/>
      <c r="O31" s="25"/>
    </row>
    <row r="32" spans="2:16">
      <c r="B32" t="s">
        <v>1400</v>
      </c>
      <c r="L32" t="s">
        <v>584</v>
      </c>
      <c r="M32" t="s">
        <v>584</v>
      </c>
      <c r="N32" s="17" t="s">
        <v>583</v>
      </c>
      <c r="O32" t="s">
        <v>1624</v>
      </c>
      <c r="P32" s="17"/>
    </row>
    <row r="33" spans="2:16">
      <c r="B33" t="s">
        <v>1401</v>
      </c>
      <c r="L33" t="s">
        <v>584</v>
      </c>
      <c r="M33" t="s">
        <v>584</v>
      </c>
      <c r="N33" s="17" t="s">
        <v>585</v>
      </c>
      <c r="O33" t="s">
        <v>1625</v>
      </c>
      <c r="P33" s="17"/>
    </row>
    <row r="34" spans="2:16">
      <c r="B34" t="s">
        <v>1402</v>
      </c>
      <c r="L34" t="s">
        <v>542</v>
      </c>
      <c r="M34" t="s">
        <v>542</v>
      </c>
      <c r="N34" s="17" t="s">
        <v>586</v>
      </c>
      <c r="O34" t="s">
        <v>1622</v>
      </c>
      <c r="P34" s="17"/>
    </row>
    <row r="35" spans="2:16">
      <c r="B35" t="s">
        <v>1403</v>
      </c>
      <c r="L35" t="s">
        <v>584</v>
      </c>
      <c r="M35" t="s">
        <v>584</v>
      </c>
      <c r="N35" s="17" t="s">
        <v>588</v>
      </c>
      <c r="O35" t="s">
        <v>1623</v>
      </c>
      <c r="P35" s="17"/>
    </row>
    <row r="36" spans="2:16">
      <c r="B36" t="s">
        <v>1404</v>
      </c>
      <c r="L36" t="s">
        <v>542</v>
      </c>
      <c r="M36" t="s">
        <v>542</v>
      </c>
      <c r="N36" s="10" t="s">
        <v>589</v>
      </c>
      <c r="O36" t="s">
        <v>1626</v>
      </c>
      <c r="P36" s="10"/>
    </row>
    <row r="37" spans="2:16">
      <c r="B37" s="25" t="s">
        <v>1564</v>
      </c>
      <c r="C37" s="25"/>
      <c r="D37" s="27"/>
      <c r="E37" s="27"/>
      <c r="F37" s="27"/>
      <c r="G37" s="27"/>
      <c r="H37" s="27"/>
      <c r="I37" s="25"/>
      <c r="J37" s="25"/>
      <c r="K37" s="25"/>
      <c r="L37" s="25">
        <v>0</v>
      </c>
      <c r="M37" s="25">
        <v>0</v>
      </c>
      <c r="N37" s="26"/>
      <c r="O37" s="25"/>
      <c r="P37" s="10"/>
    </row>
    <row r="38" spans="2:16">
      <c r="B38" t="s">
        <v>1241</v>
      </c>
      <c r="C38" t="s">
        <v>542</v>
      </c>
      <c r="D38" s="23" t="s">
        <v>650</v>
      </c>
      <c r="E38" s="23" t="s">
        <v>650</v>
      </c>
      <c r="F38" s="23" t="s">
        <v>650</v>
      </c>
      <c r="G38" s="23" t="s">
        <v>650</v>
      </c>
      <c r="H38" t="s">
        <v>542</v>
      </c>
      <c r="I38" t="s">
        <v>542</v>
      </c>
      <c r="J38" t="s">
        <v>542</v>
      </c>
      <c r="K38" t="s">
        <v>542</v>
      </c>
      <c r="N38" s="10" t="s">
        <v>135</v>
      </c>
      <c r="O38" t="s">
        <v>590</v>
      </c>
      <c r="P38" s="10"/>
    </row>
    <row r="39" spans="2:16">
      <c r="B39" t="s">
        <v>1242</v>
      </c>
      <c r="C39" t="s">
        <v>542</v>
      </c>
      <c r="D39" s="23" t="s">
        <v>650</v>
      </c>
      <c r="E39" s="23" t="s">
        <v>650</v>
      </c>
      <c r="F39" s="23" t="s">
        <v>650</v>
      </c>
      <c r="G39" s="23" t="s">
        <v>650</v>
      </c>
      <c r="H39" s="23" t="s">
        <v>650</v>
      </c>
      <c r="I39" t="s">
        <v>542</v>
      </c>
      <c r="J39" t="s">
        <v>542</v>
      </c>
      <c r="K39" t="s">
        <v>542</v>
      </c>
      <c r="N39" s="10" t="s">
        <v>431</v>
      </c>
      <c r="O39" t="s">
        <v>593</v>
      </c>
      <c r="P39" s="10"/>
    </row>
    <row r="40" spans="2:16">
      <c r="B40" t="s">
        <v>1243</v>
      </c>
      <c r="C40" t="s">
        <v>542</v>
      </c>
      <c r="D40" t="s">
        <v>542</v>
      </c>
      <c r="E40" s="23" t="s">
        <v>650</v>
      </c>
      <c r="F40" s="23" t="s">
        <v>650</v>
      </c>
      <c r="G40" s="23" t="s">
        <v>650</v>
      </c>
      <c r="H40" s="23" t="s">
        <v>650</v>
      </c>
      <c r="I40" t="s">
        <v>542</v>
      </c>
      <c r="J40" t="s">
        <v>542</v>
      </c>
      <c r="K40" t="s">
        <v>542</v>
      </c>
      <c r="N40" s="10" t="s">
        <v>595</v>
      </c>
      <c r="O40" t="s">
        <v>594</v>
      </c>
      <c r="P40" s="10"/>
    </row>
    <row r="41" spans="2:16">
      <c r="B41" t="s">
        <v>1244</v>
      </c>
      <c r="C41" t="s">
        <v>542</v>
      </c>
      <c r="D41" s="23" t="s">
        <v>650</v>
      </c>
      <c r="E41" s="23" t="s">
        <v>650</v>
      </c>
      <c r="F41" s="23" t="s">
        <v>650</v>
      </c>
      <c r="G41" s="23" t="s">
        <v>650</v>
      </c>
      <c r="H41" s="23" t="s">
        <v>650</v>
      </c>
      <c r="I41" t="s">
        <v>542</v>
      </c>
      <c r="J41" t="s">
        <v>542</v>
      </c>
      <c r="K41" t="s">
        <v>542</v>
      </c>
      <c r="N41" s="10" t="s">
        <v>597</v>
      </c>
      <c r="O41" t="s">
        <v>596</v>
      </c>
      <c r="P41" s="10"/>
    </row>
    <row r="42" spans="2:16">
      <c r="B42" t="s">
        <v>1245</v>
      </c>
      <c r="C42" t="s">
        <v>542</v>
      </c>
      <c r="D42" t="s">
        <v>542</v>
      </c>
      <c r="E42" s="23" t="s">
        <v>650</v>
      </c>
      <c r="F42" s="23" t="s">
        <v>650</v>
      </c>
      <c r="G42" s="23" t="s">
        <v>650</v>
      </c>
      <c r="H42" s="23" t="s">
        <v>650</v>
      </c>
      <c r="I42" t="s">
        <v>542</v>
      </c>
      <c r="J42" t="s">
        <v>542</v>
      </c>
      <c r="K42" t="s">
        <v>542</v>
      </c>
      <c r="N42" s="10" t="s">
        <v>316</v>
      </c>
      <c r="O42" t="s">
        <v>598</v>
      </c>
    </row>
    <row r="43" spans="2:16">
      <c r="B43" s="25" t="s">
        <v>1564</v>
      </c>
      <c r="C43" s="25">
        <v>0</v>
      </c>
      <c r="D43" s="27">
        <f>3/5</f>
        <v>0.6</v>
      </c>
      <c r="E43" s="27">
        <v>1</v>
      </c>
      <c r="F43" s="27">
        <v>1</v>
      </c>
      <c r="G43" s="27">
        <v>1</v>
      </c>
      <c r="H43" s="27">
        <f>4/5</f>
        <v>0.8</v>
      </c>
      <c r="I43" s="25">
        <v>0</v>
      </c>
      <c r="J43" s="25">
        <v>0</v>
      </c>
      <c r="K43" s="25">
        <v>0</v>
      </c>
      <c r="L43" s="25"/>
      <c r="M43" s="25"/>
      <c r="N43" s="26"/>
      <c r="O43" s="25"/>
    </row>
    <row r="44" spans="2:16">
      <c r="B44" t="s">
        <v>1405</v>
      </c>
      <c r="L44" t="s">
        <v>584</v>
      </c>
      <c r="M44" t="s">
        <v>584</v>
      </c>
      <c r="N44" s="10" t="s">
        <v>599</v>
      </c>
      <c r="O44" t="s">
        <v>1620</v>
      </c>
    </row>
    <row r="45" spans="2:16">
      <c r="B45" t="s">
        <v>1406</v>
      </c>
      <c r="L45" s="23" t="s">
        <v>650</v>
      </c>
      <c r="M45" t="s">
        <v>542</v>
      </c>
      <c r="N45" s="10" t="s">
        <v>600</v>
      </c>
      <c r="O45" t="s">
        <v>1621</v>
      </c>
    </row>
    <row r="46" spans="2:16">
      <c r="B46" t="s">
        <v>1407</v>
      </c>
      <c r="L46" s="23" t="s">
        <v>650</v>
      </c>
      <c r="M46" s="23" t="s">
        <v>650</v>
      </c>
      <c r="N46" s="10" t="s">
        <v>601</v>
      </c>
      <c r="O46" t="s">
        <v>1619</v>
      </c>
    </row>
    <row r="47" spans="2:16">
      <c r="B47" t="s">
        <v>1408</v>
      </c>
      <c r="L47" s="23" t="s">
        <v>650</v>
      </c>
      <c r="M47" s="23" t="s">
        <v>650</v>
      </c>
      <c r="N47" s="10" t="s">
        <v>602</v>
      </c>
      <c r="O47" t="s">
        <v>1617</v>
      </c>
    </row>
    <row r="48" spans="2:16">
      <c r="B48" t="s">
        <v>1409</v>
      </c>
      <c r="L48" t="s">
        <v>542</v>
      </c>
      <c r="M48" t="s">
        <v>542</v>
      </c>
      <c r="N48" s="10" t="s">
        <v>604</v>
      </c>
      <c r="O48" t="s">
        <v>1618</v>
      </c>
    </row>
    <row r="49" spans="2:16">
      <c r="B49" s="25" t="s">
        <v>1564</v>
      </c>
      <c r="C49" s="25"/>
      <c r="D49" s="27"/>
      <c r="E49" s="27"/>
      <c r="F49" s="27"/>
      <c r="G49" s="27"/>
      <c r="H49" s="27"/>
      <c r="I49" s="25"/>
      <c r="J49" s="25"/>
      <c r="K49" s="25"/>
      <c r="L49" s="25">
        <v>0.75</v>
      </c>
      <c r="M49" s="25">
        <v>0.5</v>
      </c>
      <c r="N49" s="26"/>
      <c r="O49" s="25"/>
    </row>
    <row r="50" spans="2:16">
      <c r="B50" t="s">
        <v>1246</v>
      </c>
      <c r="C50" t="s">
        <v>542</v>
      </c>
      <c r="D50" t="s">
        <v>542</v>
      </c>
      <c r="E50" t="s">
        <v>542</v>
      </c>
      <c r="F50" t="s">
        <v>542</v>
      </c>
      <c r="G50" t="s">
        <v>542</v>
      </c>
      <c r="H50" t="s">
        <v>542</v>
      </c>
      <c r="I50" t="s">
        <v>542</v>
      </c>
      <c r="J50" t="s">
        <v>542</v>
      </c>
      <c r="K50" t="s">
        <v>542</v>
      </c>
      <c r="N50" s="10" t="s">
        <v>478</v>
      </c>
      <c r="O50" t="s">
        <v>605</v>
      </c>
    </row>
    <row r="51" spans="2:16">
      <c r="B51" t="s">
        <v>1247</v>
      </c>
      <c r="C51" t="s">
        <v>542</v>
      </c>
      <c r="D51" t="s">
        <v>542</v>
      </c>
      <c r="E51" t="s">
        <v>542</v>
      </c>
      <c r="F51" t="s">
        <v>542</v>
      </c>
      <c r="G51" t="s">
        <v>542</v>
      </c>
      <c r="H51" t="s">
        <v>542</v>
      </c>
      <c r="I51" t="s">
        <v>542</v>
      </c>
      <c r="J51" t="s">
        <v>542</v>
      </c>
      <c r="K51" t="s">
        <v>542</v>
      </c>
      <c r="N51" s="10" t="s">
        <v>176</v>
      </c>
      <c r="O51" t="s">
        <v>606</v>
      </c>
    </row>
    <row r="52" spans="2:16">
      <c r="B52" t="s">
        <v>1248</v>
      </c>
      <c r="C52" t="s">
        <v>542</v>
      </c>
      <c r="D52" t="s">
        <v>542</v>
      </c>
      <c r="E52" t="s">
        <v>542</v>
      </c>
      <c r="F52" t="s">
        <v>542</v>
      </c>
      <c r="G52" t="s">
        <v>542</v>
      </c>
      <c r="H52" t="s">
        <v>542</v>
      </c>
      <c r="I52" t="s">
        <v>542</v>
      </c>
      <c r="J52" t="s">
        <v>542</v>
      </c>
      <c r="K52" t="s">
        <v>542</v>
      </c>
      <c r="N52" s="10" t="s">
        <v>73</v>
      </c>
      <c r="O52" t="s">
        <v>607</v>
      </c>
    </row>
    <row r="53" spans="2:16">
      <c r="B53" t="s">
        <v>1249</v>
      </c>
      <c r="C53" t="s">
        <v>542</v>
      </c>
      <c r="D53" t="s">
        <v>542</v>
      </c>
      <c r="E53" t="s">
        <v>542</v>
      </c>
      <c r="F53" t="s">
        <v>542</v>
      </c>
      <c r="G53" t="s">
        <v>542</v>
      </c>
      <c r="H53" t="s">
        <v>542</v>
      </c>
      <c r="I53" t="s">
        <v>542</v>
      </c>
      <c r="J53" t="s">
        <v>542</v>
      </c>
      <c r="K53" t="s">
        <v>542</v>
      </c>
      <c r="N53" s="10" t="s">
        <v>264</v>
      </c>
      <c r="O53" t="s">
        <v>608</v>
      </c>
    </row>
    <row r="54" spans="2:16">
      <c r="B54" t="s">
        <v>1250</v>
      </c>
      <c r="C54" t="s">
        <v>542</v>
      </c>
      <c r="D54" t="s">
        <v>542</v>
      </c>
      <c r="E54" t="s">
        <v>542</v>
      </c>
      <c r="F54" t="s">
        <v>542</v>
      </c>
      <c r="G54" t="s">
        <v>542</v>
      </c>
      <c r="H54" t="s">
        <v>542</v>
      </c>
      <c r="I54" t="s">
        <v>542</v>
      </c>
      <c r="J54" t="s">
        <v>542</v>
      </c>
      <c r="K54" t="s">
        <v>542</v>
      </c>
      <c r="N54" s="10" t="s">
        <v>375</v>
      </c>
      <c r="O54" t="s">
        <v>609</v>
      </c>
    </row>
    <row r="55" spans="2:16">
      <c r="B55" s="25" t="s">
        <v>1564</v>
      </c>
      <c r="C55" s="25">
        <v>0</v>
      </c>
      <c r="D55" s="27">
        <v>0</v>
      </c>
      <c r="E55" s="27">
        <v>0</v>
      </c>
      <c r="F55" s="27">
        <v>0</v>
      </c>
      <c r="G55" s="27">
        <v>0</v>
      </c>
      <c r="H55" s="27">
        <v>0</v>
      </c>
      <c r="I55" s="25">
        <v>0</v>
      </c>
      <c r="J55" s="25">
        <v>0</v>
      </c>
      <c r="K55" s="25">
        <v>0</v>
      </c>
      <c r="L55" s="25"/>
      <c r="M55" s="25"/>
      <c r="N55" s="26"/>
      <c r="O55" s="25"/>
    </row>
    <row r="56" spans="2:16">
      <c r="B56" t="s">
        <v>1410</v>
      </c>
      <c r="L56" t="s">
        <v>542</v>
      </c>
      <c r="M56" t="s">
        <v>542</v>
      </c>
      <c r="N56" s="10" t="s">
        <v>610</v>
      </c>
      <c r="O56" t="s">
        <v>1683</v>
      </c>
      <c r="P56" s="10"/>
    </row>
    <row r="57" spans="2:16">
      <c r="B57" t="s">
        <v>1411</v>
      </c>
      <c r="L57" t="s">
        <v>542</v>
      </c>
      <c r="M57" t="s">
        <v>542</v>
      </c>
      <c r="N57" s="10" t="s">
        <v>611</v>
      </c>
      <c r="O57" t="s">
        <v>1684</v>
      </c>
      <c r="P57" s="10"/>
    </row>
    <row r="58" spans="2:16">
      <c r="B58" t="s">
        <v>1412</v>
      </c>
      <c r="L58" s="23" t="s">
        <v>650</v>
      </c>
      <c r="M58" t="s">
        <v>542</v>
      </c>
      <c r="N58" s="10" t="s">
        <v>612</v>
      </c>
      <c r="O58" t="s">
        <v>1681</v>
      </c>
      <c r="P58" s="10"/>
    </row>
    <row r="59" spans="2:16">
      <c r="B59" t="s">
        <v>1413</v>
      </c>
      <c r="L59" t="s">
        <v>584</v>
      </c>
      <c r="M59" s="23" t="s">
        <v>650</v>
      </c>
      <c r="N59" s="10" t="s">
        <v>613</v>
      </c>
      <c r="O59" t="s">
        <v>1682</v>
      </c>
      <c r="P59" s="10"/>
    </row>
    <row r="60" spans="2:16">
      <c r="B60" t="s">
        <v>1414</v>
      </c>
      <c r="L60" t="s">
        <v>542</v>
      </c>
      <c r="M60" s="23" t="s">
        <v>650</v>
      </c>
      <c r="N60" s="10" t="s">
        <v>615</v>
      </c>
      <c r="O60" t="s">
        <v>1685</v>
      </c>
      <c r="P60" s="10"/>
    </row>
    <row r="61" spans="2:16">
      <c r="B61" s="25" t="s">
        <v>1564</v>
      </c>
      <c r="C61" s="25"/>
      <c r="D61" s="27"/>
      <c r="E61" s="27"/>
      <c r="F61" s="27"/>
      <c r="G61" s="27"/>
      <c r="H61" s="27"/>
      <c r="I61" s="25"/>
      <c r="J61" s="25"/>
      <c r="K61" s="25"/>
      <c r="L61" s="25">
        <f>1/4</f>
        <v>0.25</v>
      </c>
      <c r="M61" s="25">
        <f>2/5</f>
        <v>0.4</v>
      </c>
      <c r="N61" s="26"/>
      <c r="O61" s="25"/>
      <c r="P61" s="10"/>
    </row>
    <row r="62" spans="2:16">
      <c r="B62" t="s">
        <v>1251</v>
      </c>
      <c r="C62" t="s">
        <v>542</v>
      </c>
      <c r="D62" t="s">
        <v>542</v>
      </c>
      <c r="E62" t="s">
        <v>542</v>
      </c>
      <c r="F62" t="s">
        <v>542</v>
      </c>
      <c r="G62" t="s">
        <v>542</v>
      </c>
      <c r="H62" t="s">
        <v>542</v>
      </c>
      <c r="I62" t="s">
        <v>542</v>
      </c>
      <c r="J62" t="s">
        <v>542</v>
      </c>
      <c r="K62" t="s">
        <v>542</v>
      </c>
      <c r="N62" s="10" t="s">
        <v>617</v>
      </c>
      <c r="O62" t="s">
        <v>616</v>
      </c>
      <c r="P62" s="10"/>
    </row>
    <row r="63" spans="2:16">
      <c r="B63" t="s">
        <v>1252</v>
      </c>
      <c r="C63" t="s">
        <v>542</v>
      </c>
      <c r="D63" t="s">
        <v>542</v>
      </c>
      <c r="E63" t="s">
        <v>542</v>
      </c>
      <c r="F63" t="s">
        <v>542</v>
      </c>
      <c r="G63" t="s">
        <v>542</v>
      </c>
      <c r="H63" t="s">
        <v>542</v>
      </c>
      <c r="I63" t="s">
        <v>542</v>
      </c>
      <c r="J63" t="s">
        <v>542</v>
      </c>
      <c r="K63" t="s">
        <v>542</v>
      </c>
      <c r="N63" s="10" t="s">
        <v>396</v>
      </c>
      <c r="O63" t="s">
        <v>618</v>
      </c>
      <c r="P63" s="10"/>
    </row>
    <row r="64" spans="2:16">
      <c r="B64" t="s">
        <v>1253</v>
      </c>
      <c r="C64" t="s">
        <v>542</v>
      </c>
      <c r="D64" t="s">
        <v>542</v>
      </c>
      <c r="E64" t="s">
        <v>542</v>
      </c>
      <c r="F64" t="s">
        <v>542</v>
      </c>
      <c r="G64" t="s">
        <v>542</v>
      </c>
      <c r="H64" t="s">
        <v>542</v>
      </c>
      <c r="I64" t="s">
        <v>542</v>
      </c>
      <c r="J64" t="s">
        <v>542</v>
      </c>
      <c r="K64" t="s">
        <v>542</v>
      </c>
      <c r="N64" s="10" t="s">
        <v>249</v>
      </c>
      <c r="O64" t="s">
        <v>619</v>
      </c>
      <c r="P64" s="10"/>
    </row>
    <row r="65" spans="2:16">
      <c r="B65" t="s">
        <v>1254</v>
      </c>
      <c r="C65" t="s">
        <v>542</v>
      </c>
      <c r="D65" t="s">
        <v>542</v>
      </c>
      <c r="E65" t="s">
        <v>542</v>
      </c>
      <c r="F65" t="s">
        <v>542</v>
      </c>
      <c r="G65" t="s">
        <v>542</v>
      </c>
      <c r="H65" t="s">
        <v>542</v>
      </c>
      <c r="I65" t="s">
        <v>542</v>
      </c>
      <c r="J65" t="s">
        <v>542</v>
      </c>
      <c r="K65" t="s">
        <v>542</v>
      </c>
      <c r="N65" s="10" t="s">
        <v>517</v>
      </c>
      <c r="O65" t="s">
        <v>620</v>
      </c>
      <c r="P65" s="10"/>
    </row>
    <row r="66" spans="2:16">
      <c r="B66" t="s">
        <v>1255</v>
      </c>
      <c r="C66" t="s">
        <v>542</v>
      </c>
      <c r="D66" t="s">
        <v>542</v>
      </c>
      <c r="E66" t="s">
        <v>542</v>
      </c>
      <c r="F66" t="s">
        <v>542</v>
      </c>
      <c r="G66" t="s">
        <v>542</v>
      </c>
      <c r="H66" t="s">
        <v>542</v>
      </c>
      <c r="I66" t="s">
        <v>542</v>
      </c>
      <c r="J66" t="s">
        <v>542</v>
      </c>
      <c r="K66" t="s">
        <v>542</v>
      </c>
      <c r="N66" s="10" t="s">
        <v>482</v>
      </c>
      <c r="O66" t="s">
        <v>621</v>
      </c>
    </row>
    <row r="67" spans="2:16">
      <c r="B67" s="25" t="s">
        <v>1564</v>
      </c>
      <c r="C67" s="25">
        <v>0</v>
      </c>
      <c r="D67" s="27">
        <v>0</v>
      </c>
      <c r="E67" s="27">
        <v>0</v>
      </c>
      <c r="F67" s="27">
        <v>0</v>
      </c>
      <c r="G67" s="27">
        <v>0</v>
      </c>
      <c r="H67" s="27">
        <v>0</v>
      </c>
      <c r="I67" s="25">
        <v>0</v>
      </c>
      <c r="J67" s="25">
        <v>0</v>
      </c>
      <c r="K67" s="25">
        <v>0</v>
      </c>
      <c r="L67" s="25"/>
      <c r="M67" s="25"/>
      <c r="N67" s="26"/>
      <c r="O67" s="25"/>
    </row>
    <row r="68" spans="2:16">
      <c r="B68" t="s">
        <v>1415</v>
      </c>
      <c r="L68" s="23" t="s">
        <v>650</v>
      </c>
      <c r="M68" t="s">
        <v>542</v>
      </c>
      <c r="N68" s="10" t="s">
        <v>622</v>
      </c>
      <c r="O68" t="s">
        <v>1680</v>
      </c>
    </row>
    <row r="69" spans="2:16">
      <c r="B69" t="s">
        <v>1416</v>
      </c>
      <c r="L69" s="23" t="s">
        <v>650</v>
      </c>
      <c r="M69" t="s">
        <v>542</v>
      </c>
      <c r="N69" s="10" t="s">
        <v>623</v>
      </c>
      <c r="O69" t="s">
        <v>1678</v>
      </c>
    </row>
    <row r="70" spans="2:16">
      <c r="B70" t="s">
        <v>1417</v>
      </c>
      <c r="L70" s="23" t="s">
        <v>650</v>
      </c>
      <c r="M70" t="s">
        <v>542</v>
      </c>
      <c r="N70" s="10" t="s">
        <v>624</v>
      </c>
      <c r="O70" t="s">
        <v>1677</v>
      </c>
    </row>
    <row r="71" spans="2:16">
      <c r="B71" t="s">
        <v>1418</v>
      </c>
      <c r="L71" t="s">
        <v>542</v>
      </c>
      <c r="M71" t="s">
        <v>542</v>
      </c>
      <c r="N71" s="10" t="s">
        <v>625</v>
      </c>
      <c r="O71" t="s">
        <v>1686</v>
      </c>
    </row>
    <row r="72" spans="2:16">
      <c r="B72" t="s">
        <v>1419</v>
      </c>
      <c r="L72" s="23" t="s">
        <v>650</v>
      </c>
      <c r="M72" s="23" t="s">
        <v>650</v>
      </c>
      <c r="N72" s="10" t="s">
        <v>626</v>
      </c>
      <c r="O72" t="s">
        <v>1679</v>
      </c>
    </row>
    <row r="73" spans="2:16">
      <c r="B73" s="25" t="s">
        <v>1564</v>
      </c>
      <c r="C73" s="25"/>
      <c r="D73" s="27"/>
      <c r="E73" s="27"/>
      <c r="F73" s="27"/>
      <c r="G73" s="27"/>
      <c r="H73" s="27"/>
      <c r="I73" s="25"/>
      <c r="J73" s="25"/>
      <c r="K73" s="25"/>
      <c r="L73" s="25">
        <f>4/5</f>
        <v>0.8</v>
      </c>
      <c r="M73" s="25">
        <f>1/5</f>
        <v>0.2</v>
      </c>
      <c r="N73" s="26"/>
      <c r="O73" s="25"/>
    </row>
    <row r="74" spans="2:16">
      <c r="B74" t="s">
        <v>1256</v>
      </c>
      <c r="C74" t="s">
        <v>542</v>
      </c>
      <c r="D74" t="s">
        <v>542</v>
      </c>
      <c r="E74" s="23" t="s">
        <v>650</v>
      </c>
      <c r="F74" s="23" t="s">
        <v>650</v>
      </c>
      <c r="G74" s="23" t="s">
        <v>650</v>
      </c>
      <c r="H74" t="s">
        <v>542</v>
      </c>
      <c r="I74" t="s">
        <v>542</v>
      </c>
      <c r="J74" t="s">
        <v>542</v>
      </c>
      <c r="K74" t="s">
        <v>542</v>
      </c>
      <c r="N74" s="10" t="s">
        <v>203</v>
      </c>
      <c r="O74" t="s">
        <v>627</v>
      </c>
    </row>
    <row r="75" spans="2:16">
      <c r="B75" t="s">
        <v>1257</v>
      </c>
      <c r="C75" t="s">
        <v>542</v>
      </c>
      <c r="D75" t="s">
        <v>542</v>
      </c>
      <c r="E75" s="23" t="s">
        <v>650</v>
      </c>
      <c r="F75" s="23" t="s">
        <v>650</v>
      </c>
      <c r="G75" s="23" t="s">
        <v>650</v>
      </c>
      <c r="H75" s="23" t="s">
        <v>650</v>
      </c>
      <c r="I75" t="s">
        <v>542</v>
      </c>
      <c r="J75" t="s">
        <v>542</v>
      </c>
      <c r="K75" t="s">
        <v>542</v>
      </c>
      <c r="N75" s="10" t="s">
        <v>46</v>
      </c>
      <c r="O75" t="s">
        <v>628</v>
      </c>
    </row>
    <row r="76" spans="2:16">
      <c r="B76" t="s">
        <v>1258</v>
      </c>
      <c r="C76" t="s">
        <v>542</v>
      </c>
      <c r="D76" t="s">
        <v>542</v>
      </c>
      <c r="E76" s="23" t="s">
        <v>650</v>
      </c>
      <c r="F76" s="23" t="s">
        <v>650</v>
      </c>
      <c r="G76" s="23" t="s">
        <v>650</v>
      </c>
      <c r="H76" t="s">
        <v>542</v>
      </c>
      <c r="I76" t="s">
        <v>542</v>
      </c>
      <c r="J76" t="s">
        <v>542</v>
      </c>
      <c r="K76" t="s">
        <v>542</v>
      </c>
      <c r="N76" s="10" t="s">
        <v>83</v>
      </c>
      <c r="O76" t="s">
        <v>629</v>
      </c>
    </row>
    <row r="77" spans="2:16">
      <c r="B77" t="s">
        <v>1259</v>
      </c>
      <c r="C77" t="s">
        <v>542</v>
      </c>
      <c r="D77" t="s">
        <v>542</v>
      </c>
      <c r="E77" s="23" t="s">
        <v>650</v>
      </c>
      <c r="F77" s="23" t="s">
        <v>650</v>
      </c>
      <c r="G77" s="23" t="s">
        <v>650</v>
      </c>
      <c r="H77" t="s">
        <v>542</v>
      </c>
      <c r="I77" t="s">
        <v>542</v>
      </c>
      <c r="J77" t="s">
        <v>542</v>
      </c>
      <c r="K77" t="s">
        <v>542</v>
      </c>
      <c r="N77" s="10" t="s">
        <v>402</v>
      </c>
      <c r="O77" t="s">
        <v>630</v>
      </c>
    </row>
    <row r="78" spans="2:16">
      <c r="B78" t="s">
        <v>1260</v>
      </c>
      <c r="C78" t="s">
        <v>542</v>
      </c>
      <c r="D78" t="s">
        <v>542</v>
      </c>
      <c r="E78" s="23" t="s">
        <v>650</v>
      </c>
      <c r="F78" s="23" t="s">
        <v>650</v>
      </c>
      <c r="G78" s="23" t="s">
        <v>650</v>
      </c>
      <c r="H78" t="s">
        <v>542</v>
      </c>
      <c r="I78" t="s">
        <v>542</v>
      </c>
      <c r="J78" t="s">
        <v>542</v>
      </c>
      <c r="K78" t="s">
        <v>542</v>
      </c>
      <c r="N78" s="10" t="s">
        <v>229</v>
      </c>
      <c r="O78" t="s">
        <v>631</v>
      </c>
    </row>
    <row r="79" spans="2:16">
      <c r="B79" s="25" t="s">
        <v>1564</v>
      </c>
      <c r="C79" s="25">
        <v>0</v>
      </c>
      <c r="D79" s="27">
        <v>0</v>
      </c>
      <c r="E79" s="27">
        <v>1</v>
      </c>
      <c r="F79" s="27">
        <v>1</v>
      </c>
      <c r="G79" s="27">
        <v>1</v>
      </c>
      <c r="H79" s="27">
        <f>1/5</f>
        <v>0.2</v>
      </c>
      <c r="I79" s="25">
        <v>0</v>
      </c>
      <c r="J79" s="25">
        <v>0</v>
      </c>
      <c r="K79" s="25">
        <v>0</v>
      </c>
      <c r="L79" s="25"/>
      <c r="M79" s="25"/>
      <c r="N79" s="26"/>
      <c r="O79" s="25"/>
    </row>
    <row r="80" spans="2:16">
      <c r="B80" t="s">
        <v>1420</v>
      </c>
      <c r="L80" t="s">
        <v>542</v>
      </c>
      <c r="M80" s="23" t="s">
        <v>650</v>
      </c>
      <c r="N80" s="10" t="s">
        <v>632</v>
      </c>
      <c r="O80" t="s">
        <v>1636</v>
      </c>
      <c r="P80" s="10"/>
    </row>
    <row r="81" spans="2:16">
      <c r="B81" t="s">
        <v>1421</v>
      </c>
      <c r="L81" t="s">
        <v>584</v>
      </c>
      <c r="M81" t="s">
        <v>584</v>
      </c>
      <c r="N81" s="10" t="s">
        <v>633</v>
      </c>
      <c r="O81" t="s">
        <v>1633</v>
      </c>
      <c r="P81" s="10"/>
    </row>
    <row r="82" spans="2:16">
      <c r="B82" t="s">
        <v>1422</v>
      </c>
      <c r="L82" s="23" t="s">
        <v>650</v>
      </c>
      <c r="M82" s="23" t="s">
        <v>650</v>
      </c>
      <c r="N82" s="10" t="s">
        <v>634</v>
      </c>
      <c r="O82" t="s">
        <v>1635</v>
      </c>
      <c r="P82" s="10"/>
    </row>
    <row r="83" spans="2:16">
      <c r="B83" t="s">
        <v>1423</v>
      </c>
      <c r="L83" s="23" t="s">
        <v>650</v>
      </c>
      <c r="M83" t="s">
        <v>542</v>
      </c>
      <c r="N83" s="10" t="s">
        <v>635</v>
      </c>
      <c r="O83" t="s">
        <v>1634</v>
      </c>
      <c r="P83" s="10"/>
    </row>
    <row r="84" spans="2:16">
      <c r="B84" t="s">
        <v>1424</v>
      </c>
      <c r="L84" t="s">
        <v>542</v>
      </c>
      <c r="M84" t="s">
        <v>542</v>
      </c>
      <c r="N84" s="10" t="s">
        <v>636</v>
      </c>
      <c r="O84" t="s">
        <v>1632</v>
      </c>
      <c r="P84" s="10"/>
    </row>
    <row r="85" spans="2:16">
      <c r="B85" s="25" t="s">
        <v>1564</v>
      </c>
      <c r="C85" s="25"/>
      <c r="D85" s="27"/>
      <c r="E85" s="27"/>
      <c r="F85" s="27"/>
      <c r="G85" s="27"/>
      <c r="H85" s="27"/>
      <c r="I85" s="25"/>
      <c r="J85" s="25"/>
      <c r="K85" s="25"/>
      <c r="L85" s="25">
        <v>0.5</v>
      </c>
      <c r="M85" s="25">
        <f>2/4</f>
        <v>0.5</v>
      </c>
      <c r="N85" s="26"/>
      <c r="O85" s="25"/>
      <c r="P85" s="10"/>
    </row>
    <row r="86" spans="2:16">
      <c r="B86" t="s">
        <v>1261</v>
      </c>
      <c r="C86" t="s">
        <v>542</v>
      </c>
      <c r="D86" t="s">
        <v>542</v>
      </c>
      <c r="E86" s="23" t="s">
        <v>650</v>
      </c>
      <c r="F86" s="23" t="s">
        <v>650</v>
      </c>
      <c r="G86" s="23" t="s">
        <v>650</v>
      </c>
      <c r="H86" s="23" t="s">
        <v>650</v>
      </c>
      <c r="I86" s="23" t="s">
        <v>650</v>
      </c>
      <c r="J86" t="s">
        <v>542</v>
      </c>
      <c r="K86" t="s">
        <v>542</v>
      </c>
      <c r="N86" s="10" t="s">
        <v>343</v>
      </c>
      <c r="O86" t="s">
        <v>637</v>
      </c>
      <c r="P86" s="10"/>
    </row>
    <row r="87" spans="2:16">
      <c r="B87" t="s">
        <v>1262</v>
      </c>
      <c r="C87" t="s">
        <v>542</v>
      </c>
      <c r="D87" s="23" t="s">
        <v>650</v>
      </c>
      <c r="E87" s="23" t="s">
        <v>650</v>
      </c>
      <c r="F87" s="23" t="s">
        <v>650</v>
      </c>
      <c r="G87" s="23" t="s">
        <v>650</v>
      </c>
      <c r="H87" s="23" t="s">
        <v>650</v>
      </c>
      <c r="I87" t="s">
        <v>542</v>
      </c>
      <c r="J87" t="s">
        <v>542</v>
      </c>
      <c r="K87" t="s">
        <v>542</v>
      </c>
      <c r="N87" s="10" t="s">
        <v>419</v>
      </c>
      <c r="O87" t="s">
        <v>638</v>
      </c>
      <c r="P87" s="10"/>
    </row>
    <row r="88" spans="2:16">
      <c r="B88" t="s">
        <v>1263</v>
      </c>
      <c r="C88" t="s">
        <v>542</v>
      </c>
      <c r="D88" t="s">
        <v>542</v>
      </c>
      <c r="E88" s="23" t="s">
        <v>650</v>
      </c>
      <c r="F88" s="23" t="s">
        <v>650</v>
      </c>
      <c r="G88" s="23" t="s">
        <v>650</v>
      </c>
      <c r="H88" s="23" t="s">
        <v>650</v>
      </c>
      <c r="I88" t="s">
        <v>542</v>
      </c>
      <c r="J88" t="s">
        <v>542</v>
      </c>
      <c r="K88" t="s">
        <v>542</v>
      </c>
      <c r="N88" s="10" t="s">
        <v>640</v>
      </c>
      <c r="O88" t="s">
        <v>639</v>
      </c>
      <c r="P88" s="10"/>
    </row>
    <row r="89" spans="2:16">
      <c r="B89" t="s">
        <v>1264</v>
      </c>
      <c r="C89" t="s">
        <v>542</v>
      </c>
      <c r="D89" t="s">
        <v>542</v>
      </c>
      <c r="E89" s="23" t="s">
        <v>650</v>
      </c>
      <c r="F89" s="23" t="s">
        <v>650</v>
      </c>
      <c r="G89" s="23" t="s">
        <v>650</v>
      </c>
      <c r="H89" s="23" t="s">
        <v>650</v>
      </c>
      <c r="I89" t="s">
        <v>542</v>
      </c>
      <c r="J89" t="s">
        <v>542</v>
      </c>
      <c r="K89" t="s">
        <v>542</v>
      </c>
      <c r="N89" s="10" t="s">
        <v>437</v>
      </c>
      <c r="O89" t="s">
        <v>641</v>
      </c>
      <c r="P89" s="10"/>
    </row>
    <row r="90" spans="2:16">
      <c r="B90" t="s">
        <v>1265</v>
      </c>
      <c r="C90" t="s">
        <v>542</v>
      </c>
      <c r="D90" t="s">
        <v>542</v>
      </c>
      <c r="E90" s="23" t="s">
        <v>650</v>
      </c>
      <c r="F90" s="23" t="s">
        <v>650</v>
      </c>
      <c r="G90" s="23" t="s">
        <v>650</v>
      </c>
      <c r="H90" s="23" t="s">
        <v>650</v>
      </c>
      <c r="I90" t="s">
        <v>542</v>
      </c>
      <c r="J90" t="s">
        <v>542</v>
      </c>
      <c r="K90" t="s">
        <v>542</v>
      </c>
      <c r="N90" s="10" t="s">
        <v>422</v>
      </c>
      <c r="O90" t="s">
        <v>642</v>
      </c>
    </row>
    <row r="91" spans="2:16">
      <c r="B91" s="25" t="s">
        <v>1564</v>
      </c>
      <c r="C91" s="25">
        <v>0</v>
      </c>
      <c r="D91" s="27">
        <f>1/5</f>
        <v>0.2</v>
      </c>
      <c r="E91" s="27">
        <v>1</v>
      </c>
      <c r="F91" s="27">
        <v>1</v>
      </c>
      <c r="G91" s="27">
        <v>1</v>
      </c>
      <c r="H91" s="27">
        <v>1</v>
      </c>
      <c r="I91" s="25">
        <f>1/5</f>
        <v>0.2</v>
      </c>
      <c r="J91" s="25">
        <v>0</v>
      </c>
      <c r="K91" s="25">
        <v>0</v>
      </c>
      <c r="L91" s="25"/>
      <c r="M91" s="25"/>
      <c r="N91" s="26"/>
      <c r="O91" s="25"/>
    </row>
    <row r="92" spans="2:16">
      <c r="B92" t="s">
        <v>1425</v>
      </c>
      <c r="L92" t="s">
        <v>584</v>
      </c>
      <c r="M92" t="s">
        <v>584</v>
      </c>
      <c r="N92" s="10" t="s">
        <v>643</v>
      </c>
      <c r="O92" t="s">
        <v>1628</v>
      </c>
    </row>
    <row r="93" spans="2:16">
      <c r="B93" t="s">
        <v>1426</v>
      </c>
      <c r="L93" t="s">
        <v>542</v>
      </c>
      <c r="M93" t="s">
        <v>542</v>
      </c>
      <c r="N93" s="10" t="s">
        <v>644</v>
      </c>
      <c r="O93" t="s">
        <v>1631</v>
      </c>
    </row>
    <row r="94" spans="2:16">
      <c r="B94" t="s">
        <v>1427</v>
      </c>
      <c r="L94" s="23" t="s">
        <v>650</v>
      </c>
      <c r="M94" t="s">
        <v>542</v>
      </c>
      <c r="N94" s="10" t="s">
        <v>645</v>
      </c>
      <c r="O94" t="s">
        <v>1627</v>
      </c>
    </row>
    <row r="95" spans="2:16">
      <c r="B95" t="s">
        <v>1428</v>
      </c>
      <c r="L95" t="s">
        <v>542</v>
      </c>
      <c r="M95" t="s">
        <v>542</v>
      </c>
      <c r="N95" s="10" t="s">
        <v>647</v>
      </c>
      <c r="O95" t="s">
        <v>1629</v>
      </c>
    </row>
    <row r="96" spans="2:16">
      <c r="B96" t="s">
        <v>1429</v>
      </c>
      <c r="L96" t="s">
        <v>542</v>
      </c>
      <c r="M96" t="s">
        <v>542</v>
      </c>
      <c r="N96" s="10" t="s">
        <v>648</v>
      </c>
      <c r="O96" t="s">
        <v>1630</v>
      </c>
    </row>
    <row r="97" spans="2:17">
      <c r="B97" s="25" t="s">
        <v>1564</v>
      </c>
      <c r="C97" s="25"/>
      <c r="D97" s="27"/>
      <c r="E97" s="27"/>
      <c r="F97" s="27"/>
      <c r="G97" s="27"/>
      <c r="H97" s="27"/>
      <c r="I97" s="25"/>
      <c r="J97" s="25"/>
      <c r="K97" s="25"/>
      <c r="L97" s="25">
        <f>1/4</f>
        <v>0.25</v>
      </c>
      <c r="M97" s="25">
        <v>0</v>
      </c>
      <c r="N97" s="26"/>
      <c r="O97" s="25"/>
    </row>
    <row r="98" spans="2:17">
      <c r="B98" t="s">
        <v>1266</v>
      </c>
      <c r="C98" t="s">
        <v>542</v>
      </c>
      <c r="D98" t="s">
        <v>542</v>
      </c>
      <c r="E98" t="s">
        <v>650</v>
      </c>
      <c r="F98" t="s">
        <v>650</v>
      </c>
      <c r="G98" t="s">
        <v>650</v>
      </c>
      <c r="H98" t="s">
        <v>650</v>
      </c>
      <c r="I98" s="23" t="s">
        <v>650</v>
      </c>
      <c r="J98" s="23" t="s">
        <v>650</v>
      </c>
      <c r="K98" t="s">
        <v>542</v>
      </c>
      <c r="N98" s="10" t="s">
        <v>15</v>
      </c>
      <c r="O98" s="63" t="s">
        <v>1608</v>
      </c>
      <c r="P98" s="10"/>
      <c r="Q98" s="63"/>
    </row>
    <row r="99" spans="2:17">
      <c r="B99" t="s">
        <v>1267</v>
      </c>
      <c r="C99" t="s">
        <v>542</v>
      </c>
      <c r="D99" t="s">
        <v>542</v>
      </c>
      <c r="E99" t="s">
        <v>650</v>
      </c>
      <c r="F99" t="s">
        <v>542</v>
      </c>
      <c r="G99" t="s">
        <v>542</v>
      </c>
      <c r="H99" t="s">
        <v>542</v>
      </c>
      <c r="I99" s="23" t="s">
        <v>650</v>
      </c>
      <c r="J99" s="23" t="s">
        <v>650</v>
      </c>
      <c r="K99" t="s">
        <v>542</v>
      </c>
      <c r="N99" s="10" t="s">
        <v>406</v>
      </c>
      <c r="O99" s="63" t="s">
        <v>1607</v>
      </c>
      <c r="P99" s="10"/>
      <c r="Q99" s="63"/>
    </row>
    <row r="100" spans="2:17">
      <c r="B100" t="s">
        <v>1268</v>
      </c>
      <c r="C100" t="s">
        <v>650</v>
      </c>
      <c r="D100" t="s">
        <v>542</v>
      </c>
      <c r="E100" t="s">
        <v>650</v>
      </c>
      <c r="F100" t="s">
        <v>650</v>
      </c>
      <c r="G100" t="s">
        <v>650</v>
      </c>
      <c r="H100" t="s">
        <v>650</v>
      </c>
      <c r="I100" s="23" t="s">
        <v>650</v>
      </c>
      <c r="J100" s="23" t="s">
        <v>650</v>
      </c>
      <c r="K100" t="s">
        <v>542</v>
      </c>
      <c r="N100" s="10" t="s">
        <v>107</v>
      </c>
      <c r="O100" s="63" t="s">
        <v>1610</v>
      </c>
      <c r="P100" s="10"/>
      <c r="Q100" s="63"/>
    </row>
    <row r="101" spans="2:17">
      <c r="B101" t="s">
        <v>1269</v>
      </c>
      <c r="C101" t="s">
        <v>542</v>
      </c>
      <c r="D101" t="s">
        <v>542</v>
      </c>
      <c r="E101" t="s">
        <v>650</v>
      </c>
      <c r="F101" t="s">
        <v>650</v>
      </c>
      <c r="G101" t="s">
        <v>650</v>
      </c>
      <c r="H101" t="s">
        <v>650</v>
      </c>
      <c r="I101" s="23" t="s">
        <v>650</v>
      </c>
      <c r="J101" s="23" t="s">
        <v>650</v>
      </c>
      <c r="K101" t="s">
        <v>542</v>
      </c>
      <c r="N101" s="10" t="s">
        <v>327</v>
      </c>
      <c r="O101" s="63" t="s">
        <v>1609</v>
      </c>
      <c r="P101" s="10"/>
      <c r="Q101" s="63"/>
    </row>
    <row r="102" spans="2:17">
      <c r="B102" t="s">
        <v>1270</v>
      </c>
      <c r="C102" t="s">
        <v>542</v>
      </c>
      <c r="D102" t="s">
        <v>542</v>
      </c>
      <c r="E102" t="s">
        <v>650</v>
      </c>
      <c r="F102" t="s">
        <v>650</v>
      </c>
      <c r="G102" t="s">
        <v>650</v>
      </c>
      <c r="H102" t="s">
        <v>542</v>
      </c>
      <c r="I102" s="23" t="s">
        <v>650</v>
      </c>
      <c r="J102" s="23" t="s">
        <v>650</v>
      </c>
      <c r="K102" t="s">
        <v>542</v>
      </c>
      <c r="N102" s="10" t="s">
        <v>533</v>
      </c>
      <c r="O102" s="63" t="s">
        <v>1606</v>
      </c>
      <c r="P102" s="10"/>
      <c r="Q102" s="63"/>
    </row>
    <row r="103" spans="2:17">
      <c r="B103" s="25" t="s">
        <v>1564</v>
      </c>
      <c r="C103" s="25">
        <f>1/5</f>
        <v>0.2</v>
      </c>
      <c r="D103" s="27">
        <v>0</v>
      </c>
      <c r="E103" s="27">
        <v>1</v>
      </c>
      <c r="F103" s="27">
        <f>4/5</f>
        <v>0.8</v>
      </c>
      <c r="G103" s="27">
        <f>4/5</f>
        <v>0.8</v>
      </c>
      <c r="H103" s="27">
        <f>3/5</f>
        <v>0.6</v>
      </c>
      <c r="I103" s="25">
        <v>1</v>
      </c>
      <c r="J103" s="25">
        <v>1</v>
      </c>
      <c r="K103" s="25">
        <v>0</v>
      </c>
      <c r="L103" s="25"/>
      <c r="M103" s="25"/>
      <c r="N103" s="26"/>
      <c r="O103" s="25"/>
      <c r="P103" s="10"/>
      <c r="Q103" s="63"/>
    </row>
    <row r="104" spans="2:17">
      <c r="B104" t="s">
        <v>1430</v>
      </c>
      <c r="L104" t="s">
        <v>650</v>
      </c>
      <c r="M104" t="s">
        <v>542</v>
      </c>
      <c r="N104" s="10" t="s">
        <v>654</v>
      </c>
      <c r="O104" t="s">
        <v>1663</v>
      </c>
      <c r="P104" s="10"/>
    </row>
    <row r="105" spans="2:17">
      <c r="B105" t="s">
        <v>1431</v>
      </c>
      <c r="L105" t="s">
        <v>650</v>
      </c>
      <c r="M105" t="s">
        <v>650</v>
      </c>
      <c r="N105" s="10" t="s">
        <v>655</v>
      </c>
      <c r="O105" t="s">
        <v>1665</v>
      </c>
      <c r="P105" s="10"/>
    </row>
    <row r="106" spans="2:17">
      <c r="B106" t="s">
        <v>1432</v>
      </c>
      <c r="L106" t="s">
        <v>650</v>
      </c>
      <c r="M106" t="s">
        <v>650</v>
      </c>
      <c r="N106" s="10" t="s">
        <v>657</v>
      </c>
      <c r="O106" t="s">
        <v>1662</v>
      </c>
      <c r="P106" s="10"/>
    </row>
    <row r="107" spans="2:17">
      <c r="B107" t="s">
        <v>1433</v>
      </c>
      <c r="L107" t="s">
        <v>542</v>
      </c>
      <c r="M107" t="s">
        <v>542</v>
      </c>
      <c r="N107" s="10" t="s">
        <v>658</v>
      </c>
      <c r="O107" t="s">
        <v>1664</v>
      </c>
      <c r="P107" s="10"/>
    </row>
    <row r="108" spans="2:17">
      <c r="B108" t="s">
        <v>1434</v>
      </c>
      <c r="L108" t="s">
        <v>542</v>
      </c>
      <c r="M108" t="s">
        <v>542</v>
      </c>
      <c r="N108" s="10" t="s">
        <v>659</v>
      </c>
      <c r="O108" t="s">
        <v>1666</v>
      </c>
      <c r="P108" s="10"/>
    </row>
    <row r="109" spans="2:17">
      <c r="B109" s="25" t="s">
        <v>1564</v>
      </c>
      <c r="C109" s="25"/>
      <c r="D109" s="27"/>
      <c r="E109" s="27"/>
      <c r="F109" s="27"/>
      <c r="G109" s="27"/>
      <c r="H109" s="27"/>
      <c r="I109" s="25"/>
      <c r="J109" s="25"/>
      <c r="K109" s="25"/>
      <c r="L109" s="25">
        <f>3/5</f>
        <v>0.6</v>
      </c>
      <c r="M109" s="25">
        <f>2/5</f>
        <v>0.4</v>
      </c>
      <c r="N109" s="26"/>
      <c r="O109" s="25"/>
      <c r="P109" s="10"/>
    </row>
    <row r="110" spans="2:17">
      <c r="B110" t="s">
        <v>1271</v>
      </c>
      <c r="C110" t="s">
        <v>542</v>
      </c>
      <c r="D110" t="s">
        <v>650</v>
      </c>
      <c r="E110" t="s">
        <v>650</v>
      </c>
      <c r="F110" t="s">
        <v>650</v>
      </c>
      <c r="G110" t="s">
        <v>650</v>
      </c>
      <c r="H110" t="s">
        <v>650</v>
      </c>
      <c r="I110" s="23" t="s">
        <v>650</v>
      </c>
      <c r="J110" s="23" t="s">
        <v>650</v>
      </c>
      <c r="K110" t="s">
        <v>542</v>
      </c>
      <c r="N110" s="10" t="s">
        <v>33</v>
      </c>
      <c r="O110" s="63" t="s">
        <v>1613</v>
      </c>
      <c r="P110" s="10"/>
    </row>
    <row r="111" spans="2:17">
      <c r="B111" t="s">
        <v>1272</v>
      </c>
      <c r="C111" t="s">
        <v>650</v>
      </c>
      <c r="D111" t="s">
        <v>650</v>
      </c>
      <c r="E111" t="s">
        <v>650</v>
      </c>
      <c r="F111" t="s">
        <v>650</v>
      </c>
      <c r="G111" t="s">
        <v>650</v>
      </c>
      <c r="H111" t="s">
        <v>650</v>
      </c>
      <c r="I111" s="23" t="s">
        <v>650</v>
      </c>
      <c r="J111" s="23" t="s">
        <v>650</v>
      </c>
      <c r="K111" t="s">
        <v>542</v>
      </c>
      <c r="N111" s="10" t="s">
        <v>30</v>
      </c>
      <c r="O111" s="63" t="s">
        <v>1611</v>
      </c>
      <c r="P111" s="10"/>
    </row>
    <row r="112" spans="2:17">
      <c r="B112" t="s">
        <v>1273</v>
      </c>
      <c r="C112" t="s">
        <v>650</v>
      </c>
      <c r="D112" t="s">
        <v>650</v>
      </c>
      <c r="E112" t="s">
        <v>650</v>
      </c>
      <c r="F112" t="s">
        <v>650</v>
      </c>
      <c r="G112" t="s">
        <v>650</v>
      </c>
      <c r="H112" t="s">
        <v>650</v>
      </c>
      <c r="I112" s="23" t="s">
        <v>650</v>
      </c>
      <c r="J112" s="23" t="s">
        <v>650</v>
      </c>
      <c r="K112" t="s">
        <v>542</v>
      </c>
      <c r="N112" s="10" t="s">
        <v>66</v>
      </c>
      <c r="O112" s="63" t="s">
        <v>1615</v>
      </c>
      <c r="P112" s="10"/>
    </row>
    <row r="113" spans="2:17">
      <c r="B113" t="s">
        <v>1274</v>
      </c>
      <c r="C113" t="s">
        <v>650</v>
      </c>
      <c r="D113" t="s">
        <v>650</v>
      </c>
      <c r="E113" t="s">
        <v>650</v>
      </c>
      <c r="F113" t="s">
        <v>650</v>
      </c>
      <c r="G113" t="s">
        <v>650</v>
      </c>
      <c r="H113" t="s">
        <v>650</v>
      </c>
      <c r="I113" s="23" t="s">
        <v>650</v>
      </c>
      <c r="J113" s="23" t="s">
        <v>650</v>
      </c>
      <c r="K113" t="s">
        <v>542</v>
      </c>
      <c r="N113" s="10" t="s">
        <v>459</v>
      </c>
      <c r="O113" s="63" t="s">
        <v>1612</v>
      </c>
      <c r="P113" s="10"/>
    </row>
    <row r="114" spans="2:17">
      <c r="B114" t="s">
        <v>1275</v>
      </c>
      <c r="C114" t="s">
        <v>650</v>
      </c>
      <c r="D114" t="s">
        <v>650</v>
      </c>
      <c r="E114" t="s">
        <v>650</v>
      </c>
      <c r="F114" t="s">
        <v>650</v>
      </c>
      <c r="G114" t="s">
        <v>650</v>
      </c>
      <c r="H114" t="s">
        <v>650</v>
      </c>
      <c r="I114" s="23" t="s">
        <v>650</v>
      </c>
      <c r="J114" s="23" t="s">
        <v>650</v>
      </c>
      <c r="K114" t="s">
        <v>542</v>
      </c>
      <c r="N114" s="10" t="s">
        <v>98</v>
      </c>
      <c r="O114" s="63" t="s">
        <v>1614</v>
      </c>
    </row>
    <row r="115" spans="2:17">
      <c r="B115" s="25" t="s">
        <v>1564</v>
      </c>
      <c r="C115" s="25">
        <f>4/5</f>
        <v>0.8</v>
      </c>
      <c r="D115" s="27">
        <v>1</v>
      </c>
      <c r="E115" s="27">
        <v>1</v>
      </c>
      <c r="F115" s="27">
        <v>1</v>
      </c>
      <c r="G115" s="27">
        <v>1</v>
      </c>
      <c r="H115" s="27">
        <v>1</v>
      </c>
      <c r="I115" s="25">
        <v>1</v>
      </c>
      <c r="J115" s="25">
        <v>1</v>
      </c>
      <c r="K115" s="25">
        <v>0</v>
      </c>
      <c r="L115" s="25"/>
      <c r="M115" s="25"/>
      <c r="N115" s="26"/>
      <c r="O115" s="25"/>
    </row>
    <row r="116" spans="2:17">
      <c r="B116" t="s">
        <v>1435</v>
      </c>
      <c r="L116" t="s">
        <v>650</v>
      </c>
      <c r="M116" t="s">
        <v>542</v>
      </c>
      <c r="N116" s="10" t="s">
        <v>665</v>
      </c>
      <c r="O116" t="s">
        <v>1658</v>
      </c>
    </row>
    <row r="117" spans="2:17">
      <c r="B117" t="s">
        <v>1436</v>
      </c>
      <c r="L117" t="s">
        <v>542</v>
      </c>
      <c r="M117" t="s">
        <v>650</v>
      </c>
      <c r="N117" s="10" t="s">
        <v>666</v>
      </c>
      <c r="O117" t="s">
        <v>1661</v>
      </c>
    </row>
    <row r="118" spans="2:17">
      <c r="B118" t="s">
        <v>1437</v>
      </c>
      <c r="L118" t="s">
        <v>650</v>
      </c>
      <c r="M118" t="s">
        <v>650</v>
      </c>
      <c r="N118" s="10" t="s">
        <v>667</v>
      </c>
      <c r="O118" t="s">
        <v>1660</v>
      </c>
    </row>
    <row r="119" spans="2:17">
      <c r="B119" t="s">
        <v>1438</v>
      </c>
      <c r="L119" t="s">
        <v>650</v>
      </c>
      <c r="M119" t="s">
        <v>650</v>
      </c>
      <c r="N119" s="10" t="s">
        <v>668</v>
      </c>
      <c r="O119" t="s">
        <v>1659</v>
      </c>
    </row>
    <row r="120" spans="2:17">
      <c r="B120" t="s">
        <v>1439</v>
      </c>
      <c r="L120" t="s">
        <v>650</v>
      </c>
      <c r="M120" t="s">
        <v>650</v>
      </c>
      <c r="N120" s="10" t="s">
        <v>669</v>
      </c>
      <c r="O120" t="s">
        <v>1657</v>
      </c>
    </row>
    <row r="121" spans="2:17">
      <c r="B121" s="25" t="s">
        <v>1564</v>
      </c>
      <c r="C121" s="25"/>
      <c r="D121" s="27"/>
      <c r="E121" s="27"/>
      <c r="F121" s="27"/>
      <c r="G121" s="27"/>
      <c r="H121" s="27"/>
      <c r="I121" s="25"/>
      <c r="J121" s="25"/>
      <c r="K121" s="25"/>
      <c r="L121" s="25">
        <f>4/5</f>
        <v>0.8</v>
      </c>
      <c r="M121" s="25">
        <f>4/5</f>
        <v>0.8</v>
      </c>
      <c r="N121" s="26"/>
      <c r="O121" s="25"/>
    </row>
    <row r="122" spans="2:17">
      <c r="B122" t="s">
        <v>1276</v>
      </c>
      <c r="C122" t="s">
        <v>542</v>
      </c>
      <c r="D122" t="s">
        <v>542</v>
      </c>
      <c r="E122" t="s">
        <v>650</v>
      </c>
      <c r="F122" t="s">
        <v>650</v>
      </c>
      <c r="G122" t="s">
        <v>650</v>
      </c>
      <c r="H122" t="s">
        <v>650</v>
      </c>
      <c r="I122" t="s">
        <v>542</v>
      </c>
      <c r="J122" t="s">
        <v>542</v>
      </c>
      <c r="K122" t="s">
        <v>650</v>
      </c>
      <c r="N122" s="10" t="s">
        <v>336</v>
      </c>
      <c r="O122" s="62" t="s">
        <v>1600</v>
      </c>
      <c r="P122" s="10"/>
      <c r="Q122" s="62"/>
    </row>
    <row r="123" spans="2:17">
      <c r="B123" t="s">
        <v>1277</v>
      </c>
      <c r="C123" t="s">
        <v>542</v>
      </c>
      <c r="D123" t="s">
        <v>542</v>
      </c>
      <c r="E123" t="s">
        <v>650</v>
      </c>
      <c r="F123" t="s">
        <v>650</v>
      </c>
      <c r="G123" t="s">
        <v>542</v>
      </c>
      <c r="H123" t="s">
        <v>542</v>
      </c>
      <c r="I123" t="s">
        <v>542</v>
      </c>
      <c r="J123" t="s">
        <v>542</v>
      </c>
      <c r="K123" t="s">
        <v>650</v>
      </c>
      <c r="N123" s="10" t="s">
        <v>670</v>
      </c>
      <c r="O123" s="62" t="s">
        <v>1596</v>
      </c>
      <c r="P123" s="10"/>
      <c r="Q123" s="62"/>
    </row>
    <row r="124" spans="2:17">
      <c r="B124" t="s">
        <v>1278</v>
      </c>
      <c r="C124" t="s">
        <v>542</v>
      </c>
      <c r="D124" t="s">
        <v>542</v>
      </c>
      <c r="E124" t="s">
        <v>650</v>
      </c>
      <c r="F124" t="s">
        <v>650</v>
      </c>
      <c r="G124" t="s">
        <v>650</v>
      </c>
      <c r="H124" t="s">
        <v>650</v>
      </c>
      <c r="I124" t="s">
        <v>542</v>
      </c>
      <c r="J124" t="s">
        <v>542</v>
      </c>
      <c r="K124" t="s">
        <v>650</v>
      </c>
      <c r="N124" s="10" t="s">
        <v>495</v>
      </c>
      <c r="O124" s="62" t="s">
        <v>1597</v>
      </c>
      <c r="P124" s="10"/>
      <c r="Q124" s="62"/>
    </row>
    <row r="125" spans="2:17">
      <c r="B125" t="s">
        <v>1279</v>
      </c>
      <c r="C125" t="s">
        <v>542</v>
      </c>
      <c r="D125" t="s">
        <v>542</v>
      </c>
      <c r="E125" t="s">
        <v>650</v>
      </c>
      <c r="F125" t="s">
        <v>650</v>
      </c>
      <c r="G125" t="s">
        <v>650</v>
      </c>
      <c r="H125" t="s">
        <v>650</v>
      </c>
      <c r="I125" t="s">
        <v>542</v>
      </c>
      <c r="J125" t="s">
        <v>542</v>
      </c>
      <c r="K125" t="s">
        <v>650</v>
      </c>
      <c r="N125" s="10" t="s">
        <v>104</v>
      </c>
      <c r="O125" s="62" t="s">
        <v>1598</v>
      </c>
      <c r="P125" s="10"/>
      <c r="Q125" s="62"/>
    </row>
    <row r="126" spans="2:17">
      <c r="B126" t="s">
        <v>1280</v>
      </c>
      <c r="C126" t="s">
        <v>542</v>
      </c>
      <c r="D126" t="s">
        <v>542</v>
      </c>
      <c r="E126" t="s">
        <v>650</v>
      </c>
      <c r="F126" t="s">
        <v>650</v>
      </c>
      <c r="G126" t="s">
        <v>650</v>
      </c>
      <c r="H126" t="s">
        <v>650</v>
      </c>
      <c r="I126" t="s">
        <v>542</v>
      </c>
      <c r="J126" t="s">
        <v>542</v>
      </c>
      <c r="K126" t="s">
        <v>650</v>
      </c>
      <c r="N126" s="10" t="s">
        <v>167</v>
      </c>
      <c r="O126" s="62" t="s">
        <v>1599</v>
      </c>
      <c r="P126" s="10"/>
      <c r="Q126" s="62"/>
    </row>
    <row r="127" spans="2:17">
      <c r="B127" s="25" t="s">
        <v>1564</v>
      </c>
      <c r="C127" s="25">
        <v>0</v>
      </c>
      <c r="D127" s="27">
        <v>0</v>
      </c>
      <c r="E127" s="27">
        <v>1</v>
      </c>
      <c r="F127" s="27">
        <v>1</v>
      </c>
      <c r="G127" s="27">
        <f>4/5</f>
        <v>0.8</v>
      </c>
      <c r="H127" s="27">
        <f>4/5</f>
        <v>0.8</v>
      </c>
      <c r="I127" s="25">
        <v>0</v>
      </c>
      <c r="J127" s="25">
        <v>0</v>
      </c>
      <c r="K127" s="25">
        <v>1</v>
      </c>
      <c r="L127" s="25"/>
      <c r="M127" s="25"/>
      <c r="N127" s="26"/>
      <c r="O127" s="25"/>
      <c r="P127" s="10"/>
      <c r="Q127" s="62"/>
    </row>
    <row r="128" spans="2:17">
      <c r="B128" t="s">
        <v>1440</v>
      </c>
      <c r="L128" t="s">
        <v>584</v>
      </c>
      <c r="M128" t="s">
        <v>584</v>
      </c>
      <c r="N128" s="10" t="s">
        <v>672</v>
      </c>
      <c r="O128" t="s">
        <v>1675</v>
      </c>
      <c r="P128" s="10"/>
    </row>
    <row r="129" spans="2:16">
      <c r="B129" t="s">
        <v>1441</v>
      </c>
      <c r="L129" t="s">
        <v>584</v>
      </c>
      <c r="M129" t="s">
        <v>650</v>
      </c>
      <c r="N129" s="10" t="s">
        <v>673</v>
      </c>
      <c r="O129" t="s">
        <v>1673</v>
      </c>
      <c r="P129" s="10"/>
    </row>
    <row r="130" spans="2:16">
      <c r="B130" t="s">
        <v>1442</v>
      </c>
      <c r="L130" t="s">
        <v>650</v>
      </c>
      <c r="M130" t="s">
        <v>650</v>
      </c>
      <c r="N130" s="10" t="s">
        <v>674</v>
      </c>
      <c r="O130" t="s">
        <v>1674</v>
      </c>
      <c r="P130" s="10"/>
    </row>
    <row r="131" spans="2:16">
      <c r="B131" t="s">
        <v>1443</v>
      </c>
      <c r="L131" t="s">
        <v>650</v>
      </c>
      <c r="M131" t="s">
        <v>650</v>
      </c>
      <c r="N131" s="10" t="s">
        <v>675</v>
      </c>
      <c r="O131" t="s">
        <v>1672</v>
      </c>
      <c r="P131" s="10"/>
    </row>
    <row r="132" spans="2:16">
      <c r="B132" t="s">
        <v>1444</v>
      </c>
      <c r="L132" t="s">
        <v>542</v>
      </c>
      <c r="M132" t="s">
        <v>542</v>
      </c>
      <c r="N132" s="10" t="s">
        <v>676</v>
      </c>
      <c r="O132" t="s">
        <v>1676</v>
      </c>
      <c r="P132" s="10"/>
    </row>
    <row r="133" spans="2:16">
      <c r="B133" s="25" t="s">
        <v>1564</v>
      </c>
      <c r="C133" s="25"/>
      <c r="D133" s="27"/>
      <c r="E133" s="27"/>
      <c r="F133" s="27"/>
      <c r="G133" s="27"/>
      <c r="H133" s="27"/>
      <c r="I133" s="25"/>
      <c r="J133" s="25"/>
      <c r="K133" s="25"/>
      <c r="L133" s="28">
        <f>2/3</f>
        <v>0.66666666666666663</v>
      </c>
      <c r="M133" s="25">
        <f>3/4</f>
        <v>0.75</v>
      </c>
      <c r="N133" s="26"/>
      <c r="O133" s="25"/>
      <c r="P133" s="10"/>
    </row>
    <row r="134" spans="2:16">
      <c r="B134" t="s">
        <v>1281</v>
      </c>
      <c r="C134" t="s">
        <v>542</v>
      </c>
      <c r="D134" t="s">
        <v>650</v>
      </c>
      <c r="E134" t="s">
        <v>650</v>
      </c>
      <c r="F134" t="s">
        <v>650</v>
      </c>
      <c r="G134" t="s">
        <v>650</v>
      </c>
      <c r="H134" t="s">
        <v>650</v>
      </c>
      <c r="I134" t="s">
        <v>542</v>
      </c>
      <c r="J134" t="s">
        <v>542</v>
      </c>
      <c r="K134" t="s">
        <v>650</v>
      </c>
      <c r="N134" s="10" t="s">
        <v>110</v>
      </c>
      <c r="O134" s="62" t="s">
        <v>1602</v>
      </c>
      <c r="P134" s="10"/>
    </row>
    <row r="135" spans="2:16">
      <c r="B135" t="s">
        <v>1282</v>
      </c>
      <c r="C135" t="s">
        <v>542</v>
      </c>
      <c r="D135" t="s">
        <v>650</v>
      </c>
      <c r="E135" t="s">
        <v>650</v>
      </c>
      <c r="F135" t="s">
        <v>650</v>
      </c>
      <c r="G135" t="s">
        <v>650</v>
      </c>
      <c r="H135" t="s">
        <v>650</v>
      </c>
      <c r="I135" t="s">
        <v>542</v>
      </c>
      <c r="J135" t="s">
        <v>542</v>
      </c>
      <c r="K135" t="s">
        <v>650</v>
      </c>
      <c r="N135" s="10" t="s">
        <v>187</v>
      </c>
      <c r="O135" s="62" t="s">
        <v>1603</v>
      </c>
      <c r="P135" s="10"/>
    </row>
    <row r="136" spans="2:16">
      <c r="B136" t="s">
        <v>1283</v>
      </c>
      <c r="C136" t="s">
        <v>650</v>
      </c>
      <c r="D136" t="s">
        <v>650</v>
      </c>
      <c r="E136" t="s">
        <v>650</v>
      </c>
      <c r="F136" t="s">
        <v>650</v>
      </c>
      <c r="G136" t="s">
        <v>650</v>
      </c>
      <c r="H136" t="s">
        <v>650</v>
      </c>
      <c r="I136" t="s">
        <v>542</v>
      </c>
      <c r="J136" t="s">
        <v>542</v>
      </c>
      <c r="K136" t="s">
        <v>650</v>
      </c>
      <c r="N136" s="10" t="s">
        <v>170</v>
      </c>
      <c r="O136" s="62" t="s">
        <v>1605</v>
      </c>
      <c r="P136" s="10"/>
    </row>
    <row r="137" spans="2:16">
      <c r="B137" t="s">
        <v>1284</v>
      </c>
      <c r="C137" t="s">
        <v>542</v>
      </c>
      <c r="D137" t="s">
        <v>650</v>
      </c>
      <c r="E137" t="s">
        <v>650</v>
      </c>
      <c r="F137" t="s">
        <v>650</v>
      </c>
      <c r="G137" t="s">
        <v>650</v>
      </c>
      <c r="H137" t="s">
        <v>542</v>
      </c>
      <c r="I137" t="s">
        <v>542</v>
      </c>
      <c r="J137" t="s">
        <v>542</v>
      </c>
      <c r="K137" t="s">
        <v>650</v>
      </c>
      <c r="N137" s="10" t="s">
        <v>399</v>
      </c>
      <c r="O137" s="62" t="s">
        <v>1601</v>
      </c>
      <c r="P137" s="10"/>
    </row>
    <row r="138" spans="2:16">
      <c r="B138" t="s">
        <v>1285</v>
      </c>
      <c r="C138" t="s">
        <v>542</v>
      </c>
      <c r="D138" t="s">
        <v>650</v>
      </c>
      <c r="E138" t="s">
        <v>650</v>
      </c>
      <c r="F138" t="s">
        <v>650</v>
      </c>
      <c r="G138" t="s">
        <v>650</v>
      </c>
      <c r="H138" t="s">
        <v>650</v>
      </c>
      <c r="I138" t="s">
        <v>542</v>
      </c>
      <c r="J138" t="s">
        <v>542</v>
      </c>
      <c r="K138" t="s">
        <v>650</v>
      </c>
      <c r="N138" s="10" t="s">
        <v>678</v>
      </c>
      <c r="O138" s="62" t="s">
        <v>1604</v>
      </c>
    </row>
    <row r="139" spans="2:16">
      <c r="B139" s="25" t="s">
        <v>1564</v>
      </c>
      <c r="C139" s="25">
        <f>1/5</f>
        <v>0.2</v>
      </c>
      <c r="D139" s="27">
        <v>1</v>
      </c>
      <c r="E139" s="27">
        <v>1</v>
      </c>
      <c r="F139" s="27">
        <v>1</v>
      </c>
      <c r="G139" s="27">
        <v>1</v>
      </c>
      <c r="H139" s="27">
        <f>4/5</f>
        <v>0.8</v>
      </c>
      <c r="I139" s="25">
        <v>0</v>
      </c>
      <c r="J139" s="25">
        <v>0</v>
      </c>
      <c r="K139" s="25">
        <v>1</v>
      </c>
      <c r="L139" s="25"/>
      <c r="M139" s="25"/>
      <c r="N139" s="26"/>
      <c r="O139" s="25"/>
    </row>
    <row r="140" spans="2:16">
      <c r="B140" t="s">
        <v>1445</v>
      </c>
      <c r="L140" t="s">
        <v>650</v>
      </c>
      <c r="M140" t="s">
        <v>650</v>
      </c>
      <c r="N140" s="10" t="s">
        <v>680</v>
      </c>
      <c r="O140" t="s">
        <v>1667</v>
      </c>
    </row>
    <row r="141" spans="2:16">
      <c r="B141" t="s">
        <v>1446</v>
      </c>
      <c r="L141" t="s">
        <v>584</v>
      </c>
      <c r="M141" t="s">
        <v>584</v>
      </c>
      <c r="N141" s="10" t="s">
        <v>681</v>
      </c>
      <c r="O141" t="s">
        <v>1668</v>
      </c>
    </row>
    <row r="142" spans="2:16">
      <c r="B142" t="s">
        <v>1447</v>
      </c>
      <c r="L142" t="s">
        <v>584</v>
      </c>
      <c r="M142" t="s">
        <v>650</v>
      </c>
      <c r="N142" s="10" t="s">
        <v>682</v>
      </c>
      <c r="O142" t="s">
        <v>1669</v>
      </c>
    </row>
    <row r="143" spans="2:16">
      <c r="B143" t="s">
        <v>1448</v>
      </c>
      <c r="L143" t="s">
        <v>542</v>
      </c>
      <c r="M143" t="s">
        <v>542</v>
      </c>
      <c r="N143" s="10" t="s">
        <v>683</v>
      </c>
      <c r="O143" t="s">
        <v>1671</v>
      </c>
    </row>
    <row r="144" spans="2:16">
      <c r="B144" t="s">
        <v>1449</v>
      </c>
      <c r="L144" t="s">
        <v>542</v>
      </c>
      <c r="M144" t="s">
        <v>542</v>
      </c>
      <c r="N144" s="10" t="s">
        <v>684</v>
      </c>
      <c r="O144" t="s">
        <v>1670</v>
      </c>
    </row>
    <row r="145" spans="2:16">
      <c r="B145" s="25" t="s">
        <v>1564</v>
      </c>
      <c r="C145" s="25"/>
      <c r="D145" s="27"/>
      <c r="E145" s="27"/>
      <c r="F145" s="27"/>
      <c r="G145" s="27"/>
      <c r="H145" s="27"/>
      <c r="I145" s="25"/>
      <c r="J145" s="25"/>
      <c r="K145" s="25"/>
      <c r="L145" s="29">
        <f>1/3</f>
        <v>0.33333333333333331</v>
      </c>
      <c r="M145" s="25">
        <v>0.5</v>
      </c>
      <c r="N145" s="26"/>
      <c r="O145" s="25"/>
    </row>
    <row r="146" spans="2:16">
      <c r="B146" t="s">
        <v>1286</v>
      </c>
      <c r="C146" t="s">
        <v>542</v>
      </c>
      <c r="D146" t="s">
        <v>542</v>
      </c>
      <c r="E146" t="s">
        <v>650</v>
      </c>
      <c r="F146" t="s">
        <v>650</v>
      </c>
      <c r="G146" t="s">
        <v>650</v>
      </c>
      <c r="H146" t="s">
        <v>650</v>
      </c>
      <c r="I146" t="s">
        <v>650</v>
      </c>
      <c r="J146" t="s">
        <v>542</v>
      </c>
      <c r="K146" t="s">
        <v>542</v>
      </c>
      <c r="N146" s="10" t="s">
        <v>330</v>
      </c>
      <c r="O146" t="s">
        <v>685</v>
      </c>
    </row>
    <row r="147" spans="2:16">
      <c r="B147" t="s">
        <v>1287</v>
      </c>
      <c r="C147" t="s">
        <v>542</v>
      </c>
      <c r="D147" t="s">
        <v>542</v>
      </c>
      <c r="E147" t="s">
        <v>650</v>
      </c>
      <c r="F147" t="s">
        <v>650</v>
      </c>
      <c r="G147" t="s">
        <v>650</v>
      </c>
      <c r="H147" t="s">
        <v>650</v>
      </c>
      <c r="I147" t="s">
        <v>650</v>
      </c>
      <c r="J147" t="s">
        <v>542</v>
      </c>
      <c r="K147" t="s">
        <v>542</v>
      </c>
      <c r="N147" s="10" t="s">
        <v>217</v>
      </c>
      <c r="O147" t="s">
        <v>687</v>
      </c>
    </row>
    <row r="148" spans="2:16">
      <c r="B148" t="s">
        <v>1288</v>
      </c>
      <c r="C148" t="s">
        <v>542</v>
      </c>
      <c r="D148" t="s">
        <v>542</v>
      </c>
      <c r="E148" t="s">
        <v>650</v>
      </c>
      <c r="F148" t="s">
        <v>650</v>
      </c>
      <c r="G148" t="s">
        <v>650</v>
      </c>
      <c r="H148" t="s">
        <v>650</v>
      </c>
      <c r="I148" t="s">
        <v>650</v>
      </c>
      <c r="J148" t="s">
        <v>542</v>
      </c>
      <c r="K148" t="s">
        <v>542</v>
      </c>
      <c r="N148" s="10" t="s">
        <v>95</v>
      </c>
      <c r="O148" t="s">
        <v>689</v>
      </c>
    </row>
    <row r="149" spans="2:16">
      <c r="B149" t="s">
        <v>1289</v>
      </c>
      <c r="C149" t="s">
        <v>650</v>
      </c>
      <c r="D149" t="s">
        <v>542</v>
      </c>
      <c r="E149" t="s">
        <v>650</v>
      </c>
      <c r="F149" t="s">
        <v>650</v>
      </c>
      <c r="G149" t="s">
        <v>650</v>
      </c>
      <c r="H149" t="s">
        <v>650</v>
      </c>
      <c r="I149" t="s">
        <v>650</v>
      </c>
      <c r="J149" t="s">
        <v>542</v>
      </c>
      <c r="K149" t="s">
        <v>542</v>
      </c>
      <c r="N149" s="10" t="s">
        <v>539</v>
      </c>
      <c r="O149" t="s">
        <v>690</v>
      </c>
    </row>
    <row r="150" spans="2:16">
      <c r="B150" t="s">
        <v>1290</v>
      </c>
      <c r="C150" t="s">
        <v>542</v>
      </c>
      <c r="D150" t="s">
        <v>542</v>
      </c>
      <c r="E150" t="s">
        <v>650</v>
      </c>
      <c r="F150" t="s">
        <v>650</v>
      </c>
      <c r="G150" t="s">
        <v>650</v>
      </c>
      <c r="H150" t="s">
        <v>650</v>
      </c>
      <c r="I150" t="s">
        <v>650</v>
      </c>
      <c r="J150" t="s">
        <v>542</v>
      </c>
      <c r="K150" t="s">
        <v>542</v>
      </c>
      <c r="N150" s="10" t="s">
        <v>333</v>
      </c>
      <c r="O150" t="s">
        <v>693</v>
      </c>
    </row>
    <row r="151" spans="2:16">
      <c r="B151" s="25" t="s">
        <v>1564</v>
      </c>
      <c r="C151" s="25">
        <f>1/5</f>
        <v>0.2</v>
      </c>
      <c r="D151" s="27">
        <v>0</v>
      </c>
      <c r="E151" s="27">
        <v>1</v>
      </c>
      <c r="F151" s="27">
        <v>1</v>
      </c>
      <c r="G151" s="27">
        <v>1</v>
      </c>
      <c r="H151" s="27">
        <v>1</v>
      </c>
      <c r="I151" s="25">
        <v>1</v>
      </c>
      <c r="J151" s="25">
        <v>0</v>
      </c>
      <c r="K151" s="25">
        <v>0</v>
      </c>
      <c r="L151" s="25"/>
      <c r="M151" s="25"/>
      <c r="N151" s="26"/>
      <c r="O151" s="25"/>
    </row>
    <row r="152" spans="2:16">
      <c r="B152" t="s">
        <v>1450</v>
      </c>
      <c r="L152" t="s">
        <v>584</v>
      </c>
      <c r="M152" t="s">
        <v>584</v>
      </c>
      <c r="N152" s="10" t="s">
        <v>694</v>
      </c>
      <c r="O152" t="s">
        <v>1642</v>
      </c>
      <c r="P152" s="10"/>
    </row>
    <row r="153" spans="2:16">
      <c r="B153" t="s">
        <v>1451</v>
      </c>
      <c r="L153" t="s">
        <v>584</v>
      </c>
      <c r="M153" t="s">
        <v>542</v>
      </c>
      <c r="N153" s="10" t="s">
        <v>695</v>
      </c>
      <c r="O153" t="s">
        <v>1646</v>
      </c>
      <c r="P153" s="10"/>
    </row>
    <row r="154" spans="2:16">
      <c r="B154" t="s">
        <v>1452</v>
      </c>
      <c r="L154" t="s">
        <v>542</v>
      </c>
      <c r="M154" t="s">
        <v>542</v>
      </c>
      <c r="N154" s="10" t="s">
        <v>696</v>
      </c>
      <c r="O154" t="s">
        <v>1644</v>
      </c>
      <c r="P154" s="10"/>
    </row>
    <row r="155" spans="2:16">
      <c r="B155" t="s">
        <v>1453</v>
      </c>
      <c r="L155" t="s">
        <v>542</v>
      </c>
      <c r="M155" t="s">
        <v>542</v>
      </c>
      <c r="N155" s="10" t="s">
        <v>697</v>
      </c>
      <c r="O155" t="s">
        <v>1645</v>
      </c>
      <c r="P155" s="10"/>
    </row>
    <row r="156" spans="2:16">
      <c r="B156" t="s">
        <v>1454</v>
      </c>
      <c r="L156" t="s">
        <v>542</v>
      </c>
      <c r="M156" t="s">
        <v>542</v>
      </c>
      <c r="N156" s="10" t="s">
        <v>698</v>
      </c>
      <c r="O156" t="s">
        <v>1643</v>
      </c>
      <c r="P156" s="10"/>
    </row>
    <row r="157" spans="2:16">
      <c r="B157" s="25" t="s">
        <v>1564</v>
      </c>
      <c r="C157" s="25"/>
      <c r="D157" s="27"/>
      <c r="E157" s="27"/>
      <c r="F157" s="27"/>
      <c r="G157" s="27"/>
      <c r="H157" s="27"/>
      <c r="I157" s="25"/>
      <c r="J157" s="25"/>
      <c r="K157" s="25"/>
      <c r="L157" s="25">
        <v>0</v>
      </c>
      <c r="M157" s="25">
        <v>0</v>
      </c>
      <c r="N157" s="26"/>
      <c r="O157" s="25"/>
      <c r="P157" s="10"/>
    </row>
    <row r="158" spans="2:16">
      <c r="B158" t="s">
        <v>1291</v>
      </c>
      <c r="C158" t="s">
        <v>650</v>
      </c>
      <c r="D158" t="s">
        <v>650</v>
      </c>
      <c r="E158" t="s">
        <v>650</v>
      </c>
      <c r="F158" t="s">
        <v>650</v>
      </c>
      <c r="G158" t="s">
        <v>650</v>
      </c>
      <c r="H158" t="s">
        <v>650</v>
      </c>
      <c r="I158" t="s">
        <v>542</v>
      </c>
      <c r="J158" t="s">
        <v>542</v>
      </c>
      <c r="K158" t="s">
        <v>542</v>
      </c>
      <c r="N158" s="10" t="s">
        <v>24</v>
      </c>
      <c r="O158" t="s">
        <v>699</v>
      </c>
      <c r="P158" s="10"/>
    </row>
    <row r="159" spans="2:16">
      <c r="B159" t="s">
        <v>1292</v>
      </c>
      <c r="C159" t="s">
        <v>650</v>
      </c>
      <c r="D159" t="s">
        <v>650</v>
      </c>
      <c r="E159" t="s">
        <v>650</v>
      </c>
      <c r="F159" t="s">
        <v>650</v>
      </c>
      <c r="G159" t="s">
        <v>650</v>
      </c>
      <c r="H159" t="s">
        <v>650</v>
      </c>
      <c r="I159" t="s">
        <v>542</v>
      </c>
      <c r="J159" t="s">
        <v>542</v>
      </c>
      <c r="K159" t="s">
        <v>542</v>
      </c>
      <c r="N159" s="10" t="s">
        <v>372</v>
      </c>
      <c r="O159" t="s">
        <v>700</v>
      </c>
      <c r="P159" s="10"/>
    </row>
    <row r="160" spans="2:16">
      <c r="B160" t="s">
        <v>1293</v>
      </c>
      <c r="C160" t="s">
        <v>650</v>
      </c>
      <c r="D160" t="s">
        <v>650</v>
      </c>
      <c r="E160" t="s">
        <v>650</v>
      </c>
      <c r="F160" t="s">
        <v>650</v>
      </c>
      <c r="G160" t="s">
        <v>650</v>
      </c>
      <c r="H160" t="s">
        <v>650</v>
      </c>
      <c r="I160" t="s">
        <v>542</v>
      </c>
      <c r="J160" t="s">
        <v>542</v>
      </c>
      <c r="K160" t="s">
        <v>542</v>
      </c>
      <c r="N160" s="10" t="s">
        <v>101</v>
      </c>
      <c r="O160" t="s">
        <v>703</v>
      </c>
      <c r="P160" s="10"/>
    </row>
    <row r="161" spans="2:16">
      <c r="B161" t="s">
        <v>1294</v>
      </c>
      <c r="C161" t="s">
        <v>650</v>
      </c>
      <c r="D161" t="s">
        <v>650</v>
      </c>
      <c r="E161" t="s">
        <v>650</v>
      </c>
      <c r="F161" t="s">
        <v>650</v>
      </c>
      <c r="G161" t="s">
        <v>650</v>
      </c>
      <c r="H161" t="s">
        <v>650</v>
      </c>
      <c r="I161" t="s">
        <v>542</v>
      </c>
      <c r="J161" t="s">
        <v>542</v>
      </c>
      <c r="K161" t="s">
        <v>542</v>
      </c>
      <c r="N161" s="10" t="s">
        <v>199</v>
      </c>
      <c r="O161" t="s">
        <v>705</v>
      </c>
      <c r="P161" s="10"/>
    </row>
    <row r="162" spans="2:16">
      <c r="B162" t="s">
        <v>1295</v>
      </c>
      <c r="C162" t="s">
        <v>650</v>
      </c>
      <c r="D162" t="s">
        <v>650</v>
      </c>
      <c r="E162" t="s">
        <v>650</v>
      </c>
      <c r="F162" t="s">
        <v>650</v>
      </c>
      <c r="G162" t="s">
        <v>650</v>
      </c>
      <c r="H162" t="s">
        <v>650</v>
      </c>
      <c r="I162" t="s">
        <v>542</v>
      </c>
      <c r="J162" t="s">
        <v>542</v>
      </c>
      <c r="K162" t="s">
        <v>542</v>
      </c>
      <c r="N162" s="10" t="s">
        <v>164</v>
      </c>
      <c r="O162" t="s">
        <v>706</v>
      </c>
    </row>
    <row r="163" spans="2:16">
      <c r="B163" s="25" t="s">
        <v>1564</v>
      </c>
      <c r="C163" s="25">
        <v>1</v>
      </c>
      <c r="D163" s="25">
        <v>1</v>
      </c>
      <c r="E163" s="25">
        <v>1</v>
      </c>
      <c r="F163" s="25">
        <v>1</v>
      </c>
      <c r="G163" s="25">
        <v>1</v>
      </c>
      <c r="H163" s="25">
        <v>1</v>
      </c>
      <c r="I163" s="25">
        <v>0</v>
      </c>
      <c r="J163" s="25">
        <v>0</v>
      </c>
      <c r="K163" s="25">
        <v>0</v>
      </c>
      <c r="L163" s="25"/>
      <c r="M163" s="25"/>
      <c r="N163" s="26"/>
      <c r="O163" s="25"/>
    </row>
    <row r="164" spans="2:16">
      <c r="B164" t="s">
        <v>1455</v>
      </c>
      <c r="L164" t="s">
        <v>650</v>
      </c>
      <c r="M164" t="s">
        <v>650</v>
      </c>
      <c r="N164" s="10" t="s">
        <v>707</v>
      </c>
      <c r="O164" t="s">
        <v>1641</v>
      </c>
    </row>
    <row r="165" spans="2:16">
      <c r="B165" t="s">
        <v>1456</v>
      </c>
      <c r="L165" t="s">
        <v>650</v>
      </c>
      <c r="M165" t="s">
        <v>650</v>
      </c>
      <c r="N165" s="10" t="s">
        <v>708</v>
      </c>
      <c r="O165" t="s">
        <v>1637</v>
      </c>
    </row>
    <row r="166" spans="2:16">
      <c r="B166" t="s">
        <v>1457</v>
      </c>
      <c r="L166" t="s">
        <v>650</v>
      </c>
      <c r="M166" t="s">
        <v>650</v>
      </c>
      <c r="N166" s="10" t="s">
        <v>709</v>
      </c>
      <c r="O166" t="s">
        <v>1639</v>
      </c>
    </row>
    <row r="167" spans="2:16">
      <c r="B167" t="s">
        <v>1458</v>
      </c>
      <c r="L167" t="s">
        <v>650</v>
      </c>
      <c r="M167" t="s">
        <v>650</v>
      </c>
      <c r="N167" s="10" t="s">
        <v>710</v>
      </c>
      <c r="O167" t="s">
        <v>1640</v>
      </c>
    </row>
    <row r="168" spans="2:16">
      <c r="B168" t="s">
        <v>1459</v>
      </c>
      <c r="L168" t="s">
        <v>650</v>
      </c>
      <c r="M168" t="s">
        <v>650</v>
      </c>
      <c r="N168" s="10" t="s">
        <v>711</v>
      </c>
      <c r="O168" t="s">
        <v>1638</v>
      </c>
    </row>
    <row r="169" spans="2:16">
      <c r="B169" s="25" t="s">
        <v>1564</v>
      </c>
      <c r="C169" s="25"/>
      <c r="D169" s="27"/>
      <c r="E169" s="27"/>
      <c r="F169" s="27"/>
      <c r="G169" s="27"/>
      <c r="H169" s="27"/>
      <c r="I169" s="25"/>
      <c r="J169" s="25"/>
      <c r="K169" s="25"/>
      <c r="L169" s="25">
        <v>1</v>
      </c>
      <c r="M169" s="25">
        <v>1</v>
      </c>
      <c r="N169" s="26"/>
      <c r="O169" s="25"/>
    </row>
    <row r="170" spans="2:16">
      <c r="B170" t="s">
        <v>1296</v>
      </c>
      <c r="C170" t="s">
        <v>542</v>
      </c>
      <c r="D170" t="s">
        <v>650</v>
      </c>
      <c r="E170" t="s">
        <v>650</v>
      </c>
      <c r="F170" t="s">
        <v>650</v>
      </c>
      <c r="G170" t="s">
        <v>650</v>
      </c>
      <c r="H170" t="s">
        <v>650</v>
      </c>
      <c r="I170" t="s">
        <v>650</v>
      </c>
      <c r="J170" t="s">
        <v>542</v>
      </c>
      <c r="K170" t="s">
        <v>542</v>
      </c>
      <c r="N170" s="10" t="s">
        <v>713</v>
      </c>
      <c r="O170" t="s">
        <v>712</v>
      </c>
    </row>
    <row r="171" spans="2:16">
      <c r="B171" t="s">
        <v>1297</v>
      </c>
      <c r="C171" t="s">
        <v>542</v>
      </c>
      <c r="D171" t="s">
        <v>542</v>
      </c>
      <c r="E171" t="s">
        <v>650</v>
      </c>
      <c r="F171" t="s">
        <v>650</v>
      </c>
      <c r="G171" t="s">
        <v>650</v>
      </c>
      <c r="H171" t="s">
        <v>650</v>
      </c>
      <c r="I171" t="s">
        <v>542</v>
      </c>
      <c r="J171" t="s">
        <v>542</v>
      </c>
      <c r="K171" t="s">
        <v>542</v>
      </c>
      <c r="N171" s="10" t="s">
        <v>347</v>
      </c>
      <c r="O171" t="s">
        <v>715</v>
      </c>
    </row>
    <row r="172" spans="2:16">
      <c r="B172" t="s">
        <v>1298</v>
      </c>
      <c r="C172" t="s">
        <v>542</v>
      </c>
      <c r="D172" t="s">
        <v>542</v>
      </c>
      <c r="E172" t="s">
        <v>650</v>
      </c>
      <c r="F172" t="s">
        <v>650</v>
      </c>
      <c r="G172" t="s">
        <v>650</v>
      </c>
      <c r="H172" t="s">
        <v>650</v>
      </c>
      <c r="I172" t="s">
        <v>542</v>
      </c>
      <c r="J172" t="s">
        <v>542</v>
      </c>
      <c r="K172" t="s">
        <v>542</v>
      </c>
      <c r="N172" s="10" t="s">
        <v>291</v>
      </c>
      <c r="O172" t="s">
        <v>717</v>
      </c>
    </row>
    <row r="173" spans="2:16">
      <c r="B173" t="s">
        <v>1299</v>
      </c>
      <c r="C173" t="s">
        <v>542</v>
      </c>
      <c r="D173" t="s">
        <v>542</v>
      </c>
      <c r="E173" t="s">
        <v>650</v>
      </c>
      <c r="F173" t="s">
        <v>650</v>
      </c>
      <c r="G173" t="s">
        <v>650</v>
      </c>
      <c r="H173" t="s">
        <v>542</v>
      </c>
      <c r="I173" t="s">
        <v>542</v>
      </c>
      <c r="J173" t="s">
        <v>542</v>
      </c>
      <c r="K173" t="s">
        <v>542</v>
      </c>
      <c r="N173" s="10" t="s">
        <v>179</v>
      </c>
      <c r="O173" t="s">
        <v>718</v>
      </c>
    </row>
    <row r="174" spans="2:16">
      <c r="B174" t="s">
        <v>1300</v>
      </c>
      <c r="C174" t="s">
        <v>542</v>
      </c>
      <c r="D174" t="s">
        <v>542</v>
      </c>
      <c r="E174" t="s">
        <v>650</v>
      </c>
      <c r="F174" t="s">
        <v>650</v>
      </c>
      <c r="G174" t="s">
        <v>650</v>
      </c>
      <c r="H174" t="s">
        <v>542</v>
      </c>
      <c r="I174" t="s">
        <v>542</v>
      </c>
      <c r="J174" t="s">
        <v>542</v>
      </c>
      <c r="K174" t="s">
        <v>542</v>
      </c>
      <c r="N174" s="10" t="s">
        <v>447</v>
      </c>
      <c r="O174" t="s">
        <v>720</v>
      </c>
    </row>
    <row r="175" spans="2:16">
      <c r="B175" s="25" t="s">
        <v>1564</v>
      </c>
      <c r="C175" s="25">
        <v>0</v>
      </c>
      <c r="D175" s="27">
        <f>1/5</f>
        <v>0.2</v>
      </c>
      <c r="E175" s="27">
        <v>1</v>
      </c>
      <c r="F175" s="27">
        <v>1</v>
      </c>
      <c r="G175" s="27">
        <v>1</v>
      </c>
      <c r="H175" s="27">
        <f>3/5</f>
        <v>0.6</v>
      </c>
      <c r="I175" s="25">
        <f>1/5</f>
        <v>0.2</v>
      </c>
      <c r="J175" s="25">
        <v>0</v>
      </c>
      <c r="K175" s="25">
        <v>0</v>
      </c>
      <c r="L175" s="25"/>
      <c r="M175" s="25"/>
      <c r="N175" s="26"/>
      <c r="O175" s="25"/>
    </row>
    <row r="176" spans="2:16">
      <c r="B176" t="s">
        <v>1460</v>
      </c>
      <c r="L176" t="s">
        <v>584</v>
      </c>
      <c r="M176" t="s">
        <v>584</v>
      </c>
      <c r="N176" s="10" t="s">
        <v>723</v>
      </c>
      <c r="O176" t="s">
        <v>722</v>
      </c>
    </row>
    <row r="177" spans="2:15">
      <c r="B177" t="s">
        <v>1461</v>
      </c>
      <c r="L177" t="s">
        <v>584</v>
      </c>
      <c r="M177" t="s">
        <v>542</v>
      </c>
      <c r="N177" s="10" t="s">
        <v>725</v>
      </c>
      <c r="O177" t="s">
        <v>724</v>
      </c>
    </row>
    <row r="178" spans="2:15">
      <c r="B178" t="s">
        <v>1462</v>
      </c>
      <c r="L178" t="s">
        <v>542</v>
      </c>
      <c r="M178" t="s">
        <v>542</v>
      </c>
      <c r="N178" s="10" t="s">
        <v>727</v>
      </c>
      <c r="O178" t="s">
        <v>726</v>
      </c>
    </row>
    <row r="179" spans="2:15">
      <c r="B179" t="s">
        <v>1463</v>
      </c>
      <c r="L179" t="s">
        <v>650</v>
      </c>
      <c r="M179" t="s">
        <v>542</v>
      </c>
      <c r="N179" s="10" t="s">
        <v>729</v>
      </c>
      <c r="O179" t="s">
        <v>728</v>
      </c>
    </row>
    <row r="180" spans="2:15">
      <c r="B180" t="s">
        <v>1464</v>
      </c>
      <c r="L180" t="s">
        <v>542</v>
      </c>
      <c r="M180" t="s">
        <v>542</v>
      </c>
      <c r="N180" s="10" t="s">
        <v>731</v>
      </c>
      <c r="O180" t="s">
        <v>730</v>
      </c>
    </row>
    <row r="181" spans="2:15">
      <c r="B181" s="25" t="s">
        <v>1564</v>
      </c>
      <c r="C181" s="25"/>
      <c r="D181" s="27"/>
      <c r="E181" s="27"/>
      <c r="F181" s="27"/>
      <c r="G181" s="27"/>
      <c r="H181" s="27"/>
      <c r="I181" s="25"/>
      <c r="J181" s="25"/>
      <c r="K181" s="25"/>
      <c r="L181" s="29">
        <f>1/3</f>
        <v>0.33333333333333331</v>
      </c>
      <c r="M181" s="25">
        <v>0</v>
      </c>
      <c r="N181" s="26"/>
      <c r="O181" s="25"/>
    </row>
    <row r="182" spans="2:15">
      <c r="B182" t="s">
        <v>1301</v>
      </c>
      <c r="C182" t="s">
        <v>542</v>
      </c>
      <c r="D182" t="s">
        <v>650</v>
      </c>
      <c r="E182" t="s">
        <v>650</v>
      </c>
      <c r="F182" t="s">
        <v>650</v>
      </c>
      <c r="G182" t="s">
        <v>650</v>
      </c>
      <c r="H182" t="s">
        <v>542</v>
      </c>
      <c r="I182" t="s">
        <v>542</v>
      </c>
      <c r="J182" t="s">
        <v>542</v>
      </c>
      <c r="K182" t="s">
        <v>542</v>
      </c>
      <c r="N182" s="10" t="s">
        <v>267</v>
      </c>
      <c r="O182" t="s">
        <v>732</v>
      </c>
    </row>
    <row r="183" spans="2:15">
      <c r="B183" t="s">
        <v>1302</v>
      </c>
      <c r="C183" t="s">
        <v>542</v>
      </c>
      <c r="D183" t="s">
        <v>650</v>
      </c>
      <c r="E183" s="3" t="s">
        <v>584</v>
      </c>
      <c r="F183" t="s">
        <v>650</v>
      </c>
      <c r="G183" s="3" t="s">
        <v>584</v>
      </c>
      <c r="H183" s="3" t="s">
        <v>584</v>
      </c>
      <c r="I183" t="s">
        <v>542</v>
      </c>
      <c r="J183" t="s">
        <v>542</v>
      </c>
      <c r="K183" t="s">
        <v>542</v>
      </c>
      <c r="N183" s="10" t="s">
        <v>378</v>
      </c>
      <c r="O183" t="s">
        <v>733</v>
      </c>
    </row>
    <row r="184" spans="2:15">
      <c r="B184" t="s">
        <v>1303</v>
      </c>
      <c r="C184" t="s">
        <v>650</v>
      </c>
      <c r="D184" t="s">
        <v>650</v>
      </c>
      <c r="E184" t="s">
        <v>650</v>
      </c>
      <c r="F184" t="s">
        <v>650</v>
      </c>
      <c r="G184" t="s">
        <v>650</v>
      </c>
      <c r="H184" t="s">
        <v>542</v>
      </c>
      <c r="I184" t="s">
        <v>542</v>
      </c>
      <c r="J184" t="s">
        <v>542</v>
      </c>
      <c r="K184" t="s">
        <v>542</v>
      </c>
      <c r="N184" s="10" t="s">
        <v>147</v>
      </c>
      <c r="O184" t="s">
        <v>735</v>
      </c>
    </row>
    <row r="185" spans="2:15">
      <c r="B185" t="s">
        <v>1304</v>
      </c>
      <c r="C185" t="s">
        <v>542</v>
      </c>
      <c r="D185" t="s">
        <v>542</v>
      </c>
      <c r="E185" t="s">
        <v>650</v>
      </c>
      <c r="F185" t="s">
        <v>650</v>
      </c>
      <c r="G185" t="s">
        <v>650</v>
      </c>
      <c r="H185" t="s">
        <v>650</v>
      </c>
      <c r="I185" t="s">
        <v>542</v>
      </c>
      <c r="J185" t="s">
        <v>542</v>
      </c>
      <c r="K185" t="s">
        <v>542</v>
      </c>
      <c r="N185" s="10" t="s">
        <v>392</v>
      </c>
      <c r="O185" t="s">
        <v>736</v>
      </c>
    </row>
    <row r="186" spans="2:15">
      <c r="B186" t="s">
        <v>1305</v>
      </c>
      <c r="C186" t="s">
        <v>542</v>
      </c>
      <c r="D186" t="s">
        <v>650</v>
      </c>
      <c r="E186" t="s">
        <v>650</v>
      </c>
      <c r="F186" t="s">
        <v>650</v>
      </c>
      <c r="G186" t="s">
        <v>650</v>
      </c>
      <c r="H186" t="s">
        <v>542</v>
      </c>
      <c r="I186" t="s">
        <v>542</v>
      </c>
      <c r="J186" t="s">
        <v>542</v>
      </c>
      <c r="K186" t="s">
        <v>542</v>
      </c>
      <c r="N186" s="10" t="s">
        <v>389</v>
      </c>
      <c r="O186" t="s">
        <v>737</v>
      </c>
    </row>
    <row r="187" spans="2:15">
      <c r="B187" s="25" t="s">
        <v>1564</v>
      </c>
      <c r="C187" s="25">
        <f>1/5</f>
        <v>0.2</v>
      </c>
      <c r="D187" s="27">
        <f>4/5</f>
        <v>0.8</v>
      </c>
      <c r="E187" s="27">
        <v>1</v>
      </c>
      <c r="F187" s="27">
        <v>1</v>
      </c>
      <c r="G187" s="27">
        <v>1</v>
      </c>
      <c r="H187" s="27">
        <f>1/4</f>
        <v>0.25</v>
      </c>
      <c r="I187" s="25">
        <v>0</v>
      </c>
      <c r="J187" s="25">
        <v>0</v>
      </c>
      <c r="K187" s="25">
        <v>0</v>
      </c>
      <c r="L187" s="25"/>
      <c r="M187" s="25"/>
      <c r="N187" s="26"/>
      <c r="O187" s="25"/>
    </row>
    <row r="188" spans="2:15">
      <c r="B188" t="s">
        <v>1465</v>
      </c>
      <c r="L188" t="s">
        <v>542</v>
      </c>
      <c r="M188" t="s">
        <v>542</v>
      </c>
      <c r="N188" s="10" t="s">
        <v>739</v>
      </c>
      <c r="O188" t="s">
        <v>738</v>
      </c>
    </row>
    <row r="189" spans="2:15">
      <c r="B189" t="s">
        <v>1466</v>
      </c>
      <c r="L189" t="s">
        <v>650</v>
      </c>
      <c r="M189" t="s">
        <v>650</v>
      </c>
      <c r="N189" s="10" t="s">
        <v>742</v>
      </c>
      <c r="O189" t="s">
        <v>741</v>
      </c>
    </row>
    <row r="190" spans="2:15">
      <c r="B190" t="s">
        <v>1467</v>
      </c>
      <c r="L190" t="s">
        <v>584</v>
      </c>
      <c r="M190" t="s">
        <v>584</v>
      </c>
      <c r="N190" s="10" t="s">
        <v>744</v>
      </c>
      <c r="O190" t="s">
        <v>743</v>
      </c>
    </row>
    <row r="191" spans="2:15">
      <c r="B191" t="s">
        <v>1468</v>
      </c>
      <c r="L191" t="s">
        <v>542</v>
      </c>
      <c r="M191" t="s">
        <v>542</v>
      </c>
      <c r="N191" s="10" t="s">
        <v>746</v>
      </c>
      <c r="O191" t="s">
        <v>745</v>
      </c>
    </row>
    <row r="192" spans="2:15">
      <c r="B192" t="s">
        <v>1469</v>
      </c>
      <c r="L192" t="s">
        <v>650</v>
      </c>
      <c r="M192" t="s">
        <v>542</v>
      </c>
      <c r="N192" s="10" t="s">
        <v>748</v>
      </c>
      <c r="O192" t="s">
        <v>747</v>
      </c>
    </row>
    <row r="193" spans="2:15">
      <c r="B193" s="25" t="s">
        <v>1564</v>
      </c>
      <c r="C193" s="25"/>
      <c r="D193" s="27"/>
      <c r="E193" s="27"/>
      <c r="F193" s="27"/>
      <c r="G193" s="27"/>
      <c r="H193" s="27"/>
      <c r="I193" s="25"/>
      <c r="J193" s="25"/>
      <c r="K193" s="25"/>
      <c r="L193" s="25">
        <f>2/4</f>
        <v>0.5</v>
      </c>
      <c r="M193" s="25">
        <f>1/4</f>
        <v>0.25</v>
      </c>
      <c r="N193" s="26"/>
      <c r="O193" s="25"/>
    </row>
    <row r="194" spans="2:15">
      <c r="B194" s="4" t="s">
        <v>9</v>
      </c>
      <c r="C194" t="s">
        <v>542</v>
      </c>
      <c r="D194" t="s">
        <v>542</v>
      </c>
      <c r="E194" t="s">
        <v>650</v>
      </c>
      <c r="F194" t="s">
        <v>650</v>
      </c>
      <c r="G194" t="s">
        <v>650</v>
      </c>
      <c r="H194" t="s">
        <v>650</v>
      </c>
      <c r="I194" t="s">
        <v>650</v>
      </c>
      <c r="J194" t="s">
        <v>650</v>
      </c>
      <c r="K194" t="s">
        <v>542</v>
      </c>
      <c r="N194" s="3" t="s">
        <v>10</v>
      </c>
      <c r="O194" s="4" t="s">
        <v>11</v>
      </c>
    </row>
    <row r="195" spans="2:15">
      <c r="B195" s="4" t="s">
        <v>14</v>
      </c>
      <c r="C195" t="s">
        <v>542</v>
      </c>
      <c r="D195" t="s">
        <v>542</v>
      </c>
      <c r="E195" t="s">
        <v>650</v>
      </c>
      <c r="F195" t="s">
        <v>650</v>
      </c>
      <c r="G195" t="s">
        <v>650</v>
      </c>
      <c r="H195" t="s">
        <v>542</v>
      </c>
      <c r="I195" t="s">
        <v>650</v>
      </c>
      <c r="J195" t="s">
        <v>650</v>
      </c>
      <c r="K195" t="s">
        <v>542</v>
      </c>
      <c r="N195" s="3" t="s">
        <v>15</v>
      </c>
      <c r="O195" s="4" t="s">
        <v>16</v>
      </c>
    </row>
    <row r="196" spans="2:15">
      <c r="B196" s="4" t="s">
        <v>19</v>
      </c>
      <c r="C196" t="s">
        <v>542</v>
      </c>
      <c r="D196" t="s">
        <v>650</v>
      </c>
      <c r="E196" t="s">
        <v>650</v>
      </c>
      <c r="F196" t="s">
        <v>650</v>
      </c>
      <c r="G196" t="s">
        <v>650</v>
      </c>
      <c r="H196" t="s">
        <v>650</v>
      </c>
      <c r="I196" t="s">
        <v>650</v>
      </c>
      <c r="J196" t="s">
        <v>650</v>
      </c>
      <c r="K196" t="s">
        <v>542</v>
      </c>
      <c r="N196" s="3" t="s">
        <v>20</v>
      </c>
      <c r="O196" s="4" t="s">
        <v>21</v>
      </c>
    </row>
    <row r="197" spans="2:15">
      <c r="B197" s="4" t="s">
        <v>23</v>
      </c>
      <c r="C197" t="s">
        <v>542</v>
      </c>
      <c r="D197" t="s">
        <v>542</v>
      </c>
      <c r="E197" t="s">
        <v>650</v>
      </c>
      <c r="F197" t="s">
        <v>650</v>
      </c>
      <c r="G197" t="s">
        <v>650</v>
      </c>
      <c r="H197" t="s">
        <v>650</v>
      </c>
      <c r="I197" t="s">
        <v>650</v>
      </c>
      <c r="J197" t="s">
        <v>650</v>
      </c>
      <c r="K197" t="s">
        <v>542</v>
      </c>
      <c r="N197" s="3" t="s">
        <v>24</v>
      </c>
      <c r="O197" s="4" t="s">
        <v>25</v>
      </c>
    </row>
    <row r="198" spans="2:15">
      <c r="B198" s="4" t="s">
        <v>26</v>
      </c>
      <c r="C198" t="s">
        <v>542</v>
      </c>
      <c r="D198" t="s">
        <v>542</v>
      </c>
      <c r="E198" t="s">
        <v>650</v>
      </c>
      <c r="F198" t="s">
        <v>650</v>
      </c>
      <c r="G198" t="s">
        <v>650</v>
      </c>
      <c r="H198" t="s">
        <v>650</v>
      </c>
      <c r="I198" t="s">
        <v>650</v>
      </c>
      <c r="J198" t="s">
        <v>650</v>
      </c>
      <c r="K198" t="s">
        <v>542</v>
      </c>
      <c r="N198" s="3" t="s">
        <v>27</v>
      </c>
      <c r="O198" s="4" t="s">
        <v>28</v>
      </c>
    </row>
    <row r="199" spans="2:15">
      <c r="B199" s="25" t="s">
        <v>1564</v>
      </c>
      <c r="C199" s="25">
        <v>0</v>
      </c>
      <c r="D199" s="27">
        <f>1/5</f>
        <v>0.2</v>
      </c>
      <c r="E199" s="27">
        <v>1</v>
      </c>
      <c r="F199" s="27">
        <v>1</v>
      </c>
      <c r="G199" s="27">
        <v>1</v>
      </c>
      <c r="H199" s="27">
        <f>4/5</f>
        <v>0.8</v>
      </c>
      <c r="I199" s="25">
        <v>1</v>
      </c>
      <c r="J199" s="25">
        <v>1</v>
      </c>
      <c r="K199" s="25">
        <v>0</v>
      </c>
      <c r="L199" s="25"/>
      <c r="M199" s="25"/>
      <c r="N199" s="26"/>
      <c r="O199" s="25"/>
    </row>
    <row r="200" spans="2:15">
      <c r="B200" s="4" t="s">
        <v>29</v>
      </c>
      <c r="L200" t="s">
        <v>542</v>
      </c>
      <c r="M200" t="s">
        <v>542</v>
      </c>
      <c r="N200" s="3" t="s">
        <v>30</v>
      </c>
      <c r="O200" s="5" t="s">
        <v>31</v>
      </c>
    </row>
    <row r="201" spans="2:15">
      <c r="B201" s="4" t="s">
        <v>32</v>
      </c>
      <c r="L201" t="s">
        <v>542</v>
      </c>
      <c r="M201" t="s">
        <v>542</v>
      </c>
      <c r="N201" s="3" t="s">
        <v>33</v>
      </c>
      <c r="O201" s="5" t="s">
        <v>34</v>
      </c>
    </row>
    <row r="202" spans="2:15">
      <c r="B202" s="4" t="s">
        <v>35</v>
      </c>
      <c r="L202" t="s">
        <v>542</v>
      </c>
      <c r="M202" t="s">
        <v>542</v>
      </c>
      <c r="N202" s="3" t="s">
        <v>36</v>
      </c>
      <c r="O202" s="5" t="s">
        <v>37</v>
      </c>
    </row>
    <row r="203" spans="2:15">
      <c r="B203" s="4" t="s">
        <v>38</v>
      </c>
      <c r="L203" t="s">
        <v>542</v>
      </c>
      <c r="M203" t="s">
        <v>542</v>
      </c>
      <c r="N203" s="3" t="s">
        <v>39</v>
      </c>
      <c r="O203" s="5" t="s">
        <v>40</v>
      </c>
    </row>
    <row r="204" spans="2:15">
      <c r="B204" s="4" t="s">
        <v>42</v>
      </c>
      <c r="L204" t="s">
        <v>542</v>
      </c>
      <c r="M204" t="s">
        <v>542</v>
      </c>
      <c r="N204" s="3" t="s">
        <v>43</v>
      </c>
      <c r="O204" s="5" t="s">
        <v>44</v>
      </c>
    </row>
    <row r="205" spans="2:15">
      <c r="B205" s="25" t="s">
        <v>1564</v>
      </c>
      <c r="C205" s="25"/>
      <c r="D205" s="27"/>
      <c r="E205" s="27"/>
      <c r="F205" s="27"/>
      <c r="G205" s="27"/>
      <c r="H205" s="27"/>
      <c r="I205" s="25"/>
      <c r="J205" s="25"/>
      <c r="K205" s="25"/>
      <c r="L205" s="25">
        <v>0</v>
      </c>
      <c r="M205" s="25">
        <v>0</v>
      </c>
      <c r="N205" s="26"/>
      <c r="O205" s="25"/>
    </row>
    <row r="206" spans="2:15">
      <c r="B206" s="4" t="s">
        <v>45</v>
      </c>
      <c r="C206" t="s">
        <v>542</v>
      </c>
      <c r="D206" t="s">
        <v>650</v>
      </c>
      <c r="E206" t="s">
        <v>650</v>
      </c>
      <c r="F206" t="s">
        <v>650</v>
      </c>
      <c r="G206" t="s">
        <v>650</v>
      </c>
      <c r="H206" t="s">
        <v>650</v>
      </c>
      <c r="I206" t="s">
        <v>650</v>
      </c>
      <c r="J206" t="s">
        <v>650</v>
      </c>
      <c r="K206" t="s">
        <v>542</v>
      </c>
      <c r="N206" s="3" t="s">
        <v>46</v>
      </c>
      <c r="O206" s="4" t="s">
        <v>47</v>
      </c>
    </row>
    <row r="207" spans="2:15">
      <c r="B207" s="4" t="s">
        <v>49</v>
      </c>
      <c r="C207" t="s">
        <v>542</v>
      </c>
      <c r="D207" t="s">
        <v>650</v>
      </c>
      <c r="E207" t="s">
        <v>650</v>
      </c>
      <c r="F207" t="s">
        <v>650</v>
      </c>
      <c r="G207" t="s">
        <v>650</v>
      </c>
      <c r="H207" t="s">
        <v>650</v>
      </c>
      <c r="I207" t="s">
        <v>650</v>
      </c>
      <c r="J207" t="s">
        <v>650</v>
      </c>
      <c r="K207" t="s">
        <v>542</v>
      </c>
      <c r="N207" s="3" t="s">
        <v>50</v>
      </c>
      <c r="O207" s="4" t="s">
        <v>51</v>
      </c>
    </row>
    <row r="208" spans="2:15">
      <c r="B208" s="4" t="s">
        <v>52</v>
      </c>
      <c r="C208" t="s">
        <v>542</v>
      </c>
      <c r="D208" t="s">
        <v>650</v>
      </c>
      <c r="E208" t="s">
        <v>650</v>
      </c>
      <c r="F208" t="s">
        <v>650</v>
      </c>
      <c r="G208" t="s">
        <v>650</v>
      </c>
      <c r="H208" t="s">
        <v>650</v>
      </c>
      <c r="I208" t="s">
        <v>650</v>
      </c>
      <c r="J208" t="s">
        <v>650</v>
      </c>
      <c r="K208" t="s">
        <v>542</v>
      </c>
      <c r="N208" s="3" t="s">
        <v>53</v>
      </c>
      <c r="O208" s="4" t="s">
        <v>54</v>
      </c>
    </row>
    <row r="209" spans="2:15">
      <c r="B209" s="4" t="s">
        <v>56</v>
      </c>
      <c r="C209" t="s">
        <v>542</v>
      </c>
      <c r="D209" t="s">
        <v>650</v>
      </c>
      <c r="E209" t="s">
        <v>650</v>
      </c>
      <c r="F209" t="s">
        <v>650</v>
      </c>
      <c r="G209" t="s">
        <v>650</v>
      </c>
      <c r="H209" t="s">
        <v>650</v>
      </c>
      <c r="I209" t="s">
        <v>650</v>
      </c>
      <c r="J209" t="s">
        <v>650</v>
      </c>
      <c r="K209" t="s">
        <v>542</v>
      </c>
      <c r="N209" s="3" t="s">
        <v>57</v>
      </c>
      <c r="O209" s="4" t="s">
        <v>58</v>
      </c>
    </row>
    <row r="210" spans="2:15">
      <c r="B210" s="4" t="s">
        <v>61</v>
      </c>
      <c r="C210" t="s">
        <v>542</v>
      </c>
      <c r="D210" t="s">
        <v>650</v>
      </c>
      <c r="E210" t="s">
        <v>650</v>
      </c>
      <c r="F210" t="s">
        <v>650</v>
      </c>
      <c r="G210" t="s">
        <v>650</v>
      </c>
      <c r="H210" t="s">
        <v>650</v>
      </c>
      <c r="I210" t="s">
        <v>650</v>
      </c>
      <c r="J210" t="s">
        <v>650</v>
      </c>
      <c r="K210" t="s">
        <v>542</v>
      </c>
      <c r="N210" s="3" t="s">
        <v>62</v>
      </c>
      <c r="O210" s="4" t="s">
        <v>63</v>
      </c>
    </row>
    <row r="211" spans="2:15">
      <c r="B211" s="25" t="s">
        <v>1564</v>
      </c>
      <c r="C211" s="25">
        <v>0</v>
      </c>
      <c r="D211" s="27">
        <v>1</v>
      </c>
      <c r="E211" s="27">
        <v>1</v>
      </c>
      <c r="F211" s="27">
        <v>1</v>
      </c>
      <c r="G211" s="27">
        <v>1</v>
      </c>
      <c r="H211" s="27">
        <v>1</v>
      </c>
      <c r="I211" s="25">
        <v>1</v>
      </c>
      <c r="J211" s="25">
        <v>1</v>
      </c>
      <c r="K211" s="25">
        <v>0</v>
      </c>
      <c r="L211" s="25"/>
      <c r="M211" s="25"/>
      <c r="N211" s="26"/>
      <c r="O211" s="25"/>
    </row>
    <row r="212" spans="2:15">
      <c r="B212" s="4" t="s">
        <v>65</v>
      </c>
      <c r="L212" t="s">
        <v>650</v>
      </c>
      <c r="M212" t="s">
        <v>650</v>
      </c>
      <c r="N212" s="3" t="s">
        <v>66</v>
      </c>
      <c r="O212" s="5" t="s">
        <v>67</v>
      </c>
    </row>
    <row r="213" spans="2:15">
      <c r="B213" s="4" t="s">
        <v>68</v>
      </c>
      <c r="L213" t="s">
        <v>650</v>
      </c>
      <c r="M213" t="s">
        <v>650</v>
      </c>
      <c r="N213" s="3" t="s">
        <v>69</v>
      </c>
      <c r="O213" s="5" t="s">
        <v>70</v>
      </c>
    </row>
    <row r="214" spans="2:15">
      <c r="B214" s="4" t="s">
        <v>72</v>
      </c>
      <c r="L214" t="s">
        <v>650</v>
      </c>
      <c r="M214" t="s">
        <v>650</v>
      </c>
      <c r="N214" s="3" t="s">
        <v>73</v>
      </c>
      <c r="O214" s="5" t="s">
        <v>74</v>
      </c>
    </row>
    <row r="215" spans="2:15">
      <c r="B215" s="4" t="s">
        <v>75</v>
      </c>
      <c r="L215" t="s">
        <v>650</v>
      </c>
      <c r="M215" t="s">
        <v>650</v>
      </c>
      <c r="N215" s="3" t="s">
        <v>76</v>
      </c>
      <c r="O215" s="5" t="s">
        <v>77</v>
      </c>
    </row>
    <row r="216" spans="2:15">
      <c r="B216" s="4" t="s">
        <v>78</v>
      </c>
      <c r="L216" t="s">
        <v>650</v>
      </c>
      <c r="M216" t="s">
        <v>650</v>
      </c>
      <c r="N216" s="3" t="s">
        <v>79</v>
      </c>
      <c r="O216" s="5" t="s">
        <v>80</v>
      </c>
    </row>
    <row r="217" spans="2:15">
      <c r="B217" s="25" t="s">
        <v>1564</v>
      </c>
      <c r="C217" s="25"/>
      <c r="D217" s="27"/>
      <c r="E217" s="27"/>
      <c r="F217" s="27"/>
      <c r="G217" s="27"/>
      <c r="H217" s="27"/>
      <c r="I217" s="25"/>
      <c r="J217" s="25"/>
      <c r="K217" s="25"/>
      <c r="L217" s="25">
        <v>1</v>
      </c>
      <c r="M217" s="25">
        <v>1</v>
      </c>
      <c r="N217" s="26"/>
      <c r="O217" s="25"/>
    </row>
    <row r="218" spans="2:15">
      <c r="B218" t="s">
        <v>1336</v>
      </c>
      <c r="C218" t="s">
        <v>650</v>
      </c>
      <c r="D218" t="s">
        <v>650</v>
      </c>
      <c r="E218" t="s">
        <v>650</v>
      </c>
      <c r="F218" t="s">
        <v>650</v>
      </c>
      <c r="G218" t="s">
        <v>650</v>
      </c>
      <c r="H218" t="s">
        <v>650</v>
      </c>
      <c r="I218" t="s">
        <v>650</v>
      </c>
      <c r="J218" t="s">
        <v>650</v>
      </c>
      <c r="K218" t="s">
        <v>542</v>
      </c>
      <c r="N218" s="12" t="s">
        <v>919</v>
      </c>
      <c r="O218" s="11" t="s">
        <v>918</v>
      </c>
    </row>
    <row r="219" spans="2:15">
      <c r="B219" t="s">
        <v>1337</v>
      </c>
      <c r="C219" t="s">
        <v>542</v>
      </c>
      <c r="D219" t="s">
        <v>542</v>
      </c>
      <c r="E219" t="s">
        <v>650</v>
      </c>
      <c r="F219" t="s">
        <v>650</v>
      </c>
      <c r="G219" t="s">
        <v>650</v>
      </c>
      <c r="H219" t="s">
        <v>650</v>
      </c>
      <c r="I219" t="s">
        <v>650</v>
      </c>
      <c r="J219" t="s">
        <v>650</v>
      </c>
      <c r="K219" t="s">
        <v>542</v>
      </c>
      <c r="N219" s="12" t="s">
        <v>923</v>
      </c>
      <c r="O219" s="11" t="s">
        <v>922</v>
      </c>
    </row>
    <row r="220" spans="2:15">
      <c r="B220" t="s">
        <v>1338</v>
      </c>
      <c r="C220" t="s">
        <v>542</v>
      </c>
      <c r="D220" t="s">
        <v>650</v>
      </c>
      <c r="E220" t="s">
        <v>650</v>
      </c>
      <c r="F220" t="s">
        <v>650</v>
      </c>
      <c r="G220" t="s">
        <v>650</v>
      </c>
      <c r="H220" t="s">
        <v>650</v>
      </c>
      <c r="I220" t="s">
        <v>650</v>
      </c>
      <c r="J220" t="s">
        <v>650</v>
      </c>
      <c r="K220" t="s">
        <v>542</v>
      </c>
      <c r="N220" s="12" t="s">
        <v>926</v>
      </c>
      <c r="O220" s="11" t="s">
        <v>925</v>
      </c>
    </row>
    <row r="221" spans="2:15">
      <c r="B221" t="s">
        <v>1339</v>
      </c>
      <c r="C221" t="s">
        <v>542</v>
      </c>
      <c r="D221" t="s">
        <v>542</v>
      </c>
      <c r="E221" t="s">
        <v>650</v>
      </c>
      <c r="F221" t="s">
        <v>650</v>
      </c>
      <c r="G221" t="s">
        <v>650</v>
      </c>
      <c r="H221" t="s">
        <v>650</v>
      </c>
      <c r="I221" t="s">
        <v>650</v>
      </c>
      <c r="J221" t="s">
        <v>650</v>
      </c>
      <c r="K221" t="s">
        <v>542</v>
      </c>
      <c r="N221" s="12" t="s">
        <v>929</v>
      </c>
      <c r="O221" s="11" t="s">
        <v>928</v>
      </c>
    </row>
    <row r="222" spans="2:15">
      <c r="B222" t="s">
        <v>1340</v>
      </c>
      <c r="C222" t="s">
        <v>650</v>
      </c>
      <c r="D222" t="s">
        <v>650</v>
      </c>
      <c r="E222" t="s">
        <v>650</v>
      </c>
      <c r="F222" t="s">
        <v>650</v>
      </c>
      <c r="G222" t="s">
        <v>650</v>
      </c>
      <c r="H222" t="s">
        <v>650</v>
      </c>
      <c r="I222" t="s">
        <v>650</v>
      </c>
      <c r="J222" t="s">
        <v>650</v>
      </c>
      <c r="K222" t="s">
        <v>542</v>
      </c>
      <c r="N222" s="12" t="s">
        <v>932</v>
      </c>
      <c r="O222" s="11" t="s">
        <v>931</v>
      </c>
    </row>
    <row r="223" spans="2:15">
      <c r="B223" s="25" t="s">
        <v>1564</v>
      </c>
      <c r="C223" s="25">
        <f>2/5</f>
        <v>0.4</v>
      </c>
      <c r="D223" s="27">
        <f>3/5</f>
        <v>0.6</v>
      </c>
      <c r="E223" s="27">
        <v>1</v>
      </c>
      <c r="F223" s="27">
        <v>1</v>
      </c>
      <c r="G223" s="27">
        <v>1</v>
      </c>
      <c r="H223" s="27">
        <v>1</v>
      </c>
      <c r="I223" s="27">
        <v>1</v>
      </c>
      <c r="J223" s="27">
        <v>1</v>
      </c>
      <c r="K223" s="25">
        <v>0</v>
      </c>
      <c r="L223" s="25"/>
      <c r="M223" s="25"/>
      <c r="N223" s="26"/>
      <c r="O223" s="25"/>
    </row>
    <row r="224" spans="2:15">
      <c r="B224" t="s">
        <v>1470</v>
      </c>
      <c r="L224" t="s">
        <v>542</v>
      </c>
      <c r="M224" t="s">
        <v>542</v>
      </c>
      <c r="N224" s="12" t="s">
        <v>935</v>
      </c>
      <c r="O224" s="11" t="s">
        <v>934</v>
      </c>
    </row>
    <row r="225" spans="2:15">
      <c r="B225" t="s">
        <v>1471</v>
      </c>
      <c r="L225" t="s">
        <v>542</v>
      </c>
      <c r="M225" t="s">
        <v>542</v>
      </c>
      <c r="N225" s="12" t="s">
        <v>937</v>
      </c>
      <c r="O225" s="11" t="s">
        <v>936</v>
      </c>
    </row>
    <row r="226" spans="2:15">
      <c r="B226" t="s">
        <v>1472</v>
      </c>
      <c r="L226" t="s">
        <v>542</v>
      </c>
      <c r="M226" t="s">
        <v>542</v>
      </c>
      <c r="N226" s="12" t="s">
        <v>939</v>
      </c>
      <c r="O226" s="11" t="s">
        <v>938</v>
      </c>
    </row>
    <row r="227" spans="2:15">
      <c r="B227" t="s">
        <v>1473</v>
      </c>
      <c r="L227" t="s">
        <v>542</v>
      </c>
      <c r="M227" t="s">
        <v>542</v>
      </c>
      <c r="N227" s="12" t="s">
        <v>941</v>
      </c>
      <c r="O227" s="11" t="s">
        <v>940</v>
      </c>
    </row>
    <row r="228" spans="2:15">
      <c r="B228" t="s">
        <v>1474</v>
      </c>
      <c r="L228" t="s">
        <v>542</v>
      </c>
      <c r="M228" t="s">
        <v>542</v>
      </c>
      <c r="N228" s="12" t="s">
        <v>943</v>
      </c>
      <c r="O228" s="11" t="s">
        <v>942</v>
      </c>
    </row>
    <row r="229" spans="2:15">
      <c r="B229" s="25" t="s">
        <v>1564</v>
      </c>
      <c r="C229" s="25"/>
      <c r="D229" s="27"/>
      <c r="E229" s="27"/>
      <c r="F229" s="27"/>
      <c r="G229" s="27"/>
      <c r="H229" s="27"/>
      <c r="I229" s="25"/>
      <c r="J229" s="25"/>
      <c r="K229" s="25"/>
      <c r="L229" s="25">
        <v>0</v>
      </c>
      <c r="M229" s="25">
        <v>0</v>
      </c>
      <c r="N229" s="26"/>
      <c r="O229" s="25"/>
    </row>
    <row r="230" spans="2:15">
      <c r="B230" t="s">
        <v>1341</v>
      </c>
      <c r="C230" t="s">
        <v>542</v>
      </c>
      <c r="D230" t="s">
        <v>650</v>
      </c>
      <c r="E230" t="s">
        <v>650</v>
      </c>
      <c r="F230" t="s">
        <v>650</v>
      </c>
      <c r="G230" t="s">
        <v>650</v>
      </c>
      <c r="H230" t="s">
        <v>650</v>
      </c>
      <c r="I230" t="s">
        <v>650</v>
      </c>
      <c r="J230" t="s">
        <v>650</v>
      </c>
      <c r="K230" t="s">
        <v>542</v>
      </c>
      <c r="N230" s="12" t="s">
        <v>945</v>
      </c>
      <c r="O230" s="11" t="s">
        <v>944</v>
      </c>
    </row>
    <row r="231" spans="2:15">
      <c r="B231" t="s">
        <v>1342</v>
      </c>
      <c r="C231" t="s">
        <v>542</v>
      </c>
      <c r="D231" t="s">
        <v>650</v>
      </c>
      <c r="E231" t="s">
        <v>650</v>
      </c>
      <c r="F231" t="s">
        <v>650</v>
      </c>
      <c r="G231" t="s">
        <v>650</v>
      </c>
      <c r="H231" t="s">
        <v>650</v>
      </c>
      <c r="I231" t="s">
        <v>650</v>
      </c>
      <c r="J231" t="s">
        <v>650</v>
      </c>
      <c r="K231" t="s">
        <v>542</v>
      </c>
      <c r="N231" s="12" t="s">
        <v>949</v>
      </c>
      <c r="O231" s="11" t="s">
        <v>948</v>
      </c>
    </row>
    <row r="232" spans="2:15">
      <c r="B232" t="s">
        <v>1343</v>
      </c>
      <c r="C232" t="s">
        <v>650</v>
      </c>
      <c r="D232" t="s">
        <v>650</v>
      </c>
      <c r="E232" t="s">
        <v>650</v>
      </c>
      <c r="F232" t="s">
        <v>650</v>
      </c>
      <c r="G232" t="s">
        <v>650</v>
      </c>
      <c r="H232" t="s">
        <v>650</v>
      </c>
      <c r="I232" t="s">
        <v>650</v>
      </c>
      <c r="J232" t="s">
        <v>650</v>
      </c>
      <c r="K232" t="s">
        <v>542</v>
      </c>
      <c r="N232" s="12" t="s">
        <v>952</v>
      </c>
      <c r="O232" s="11" t="s">
        <v>951</v>
      </c>
    </row>
    <row r="233" spans="2:15">
      <c r="B233" t="s">
        <v>1344</v>
      </c>
      <c r="C233" t="s">
        <v>542</v>
      </c>
      <c r="D233" t="s">
        <v>650</v>
      </c>
      <c r="E233" t="s">
        <v>650</v>
      </c>
      <c r="F233" t="s">
        <v>650</v>
      </c>
      <c r="G233" t="s">
        <v>650</v>
      </c>
      <c r="H233" t="s">
        <v>650</v>
      </c>
      <c r="I233" t="s">
        <v>650</v>
      </c>
      <c r="J233" t="s">
        <v>650</v>
      </c>
      <c r="K233" t="s">
        <v>542</v>
      </c>
      <c r="N233" s="12" t="s">
        <v>955</v>
      </c>
      <c r="O233" s="11" t="s">
        <v>954</v>
      </c>
    </row>
    <row r="234" spans="2:15">
      <c r="B234" t="s">
        <v>1345</v>
      </c>
      <c r="C234" t="s">
        <v>542</v>
      </c>
      <c r="D234" t="s">
        <v>650</v>
      </c>
      <c r="E234" t="s">
        <v>650</v>
      </c>
      <c r="F234" t="s">
        <v>650</v>
      </c>
      <c r="G234" t="s">
        <v>650</v>
      </c>
      <c r="H234" t="s">
        <v>650</v>
      </c>
      <c r="I234" t="s">
        <v>650</v>
      </c>
      <c r="J234" t="s">
        <v>650</v>
      </c>
      <c r="K234" t="s">
        <v>542</v>
      </c>
      <c r="N234" s="12" t="s">
        <v>958</v>
      </c>
      <c r="O234" s="11" t="s">
        <v>957</v>
      </c>
    </row>
    <row r="235" spans="2:15">
      <c r="B235" s="25" t="s">
        <v>1564</v>
      </c>
      <c r="C235" s="25">
        <f>1/5</f>
        <v>0.2</v>
      </c>
      <c r="D235" s="27">
        <v>1</v>
      </c>
      <c r="E235" s="27">
        <v>1</v>
      </c>
      <c r="F235" s="27">
        <v>1</v>
      </c>
      <c r="G235" s="27">
        <v>1</v>
      </c>
      <c r="H235" s="27">
        <v>1</v>
      </c>
      <c r="I235" s="27">
        <v>1</v>
      </c>
      <c r="J235" s="27">
        <v>1</v>
      </c>
      <c r="K235" s="25">
        <v>0</v>
      </c>
      <c r="L235" s="25"/>
      <c r="M235" s="25"/>
      <c r="N235" s="26"/>
      <c r="O235" s="25"/>
    </row>
    <row r="236" spans="2:15">
      <c r="B236" t="s">
        <v>1475</v>
      </c>
      <c r="L236" t="s">
        <v>650</v>
      </c>
      <c r="M236" t="s">
        <v>650</v>
      </c>
      <c r="N236" s="12" t="s">
        <v>961</v>
      </c>
      <c r="O236" s="11" t="s">
        <v>960</v>
      </c>
    </row>
    <row r="237" spans="2:15">
      <c r="B237" t="s">
        <v>1476</v>
      </c>
      <c r="L237" t="s">
        <v>542</v>
      </c>
      <c r="M237" t="s">
        <v>542</v>
      </c>
      <c r="N237" s="12" t="s">
        <v>964</v>
      </c>
      <c r="O237" s="11" t="s">
        <v>963</v>
      </c>
    </row>
    <row r="238" spans="2:15">
      <c r="B238" t="s">
        <v>1477</v>
      </c>
      <c r="L238" t="s">
        <v>650</v>
      </c>
      <c r="M238" t="s">
        <v>650</v>
      </c>
      <c r="N238" s="12" t="s">
        <v>966</v>
      </c>
      <c r="O238" s="11" t="s">
        <v>965</v>
      </c>
    </row>
    <row r="239" spans="2:15">
      <c r="B239" t="s">
        <v>1478</v>
      </c>
      <c r="L239" t="s">
        <v>650</v>
      </c>
      <c r="M239" t="s">
        <v>650</v>
      </c>
      <c r="N239" s="12" t="s">
        <v>968</v>
      </c>
      <c r="O239" s="11" t="s">
        <v>967</v>
      </c>
    </row>
    <row r="240" spans="2:15">
      <c r="B240" t="s">
        <v>1479</v>
      </c>
      <c r="L240" t="s">
        <v>650</v>
      </c>
      <c r="M240" t="s">
        <v>650</v>
      </c>
      <c r="N240" s="12" t="s">
        <v>970</v>
      </c>
      <c r="O240" s="11" t="s">
        <v>969</v>
      </c>
    </row>
    <row r="241" spans="2:15">
      <c r="B241" s="25" t="s">
        <v>1564</v>
      </c>
      <c r="C241" s="25"/>
      <c r="D241" s="27"/>
      <c r="E241" s="27"/>
      <c r="F241" s="27"/>
      <c r="G241" s="27"/>
      <c r="H241" s="27"/>
      <c r="I241" s="25"/>
      <c r="J241" s="25"/>
      <c r="K241" s="25"/>
      <c r="L241" s="25">
        <f>4/5</f>
        <v>0.8</v>
      </c>
      <c r="M241" s="25">
        <f>4/5</f>
        <v>0.8</v>
      </c>
      <c r="N241" s="26"/>
      <c r="O241" s="25"/>
    </row>
    <row r="242" spans="2:15">
      <c r="B242" s="4" t="s">
        <v>411</v>
      </c>
      <c r="C242" t="s">
        <v>542</v>
      </c>
      <c r="D242" t="s">
        <v>542</v>
      </c>
      <c r="E242" t="s">
        <v>650</v>
      </c>
      <c r="F242" t="s">
        <v>650</v>
      </c>
      <c r="G242" t="s">
        <v>650</v>
      </c>
      <c r="H242" t="s">
        <v>650</v>
      </c>
      <c r="I242" t="s">
        <v>650</v>
      </c>
      <c r="J242" t="s">
        <v>650</v>
      </c>
      <c r="K242" t="s">
        <v>542</v>
      </c>
      <c r="N242" s="3" t="s">
        <v>412</v>
      </c>
      <c r="O242" s="4" t="s">
        <v>413</v>
      </c>
    </row>
    <row r="243" spans="2:15">
      <c r="B243" s="4" t="s">
        <v>415</v>
      </c>
      <c r="C243" t="s">
        <v>542</v>
      </c>
      <c r="D243" t="s">
        <v>542</v>
      </c>
      <c r="E243" t="s">
        <v>650</v>
      </c>
      <c r="F243" t="s">
        <v>650</v>
      </c>
      <c r="G243" t="s">
        <v>650</v>
      </c>
      <c r="H243" t="s">
        <v>650</v>
      </c>
      <c r="I243" t="s">
        <v>650</v>
      </c>
      <c r="J243" t="s">
        <v>650</v>
      </c>
      <c r="K243" t="s">
        <v>542</v>
      </c>
      <c r="N243" s="3" t="s">
        <v>416</v>
      </c>
      <c r="O243" s="4" t="s">
        <v>417</v>
      </c>
    </row>
    <row r="244" spans="2:15">
      <c r="B244" s="4" t="s">
        <v>418</v>
      </c>
      <c r="C244" t="s">
        <v>542</v>
      </c>
      <c r="D244" t="s">
        <v>542</v>
      </c>
      <c r="E244" t="s">
        <v>650</v>
      </c>
      <c r="F244" t="s">
        <v>650</v>
      </c>
      <c r="G244" t="s">
        <v>650</v>
      </c>
      <c r="H244" t="s">
        <v>650</v>
      </c>
      <c r="I244" t="s">
        <v>650</v>
      </c>
      <c r="J244" t="s">
        <v>650</v>
      </c>
      <c r="K244" t="s">
        <v>542</v>
      </c>
      <c r="N244" s="3" t="s">
        <v>419</v>
      </c>
      <c r="O244" s="4" t="s">
        <v>420</v>
      </c>
    </row>
    <row r="245" spans="2:15">
      <c r="B245" s="4" t="s">
        <v>421</v>
      </c>
      <c r="C245" t="s">
        <v>542</v>
      </c>
      <c r="D245" t="s">
        <v>542</v>
      </c>
      <c r="E245" t="s">
        <v>650</v>
      </c>
      <c r="F245" t="s">
        <v>650</v>
      </c>
      <c r="G245" t="s">
        <v>650</v>
      </c>
      <c r="H245" t="s">
        <v>650</v>
      </c>
      <c r="I245" t="s">
        <v>650</v>
      </c>
      <c r="J245" t="s">
        <v>650</v>
      </c>
      <c r="K245" t="s">
        <v>542</v>
      </c>
      <c r="N245" s="3" t="s">
        <v>422</v>
      </c>
      <c r="O245" s="4" t="s">
        <v>423</v>
      </c>
    </row>
    <row r="246" spans="2:15">
      <c r="B246" s="4" t="s">
        <v>424</v>
      </c>
      <c r="C246" t="s">
        <v>542</v>
      </c>
      <c r="D246" t="s">
        <v>542</v>
      </c>
      <c r="E246" t="s">
        <v>650</v>
      </c>
      <c r="F246" t="s">
        <v>650</v>
      </c>
      <c r="G246" t="s">
        <v>650</v>
      </c>
      <c r="H246" t="s">
        <v>542</v>
      </c>
      <c r="I246" t="s">
        <v>650</v>
      </c>
      <c r="J246" t="s">
        <v>650</v>
      </c>
      <c r="K246" t="s">
        <v>542</v>
      </c>
      <c r="N246" s="3" t="s">
        <v>425</v>
      </c>
      <c r="O246" s="4" t="s">
        <v>426</v>
      </c>
    </row>
    <row r="247" spans="2:15">
      <c r="B247" s="25" t="s">
        <v>1564</v>
      </c>
      <c r="C247" s="25">
        <v>0</v>
      </c>
      <c r="D247" s="27">
        <v>0</v>
      </c>
      <c r="E247" s="27">
        <v>1</v>
      </c>
      <c r="F247" s="27">
        <v>1</v>
      </c>
      <c r="G247" s="27">
        <v>1</v>
      </c>
      <c r="H247" s="27">
        <f>4/5</f>
        <v>0.8</v>
      </c>
      <c r="I247" s="25">
        <v>1</v>
      </c>
      <c r="J247" s="25">
        <v>1</v>
      </c>
      <c r="K247" s="25">
        <v>0</v>
      </c>
      <c r="L247" s="25"/>
      <c r="M247" s="25"/>
      <c r="N247" s="26"/>
      <c r="O247" s="25"/>
    </row>
    <row r="248" spans="2:15">
      <c r="B248" s="4" t="s">
        <v>427</v>
      </c>
      <c r="L248" t="s">
        <v>542</v>
      </c>
      <c r="M248" t="s">
        <v>542</v>
      </c>
      <c r="N248" s="3" t="s">
        <v>428</v>
      </c>
      <c r="O248" s="5" t="s">
        <v>429</v>
      </c>
    </row>
    <row r="249" spans="2:15">
      <c r="B249" s="4" t="s">
        <v>430</v>
      </c>
      <c r="L249" t="s">
        <v>542</v>
      </c>
      <c r="M249" t="s">
        <v>542</v>
      </c>
      <c r="N249" s="3" t="s">
        <v>431</v>
      </c>
      <c r="O249" s="5" t="s">
        <v>432</v>
      </c>
    </row>
    <row r="250" spans="2:15">
      <c r="B250" s="4" t="s">
        <v>433</v>
      </c>
      <c r="L250" t="s">
        <v>542</v>
      </c>
      <c r="M250" t="s">
        <v>542</v>
      </c>
      <c r="N250" s="3" t="s">
        <v>434</v>
      </c>
      <c r="O250" s="5" t="s">
        <v>435</v>
      </c>
    </row>
    <row r="251" spans="2:15">
      <c r="B251" s="4" t="s">
        <v>436</v>
      </c>
      <c r="L251" t="s">
        <v>542</v>
      </c>
      <c r="M251" t="s">
        <v>542</v>
      </c>
      <c r="N251" s="3" t="s">
        <v>437</v>
      </c>
      <c r="O251" s="5" t="s">
        <v>438</v>
      </c>
    </row>
    <row r="252" spans="2:15">
      <c r="B252" s="4" t="s">
        <v>439</v>
      </c>
      <c r="L252" t="s">
        <v>542</v>
      </c>
      <c r="M252" t="s">
        <v>542</v>
      </c>
      <c r="N252" s="3" t="s">
        <v>440</v>
      </c>
      <c r="O252" s="5" t="s">
        <v>441</v>
      </c>
    </row>
    <row r="253" spans="2:15">
      <c r="B253" s="25" t="s">
        <v>1564</v>
      </c>
      <c r="C253" s="25"/>
      <c r="D253" s="27"/>
      <c r="E253" s="27"/>
      <c r="F253" s="27"/>
      <c r="G253" s="27"/>
      <c r="H253" s="27"/>
      <c r="I253" s="25"/>
      <c r="J253" s="25"/>
      <c r="K253" s="25"/>
      <c r="L253" s="25">
        <v>0</v>
      </c>
      <c r="M253" s="25">
        <v>0</v>
      </c>
      <c r="N253" s="26"/>
      <c r="O253" s="25"/>
    </row>
    <row r="254" spans="2:15">
      <c r="B254" s="4" t="s">
        <v>442</v>
      </c>
      <c r="C254" t="s">
        <v>542</v>
      </c>
      <c r="D254" t="s">
        <v>650</v>
      </c>
      <c r="E254" t="s">
        <v>650</v>
      </c>
      <c r="F254" t="s">
        <v>650</v>
      </c>
      <c r="G254" t="s">
        <v>650</v>
      </c>
      <c r="H254" t="s">
        <v>650</v>
      </c>
      <c r="I254" t="s">
        <v>650</v>
      </c>
      <c r="J254" t="s">
        <v>650</v>
      </c>
      <c r="K254" t="s">
        <v>542</v>
      </c>
      <c r="N254" s="3" t="s">
        <v>443</v>
      </c>
      <c r="O254" s="4" t="s">
        <v>444</v>
      </c>
    </row>
    <row r="255" spans="2:15">
      <c r="B255" s="4" t="s">
        <v>446</v>
      </c>
      <c r="C255" t="s">
        <v>542</v>
      </c>
      <c r="D255" t="s">
        <v>650</v>
      </c>
      <c r="E255" t="s">
        <v>650</v>
      </c>
      <c r="F255" t="s">
        <v>650</v>
      </c>
      <c r="G255" t="s">
        <v>650</v>
      </c>
      <c r="H255" t="s">
        <v>650</v>
      </c>
      <c r="I255" t="s">
        <v>542</v>
      </c>
      <c r="J255" t="s">
        <v>542</v>
      </c>
      <c r="K255" t="s">
        <v>542</v>
      </c>
      <c r="N255" s="3" t="s">
        <v>447</v>
      </c>
      <c r="O255" s="4" t="s">
        <v>448</v>
      </c>
    </row>
    <row r="256" spans="2:15">
      <c r="B256" s="4" t="s">
        <v>450</v>
      </c>
      <c r="C256" t="s">
        <v>542</v>
      </c>
      <c r="D256" t="s">
        <v>650</v>
      </c>
      <c r="E256" s="3" t="s">
        <v>584</v>
      </c>
      <c r="F256" t="s">
        <v>650</v>
      </c>
      <c r="G256" t="s">
        <v>650</v>
      </c>
      <c r="H256" t="s">
        <v>650</v>
      </c>
      <c r="I256" t="s">
        <v>542</v>
      </c>
      <c r="J256" t="s">
        <v>542</v>
      </c>
      <c r="K256" t="s">
        <v>542</v>
      </c>
      <c r="N256" s="3" t="s">
        <v>451</v>
      </c>
      <c r="O256" s="4" t="s">
        <v>452</v>
      </c>
    </row>
    <row r="257" spans="2:15">
      <c r="B257" s="4" t="s">
        <v>453</v>
      </c>
      <c r="C257" t="s">
        <v>542</v>
      </c>
      <c r="D257" t="s">
        <v>650</v>
      </c>
      <c r="E257" t="s">
        <v>650</v>
      </c>
      <c r="F257" t="s">
        <v>650</v>
      </c>
      <c r="G257" t="s">
        <v>650</v>
      </c>
      <c r="H257" t="s">
        <v>650</v>
      </c>
      <c r="I257" t="s">
        <v>542</v>
      </c>
      <c r="J257" t="s">
        <v>542</v>
      </c>
      <c r="K257" t="s">
        <v>542</v>
      </c>
      <c r="N257" s="3" t="s">
        <v>454</v>
      </c>
      <c r="O257" s="4" t="s">
        <v>455</v>
      </c>
    </row>
    <row r="258" spans="2:15">
      <c r="B258" s="4" t="s">
        <v>458</v>
      </c>
      <c r="C258" t="s">
        <v>542</v>
      </c>
      <c r="D258" t="s">
        <v>542</v>
      </c>
      <c r="E258" t="s">
        <v>650</v>
      </c>
      <c r="F258" t="s">
        <v>650</v>
      </c>
      <c r="G258" t="s">
        <v>650</v>
      </c>
      <c r="H258" t="s">
        <v>650</v>
      </c>
      <c r="I258" t="s">
        <v>542</v>
      </c>
      <c r="J258" t="s">
        <v>542</v>
      </c>
      <c r="K258" t="s">
        <v>542</v>
      </c>
      <c r="N258" s="3" t="s">
        <v>459</v>
      </c>
      <c r="O258" s="4" t="s">
        <v>460</v>
      </c>
    </row>
    <row r="259" spans="2:15">
      <c r="B259" s="25" t="s">
        <v>1564</v>
      </c>
      <c r="C259" s="25">
        <v>0</v>
      </c>
      <c r="D259" s="27">
        <f>4/5</f>
        <v>0.8</v>
      </c>
      <c r="E259" s="27">
        <v>1</v>
      </c>
      <c r="F259" s="27">
        <v>1</v>
      </c>
      <c r="G259" s="27">
        <v>1</v>
      </c>
      <c r="H259" s="27">
        <v>1</v>
      </c>
      <c r="I259" s="25">
        <f>1/5</f>
        <v>0.2</v>
      </c>
      <c r="J259" s="25">
        <v>0.2</v>
      </c>
      <c r="K259" s="25">
        <v>0</v>
      </c>
      <c r="L259" s="25"/>
      <c r="M259" s="25"/>
      <c r="N259" s="26"/>
      <c r="O259" s="25"/>
    </row>
    <row r="260" spans="2:15">
      <c r="B260" s="4" t="s">
        <v>462</v>
      </c>
      <c r="L260" t="s">
        <v>650</v>
      </c>
      <c r="M260" t="s">
        <v>542</v>
      </c>
      <c r="N260" s="3" t="s">
        <v>463</v>
      </c>
      <c r="O260" s="5" t="s">
        <v>464</v>
      </c>
    </row>
    <row r="261" spans="2:15">
      <c r="B261" s="4" t="s">
        <v>465</v>
      </c>
      <c r="L261" t="s">
        <v>650</v>
      </c>
      <c r="M261" t="s">
        <v>542</v>
      </c>
      <c r="N261" s="3" t="s">
        <v>466</v>
      </c>
      <c r="O261" s="5" t="s">
        <v>467</v>
      </c>
    </row>
    <row r="262" spans="2:15">
      <c r="B262" s="4" t="s">
        <v>468</v>
      </c>
      <c r="L262" t="s">
        <v>650</v>
      </c>
      <c r="M262" t="s">
        <v>650</v>
      </c>
      <c r="N262" s="3" t="s">
        <v>469</v>
      </c>
      <c r="O262" s="5" t="s">
        <v>470</v>
      </c>
    </row>
    <row r="263" spans="2:15">
      <c r="B263" s="4" t="s">
        <v>471</v>
      </c>
      <c r="L263" t="s">
        <v>650</v>
      </c>
      <c r="M263" t="s">
        <v>650</v>
      </c>
      <c r="N263" s="3" t="s">
        <v>472</v>
      </c>
      <c r="O263" s="5" t="s">
        <v>473</v>
      </c>
    </row>
    <row r="264" spans="2:15">
      <c r="B264" s="4" t="s">
        <v>474</v>
      </c>
      <c r="L264" t="s">
        <v>650</v>
      </c>
      <c r="M264" t="s">
        <v>542</v>
      </c>
      <c r="N264" s="3" t="s">
        <v>475</v>
      </c>
      <c r="O264" s="5" t="s">
        <v>476</v>
      </c>
    </row>
    <row r="265" spans="2:15">
      <c r="B265" s="25" t="s">
        <v>1564</v>
      </c>
      <c r="C265" s="25"/>
      <c r="D265" s="27"/>
      <c r="E265" s="27"/>
      <c r="F265" s="27"/>
      <c r="G265" s="27"/>
      <c r="H265" s="27"/>
      <c r="I265" s="25"/>
      <c r="J265" s="25"/>
      <c r="K265" s="25"/>
      <c r="L265" s="25">
        <v>1</v>
      </c>
      <c r="M265" s="25">
        <f>2/5</f>
        <v>0.4</v>
      </c>
      <c r="N265" s="26"/>
      <c r="O265" s="25"/>
    </row>
    <row r="266" spans="2:15">
      <c r="B266" t="s">
        <v>1346</v>
      </c>
      <c r="C266" t="s">
        <v>542</v>
      </c>
      <c r="D266" t="s">
        <v>650</v>
      </c>
      <c r="E266" t="s">
        <v>650</v>
      </c>
      <c r="F266" t="s">
        <v>542</v>
      </c>
      <c r="G266" t="s">
        <v>542</v>
      </c>
      <c r="H266" t="s">
        <v>542</v>
      </c>
      <c r="I266" t="s">
        <v>650</v>
      </c>
      <c r="J266" t="s">
        <v>650</v>
      </c>
      <c r="K266" t="s">
        <v>650</v>
      </c>
      <c r="N266" s="12" t="s">
        <v>982</v>
      </c>
      <c r="O266" s="11" t="s">
        <v>981</v>
      </c>
    </row>
    <row r="267" spans="2:15">
      <c r="B267" t="s">
        <v>1347</v>
      </c>
      <c r="C267" t="s">
        <v>542</v>
      </c>
      <c r="D267" t="s">
        <v>542</v>
      </c>
      <c r="E267" t="s">
        <v>650</v>
      </c>
      <c r="F267" t="s">
        <v>542</v>
      </c>
      <c r="G267" t="s">
        <v>542</v>
      </c>
      <c r="H267" t="s">
        <v>542</v>
      </c>
      <c r="I267" t="s">
        <v>650</v>
      </c>
      <c r="J267" t="s">
        <v>650</v>
      </c>
      <c r="K267" t="s">
        <v>650</v>
      </c>
      <c r="N267" s="12" t="s">
        <v>984</v>
      </c>
      <c r="O267" s="11" t="s">
        <v>983</v>
      </c>
    </row>
    <row r="268" spans="2:15">
      <c r="B268" t="s">
        <v>1348</v>
      </c>
      <c r="C268" t="s">
        <v>542</v>
      </c>
      <c r="D268" t="s">
        <v>542</v>
      </c>
      <c r="E268" t="s">
        <v>650</v>
      </c>
      <c r="F268" t="s">
        <v>650</v>
      </c>
      <c r="G268" t="s">
        <v>650</v>
      </c>
      <c r="H268" t="s">
        <v>650</v>
      </c>
      <c r="I268" t="s">
        <v>650</v>
      </c>
      <c r="J268" t="s">
        <v>650</v>
      </c>
      <c r="K268" t="s">
        <v>650</v>
      </c>
      <c r="N268" s="12" t="s">
        <v>988</v>
      </c>
      <c r="O268" s="11" t="s">
        <v>987</v>
      </c>
    </row>
    <row r="269" spans="2:15">
      <c r="B269" t="s">
        <v>1349</v>
      </c>
      <c r="C269" t="s">
        <v>542</v>
      </c>
      <c r="D269" t="s">
        <v>650</v>
      </c>
      <c r="E269" t="s">
        <v>650</v>
      </c>
      <c r="F269" t="s">
        <v>650</v>
      </c>
      <c r="G269" t="s">
        <v>542</v>
      </c>
      <c r="H269" t="s">
        <v>542</v>
      </c>
      <c r="I269" t="s">
        <v>650</v>
      </c>
      <c r="J269" t="s">
        <v>650</v>
      </c>
      <c r="K269" t="s">
        <v>650</v>
      </c>
      <c r="N269" s="12" t="s">
        <v>992</v>
      </c>
      <c r="O269" s="11" t="s">
        <v>991</v>
      </c>
    </row>
    <row r="270" spans="2:15">
      <c r="B270" t="s">
        <v>1350</v>
      </c>
      <c r="C270" t="s">
        <v>542</v>
      </c>
      <c r="D270" t="s">
        <v>650</v>
      </c>
      <c r="E270" t="s">
        <v>650</v>
      </c>
      <c r="F270" t="s">
        <v>650</v>
      </c>
      <c r="G270" t="s">
        <v>650</v>
      </c>
      <c r="H270" t="s">
        <v>650</v>
      </c>
      <c r="I270" t="s">
        <v>650</v>
      </c>
      <c r="J270" t="s">
        <v>650</v>
      </c>
      <c r="K270" t="s">
        <v>650</v>
      </c>
      <c r="N270" s="12" t="s">
        <v>996</v>
      </c>
      <c r="O270" s="11" t="s">
        <v>995</v>
      </c>
    </row>
    <row r="271" spans="2:15">
      <c r="B271" s="25" t="s">
        <v>1564</v>
      </c>
      <c r="C271" s="25">
        <v>0</v>
      </c>
      <c r="D271" s="27">
        <f>3/5</f>
        <v>0.6</v>
      </c>
      <c r="E271" s="27">
        <v>1</v>
      </c>
      <c r="F271" s="27">
        <f>3/5</f>
        <v>0.6</v>
      </c>
      <c r="G271" s="25">
        <f>2/5</f>
        <v>0.4</v>
      </c>
      <c r="H271" s="25">
        <f>2/5</f>
        <v>0.4</v>
      </c>
      <c r="I271" s="25">
        <v>1</v>
      </c>
      <c r="J271" s="25">
        <v>1</v>
      </c>
      <c r="K271" s="25">
        <v>1</v>
      </c>
      <c r="L271" s="25"/>
      <c r="M271" s="25"/>
      <c r="N271" s="26"/>
      <c r="O271" s="25"/>
    </row>
    <row r="272" spans="2:15">
      <c r="B272" t="s">
        <v>1480</v>
      </c>
      <c r="L272" t="s">
        <v>650</v>
      </c>
      <c r="M272" t="s">
        <v>650</v>
      </c>
      <c r="N272" s="12" t="s">
        <v>972</v>
      </c>
      <c r="O272" s="11" t="s">
        <v>971</v>
      </c>
    </row>
    <row r="273" spans="2:15">
      <c r="B273" t="s">
        <v>1481</v>
      </c>
      <c r="L273" t="s">
        <v>542</v>
      </c>
      <c r="M273" t="s">
        <v>542</v>
      </c>
      <c r="N273" s="12" t="s">
        <v>974</v>
      </c>
      <c r="O273" s="11" t="s">
        <v>973</v>
      </c>
    </row>
    <row r="274" spans="2:15">
      <c r="B274" t="s">
        <v>1482</v>
      </c>
      <c r="L274" t="s">
        <v>650</v>
      </c>
      <c r="M274" t="s">
        <v>542</v>
      </c>
      <c r="N274" s="12" t="s">
        <v>976</v>
      </c>
      <c r="O274" s="11" t="s">
        <v>975</v>
      </c>
    </row>
    <row r="275" spans="2:15">
      <c r="B275" t="s">
        <v>1483</v>
      </c>
      <c r="L275" t="s">
        <v>542</v>
      </c>
      <c r="M275" t="s">
        <v>542</v>
      </c>
      <c r="N275" s="12" t="s">
        <v>978</v>
      </c>
      <c r="O275" s="11" t="s">
        <v>977</v>
      </c>
    </row>
    <row r="276" spans="2:15">
      <c r="B276" t="s">
        <v>1484</v>
      </c>
      <c r="L276" t="s">
        <v>542</v>
      </c>
      <c r="M276" t="s">
        <v>542</v>
      </c>
      <c r="N276" s="12" t="s">
        <v>980</v>
      </c>
      <c r="O276" s="11" t="s">
        <v>979</v>
      </c>
    </row>
    <row r="277" spans="2:15">
      <c r="B277" s="25" t="s">
        <v>1564</v>
      </c>
      <c r="C277" s="25"/>
      <c r="D277" s="27"/>
      <c r="E277" s="27"/>
      <c r="F277" s="27"/>
      <c r="G277" s="27"/>
      <c r="H277" s="27"/>
      <c r="I277" s="25"/>
      <c r="J277" s="25"/>
      <c r="K277" s="25"/>
      <c r="L277" s="25">
        <f>2/5</f>
        <v>0.4</v>
      </c>
      <c r="M277" s="25">
        <f>1/5</f>
        <v>0.2</v>
      </c>
      <c r="N277" s="26"/>
      <c r="O277" s="25"/>
    </row>
    <row r="278" spans="2:15">
      <c r="B278" s="18" t="s">
        <v>1351</v>
      </c>
      <c r="C278" t="s">
        <v>542</v>
      </c>
      <c r="D278" t="s">
        <v>650</v>
      </c>
      <c r="E278" t="s">
        <v>650</v>
      </c>
      <c r="F278" t="s">
        <v>650</v>
      </c>
      <c r="G278" t="s">
        <v>650</v>
      </c>
      <c r="H278" t="s">
        <v>650</v>
      </c>
      <c r="I278" t="s">
        <v>542</v>
      </c>
      <c r="J278" t="s">
        <v>542</v>
      </c>
      <c r="K278" t="s">
        <v>650</v>
      </c>
      <c r="N278" s="12" t="s">
        <v>999</v>
      </c>
      <c r="O278" s="11" t="s">
        <v>998</v>
      </c>
    </row>
    <row r="279" spans="2:15">
      <c r="B279" s="18" t="s">
        <v>1352</v>
      </c>
      <c r="C279" t="s">
        <v>542</v>
      </c>
      <c r="D279" t="s">
        <v>650</v>
      </c>
      <c r="E279" t="s">
        <v>650</v>
      </c>
      <c r="F279" t="s">
        <v>650</v>
      </c>
      <c r="G279" t="s">
        <v>650</v>
      </c>
      <c r="H279" t="s">
        <v>650</v>
      </c>
      <c r="I279" t="s">
        <v>650</v>
      </c>
      <c r="J279" t="s">
        <v>650</v>
      </c>
      <c r="K279" t="s">
        <v>650</v>
      </c>
      <c r="N279" s="12" t="s">
        <v>1003</v>
      </c>
      <c r="O279" s="11" t="s">
        <v>1002</v>
      </c>
    </row>
    <row r="280" spans="2:15">
      <c r="B280" s="18" t="s">
        <v>1353</v>
      </c>
      <c r="C280" t="s">
        <v>650</v>
      </c>
      <c r="D280" t="s">
        <v>650</v>
      </c>
      <c r="E280" t="s">
        <v>650</v>
      </c>
      <c r="F280" t="s">
        <v>650</v>
      </c>
      <c r="G280" t="s">
        <v>650</v>
      </c>
      <c r="H280" t="s">
        <v>650</v>
      </c>
      <c r="I280" t="s">
        <v>650</v>
      </c>
      <c r="J280" t="s">
        <v>650</v>
      </c>
      <c r="K280" t="s">
        <v>650</v>
      </c>
      <c r="N280" s="12" t="s">
        <v>1006</v>
      </c>
      <c r="O280" s="11" t="s">
        <v>1005</v>
      </c>
    </row>
    <row r="281" spans="2:15">
      <c r="B281" s="18" t="s">
        <v>1354</v>
      </c>
      <c r="C281" t="s">
        <v>650</v>
      </c>
      <c r="D281" t="s">
        <v>650</v>
      </c>
      <c r="E281" t="s">
        <v>650</v>
      </c>
      <c r="F281" t="s">
        <v>650</v>
      </c>
      <c r="G281" t="s">
        <v>650</v>
      </c>
      <c r="H281" t="s">
        <v>650</v>
      </c>
      <c r="I281" t="s">
        <v>650</v>
      </c>
      <c r="J281" t="s">
        <v>650</v>
      </c>
      <c r="K281" t="s">
        <v>650</v>
      </c>
      <c r="N281" s="12" t="s">
        <v>1008</v>
      </c>
      <c r="O281" s="11" t="s">
        <v>1007</v>
      </c>
    </row>
    <row r="282" spans="2:15">
      <c r="B282" s="18" t="s">
        <v>1355</v>
      </c>
      <c r="C282" t="s">
        <v>542</v>
      </c>
      <c r="D282" t="s">
        <v>650</v>
      </c>
      <c r="E282" t="s">
        <v>650</v>
      </c>
      <c r="F282" t="s">
        <v>650</v>
      </c>
      <c r="G282" t="s">
        <v>650</v>
      </c>
      <c r="H282" t="s">
        <v>650</v>
      </c>
      <c r="I282" t="s">
        <v>650</v>
      </c>
      <c r="J282" t="s">
        <v>650</v>
      </c>
      <c r="K282" t="s">
        <v>650</v>
      </c>
      <c r="N282" s="12" t="s">
        <v>1012</v>
      </c>
      <c r="O282" s="11" t="s">
        <v>1011</v>
      </c>
    </row>
    <row r="283" spans="2:15">
      <c r="B283" s="25" t="s">
        <v>1564</v>
      </c>
      <c r="C283" s="25">
        <f>2/5</f>
        <v>0.4</v>
      </c>
      <c r="D283" s="27">
        <v>1</v>
      </c>
      <c r="E283" s="27">
        <v>1</v>
      </c>
      <c r="F283" s="27">
        <v>1</v>
      </c>
      <c r="G283" s="27">
        <v>1</v>
      </c>
      <c r="H283" s="27">
        <v>1</v>
      </c>
      <c r="I283" s="57">
        <v>0.8</v>
      </c>
      <c r="J283" s="57">
        <v>0.8</v>
      </c>
      <c r="K283" s="25">
        <v>1</v>
      </c>
      <c r="L283" s="25"/>
      <c r="M283" s="25"/>
      <c r="N283" s="26"/>
      <c r="O283" s="25"/>
    </row>
    <row r="284" spans="2:15">
      <c r="B284" t="s">
        <v>1485</v>
      </c>
      <c r="L284" t="s">
        <v>650</v>
      </c>
      <c r="M284" t="s">
        <v>650</v>
      </c>
      <c r="N284" s="12" t="s">
        <v>1014</v>
      </c>
      <c r="O284" s="11" t="s">
        <v>1013</v>
      </c>
    </row>
    <row r="285" spans="2:15">
      <c r="B285" t="s">
        <v>1486</v>
      </c>
      <c r="L285" t="s">
        <v>650</v>
      </c>
      <c r="M285" t="s">
        <v>650</v>
      </c>
      <c r="N285" s="12" t="s">
        <v>1016</v>
      </c>
      <c r="O285" s="11" t="s">
        <v>1015</v>
      </c>
    </row>
    <row r="286" spans="2:15">
      <c r="B286" t="s">
        <v>1487</v>
      </c>
      <c r="L286" t="s">
        <v>542</v>
      </c>
      <c r="M286" t="s">
        <v>650</v>
      </c>
      <c r="N286" s="12" t="s">
        <v>1018</v>
      </c>
      <c r="O286" s="11" t="s">
        <v>1017</v>
      </c>
    </row>
    <row r="287" spans="2:15">
      <c r="B287" t="s">
        <v>1488</v>
      </c>
      <c r="L287" t="s">
        <v>650</v>
      </c>
      <c r="M287" t="s">
        <v>650</v>
      </c>
      <c r="N287" s="12" t="s">
        <v>1021</v>
      </c>
      <c r="O287" s="11" t="s">
        <v>1020</v>
      </c>
    </row>
    <row r="288" spans="2:15">
      <c r="B288" t="s">
        <v>1489</v>
      </c>
      <c r="L288" t="s">
        <v>650</v>
      </c>
      <c r="M288" t="s">
        <v>650</v>
      </c>
      <c r="N288" s="12" t="s">
        <v>1023</v>
      </c>
      <c r="O288" s="11" t="s">
        <v>1022</v>
      </c>
    </row>
    <row r="289" spans="2:15">
      <c r="B289" s="25" t="s">
        <v>1564</v>
      </c>
      <c r="C289" s="25"/>
      <c r="D289" s="27"/>
      <c r="E289" s="27"/>
      <c r="F289" s="27"/>
      <c r="G289" s="27"/>
      <c r="H289" s="27"/>
      <c r="I289" s="25"/>
      <c r="J289" s="25"/>
      <c r="K289" s="25"/>
      <c r="L289" s="27">
        <f>4/5</f>
        <v>0.8</v>
      </c>
      <c r="M289" s="25">
        <v>1</v>
      </c>
      <c r="N289" s="26"/>
      <c r="O289" s="25"/>
    </row>
    <row r="290" spans="2:15">
      <c r="B290" t="s">
        <v>1356</v>
      </c>
      <c r="C290" t="s">
        <v>542</v>
      </c>
      <c r="D290" t="s">
        <v>650</v>
      </c>
      <c r="E290" t="s">
        <v>650</v>
      </c>
      <c r="F290" t="s">
        <v>650</v>
      </c>
      <c r="G290" t="s">
        <v>650</v>
      </c>
      <c r="H290" t="s">
        <v>650</v>
      </c>
      <c r="I290" t="s">
        <v>650</v>
      </c>
      <c r="J290" t="s">
        <v>542</v>
      </c>
      <c r="K290" t="s">
        <v>650</v>
      </c>
      <c r="N290" s="12" t="s">
        <v>1025</v>
      </c>
      <c r="O290" s="11" t="s">
        <v>1024</v>
      </c>
    </row>
    <row r="291" spans="2:15">
      <c r="B291" t="s">
        <v>1357</v>
      </c>
      <c r="C291" t="s">
        <v>542</v>
      </c>
      <c r="D291" t="s">
        <v>650</v>
      </c>
      <c r="E291" t="s">
        <v>650</v>
      </c>
      <c r="F291" t="s">
        <v>650</v>
      </c>
      <c r="G291" t="s">
        <v>650</v>
      </c>
      <c r="H291" t="s">
        <v>650</v>
      </c>
      <c r="I291" t="s">
        <v>650</v>
      </c>
      <c r="J291" t="s">
        <v>542</v>
      </c>
      <c r="K291" t="s">
        <v>650</v>
      </c>
      <c r="N291" s="12" t="s">
        <v>1028</v>
      </c>
      <c r="O291" s="11" t="s">
        <v>1027</v>
      </c>
    </row>
    <row r="292" spans="2:15">
      <c r="B292" t="s">
        <v>1358</v>
      </c>
      <c r="C292" t="s">
        <v>542</v>
      </c>
      <c r="D292" t="s">
        <v>542</v>
      </c>
      <c r="E292" t="s">
        <v>650</v>
      </c>
      <c r="F292" t="s">
        <v>650</v>
      </c>
      <c r="G292" t="s">
        <v>650</v>
      </c>
      <c r="H292" t="s">
        <v>650</v>
      </c>
      <c r="I292" t="s">
        <v>650</v>
      </c>
      <c r="J292" t="s">
        <v>542</v>
      </c>
      <c r="K292" t="s">
        <v>650</v>
      </c>
      <c r="N292" s="12" t="s">
        <v>1032</v>
      </c>
      <c r="O292" s="11" t="s">
        <v>1031</v>
      </c>
    </row>
    <row r="293" spans="2:15">
      <c r="B293" t="s">
        <v>1359</v>
      </c>
      <c r="C293" t="s">
        <v>542</v>
      </c>
      <c r="D293" t="s">
        <v>542</v>
      </c>
      <c r="E293" t="s">
        <v>650</v>
      </c>
      <c r="F293" t="s">
        <v>542</v>
      </c>
      <c r="G293" t="s">
        <v>650</v>
      </c>
      <c r="H293" t="s">
        <v>542</v>
      </c>
      <c r="I293" t="s">
        <v>650</v>
      </c>
      <c r="J293" t="s">
        <v>542</v>
      </c>
      <c r="K293" t="s">
        <v>650</v>
      </c>
      <c r="N293" s="12" t="s">
        <v>1036</v>
      </c>
      <c r="O293" s="11" t="s">
        <v>1035</v>
      </c>
    </row>
    <row r="294" spans="2:15">
      <c r="B294" t="s">
        <v>1360</v>
      </c>
      <c r="C294" t="s">
        <v>542</v>
      </c>
      <c r="D294" t="s">
        <v>542</v>
      </c>
      <c r="E294" t="s">
        <v>650</v>
      </c>
      <c r="F294" t="s">
        <v>650</v>
      </c>
      <c r="G294" t="s">
        <v>650</v>
      </c>
      <c r="H294" t="s">
        <v>650</v>
      </c>
      <c r="I294" t="s">
        <v>650</v>
      </c>
      <c r="J294" t="s">
        <v>542</v>
      </c>
      <c r="K294" t="s">
        <v>650</v>
      </c>
      <c r="N294" s="12" t="s">
        <v>1038</v>
      </c>
      <c r="O294" s="11" t="s">
        <v>1037</v>
      </c>
    </row>
    <row r="295" spans="2:15">
      <c r="B295" s="25" t="s">
        <v>1564</v>
      </c>
      <c r="C295" s="25">
        <v>0</v>
      </c>
      <c r="D295" s="25">
        <f>2/5</f>
        <v>0.4</v>
      </c>
      <c r="E295" s="27">
        <v>1</v>
      </c>
      <c r="F295" s="27">
        <f>4/5</f>
        <v>0.8</v>
      </c>
      <c r="G295" s="27">
        <v>1</v>
      </c>
      <c r="H295" s="27">
        <f>4/5</f>
        <v>0.8</v>
      </c>
      <c r="I295" s="25">
        <v>1</v>
      </c>
      <c r="J295" s="25">
        <v>0</v>
      </c>
      <c r="K295" s="25">
        <v>1</v>
      </c>
      <c r="L295" s="25"/>
      <c r="M295" s="25"/>
      <c r="N295" s="26"/>
      <c r="O295" s="25"/>
    </row>
    <row r="296" spans="2:15">
      <c r="B296" t="s">
        <v>1490</v>
      </c>
      <c r="L296" t="s">
        <v>542</v>
      </c>
      <c r="M296" t="s">
        <v>542</v>
      </c>
      <c r="N296" s="12" t="s">
        <v>1042</v>
      </c>
      <c r="O296" s="11" t="s">
        <v>1041</v>
      </c>
    </row>
    <row r="297" spans="2:15">
      <c r="B297" t="s">
        <v>1491</v>
      </c>
      <c r="L297" t="s">
        <v>542</v>
      </c>
      <c r="M297" t="s">
        <v>542</v>
      </c>
      <c r="N297" s="12" t="s">
        <v>1044</v>
      </c>
      <c r="O297" s="11" t="s">
        <v>1043</v>
      </c>
    </row>
    <row r="298" spans="2:15">
      <c r="B298" t="s">
        <v>1492</v>
      </c>
      <c r="L298" t="s">
        <v>542</v>
      </c>
      <c r="M298" t="s">
        <v>542</v>
      </c>
      <c r="N298" s="12" t="s">
        <v>1046</v>
      </c>
      <c r="O298" s="11" t="s">
        <v>1045</v>
      </c>
    </row>
    <row r="299" spans="2:15">
      <c r="B299" t="s">
        <v>1493</v>
      </c>
      <c r="L299" t="s">
        <v>542</v>
      </c>
      <c r="M299" t="s">
        <v>542</v>
      </c>
      <c r="N299" s="12" t="s">
        <v>1048</v>
      </c>
      <c r="O299" s="11" t="s">
        <v>1047</v>
      </c>
    </row>
    <row r="300" spans="2:15">
      <c r="B300" t="s">
        <v>1494</v>
      </c>
      <c r="L300" t="s">
        <v>542</v>
      </c>
      <c r="M300" t="s">
        <v>542</v>
      </c>
      <c r="N300" s="12" t="s">
        <v>1050</v>
      </c>
      <c r="O300" s="11" t="s">
        <v>1049</v>
      </c>
    </row>
    <row r="301" spans="2:15">
      <c r="B301" s="25" t="s">
        <v>1564</v>
      </c>
      <c r="C301" s="25"/>
      <c r="D301" s="27"/>
      <c r="E301" s="27"/>
      <c r="F301" s="27"/>
      <c r="G301" s="27"/>
      <c r="H301" s="27"/>
      <c r="I301" s="25"/>
      <c r="J301" s="25"/>
      <c r="K301" s="25"/>
      <c r="L301" s="25">
        <v>0</v>
      </c>
      <c r="M301" s="25">
        <v>0</v>
      </c>
      <c r="N301" s="26"/>
      <c r="O301" s="25"/>
    </row>
    <row r="302" spans="2:15">
      <c r="B302" t="s">
        <v>1361</v>
      </c>
      <c r="C302" t="s">
        <v>542</v>
      </c>
      <c r="D302" t="s">
        <v>650</v>
      </c>
      <c r="E302" t="s">
        <v>650</v>
      </c>
      <c r="F302" t="s">
        <v>650</v>
      </c>
      <c r="G302" t="s">
        <v>650</v>
      </c>
      <c r="H302" t="s">
        <v>650</v>
      </c>
      <c r="I302" t="s">
        <v>650</v>
      </c>
      <c r="J302" t="s">
        <v>542</v>
      </c>
      <c r="K302" t="s">
        <v>650</v>
      </c>
      <c r="N302" s="12" t="s">
        <v>1052</v>
      </c>
      <c r="O302" s="11" t="s">
        <v>1051</v>
      </c>
    </row>
    <row r="303" spans="2:15">
      <c r="B303" t="s">
        <v>1362</v>
      </c>
      <c r="C303" t="s">
        <v>542</v>
      </c>
      <c r="D303" t="s">
        <v>650</v>
      </c>
      <c r="E303" t="s">
        <v>650</v>
      </c>
      <c r="F303" t="s">
        <v>650</v>
      </c>
      <c r="G303" t="s">
        <v>650</v>
      </c>
      <c r="H303" t="s">
        <v>650</v>
      </c>
      <c r="I303" t="s">
        <v>650</v>
      </c>
      <c r="J303" t="s">
        <v>542</v>
      </c>
      <c r="K303" t="s">
        <v>650</v>
      </c>
      <c r="N303" s="12" t="s">
        <v>1056</v>
      </c>
      <c r="O303" s="11" t="s">
        <v>1055</v>
      </c>
    </row>
    <row r="304" spans="2:15">
      <c r="B304" t="s">
        <v>1363</v>
      </c>
      <c r="C304" t="s">
        <v>542</v>
      </c>
      <c r="D304" t="s">
        <v>542</v>
      </c>
      <c r="E304" t="s">
        <v>650</v>
      </c>
      <c r="F304" t="s">
        <v>650</v>
      </c>
      <c r="G304" t="s">
        <v>650</v>
      </c>
      <c r="H304" t="s">
        <v>650</v>
      </c>
      <c r="I304" t="s">
        <v>650</v>
      </c>
      <c r="J304" t="s">
        <v>542</v>
      </c>
      <c r="K304" t="s">
        <v>650</v>
      </c>
      <c r="N304" s="12" t="s">
        <v>1058</v>
      </c>
      <c r="O304" s="11" t="s">
        <v>1057</v>
      </c>
    </row>
    <row r="305" spans="2:15">
      <c r="B305" t="s">
        <v>1364</v>
      </c>
      <c r="C305" t="s">
        <v>650</v>
      </c>
      <c r="D305" t="s">
        <v>650</v>
      </c>
      <c r="E305" t="s">
        <v>650</v>
      </c>
      <c r="F305" t="s">
        <v>650</v>
      </c>
      <c r="G305" t="s">
        <v>650</v>
      </c>
      <c r="H305" t="s">
        <v>650</v>
      </c>
      <c r="I305" t="s">
        <v>650</v>
      </c>
      <c r="J305" t="s">
        <v>542</v>
      </c>
      <c r="K305" t="s">
        <v>650</v>
      </c>
      <c r="N305" s="12" t="s">
        <v>1061</v>
      </c>
      <c r="O305" s="11" t="s">
        <v>1060</v>
      </c>
    </row>
    <row r="306" spans="2:15">
      <c r="B306" t="s">
        <v>1365</v>
      </c>
      <c r="C306" t="s">
        <v>542</v>
      </c>
      <c r="D306" t="s">
        <v>650</v>
      </c>
      <c r="E306" t="s">
        <v>650</v>
      </c>
      <c r="F306" t="s">
        <v>650</v>
      </c>
      <c r="G306" t="s">
        <v>650</v>
      </c>
      <c r="H306" t="s">
        <v>650</v>
      </c>
      <c r="I306" t="s">
        <v>650</v>
      </c>
      <c r="J306" t="s">
        <v>542</v>
      </c>
      <c r="K306" t="s">
        <v>650</v>
      </c>
      <c r="N306" s="12" t="s">
        <v>1065</v>
      </c>
      <c r="O306" s="11" t="s">
        <v>1064</v>
      </c>
    </row>
    <row r="307" spans="2:15">
      <c r="B307" s="25" t="s">
        <v>1564</v>
      </c>
      <c r="C307" s="25">
        <f>1/5</f>
        <v>0.2</v>
      </c>
      <c r="D307" s="27">
        <f>4/5</f>
        <v>0.8</v>
      </c>
      <c r="E307" s="27">
        <v>1</v>
      </c>
      <c r="F307" s="27">
        <v>1</v>
      </c>
      <c r="G307" s="27">
        <v>1</v>
      </c>
      <c r="H307" s="27">
        <v>1</v>
      </c>
      <c r="I307" s="25">
        <v>1</v>
      </c>
      <c r="J307" s="25">
        <v>0</v>
      </c>
      <c r="K307" s="25">
        <v>1</v>
      </c>
      <c r="L307" s="25"/>
      <c r="M307" s="25"/>
      <c r="N307" s="26"/>
      <c r="O307" s="25"/>
    </row>
    <row r="308" spans="2:15">
      <c r="B308" t="s">
        <v>1495</v>
      </c>
      <c r="L308" t="s">
        <v>650</v>
      </c>
      <c r="M308" t="s">
        <v>650</v>
      </c>
      <c r="N308" s="12" t="s">
        <v>1069</v>
      </c>
      <c r="O308" s="12" t="s">
        <v>1068</v>
      </c>
    </row>
    <row r="309" spans="2:15">
      <c r="B309" t="s">
        <v>1496</v>
      </c>
      <c r="L309" t="s">
        <v>650</v>
      </c>
      <c r="M309" t="s">
        <v>650</v>
      </c>
      <c r="N309" s="12" t="s">
        <v>1071</v>
      </c>
      <c r="O309" s="11" t="s">
        <v>1070</v>
      </c>
    </row>
    <row r="310" spans="2:15">
      <c r="B310" t="s">
        <v>1497</v>
      </c>
      <c r="L310" t="s">
        <v>650</v>
      </c>
      <c r="M310" t="s">
        <v>650</v>
      </c>
      <c r="N310" s="12" t="s">
        <v>1073</v>
      </c>
      <c r="O310" s="11" t="s">
        <v>1072</v>
      </c>
    </row>
    <row r="311" spans="2:15">
      <c r="B311" t="s">
        <v>1498</v>
      </c>
      <c r="L311" t="s">
        <v>650</v>
      </c>
      <c r="M311" t="s">
        <v>650</v>
      </c>
      <c r="N311" s="12" t="s">
        <v>1075</v>
      </c>
      <c r="O311" s="11" t="s">
        <v>1074</v>
      </c>
    </row>
    <row r="312" spans="2:15">
      <c r="B312" t="s">
        <v>1499</v>
      </c>
      <c r="L312" t="s">
        <v>650</v>
      </c>
      <c r="M312" t="s">
        <v>650</v>
      </c>
      <c r="N312" s="12" t="s">
        <v>1077</v>
      </c>
      <c r="O312" s="11" t="s">
        <v>1076</v>
      </c>
    </row>
    <row r="313" spans="2:15">
      <c r="B313" s="25" t="s">
        <v>1564</v>
      </c>
      <c r="C313" s="25"/>
      <c r="D313" s="27"/>
      <c r="E313" s="27"/>
      <c r="F313" s="27"/>
      <c r="G313" s="27"/>
      <c r="H313" s="27"/>
      <c r="I313" s="25"/>
      <c r="J313" s="25"/>
      <c r="K313" s="25"/>
      <c r="L313" s="25">
        <v>1</v>
      </c>
      <c r="M313" s="25">
        <v>1</v>
      </c>
      <c r="N313" s="26"/>
      <c r="O313" s="25"/>
    </row>
    <row r="314" spans="2:15">
      <c r="B314" t="s">
        <v>1366</v>
      </c>
      <c r="C314" t="s">
        <v>542</v>
      </c>
      <c r="D314" t="s">
        <v>650</v>
      </c>
      <c r="E314" t="s">
        <v>650</v>
      </c>
      <c r="F314" t="s">
        <v>650</v>
      </c>
      <c r="G314" t="s">
        <v>650</v>
      </c>
      <c r="H314" t="s">
        <v>650</v>
      </c>
      <c r="I314" t="s">
        <v>542</v>
      </c>
      <c r="J314" t="s">
        <v>542</v>
      </c>
      <c r="K314" t="s">
        <v>542</v>
      </c>
      <c r="N314" s="12" t="s">
        <v>1079</v>
      </c>
      <c r="O314" s="11" t="s">
        <v>1078</v>
      </c>
    </row>
    <row r="315" spans="2:15">
      <c r="B315" t="s">
        <v>1367</v>
      </c>
      <c r="C315" t="s">
        <v>542</v>
      </c>
      <c r="D315" t="s">
        <v>650</v>
      </c>
      <c r="E315" t="s">
        <v>650</v>
      </c>
      <c r="F315" t="s">
        <v>650</v>
      </c>
      <c r="G315" t="s">
        <v>650</v>
      </c>
      <c r="H315" t="s">
        <v>650</v>
      </c>
      <c r="I315" t="s">
        <v>542</v>
      </c>
      <c r="J315" t="s">
        <v>542</v>
      </c>
      <c r="K315" t="s">
        <v>542</v>
      </c>
      <c r="N315" s="12" t="s">
        <v>1081</v>
      </c>
      <c r="O315" s="11" t="s">
        <v>1080</v>
      </c>
    </row>
    <row r="316" spans="2:15">
      <c r="B316" t="s">
        <v>1368</v>
      </c>
      <c r="C316" t="s">
        <v>542</v>
      </c>
      <c r="D316" t="s">
        <v>650</v>
      </c>
      <c r="E316" t="s">
        <v>650</v>
      </c>
      <c r="F316" t="s">
        <v>650</v>
      </c>
      <c r="G316" t="s">
        <v>650</v>
      </c>
      <c r="H316" t="s">
        <v>650</v>
      </c>
      <c r="I316" t="s">
        <v>542</v>
      </c>
      <c r="J316" t="s">
        <v>542</v>
      </c>
      <c r="K316" t="s">
        <v>542</v>
      </c>
      <c r="N316" s="12" t="s">
        <v>1083</v>
      </c>
      <c r="O316" s="11" t="s">
        <v>1082</v>
      </c>
    </row>
    <row r="317" spans="2:15">
      <c r="B317" t="s">
        <v>1369</v>
      </c>
      <c r="C317" t="s">
        <v>542</v>
      </c>
      <c r="D317" t="s">
        <v>650</v>
      </c>
      <c r="E317" t="s">
        <v>650</v>
      </c>
      <c r="F317" t="s">
        <v>650</v>
      </c>
      <c r="G317" t="s">
        <v>650</v>
      </c>
      <c r="H317" t="s">
        <v>650</v>
      </c>
      <c r="I317" t="s">
        <v>542</v>
      </c>
      <c r="J317" t="s">
        <v>542</v>
      </c>
      <c r="K317" t="s">
        <v>542</v>
      </c>
      <c r="N317" s="12" t="s">
        <v>1085</v>
      </c>
      <c r="O317" s="11" t="s">
        <v>1084</v>
      </c>
    </row>
    <row r="318" spans="2:15">
      <c r="B318" t="s">
        <v>1370</v>
      </c>
      <c r="C318" t="s">
        <v>542</v>
      </c>
      <c r="D318" t="s">
        <v>650</v>
      </c>
      <c r="E318" t="s">
        <v>650</v>
      </c>
      <c r="F318" t="s">
        <v>650</v>
      </c>
      <c r="G318" t="s">
        <v>650</v>
      </c>
      <c r="H318" t="s">
        <v>650</v>
      </c>
      <c r="I318" t="s">
        <v>542</v>
      </c>
      <c r="J318" t="s">
        <v>542</v>
      </c>
      <c r="K318" t="s">
        <v>542</v>
      </c>
      <c r="N318" s="12" t="s">
        <v>1088</v>
      </c>
      <c r="O318" s="11" t="s">
        <v>1087</v>
      </c>
    </row>
    <row r="319" spans="2:15">
      <c r="B319" s="25" t="s">
        <v>1564</v>
      </c>
      <c r="C319" s="25">
        <v>0</v>
      </c>
      <c r="D319" s="27">
        <v>1</v>
      </c>
      <c r="E319" s="27">
        <v>1</v>
      </c>
      <c r="F319" s="27">
        <v>1</v>
      </c>
      <c r="G319" s="27">
        <v>1</v>
      </c>
      <c r="H319" s="27">
        <v>1</v>
      </c>
      <c r="I319" s="25">
        <v>0</v>
      </c>
      <c r="J319" s="25">
        <v>0</v>
      </c>
      <c r="K319" s="25">
        <v>0</v>
      </c>
      <c r="L319" s="25"/>
      <c r="M319" s="25"/>
      <c r="N319" s="26"/>
      <c r="O319" s="25"/>
    </row>
    <row r="320" spans="2:15">
      <c r="B320" t="s">
        <v>1500</v>
      </c>
      <c r="L320" t="s">
        <v>542</v>
      </c>
      <c r="M320" t="s">
        <v>542</v>
      </c>
      <c r="N320" s="12" t="s">
        <v>1091</v>
      </c>
      <c r="O320" s="11" t="s">
        <v>1090</v>
      </c>
    </row>
    <row r="321" spans="2:15">
      <c r="B321" t="s">
        <v>1501</v>
      </c>
      <c r="L321" t="s">
        <v>542</v>
      </c>
      <c r="M321" t="s">
        <v>542</v>
      </c>
      <c r="N321" s="12" t="s">
        <v>1093</v>
      </c>
      <c r="O321" s="11" t="s">
        <v>1092</v>
      </c>
    </row>
    <row r="322" spans="2:15">
      <c r="B322" t="s">
        <v>1502</v>
      </c>
      <c r="L322" t="s">
        <v>542</v>
      </c>
      <c r="M322" t="s">
        <v>542</v>
      </c>
      <c r="N322" s="12" t="s">
        <v>1095</v>
      </c>
      <c r="O322" s="11" t="s">
        <v>1094</v>
      </c>
    </row>
    <row r="323" spans="2:15">
      <c r="B323" t="s">
        <v>1503</v>
      </c>
      <c r="L323" t="s">
        <v>542</v>
      </c>
      <c r="M323" t="s">
        <v>542</v>
      </c>
      <c r="N323" s="12" t="s">
        <v>1097</v>
      </c>
      <c r="O323" s="11" t="s">
        <v>1096</v>
      </c>
    </row>
    <row r="324" spans="2:15">
      <c r="B324" t="s">
        <v>1504</v>
      </c>
      <c r="L324" t="s">
        <v>542</v>
      </c>
      <c r="M324" t="s">
        <v>542</v>
      </c>
      <c r="N324" s="12" t="s">
        <v>1099</v>
      </c>
      <c r="O324" s="11" t="s">
        <v>1098</v>
      </c>
    </row>
    <row r="325" spans="2:15">
      <c r="B325" s="25" t="s">
        <v>1564</v>
      </c>
      <c r="C325" s="25"/>
      <c r="D325" s="27"/>
      <c r="E325" s="27"/>
      <c r="F325" s="27"/>
      <c r="G325" s="27"/>
      <c r="H325" s="27"/>
      <c r="I325" s="25"/>
      <c r="J325" s="25"/>
      <c r="K325" s="25"/>
      <c r="L325" s="25">
        <v>0</v>
      </c>
      <c r="M325" s="25">
        <v>0</v>
      </c>
      <c r="N325" s="26"/>
      <c r="O325" s="25"/>
    </row>
    <row r="326" spans="2:15">
      <c r="B326" t="s">
        <v>1371</v>
      </c>
      <c r="C326" s="3" t="s">
        <v>584</v>
      </c>
      <c r="D326" t="s">
        <v>650</v>
      </c>
      <c r="E326" t="s">
        <v>650</v>
      </c>
      <c r="F326" t="s">
        <v>650</v>
      </c>
      <c r="G326" t="s">
        <v>650</v>
      </c>
      <c r="H326" t="s">
        <v>650</v>
      </c>
      <c r="I326" t="s">
        <v>542</v>
      </c>
      <c r="J326" t="s">
        <v>542</v>
      </c>
      <c r="K326" t="s">
        <v>542</v>
      </c>
      <c r="N326" s="12" t="s">
        <v>1101</v>
      </c>
      <c r="O326" s="11" t="s">
        <v>1100</v>
      </c>
    </row>
    <row r="327" spans="2:15">
      <c r="B327" t="s">
        <v>1372</v>
      </c>
      <c r="C327" t="s">
        <v>650</v>
      </c>
      <c r="D327" t="s">
        <v>650</v>
      </c>
      <c r="E327" t="s">
        <v>650</v>
      </c>
      <c r="F327" t="s">
        <v>650</v>
      </c>
      <c r="G327" t="s">
        <v>650</v>
      </c>
      <c r="H327" t="s">
        <v>650</v>
      </c>
      <c r="I327" t="s">
        <v>542</v>
      </c>
      <c r="J327" t="s">
        <v>542</v>
      </c>
      <c r="K327" t="s">
        <v>542</v>
      </c>
      <c r="N327" s="12" t="s">
        <v>1104</v>
      </c>
      <c r="O327" s="11" t="s">
        <v>1103</v>
      </c>
    </row>
    <row r="328" spans="2:15">
      <c r="B328" t="s">
        <v>1373</v>
      </c>
      <c r="C328" t="s">
        <v>650</v>
      </c>
      <c r="D328" t="s">
        <v>650</v>
      </c>
      <c r="E328" t="s">
        <v>650</v>
      </c>
      <c r="F328" t="s">
        <v>650</v>
      </c>
      <c r="G328" t="s">
        <v>650</v>
      </c>
      <c r="H328" t="s">
        <v>650</v>
      </c>
      <c r="I328" t="s">
        <v>542</v>
      </c>
      <c r="J328" t="s">
        <v>542</v>
      </c>
      <c r="K328" t="s">
        <v>542</v>
      </c>
      <c r="N328" s="12" t="s">
        <v>1106</v>
      </c>
      <c r="O328" s="11" t="s">
        <v>1105</v>
      </c>
    </row>
    <row r="329" spans="2:15">
      <c r="B329" t="s">
        <v>1374</v>
      </c>
      <c r="C329" t="s">
        <v>650</v>
      </c>
      <c r="D329" t="s">
        <v>650</v>
      </c>
      <c r="E329" t="s">
        <v>650</v>
      </c>
      <c r="F329" t="s">
        <v>650</v>
      </c>
      <c r="G329" t="s">
        <v>650</v>
      </c>
      <c r="H329" t="s">
        <v>650</v>
      </c>
      <c r="I329" t="s">
        <v>542</v>
      </c>
      <c r="J329" t="s">
        <v>542</v>
      </c>
      <c r="K329" t="s">
        <v>542</v>
      </c>
      <c r="N329" s="12" t="s">
        <v>1109</v>
      </c>
      <c r="O329" s="11" t="s">
        <v>1108</v>
      </c>
    </row>
    <row r="330" spans="2:15">
      <c r="B330" t="s">
        <v>1375</v>
      </c>
      <c r="C330" t="s">
        <v>650</v>
      </c>
      <c r="D330" t="s">
        <v>650</v>
      </c>
      <c r="E330" t="s">
        <v>650</v>
      </c>
      <c r="F330" t="s">
        <v>650</v>
      </c>
      <c r="G330" t="s">
        <v>650</v>
      </c>
      <c r="H330" t="s">
        <v>650</v>
      </c>
      <c r="I330" t="s">
        <v>542</v>
      </c>
      <c r="J330" t="s">
        <v>542</v>
      </c>
      <c r="K330" t="s">
        <v>542</v>
      </c>
      <c r="N330" s="12" t="s">
        <v>1111</v>
      </c>
      <c r="O330" s="11" t="s">
        <v>1110</v>
      </c>
    </row>
    <row r="331" spans="2:15">
      <c r="B331" s="25" t="s">
        <v>1564</v>
      </c>
      <c r="C331" s="25">
        <v>1</v>
      </c>
      <c r="D331" s="25">
        <v>1</v>
      </c>
      <c r="E331" s="25">
        <v>1</v>
      </c>
      <c r="F331" s="25">
        <v>1</v>
      </c>
      <c r="G331" s="25">
        <v>1</v>
      </c>
      <c r="H331" s="25">
        <v>1</v>
      </c>
      <c r="I331" s="25">
        <v>0</v>
      </c>
      <c r="J331" s="25">
        <v>0</v>
      </c>
      <c r="K331" s="25">
        <v>0</v>
      </c>
      <c r="L331" s="25"/>
      <c r="M331" s="25"/>
      <c r="N331" s="26"/>
      <c r="O331" s="25"/>
    </row>
    <row r="332" spans="2:15">
      <c r="B332" t="s">
        <v>1505</v>
      </c>
      <c r="L332" t="s">
        <v>542</v>
      </c>
      <c r="M332" t="s">
        <v>650</v>
      </c>
      <c r="N332" s="12" t="s">
        <v>1113</v>
      </c>
      <c r="O332" s="11" t="s">
        <v>1112</v>
      </c>
    </row>
    <row r="333" spans="2:15">
      <c r="B333" t="s">
        <v>1506</v>
      </c>
      <c r="L333" t="s">
        <v>650</v>
      </c>
      <c r="M333" t="s">
        <v>650</v>
      </c>
      <c r="N333" s="12" t="s">
        <v>1115</v>
      </c>
      <c r="O333" s="11" t="s">
        <v>1114</v>
      </c>
    </row>
    <row r="334" spans="2:15">
      <c r="B334" t="s">
        <v>1507</v>
      </c>
      <c r="L334" t="s">
        <v>542</v>
      </c>
      <c r="M334" t="s">
        <v>542</v>
      </c>
      <c r="N334" s="12" t="s">
        <v>1117</v>
      </c>
      <c r="O334" s="11" t="s">
        <v>1116</v>
      </c>
    </row>
    <row r="335" spans="2:15">
      <c r="B335" t="s">
        <v>1508</v>
      </c>
      <c r="L335" t="s">
        <v>650</v>
      </c>
      <c r="M335" t="s">
        <v>650</v>
      </c>
      <c r="N335" s="12" t="s">
        <v>1119</v>
      </c>
      <c r="O335" s="11" t="s">
        <v>1118</v>
      </c>
    </row>
    <row r="336" spans="2:15">
      <c r="B336" t="s">
        <v>1509</v>
      </c>
      <c r="L336" t="s">
        <v>650</v>
      </c>
      <c r="M336" t="s">
        <v>650</v>
      </c>
      <c r="N336" s="12" t="s">
        <v>1121</v>
      </c>
      <c r="O336" s="11" t="s">
        <v>1120</v>
      </c>
    </row>
    <row r="337" spans="2:15">
      <c r="B337" s="25" t="s">
        <v>1564</v>
      </c>
      <c r="C337" s="25"/>
      <c r="D337" s="27"/>
      <c r="E337" s="27"/>
      <c r="F337" s="27"/>
      <c r="G337" s="27"/>
      <c r="H337" s="27"/>
      <c r="I337" s="25"/>
      <c r="J337" s="25"/>
      <c r="K337" s="25"/>
      <c r="L337" s="27">
        <f>3/5</f>
        <v>0.6</v>
      </c>
      <c r="M337" s="27">
        <f>4/5</f>
        <v>0.8</v>
      </c>
      <c r="N337" s="26"/>
      <c r="O337" s="25"/>
    </row>
    <row r="338" spans="2:15">
      <c r="B338" s="4" t="s">
        <v>477</v>
      </c>
      <c r="C338" t="s">
        <v>542</v>
      </c>
      <c r="D338" t="s">
        <v>542</v>
      </c>
      <c r="E338" t="s">
        <v>650</v>
      </c>
      <c r="F338" t="s">
        <v>650</v>
      </c>
      <c r="G338" t="s">
        <v>650</v>
      </c>
      <c r="H338" t="s">
        <v>650</v>
      </c>
      <c r="I338" t="s">
        <v>650</v>
      </c>
      <c r="J338" t="s">
        <v>650</v>
      </c>
      <c r="K338" t="s">
        <v>650</v>
      </c>
      <c r="N338" s="3" t="s">
        <v>478</v>
      </c>
      <c r="O338" s="4" t="s">
        <v>479</v>
      </c>
    </row>
    <row r="339" spans="2:15">
      <c r="B339" s="4" t="s">
        <v>481</v>
      </c>
      <c r="C339" t="s">
        <v>542</v>
      </c>
      <c r="D339" t="s">
        <v>542</v>
      </c>
      <c r="E339" t="s">
        <v>650</v>
      </c>
      <c r="F339" t="s">
        <v>650</v>
      </c>
      <c r="G339" t="s">
        <v>650</v>
      </c>
      <c r="H339" t="s">
        <v>542</v>
      </c>
      <c r="I339" t="s">
        <v>650</v>
      </c>
      <c r="J339" t="s">
        <v>650</v>
      </c>
      <c r="K339" t="s">
        <v>650</v>
      </c>
      <c r="N339" s="3" t="s">
        <v>482</v>
      </c>
      <c r="O339" s="4" t="s">
        <v>483</v>
      </c>
    </row>
    <row r="340" spans="2:15">
      <c r="B340" s="4" t="s">
        <v>485</v>
      </c>
      <c r="C340" t="s">
        <v>542</v>
      </c>
      <c r="D340" t="s">
        <v>542</v>
      </c>
      <c r="E340" t="s">
        <v>650</v>
      </c>
      <c r="F340" t="s">
        <v>650</v>
      </c>
      <c r="G340" t="s">
        <v>650</v>
      </c>
      <c r="H340" t="s">
        <v>542</v>
      </c>
      <c r="I340" t="s">
        <v>650</v>
      </c>
      <c r="J340" t="s">
        <v>650</v>
      </c>
      <c r="K340" t="s">
        <v>650</v>
      </c>
      <c r="N340" s="3" t="s">
        <v>486</v>
      </c>
      <c r="O340" s="4" t="s">
        <v>487</v>
      </c>
    </row>
    <row r="341" spans="2:15">
      <c r="B341" s="4" t="s">
        <v>488</v>
      </c>
      <c r="C341" t="s">
        <v>542</v>
      </c>
      <c r="D341" t="s">
        <v>542</v>
      </c>
      <c r="E341" t="s">
        <v>650</v>
      </c>
      <c r="F341" t="s">
        <v>650</v>
      </c>
      <c r="G341" t="s">
        <v>650</v>
      </c>
      <c r="H341" t="s">
        <v>650</v>
      </c>
      <c r="I341" t="s">
        <v>650</v>
      </c>
      <c r="J341" t="s">
        <v>650</v>
      </c>
      <c r="K341" t="s">
        <v>650</v>
      </c>
      <c r="N341" s="3" t="s">
        <v>489</v>
      </c>
      <c r="O341" s="4" t="s">
        <v>490</v>
      </c>
    </row>
    <row r="342" spans="2:15">
      <c r="B342" s="4" t="s">
        <v>491</v>
      </c>
      <c r="C342" t="s">
        <v>542</v>
      </c>
      <c r="D342" t="s">
        <v>542</v>
      </c>
      <c r="E342" t="s">
        <v>650</v>
      </c>
      <c r="F342" t="s">
        <v>650</v>
      </c>
      <c r="G342" t="s">
        <v>650</v>
      </c>
      <c r="H342" t="s">
        <v>650</v>
      </c>
      <c r="I342" t="s">
        <v>650</v>
      </c>
      <c r="J342" t="s">
        <v>650</v>
      </c>
      <c r="K342" t="s">
        <v>650</v>
      </c>
      <c r="N342" s="3" t="s">
        <v>492</v>
      </c>
      <c r="O342" s="4" t="s">
        <v>493</v>
      </c>
    </row>
    <row r="343" spans="2:15">
      <c r="B343" s="25" t="s">
        <v>1564</v>
      </c>
      <c r="C343" s="25">
        <v>0</v>
      </c>
      <c r="D343" s="27">
        <v>0</v>
      </c>
      <c r="E343" s="27">
        <v>1</v>
      </c>
      <c r="F343" s="27">
        <v>1</v>
      </c>
      <c r="G343" s="27">
        <v>1</v>
      </c>
      <c r="H343" s="27">
        <f>3/5</f>
        <v>0.6</v>
      </c>
      <c r="I343" s="25">
        <v>1</v>
      </c>
      <c r="J343" s="25">
        <v>1</v>
      </c>
      <c r="K343" s="25">
        <v>1</v>
      </c>
      <c r="L343" s="25"/>
      <c r="M343" s="25"/>
      <c r="N343" s="26"/>
      <c r="O343" s="25"/>
    </row>
    <row r="344" spans="2:15">
      <c r="B344" s="4" t="s">
        <v>494</v>
      </c>
      <c r="L344" t="s">
        <v>542</v>
      </c>
      <c r="M344" t="s">
        <v>542</v>
      </c>
      <c r="N344" s="3" t="s">
        <v>495</v>
      </c>
      <c r="O344" s="5" t="s">
        <v>496</v>
      </c>
    </row>
    <row r="345" spans="2:15">
      <c r="B345" s="4" t="s">
        <v>497</v>
      </c>
      <c r="L345" t="s">
        <v>542</v>
      </c>
      <c r="M345" t="s">
        <v>542</v>
      </c>
      <c r="N345" s="3" t="s">
        <v>498</v>
      </c>
      <c r="O345" s="5" t="s">
        <v>499</v>
      </c>
    </row>
    <row r="346" spans="2:15">
      <c r="B346" s="4" t="s">
        <v>500</v>
      </c>
      <c r="L346" t="s">
        <v>542</v>
      </c>
      <c r="M346" t="s">
        <v>542</v>
      </c>
      <c r="N346" s="3" t="s">
        <v>501</v>
      </c>
      <c r="O346" s="5" t="s">
        <v>502</v>
      </c>
    </row>
    <row r="347" spans="2:15">
      <c r="B347" s="4" t="s">
        <v>503</v>
      </c>
      <c r="L347" t="s">
        <v>542</v>
      </c>
      <c r="M347" t="s">
        <v>650</v>
      </c>
      <c r="N347" s="3" t="s">
        <v>504</v>
      </c>
      <c r="O347" s="5" t="s">
        <v>505</v>
      </c>
    </row>
    <row r="348" spans="2:15">
      <c r="B348" s="4" t="s">
        <v>507</v>
      </c>
      <c r="L348" t="s">
        <v>542</v>
      </c>
      <c r="M348" t="s">
        <v>542</v>
      </c>
      <c r="N348" s="3" t="s">
        <v>508</v>
      </c>
      <c r="O348" s="5" t="s">
        <v>509</v>
      </c>
    </row>
    <row r="349" spans="2:15">
      <c r="B349" s="25" t="s">
        <v>1564</v>
      </c>
      <c r="C349" s="25"/>
      <c r="D349" s="27"/>
      <c r="E349" s="27"/>
      <c r="F349" s="27"/>
      <c r="G349" s="27"/>
      <c r="H349" s="27"/>
      <c r="I349" s="25"/>
      <c r="J349" s="25"/>
      <c r="K349" s="25"/>
      <c r="L349" s="25">
        <v>0</v>
      </c>
      <c r="M349" s="25">
        <f>1/5</f>
        <v>0.2</v>
      </c>
      <c r="N349" s="26"/>
      <c r="O349" s="25"/>
    </row>
    <row r="350" spans="2:15">
      <c r="B350" s="4" t="s">
        <v>510</v>
      </c>
      <c r="C350" t="s">
        <v>542</v>
      </c>
      <c r="D350" t="s">
        <v>650</v>
      </c>
      <c r="E350" t="s">
        <v>650</v>
      </c>
      <c r="F350" t="s">
        <v>650</v>
      </c>
      <c r="G350" t="s">
        <v>650</v>
      </c>
      <c r="H350" t="s">
        <v>650</v>
      </c>
      <c r="I350" t="s">
        <v>542</v>
      </c>
      <c r="J350" t="s">
        <v>542</v>
      </c>
      <c r="K350" t="s">
        <v>650</v>
      </c>
      <c r="N350" s="3" t="s">
        <v>511</v>
      </c>
      <c r="O350" s="4" t="s">
        <v>512</v>
      </c>
    </row>
    <row r="351" spans="2:15">
      <c r="B351" s="4" t="s">
        <v>513</v>
      </c>
      <c r="C351" t="s">
        <v>542</v>
      </c>
      <c r="D351" t="s">
        <v>650</v>
      </c>
      <c r="E351" t="s">
        <v>650</v>
      </c>
      <c r="F351" t="s">
        <v>650</v>
      </c>
      <c r="G351" t="s">
        <v>650</v>
      </c>
      <c r="H351" t="s">
        <v>650</v>
      </c>
      <c r="I351" t="s">
        <v>542</v>
      </c>
      <c r="J351" t="s">
        <v>542</v>
      </c>
      <c r="K351" t="s">
        <v>650</v>
      </c>
      <c r="N351" s="3" t="s">
        <v>514</v>
      </c>
      <c r="O351" s="4" t="s">
        <v>515</v>
      </c>
    </row>
    <row r="352" spans="2:15">
      <c r="B352" s="4" t="s">
        <v>516</v>
      </c>
      <c r="C352" t="s">
        <v>542</v>
      </c>
      <c r="D352" t="s">
        <v>650</v>
      </c>
      <c r="E352" t="s">
        <v>650</v>
      </c>
      <c r="F352" t="s">
        <v>650</v>
      </c>
      <c r="G352" t="s">
        <v>650</v>
      </c>
      <c r="H352" t="s">
        <v>650</v>
      </c>
      <c r="I352" t="s">
        <v>542</v>
      </c>
      <c r="J352" t="s">
        <v>542</v>
      </c>
      <c r="K352" t="s">
        <v>650</v>
      </c>
      <c r="N352" s="3" t="s">
        <v>517</v>
      </c>
      <c r="O352" s="4" t="s">
        <v>518</v>
      </c>
    </row>
    <row r="353" spans="2:15">
      <c r="B353" s="4" t="s">
        <v>519</v>
      </c>
      <c r="C353" t="s">
        <v>650</v>
      </c>
      <c r="D353" t="s">
        <v>650</v>
      </c>
      <c r="E353" t="s">
        <v>650</v>
      </c>
      <c r="F353" t="s">
        <v>650</v>
      </c>
      <c r="G353" t="s">
        <v>650</v>
      </c>
      <c r="H353" t="s">
        <v>650</v>
      </c>
      <c r="I353" t="s">
        <v>542</v>
      </c>
      <c r="J353" t="s">
        <v>542</v>
      </c>
      <c r="K353" t="s">
        <v>650</v>
      </c>
      <c r="N353" s="3" t="s">
        <v>520</v>
      </c>
      <c r="O353" s="4" t="s">
        <v>521</v>
      </c>
    </row>
    <row r="354" spans="2:15">
      <c r="B354" s="4" t="s">
        <v>523</v>
      </c>
      <c r="C354" t="s">
        <v>542</v>
      </c>
      <c r="D354" t="s">
        <v>650</v>
      </c>
      <c r="E354" t="s">
        <v>650</v>
      </c>
      <c r="F354" t="s">
        <v>650</v>
      </c>
      <c r="G354" t="s">
        <v>650</v>
      </c>
      <c r="H354" t="s">
        <v>650</v>
      </c>
      <c r="I354" t="s">
        <v>650</v>
      </c>
      <c r="J354" t="s">
        <v>542</v>
      </c>
      <c r="K354" t="s">
        <v>650</v>
      </c>
      <c r="N354" s="3" t="s">
        <v>524</v>
      </c>
      <c r="O354" s="4" t="s">
        <v>525</v>
      </c>
    </row>
    <row r="355" spans="2:15">
      <c r="B355" s="25" t="s">
        <v>1564</v>
      </c>
      <c r="C355" s="25">
        <f>1/5</f>
        <v>0.2</v>
      </c>
      <c r="D355" s="27">
        <v>1</v>
      </c>
      <c r="E355" s="27">
        <v>1</v>
      </c>
      <c r="F355" s="27">
        <v>1</v>
      </c>
      <c r="G355" s="27">
        <v>1</v>
      </c>
      <c r="H355" s="27">
        <v>1</v>
      </c>
      <c r="I355" s="25">
        <f>1/5</f>
        <v>0.2</v>
      </c>
      <c r="J355" s="25">
        <v>0</v>
      </c>
      <c r="K355" s="25">
        <v>1</v>
      </c>
      <c r="L355" s="25"/>
      <c r="M355" s="25"/>
      <c r="N355" s="26"/>
      <c r="O355" s="25"/>
    </row>
    <row r="356" spans="2:15">
      <c r="B356" s="4" t="s">
        <v>526</v>
      </c>
      <c r="L356" t="s">
        <v>650</v>
      </c>
      <c r="M356" t="s">
        <v>650</v>
      </c>
      <c r="N356" s="3" t="s">
        <v>527</v>
      </c>
      <c r="O356" s="5" t="s">
        <v>528</v>
      </c>
    </row>
    <row r="357" spans="2:15">
      <c r="B357" s="4" t="s">
        <v>529</v>
      </c>
      <c r="L357" t="s">
        <v>650</v>
      </c>
      <c r="M357" t="s">
        <v>542</v>
      </c>
      <c r="N357" s="3" t="s">
        <v>530</v>
      </c>
      <c r="O357" s="5" t="s">
        <v>531</v>
      </c>
    </row>
    <row r="358" spans="2:15">
      <c r="B358" s="4" t="s">
        <v>532</v>
      </c>
      <c r="L358" s="3" t="s">
        <v>584</v>
      </c>
      <c r="M358" t="s">
        <v>650</v>
      </c>
      <c r="N358" s="3" t="s">
        <v>533</v>
      </c>
      <c r="O358" s="5" t="s">
        <v>534</v>
      </c>
    </row>
    <row r="359" spans="2:15">
      <c r="B359" s="4" t="s">
        <v>535</v>
      </c>
      <c r="L359" t="s">
        <v>650</v>
      </c>
      <c r="M359" t="s">
        <v>650</v>
      </c>
      <c r="N359" s="3" t="s">
        <v>536</v>
      </c>
      <c r="O359" s="5" t="s">
        <v>537</v>
      </c>
    </row>
    <row r="360" spans="2:15">
      <c r="B360" s="4" t="s">
        <v>538</v>
      </c>
      <c r="L360" t="s">
        <v>650</v>
      </c>
      <c r="M360" t="s">
        <v>650</v>
      </c>
      <c r="N360" s="3" t="s">
        <v>539</v>
      </c>
      <c r="O360" s="5" t="s">
        <v>540</v>
      </c>
    </row>
    <row r="361" spans="2:15">
      <c r="B361" s="25" t="s">
        <v>1564</v>
      </c>
      <c r="C361" s="25"/>
      <c r="D361" s="27"/>
      <c r="E361" s="27"/>
      <c r="F361" s="27"/>
      <c r="G361" s="27"/>
      <c r="H361" s="27"/>
      <c r="I361" s="25"/>
      <c r="J361" s="25"/>
      <c r="K361" s="25"/>
      <c r="L361" s="25">
        <v>1</v>
      </c>
      <c r="M361" s="27">
        <f>4/5</f>
        <v>0.8</v>
      </c>
      <c r="N361" s="26"/>
      <c r="O361" s="25"/>
    </row>
    <row r="362" spans="2:15">
      <c r="B362" t="s">
        <v>1376</v>
      </c>
      <c r="C362" t="s">
        <v>542</v>
      </c>
      <c r="D362" t="s">
        <v>650</v>
      </c>
      <c r="E362" t="s">
        <v>650</v>
      </c>
      <c r="F362" t="s">
        <v>650</v>
      </c>
      <c r="G362" t="s">
        <v>650</v>
      </c>
      <c r="H362" t="s">
        <v>650</v>
      </c>
      <c r="I362" t="s">
        <v>650</v>
      </c>
      <c r="J362" t="s">
        <v>650</v>
      </c>
      <c r="K362" t="s">
        <v>650</v>
      </c>
      <c r="N362" s="12" t="s">
        <v>1123</v>
      </c>
      <c r="O362" s="11" t="s">
        <v>1122</v>
      </c>
    </row>
    <row r="363" spans="2:15">
      <c r="B363" t="s">
        <v>1377</v>
      </c>
      <c r="C363" t="s">
        <v>542</v>
      </c>
      <c r="D363" t="s">
        <v>542</v>
      </c>
      <c r="E363" t="s">
        <v>650</v>
      </c>
      <c r="F363" t="s">
        <v>650</v>
      </c>
      <c r="G363" t="s">
        <v>650</v>
      </c>
      <c r="H363" t="s">
        <v>650</v>
      </c>
      <c r="I363" t="s">
        <v>650</v>
      </c>
      <c r="J363" t="s">
        <v>650</v>
      </c>
      <c r="K363" t="s">
        <v>650</v>
      </c>
      <c r="N363" s="12" t="s">
        <v>1127</v>
      </c>
      <c r="O363" s="11" t="s">
        <v>1126</v>
      </c>
    </row>
    <row r="364" spans="2:15">
      <c r="B364" t="s">
        <v>1378</v>
      </c>
      <c r="C364" t="s">
        <v>542</v>
      </c>
      <c r="D364" t="s">
        <v>650</v>
      </c>
      <c r="E364" t="s">
        <v>650</v>
      </c>
      <c r="F364" t="s">
        <v>650</v>
      </c>
      <c r="G364" t="s">
        <v>650</v>
      </c>
      <c r="H364" t="s">
        <v>650</v>
      </c>
      <c r="I364" t="s">
        <v>650</v>
      </c>
      <c r="J364" t="s">
        <v>650</v>
      </c>
      <c r="K364" t="s">
        <v>650</v>
      </c>
      <c r="N364" s="12" t="s">
        <v>1130</v>
      </c>
      <c r="O364" s="11" t="s">
        <v>1129</v>
      </c>
    </row>
    <row r="365" spans="2:15">
      <c r="B365" t="s">
        <v>1379</v>
      </c>
      <c r="C365" t="s">
        <v>542</v>
      </c>
      <c r="D365" t="s">
        <v>650</v>
      </c>
      <c r="E365" t="s">
        <v>650</v>
      </c>
      <c r="F365" t="s">
        <v>650</v>
      </c>
      <c r="G365" t="s">
        <v>650</v>
      </c>
      <c r="H365" t="s">
        <v>650</v>
      </c>
      <c r="I365" t="s">
        <v>650</v>
      </c>
      <c r="J365" t="s">
        <v>650</v>
      </c>
      <c r="K365" t="s">
        <v>650</v>
      </c>
      <c r="N365" s="12" t="s">
        <v>1134</v>
      </c>
      <c r="O365" s="11" t="s">
        <v>1133</v>
      </c>
    </row>
    <row r="366" spans="2:15">
      <c r="B366" t="s">
        <v>1380</v>
      </c>
      <c r="C366" t="s">
        <v>542</v>
      </c>
      <c r="D366" t="s">
        <v>650</v>
      </c>
      <c r="E366" t="s">
        <v>650</v>
      </c>
      <c r="F366" t="s">
        <v>650</v>
      </c>
      <c r="G366" t="s">
        <v>650</v>
      </c>
      <c r="H366" t="s">
        <v>650</v>
      </c>
      <c r="I366" t="s">
        <v>650</v>
      </c>
      <c r="J366" t="s">
        <v>542</v>
      </c>
      <c r="K366" t="s">
        <v>542</v>
      </c>
      <c r="N366" s="12" t="s">
        <v>1138</v>
      </c>
      <c r="O366" s="11" t="s">
        <v>1137</v>
      </c>
    </row>
    <row r="367" spans="2:15">
      <c r="B367" s="25" t="s">
        <v>1564</v>
      </c>
      <c r="C367" s="25">
        <v>0</v>
      </c>
      <c r="D367" s="27">
        <f>4/5</f>
        <v>0.8</v>
      </c>
      <c r="E367" s="27">
        <v>1</v>
      </c>
      <c r="F367" s="27">
        <v>1</v>
      </c>
      <c r="G367" s="27">
        <v>1</v>
      </c>
      <c r="H367" s="27">
        <v>1</v>
      </c>
      <c r="I367" s="59">
        <v>1</v>
      </c>
      <c r="J367" s="58">
        <v>0.8</v>
      </c>
      <c r="K367" s="27">
        <f>4/5</f>
        <v>0.8</v>
      </c>
      <c r="L367" s="25"/>
      <c r="M367" s="25"/>
      <c r="N367" s="26"/>
      <c r="O367" s="25"/>
    </row>
    <row r="368" spans="2:15">
      <c r="B368" t="s">
        <v>1510</v>
      </c>
      <c r="L368" t="s">
        <v>542</v>
      </c>
      <c r="M368" t="s">
        <v>542</v>
      </c>
      <c r="N368" s="12" t="s">
        <v>1141</v>
      </c>
      <c r="O368" s="11" t="s">
        <v>1140</v>
      </c>
    </row>
    <row r="369" spans="2:15">
      <c r="B369" t="s">
        <v>1511</v>
      </c>
      <c r="L369" t="s">
        <v>542</v>
      </c>
      <c r="M369" t="s">
        <v>542</v>
      </c>
      <c r="N369" s="12" t="s">
        <v>1143</v>
      </c>
      <c r="O369" s="11" t="s">
        <v>1142</v>
      </c>
    </row>
    <row r="370" spans="2:15">
      <c r="B370" t="s">
        <v>1512</v>
      </c>
      <c r="L370" t="s">
        <v>542</v>
      </c>
      <c r="M370" t="s">
        <v>542</v>
      </c>
      <c r="N370" s="12" t="s">
        <v>1145</v>
      </c>
      <c r="O370" s="11" t="s">
        <v>1144</v>
      </c>
    </row>
    <row r="371" spans="2:15">
      <c r="B371" t="s">
        <v>1513</v>
      </c>
      <c r="L371" t="s">
        <v>542</v>
      </c>
      <c r="M371" t="s">
        <v>542</v>
      </c>
      <c r="N371" s="12" t="s">
        <v>1147</v>
      </c>
      <c r="O371" s="11" t="s">
        <v>1146</v>
      </c>
    </row>
    <row r="372" spans="2:15">
      <c r="B372" t="s">
        <v>1514</v>
      </c>
      <c r="L372" t="s">
        <v>542</v>
      </c>
      <c r="M372" t="s">
        <v>542</v>
      </c>
      <c r="N372" s="12" t="s">
        <v>1149</v>
      </c>
      <c r="O372" s="11" t="s">
        <v>1148</v>
      </c>
    </row>
    <row r="373" spans="2:15">
      <c r="B373" s="25" t="s">
        <v>1564</v>
      </c>
      <c r="C373" s="25"/>
      <c r="D373" s="27"/>
      <c r="E373" s="27"/>
      <c r="F373" s="27"/>
      <c r="G373" s="27"/>
      <c r="H373" s="27"/>
      <c r="I373" s="25"/>
      <c r="J373" s="25"/>
      <c r="K373" s="25"/>
      <c r="L373" s="25">
        <v>0</v>
      </c>
      <c r="M373" s="25">
        <v>0</v>
      </c>
      <c r="N373" s="26"/>
      <c r="O373" s="25"/>
    </row>
    <row r="374" spans="2:15">
      <c r="B374" t="s">
        <v>1381</v>
      </c>
      <c r="C374" t="s">
        <v>650</v>
      </c>
      <c r="D374" t="s">
        <v>650</v>
      </c>
      <c r="E374" t="s">
        <v>650</v>
      </c>
      <c r="F374" t="s">
        <v>650</v>
      </c>
      <c r="G374" t="s">
        <v>650</v>
      </c>
      <c r="H374" t="s">
        <v>650</v>
      </c>
      <c r="I374" t="s">
        <v>650</v>
      </c>
      <c r="J374" t="s">
        <v>650</v>
      </c>
      <c r="K374" t="s">
        <v>542</v>
      </c>
      <c r="N374" s="12" t="s">
        <v>1151</v>
      </c>
      <c r="O374" s="11" t="s">
        <v>1150</v>
      </c>
    </row>
    <row r="375" spans="2:15">
      <c r="B375" t="s">
        <v>1382</v>
      </c>
      <c r="C375" t="s">
        <v>650</v>
      </c>
      <c r="D375" t="s">
        <v>650</v>
      </c>
      <c r="E375" t="s">
        <v>650</v>
      </c>
      <c r="F375" t="s">
        <v>650</v>
      </c>
      <c r="G375" t="s">
        <v>650</v>
      </c>
      <c r="H375" t="s">
        <v>650</v>
      </c>
      <c r="I375" t="s">
        <v>650</v>
      </c>
      <c r="J375" t="s">
        <v>542</v>
      </c>
      <c r="K375" t="s">
        <v>542</v>
      </c>
      <c r="N375" s="12" t="s">
        <v>1154</v>
      </c>
      <c r="O375" s="11" t="s">
        <v>1153</v>
      </c>
    </row>
    <row r="376" spans="2:15">
      <c r="B376" t="s">
        <v>1383</v>
      </c>
      <c r="C376" t="s">
        <v>650</v>
      </c>
      <c r="D376" t="s">
        <v>650</v>
      </c>
      <c r="E376" t="s">
        <v>650</v>
      </c>
      <c r="F376" t="s">
        <v>650</v>
      </c>
      <c r="G376" t="s">
        <v>650</v>
      </c>
      <c r="H376" t="s">
        <v>650</v>
      </c>
      <c r="I376" t="s">
        <v>650</v>
      </c>
      <c r="J376" t="s">
        <v>650</v>
      </c>
      <c r="K376" t="s">
        <v>650</v>
      </c>
      <c r="N376" s="12" t="s">
        <v>1157</v>
      </c>
      <c r="O376" s="11" t="s">
        <v>1156</v>
      </c>
    </row>
    <row r="377" spans="2:15">
      <c r="B377" t="s">
        <v>1384</v>
      </c>
      <c r="C377" t="s">
        <v>542</v>
      </c>
      <c r="D377" t="s">
        <v>650</v>
      </c>
      <c r="E377" t="s">
        <v>650</v>
      </c>
      <c r="F377" t="s">
        <v>650</v>
      </c>
      <c r="G377" t="s">
        <v>650</v>
      </c>
      <c r="H377" t="s">
        <v>650</v>
      </c>
      <c r="I377" t="s">
        <v>650</v>
      </c>
      <c r="J377" t="s">
        <v>542</v>
      </c>
      <c r="K377" t="s">
        <v>650</v>
      </c>
      <c r="N377" s="12" t="s">
        <v>1160</v>
      </c>
      <c r="O377" s="11" t="s">
        <v>1159</v>
      </c>
    </row>
    <row r="378" spans="2:15">
      <c r="B378" t="s">
        <v>1385</v>
      </c>
      <c r="C378" t="s">
        <v>542</v>
      </c>
      <c r="D378" t="s">
        <v>650</v>
      </c>
      <c r="E378" t="s">
        <v>650</v>
      </c>
      <c r="F378" t="s">
        <v>542</v>
      </c>
      <c r="G378" t="s">
        <v>650</v>
      </c>
      <c r="H378" t="s">
        <v>542</v>
      </c>
      <c r="I378" t="s">
        <v>650</v>
      </c>
      <c r="J378" t="s">
        <v>542</v>
      </c>
      <c r="K378" t="s">
        <v>650</v>
      </c>
      <c r="N378" s="12" t="s">
        <v>1162</v>
      </c>
      <c r="O378" s="11" t="s">
        <v>1161</v>
      </c>
    </row>
    <row r="379" spans="2:15">
      <c r="B379" s="25" t="s">
        <v>1564</v>
      </c>
      <c r="C379" s="27">
        <f>3/5</f>
        <v>0.6</v>
      </c>
      <c r="D379" s="27">
        <v>1</v>
      </c>
      <c r="E379" s="27">
        <v>1</v>
      </c>
      <c r="F379" s="27">
        <f>4/5</f>
        <v>0.8</v>
      </c>
      <c r="G379" s="27">
        <v>1</v>
      </c>
      <c r="H379" s="27">
        <f>4/5</f>
        <v>0.8</v>
      </c>
      <c r="I379" s="60">
        <v>1</v>
      </c>
      <c r="J379" s="57">
        <v>0.4</v>
      </c>
      <c r="K379" s="27">
        <f>3/5</f>
        <v>0.6</v>
      </c>
      <c r="L379" s="25"/>
      <c r="M379" s="25"/>
      <c r="N379" s="26"/>
      <c r="O379" s="25"/>
    </row>
    <row r="380" spans="2:15">
      <c r="B380" t="s">
        <v>1515</v>
      </c>
      <c r="L380" t="s">
        <v>650</v>
      </c>
      <c r="M380" t="s">
        <v>650</v>
      </c>
      <c r="N380" s="12" t="s">
        <v>1164</v>
      </c>
      <c r="O380" s="11" t="s">
        <v>1163</v>
      </c>
    </row>
    <row r="381" spans="2:15">
      <c r="B381" t="s">
        <v>1516</v>
      </c>
      <c r="L381" t="s">
        <v>542</v>
      </c>
      <c r="M381" t="s">
        <v>542</v>
      </c>
      <c r="N381" s="12" t="s">
        <v>1166</v>
      </c>
      <c r="O381" s="11" t="s">
        <v>1165</v>
      </c>
    </row>
    <row r="382" spans="2:15">
      <c r="B382" t="s">
        <v>1517</v>
      </c>
      <c r="L382" t="s">
        <v>650</v>
      </c>
      <c r="M382" t="s">
        <v>650</v>
      </c>
      <c r="N382" s="12" t="s">
        <v>1169</v>
      </c>
      <c r="O382" s="11" t="s">
        <v>1168</v>
      </c>
    </row>
    <row r="383" spans="2:15">
      <c r="B383" t="s">
        <v>1518</v>
      </c>
      <c r="L383" t="s">
        <v>650</v>
      </c>
      <c r="M383" t="s">
        <v>542</v>
      </c>
      <c r="N383" s="12" t="s">
        <v>1171</v>
      </c>
      <c r="O383" s="11" t="s">
        <v>1170</v>
      </c>
    </row>
    <row r="384" spans="2:15">
      <c r="B384" t="s">
        <v>1519</v>
      </c>
      <c r="L384" t="s">
        <v>650</v>
      </c>
      <c r="M384" t="s">
        <v>650</v>
      </c>
      <c r="N384" s="12" t="s">
        <v>1173</v>
      </c>
      <c r="O384" s="11" t="s">
        <v>1172</v>
      </c>
    </row>
    <row r="385" spans="2:15">
      <c r="B385" s="25" t="s">
        <v>1564</v>
      </c>
      <c r="C385" s="25"/>
      <c r="D385" s="27"/>
      <c r="E385" s="27"/>
      <c r="F385" s="27"/>
      <c r="G385" s="27"/>
      <c r="H385" s="27"/>
      <c r="I385" s="25"/>
      <c r="J385" s="25"/>
      <c r="K385" s="25"/>
      <c r="L385" s="27">
        <f>4/5</f>
        <v>0.8</v>
      </c>
      <c r="M385" s="27">
        <f>3/5</f>
        <v>0.6</v>
      </c>
      <c r="N385" s="26"/>
      <c r="O385" s="25"/>
    </row>
    <row r="386" spans="2:15">
      <c r="B386" s="4" t="s">
        <v>82</v>
      </c>
      <c r="C386" t="s">
        <v>542</v>
      </c>
      <c r="D386" t="s">
        <v>542</v>
      </c>
      <c r="E386" t="s">
        <v>650</v>
      </c>
      <c r="F386" t="s">
        <v>650</v>
      </c>
      <c r="G386" t="s">
        <v>650</v>
      </c>
      <c r="H386" t="s">
        <v>542</v>
      </c>
      <c r="I386" t="s">
        <v>650</v>
      </c>
      <c r="J386" t="s">
        <v>542</v>
      </c>
      <c r="K386" t="s">
        <v>650</v>
      </c>
      <c r="N386" s="3" t="s">
        <v>83</v>
      </c>
      <c r="O386" s="4" t="s">
        <v>84</v>
      </c>
    </row>
    <row r="387" spans="2:15">
      <c r="B387" s="4" t="s">
        <v>85</v>
      </c>
      <c r="C387" t="s">
        <v>542</v>
      </c>
      <c r="D387" t="s">
        <v>650</v>
      </c>
      <c r="E387" t="s">
        <v>650</v>
      </c>
      <c r="F387" t="s">
        <v>650</v>
      </c>
      <c r="G387" t="s">
        <v>650</v>
      </c>
      <c r="H387" t="s">
        <v>650</v>
      </c>
      <c r="I387" t="s">
        <v>650</v>
      </c>
      <c r="J387" t="s">
        <v>650</v>
      </c>
      <c r="K387" t="s">
        <v>650</v>
      </c>
      <c r="N387" s="3" t="s">
        <v>86</v>
      </c>
      <c r="O387" s="4" t="s">
        <v>87</v>
      </c>
    </row>
    <row r="388" spans="2:15">
      <c r="B388" s="4" t="s">
        <v>90</v>
      </c>
      <c r="C388" t="s">
        <v>542</v>
      </c>
      <c r="D388" t="s">
        <v>542</v>
      </c>
      <c r="E388" t="s">
        <v>650</v>
      </c>
      <c r="F388" t="s">
        <v>650</v>
      </c>
      <c r="G388" t="s">
        <v>650</v>
      </c>
      <c r="H388" t="s">
        <v>542</v>
      </c>
      <c r="I388" t="s">
        <v>650</v>
      </c>
      <c r="J388" t="s">
        <v>542</v>
      </c>
      <c r="K388" t="s">
        <v>650</v>
      </c>
      <c r="N388" s="3" t="s">
        <v>91</v>
      </c>
      <c r="O388" s="4" t="s">
        <v>92</v>
      </c>
    </row>
    <row r="389" spans="2:15">
      <c r="B389" s="4" t="s">
        <v>94</v>
      </c>
      <c r="C389" t="s">
        <v>542</v>
      </c>
      <c r="D389" t="s">
        <v>542</v>
      </c>
      <c r="E389" t="s">
        <v>650</v>
      </c>
      <c r="F389" t="s">
        <v>650</v>
      </c>
      <c r="G389" t="s">
        <v>542</v>
      </c>
      <c r="H389" t="s">
        <v>542</v>
      </c>
      <c r="I389" t="s">
        <v>650</v>
      </c>
      <c r="J389" t="s">
        <v>542</v>
      </c>
      <c r="K389" t="s">
        <v>650</v>
      </c>
      <c r="N389" s="3" t="s">
        <v>95</v>
      </c>
      <c r="O389" s="4" t="s">
        <v>96</v>
      </c>
    </row>
    <row r="390" spans="2:15">
      <c r="B390" s="4" t="s">
        <v>97</v>
      </c>
      <c r="C390" t="s">
        <v>542</v>
      </c>
      <c r="D390" t="s">
        <v>542</v>
      </c>
      <c r="E390" s="3" t="s">
        <v>584</v>
      </c>
      <c r="F390" t="s">
        <v>650</v>
      </c>
      <c r="G390" t="s">
        <v>650</v>
      </c>
      <c r="H390" t="s">
        <v>542</v>
      </c>
      <c r="I390" t="s">
        <v>650</v>
      </c>
      <c r="J390" t="s">
        <v>542</v>
      </c>
      <c r="K390" t="s">
        <v>650</v>
      </c>
      <c r="N390" s="3" t="s">
        <v>98</v>
      </c>
      <c r="O390" s="4" t="s">
        <v>99</v>
      </c>
    </row>
    <row r="391" spans="2:15">
      <c r="B391" s="25" t="s">
        <v>1564</v>
      </c>
      <c r="C391" s="25">
        <v>0</v>
      </c>
      <c r="D391" s="27">
        <f>1/5</f>
        <v>0.2</v>
      </c>
      <c r="E391" s="27">
        <v>1</v>
      </c>
      <c r="F391" s="27">
        <v>1</v>
      </c>
      <c r="G391" s="27">
        <f>4/5</f>
        <v>0.8</v>
      </c>
      <c r="H391" s="27">
        <f>1/5</f>
        <v>0.2</v>
      </c>
      <c r="I391" s="60">
        <v>1</v>
      </c>
      <c r="J391" s="57">
        <v>0.2</v>
      </c>
      <c r="K391" s="25">
        <v>1</v>
      </c>
      <c r="L391" s="25"/>
      <c r="M391" s="25"/>
      <c r="N391" s="26"/>
      <c r="O391" s="25"/>
    </row>
    <row r="392" spans="2:15">
      <c r="B392" s="4" t="s">
        <v>100</v>
      </c>
      <c r="L392" t="s">
        <v>542</v>
      </c>
      <c r="M392" t="s">
        <v>542</v>
      </c>
      <c r="N392" s="3" t="s">
        <v>101</v>
      </c>
      <c r="O392" s="5" t="s">
        <v>102</v>
      </c>
    </row>
    <row r="393" spans="2:15">
      <c r="B393" s="4" t="s">
        <v>103</v>
      </c>
      <c r="L393" t="s">
        <v>542</v>
      </c>
      <c r="M393" t="s">
        <v>542</v>
      </c>
      <c r="N393" s="3" t="s">
        <v>104</v>
      </c>
      <c r="O393" s="5" t="s">
        <v>105</v>
      </c>
    </row>
    <row r="394" spans="2:15">
      <c r="B394" s="4" t="s">
        <v>106</v>
      </c>
      <c r="L394" t="s">
        <v>542</v>
      </c>
      <c r="M394" t="s">
        <v>542</v>
      </c>
      <c r="N394" s="3" t="s">
        <v>107</v>
      </c>
      <c r="O394" s="5" t="s">
        <v>108</v>
      </c>
    </row>
    <row r="395" spans="2:15">
      <c r="B395" s="4" t="s">
        <v>109</v>
      </c>
      <c r="L395" t="s">
        <v>650</v>
      </c>
      <c r="M395" t="s">
        <v>542</v>
      </c>
      <c r="N395" s="3" t="s">
        <v>110</v>
      </c>
      <c r="O395" s="5" t="s">
        <v>111</v>
      </c>
    </row>
    <row r="396" spans="2:15">
      <c r="B396" s="4" t="s">
        <v>112</v>
      </c>
      <c r="L396" t="s">
        <v>542</v>
      </c>
      <c r="M396" t="s">
        <v>542</v>
      </c>
      <c r="N396" s="3" t="s">
        <v>113</v>
      </c>
      <c r="O396" s="5" t="s">
        <v>114</v>
      </c>
    </row>
    <row r="397" spans="2:15">
      <c r="B397" s="25" t="s">
        <v>1564</v>
      </c>
      <c r="C397" s="25"/>
      <c r="D397" s="27"/>
      <c r="E397" s="27"/>
      <c r="F397" s="27"/>
      <c r="G397" s="27"/>
      <c r="H397" s="27"/>
      <c r="I397" s="25"/>
      <c r="J397" s="25"/>
      <c r="K397" s="25"/>
      <c r="L397" s="27">
        <f>1/5</f>
        <v>0.2</v>
      </c>
      <c r="M397" s="25">
        <v>0</v>
      </c>
      <c r="N397" s="26"/>
      <c r="O397" s="25"/>
    </row>
    <row r="398" spans="2:15">
      <c r="B398" s="4" t="s">
        <v>115</v>
      </c>
      <c r="C398" t="s">
        <v>542</v>
      </c>
      <c r="D398" t="s">
        <v>650</v>
      </c>
      <c r="E398" t="s">
        <v>650</v>
      </c>
      <c r="F398" t="s">
        <v>650</v>
      </c>
      <c r="G398" t="s">
        <v>650</v>
      </c>
      <c r="H398" t="s">
        <v>650</v>
      </c>
      <c r="I398" t="s">
        <v>542</v>
      </c>
      <c r="J398" t="s">
        <v>542</v>
      </c>
      <c r="K398" t="s">
        <v>650</v>
      </c>
      <c r="N398" s="3" t="s">
        <v>116</v>
      </c>
      <c r="O398" s="4" t="s">
        <v>117</v>
      </c>
    </row>
    <row r="399" spans="2:15">
      <c r="B399" s="4" t="s">
        <v>120</v>
      </c>
      <c r="C399" t="s">
        <v>542</v>
      </c>
      <c r="D399" t="s">
        <v>650</v>
      </c>
      <c r="E399" t="s">
        <v>650</v>
      </c>
      <c r="F399" t="s">
        <v>650</v>
      </c>
      <c r="G399" t="s">
        <v>650</v>
      </c>
      <c r="H399" t="s">
        <v>650</v>
      </c>
      <c r="I399" t="s">
        <v>542</v>
      </c>
      <c r="J399" t="s">
        <v>542</v>
      </c>
      <c r="K399" t="s">
        <v>650</v>
      </c>
      <c r="N399" s="3" t="s">
        <v>121</v>
      </c>
      <c r="O399" s="4" t="s">
        <v>122</v>
      </c>
    </row>
    <row r="400" spans="2:15">
      <c r="B400" s="4" t="s">
        <v>123</v>
      </c>
      <c r="C400" t="s">
        <v>542</v>
      </c>
      <c r="D400" t="s">
        <v>650</v>
      </c>
      <c r="E400" t="s">
        <v>650</v>
      </c>
      <c r="F400" t="s">
        <v>650</v>
      </c>
      <c r="G400" t="s">
        <v>650</v>
      </c>
      <c r="H400" t="s">
        <v>650</v>
      </c>
      <c r="I400" t="s">
        <v>542</v>
      </c>
      <c r="J400" t="s">
        <v>542</v>
      </c>
      <c r="K400" t="s">
        <v>650</v>
      </c>
      <c r="N400" s="3" t="s">
        <v>124</v>
      </c>
      <c r="O400" s="4" t="s">
        <v>125</v>
      </c>
    </row>
    <row r="401" spans="2:15">
      <c r="B401" s="4" t="s">
        <v>126</v>
      </c>
      <c r="C401" t="s">
        <v>542</v>
      </c>
      <c r="D401" t="s">
        <v>650</v>
      </c>
      <c r="E401" t="s">
        <v>650</v>
      </c>
      <c r="F401" t="s">
        <v>650</v>
      </c>
      <c r="G401" t="s">
        <v>650</v>
      </c>
      <c r="H401" t="s">
        <v>650</v>
      </c>
      <c r="I401" t="s">
        <v>542</v>
      </c>
      <c r="J401" t="s">
        <v>542</v>
      </c>
      <c r="K401" t="s">
        <v>650</v>
      </c>
      <c r="N401" s="3" t="s">
        <v>127</v>
      </c>
      <c r="O401" s="4" t="s">
        <v>128</v>
      </c>
    </row>
    <row r="402" spans="2:15">
      <c r="B402" s="4" t="s">
        <v>130</v>
      </c>
      <c r="C402" t="s">
        <v>542</v>
      </c>
      <c r="D402" t="s">
        <v>650</v>
      </c>
      <c r="E402" t="s">
        <v>650</v>
      </c>
      <c r="F402" t="s">
        <v>650</v>
      </c>
      <c r="G402" t="s">
        <v>650</v>
      </c>
      <c r="H402" t="s">
        <v>650</v>
      </c>
      <c r="I402" t="s">
        <v>542</v>
      </c>
      <c r="J402" t="s">
        <v>542</v>
      </c>
      <c r="K402" t="s">
        <v>650</v>
      </c>
      <c r="N402" s="3" t="s">
        <v>131</v>
      </c>
      <c r="O402" s="4" t="s">
        <v>132</v>
      </c>
    </row>
    <row r="403" spans="2:15">
      <c r="B403" s="25" t="s">
        <v>1564</v>
      </c>
      <c r="C403" s="25">
        <v>0</v>
      </c>
      <c r="D403" s="27">
        <v>1</v>
      </c>
      <c r="E403" s="27">
        <v>1</v>
      </c>
      <c r="F403" s="27">
        <v>1</v>
      </c>
      <c r="G403" s="27">
        <v>1</v>
      </c>
      <c r="H403" s="27">
        <v>1</v>
      </c>
      <c r="I403" s="25">
        <v>0</v>
      </c>
      <c r="J403" s="25">
        <v>0</v>
      </c>
      <c r="K403" s="25">
        <v>1</v>
      </c>
      <c r="L403" s="25"/>
      <c r="M403" s="25"/>
      <c r="N403" s="26"/>
      <c r="O403" s="25"/>
    </row>
    <row r="404" spans="2:15">
      <c r="B404" s="4" t="s">
        <v>134</v>
      </c>
      <c r="L404" t="s">
        <v>650</v>
      </c>
      <c r="M404" t="s">
        <v>650</v>
      </c>
      <c r="N404" s="3" t="s">
        <v>135</v>
      </c>
      <c r="O404" s="5" t="s">
        <v>136</v>
      </c>
    </row>
    <row r="405" spans="2:15">
      <c r="B405" s="4" t="s">
        <v>137</v>
      </c>
      <c r="L405" s="3" t="s">
        <v>584</v>
      </c>
      <c r="M405" t="s">
        <v>650</v>
      </c>
      <c r="N405" s="3" t="s">
        <v>138</v>
      </c>
      <c r="O405" s="5" t="s">
        <v>139</v>
      </c>
    </row>
    <row r="406" spans="2:15">
      <c r="B406" s="4" t="s">
        <v>140</v>
      </c>
      <c r="L406" t="s">
        <v>650</v>
      </c>
      <c r="M406" t="s">
        <v>650</v>
      </c>
      <c r="N406" s="3" t="s">
        <v>141</v>
      </c>
      <c r="O406" s="5" t="s">
        <v>142</v>
      </c>
    </row>
    <row r="407" spans="2:15">
      <c r="B407" s="4" t="s">
        <v>143</v>
      </c>
      <c r="L407" t="s">
        <v>650</v>
      </c>
      <c r="M407" t="s">
        <v>650</v>
      </c>
      <c r="N407" s="3" t="s">
        <v>144</v>
      </c>
      <c r="O407" s="5" t="s">
        <v>145</v>
      </c>
    </row>
    <row r="408" spans="2:15">
      <c r="B408" s="4" t="s">
        <v>146</v>
      </c>
      <c r="L408" t="s">
        <v>650</v>
      </c>
      <c r="M408" t="s">
        <v>650</v>
      </c>
      <c r="N408" s="3" t="s">
        <v>147</v>
      </c>
      <c r="O408" s="5" t="s">
        <v>148</v>
      </c>
    </row>
    <row r="409" spans="2:15">
      <c r="B409" s="25" t="s">
        <v>1564</v>
      </c>
      <c r="C409" s="25"/>
      <c r="D409" s="27"/>
      <c r="E409" s="27"/>
      <c r="F409" s="27"/>
      <c r="G409" s="27"/>
      <c r="H409" s="27"/>
      <c r="I409" s="25"/>
      <c r="J409" s="25"/>
      <c r="K409" s="25"/>
      <c r="L409" s="25">
        <v>1</v>
      </c>
      <c r="M409" s="25">
        <v>1</v>
      </c>
      <c r="N409" s="26"/>
      <c r="O409" s="25"/>
    </row>
    <row r="410" spans="2:15">
      <c r="B410" s="4" t="s">
        <v>149</v>
      </c>
      <c r="C410" t="s">
        <v>542</v>
      </c>
      <c r="D410" t="s">
        <v>542</v>
      </c>
      <c r="E410" t="s">
        <v>650</v>
      </c>
      <c r="F410" t="s">
        <v>650</v>
      </c>
      <c r="G410" t="s">
        <v>650</v>
      </c>
      <c r="H410" t="s">
        <v>650</v>
      </c>
      <c r="I410" t="s">
        <v>650</v>
      </c>
      <c r="J410" t="s">
        <v>650</v>
      </c>
      <c r="K410" t="s">
        <v>542</v>
      </c>
      <c r="N410" s="3" t="s">
        <v>150</v>
      </c>
      <c r="O410" s="4" t="s">
        <v>151</v>
      </c>
    </row>
    <row r="411" spans="2:15">
      <c r="B411" s="4" t="s">
        <v>152</v>
      </c>
      <c r="C411" t="s">
        <v>542</v>
      </c>
      <c r="D411" t="s">
        <v>542</v>
      </c>
      <c r="E411" t="s">
        <v>650</v>
      </c>
      <c r="F411" t="s">
        <v>650</v>
      </c>
      <c r="G411" t="s">
        <v>650</v>
      </c>
      <c r="H411" t="s">
        <v>650</v>
      </c>
      <c r="I411" t="s">
        <v>542</v>
      </c>
      <c r="J411" t="s">
        <v>650</v>
      </c>
      <c r="K411" t="s">
        <v>542</v>
      </c>
      <c r="N411" s="3" t="s">
        <v>153</v>
      </c>
      <c r="O411" s="4" t="s">
        <v>154</v>
      </c>
    </row>
    <row r="412" spans="2:15">
      <c r="B412" s="4" t="s">
        <v>156</v>
      </c>
      <c r="C412" t="s">
        <v>542</v>
      </c>
      <c r="D412" t="s">
        <v>542</v>
      </c>
      <c r="E412" t="s">
        <v>650</v>
      </c>
      <c r="F412" t="s">
        <v>650</v>
      </c>
      <c r="G412" t="s">
        <v>650</v>
      </c>
      <c r="H412" t="s">
        <v>650</v>
      </c>
      <c r="I412" t="s">
        <v>650</v>
      </c>
      <c r="J412" t="s">
        <v>650</v>
      </c>
      <c r="K412" t="s">
        <v>584</v>
      </c>
      <c r="N412" s="3" t="s">
        <v>157</v>
      </c>
      <c r="O412" s="4" t="s">
        <v>158</v>
      </c>
    </row>
    <row r="413" spans="2:15">
      <c r="B413" s="4" t="s">
        <v>160</v>
      </c>
      <c r="C413" t="s">
        <v>542</v>
      </c>
      <c r="D413" t="s">
        <v>542</v>
      </c>
      <c r="E413" t="s">
        <v>650</v>
      </c>
      <c r="F413" t="s">
        <v>650</v>
      </c>
      <c r="G413" t="s">
        <v>650</v>
      </c>
      <c r="H413" t="s">
        <v>650</v>
      </c>
      <c r="I413" t="s">
        <v>650</v>
      </c>
      <c r="J413" t="s">
        <v>650</v>
      </c>
      <c r="K413" t="s">
        <v>542</v>
      </c>
      <c r="N413" s="3" t="s">
        <v>161</v>
      </c>
      <c r="O413" s="4" t="s">
        <v>162</v>
      </c>
    </row>
    <row r="414" spans="2:15">
      <c r="B414" s="4" t="s">
        <v>163</v>
      </c>
      <c r="C414" t="s">
        <v>542</v>
      </c>
      <c r="D414" t="s">
        <v>542</v>
      </c>
      <c r="E414" t="s">
        <v>650</v>
      </c>
      <c r="F414" t="s">
        <v>650</v>
      </c>
      <c r="G414" t="s">
        <v>650</v>
      </c>
      <c r="H414" t="s">
        <v>650</v>
      </c>
      <c r="I414" t="s">
        <v>650</v>
      </c>
      <c r="J414" t="s">
        <v>650</v>
      </c>
      <c r="K414" t="s">
        <v>542</v>
      </c>
      <c r="N414" s="3" t="s">
        <v>164</v>
      </c>
      <c r="O414" s="4" t="s">
        <v>165</v>
      </c>
    </row>
    <row r="415" spans="2:15">
      <c r="B415" s="25" t="s">
        <v>1564</v>
      </c>
      <c r="C415" s="25">
        <v>0</v>
      </c>
      <c r="D415" s="27">
        <v>0</v>
      </c>
      <c r="E415" s="27">
        <v>1</v>
      </c>
      <c r="F415" s="27">
        <v>1</v>
      </c>
      <c r="G415" s="27">
        <v>1</v>
      </c>
      <c r="H415" s="27">
        <v>1</v>
      </c>
      <c r="I415" s="57">
        <v>0.8</v>
      </c>
      <c r="J415" s="60">
        <v>1</v>
      </c>
      <c r="K415" s="25">
        <v>0</v>
      </c>
      <c r="L415" s="25"/>
      <c r="M415" s="25"/>
      <c r="N415" s="26"/>
      <c r="O415" s="25"/>
    </row>
    <row r="416" spans="2:15">
      <c r="B416" s="4" t="s">
        <v>166</v>
      </c>
      <c r="L416" t="s">
        <v>542</v>
      </c>
      <c r="M416" t="s">
        <v>542</v>
      </c>
      <c r="N416" s="3" t="s">
        <v>167</v>
      </c>
      <c r="O416" s="5" t="s">
        <v>168</v>
      </c>
    </row>
    <row r="417" spans="2:15">
      <c r="B417" s="4" t="s">
        <v>169</v>
      </c>
      <c r="L417" t="s">
        <v>542</v>
      </c>
      <c r="M417" t="s">
        <v>542</v>
      </c>
      <c r="N417" s="3" t="s">
        <v>170</v>
      </c>
      <c r="O417" s="5" t="s">
        <v>171</v>
      </c>
    </row>
    <row r="418" spans="2:15">
      <c r="B418" s="4" t="s">
        <v>172</v>
      </c>
      <c r="L418" t="s">
        <v>542</v>
      </c>
      <c r="M418" t="s">
        <v>542</v>
      </c>
      <c r="N418" s="3" t="s">
        <v>173</v>
      </c>
      <c r="O418" s="5" t="s">
        <v>174</v>
      </c>
    </row>
    <row r="419" spans="2:15">
      <c r="B419" s="4" t="s">
        <v>175</v>
      </c>
      <c r="L419" t="s">
        <v>542</v>
      </c>
      <c r="M419" t="s">
        <v>542</v>
      </c>
      <c r="N419" s="3" t="s">
        <v>176</v>
      </c>
      <c r="O419" s="5" t="s">
        <v>177</v>
      </c>
    </row>
    <row r="420" spans="2:15">
      <c r="B420" s="4" t="s">
        <v>178</v>
      </c>
      <c r="L420" t="s">
        <v>542</v>
      </c>
      <c r="M420" t="s">
        <v>542</v>
      </c>
      <c r="N420" s="3" t="s">
        <v>179</v>
      </c>
      <c r="O420" s="5" t="s">
        <v>180</v>
      </c>
    </row>
    <row r="421" spans="2:15">
      <c r="B421" s="25" t="s">
        <v>1564</v>
      </c>
      <c r="C421" s="25"/>
      <c r="D421" s="27"/>
      <c r="E421" s="27"/>
      <c r="F421" s="27"/>
      <c r="G421" s="27"/>
      <c r="H421" s="27"/>
      <c r="I421" s="25"/>
      <c r="J421" s="25"/>
      <c r="K421" s="25"/>
      <c r="L421" s="25">
        <v>0</v>
      </c>
      <c r="M421" s="25">
        <v>0</v>
      </c>
      <c r="N421" s="26"/>
      <c r="O421" s="25"/>
    </row>
    <row r="422" spans="2:15">
      <c r="B422" s="4" t="s">
        <v>181</v>
      </c>
      <c r="C422" t="s">
        <v>650</v>
      </c>
      <c r="D422" t="s">
        <v>650</v>
      </c>
      <c r="E422" t="s">
        <v>650</v>
      </c>
      <c r="F422" t="s">
        <v>650</v>
      </c>
      <c r="G422" t="s">
        <v>650</v>
      </c>
      <c r="H422" t="s">
        <v>650</v>
      </c>
      <c r="I422" t="s">
        <v>650</v>
      </c>
      <c r="J422" t="s">
        <v>650</v>
      </c>
      <c r="K422" t="s">
        <v>542</v>
      </c>
      <c r="N422" s="3" t="s">
        <v>1550</v>
      </c>
      <c r="O422" s="4" t="s">
        <v>1551</v>
      </c>
    </row>
    <row r="423" spans="2:15">
      <c r="B423" s="4" t="s">
        <v>183</v>
      </c>
      <c r="C423" t="s">
        <v>650</v>
      </c>
      <c r="D423" t="s">
        <v>650</v>
      </c>
      <c r="E423" t="s">
        <v>650</v>
      </c>
      <c r="F423" t="s">
        <v>650</v>
      </c>
      <c r="G423" t="s">
        <v>650</v>
      </c>
      <c r="H423" t="s">
        <v>650</v>
      </c>
      <c r="I423" t="s">
        <v>650</v>
      </c>
      <c r="J423" t="s">
        <v>650</v>
      </c>
      <c r="K423" t="s">
        <v>542</v>
      </c>
      <c r="N423" s="3" t="s">
        <v>184</v>
      </c>
      <c r="O423" s="4" t="s">
        <v>1552</v>
      </c>
    </row>
    <row r="424" spans="2:15">
      <c r="B424" s="4" t="s">
        <v>186</v>
      </c>
      <c r="C424" t="s">
        <v>542</v>
      </c>
      <c r="D424" t="s">
        <v>650</v>
      </c>
      <c r="E424" t="s">
        <v>650</v>
      </c>
      <c r="F424" t="s">
        <v>650</v>
      </c>
      <c r="G424" t="s">
        <v>650</v>
      </c>
      <c r="H424" t="s">
        <v>650</v>
      </c>
      <c r="I424" t="s">
        <v>650</v>
      </c>
      <c r="J424" t="s">
        <v>650</v>
      </c>
      <c r="K424" t="s">
        <v>542</v>
      </c>
      <c r="N424" s="3" t="s">
        <v>187</v>
      </c>
      <c r="O424" s="4" t="s">
        <v>1553</v>
      </c>
    </row>
    <row r="425" spans="2:15">
      <c r="B425" s="4" t="s">
        <v>189</v>
      </c>
      <c r="C425" t="s">
        <v>542</v>
      </c>
      <c r="D425" t="s">
        <v>650</v>
      </c>
      <c r="E425" t="s">
        <v>650</v>
      </c>
      <c r="F425" t="s">
        <v>650</v>
      </c>
      <c r="G425" t="s">
        <v>650</v>
      </c>
      <c r="H425" t="s">
        <v>650</v>
      </c>
      <c r="I425" t="s">
        <v>650</v>
      </c>
      <c r="J425" t="s">
        <v>650</v>
      </c>
      <c r="K425" t="s">
        <v>542</v>
      </c>
      <c r="N425" s="3" t="s">
        <v>1554</v>
      </c>
      <c r="O425" s="4" t="s">
        <v>1555</v>
      </c>
    </row>
    <row r="426" spans="2:15">
      <c r="B426" s="4" t="s">
        <v>191</v>
      </c>
      <c r="C426" t="s">
        <v>650</v>
      </c>
      <c r="D426" t="s">
        <v>650</v>
      </c>
      <c r="E426" t="s">
        <v>650</v>
      </c>
      <c r="F426" t="s">
        <v>650</v>
      </c>
      <c r="G426" t="s">
        <v>650</v>
      </c>
      <c r="H426" t="s">
        <v>650</v>
      </c>
      <c r="I426" t="s">
        <v>650</v>
      </c>
      <c r="J426" t="s">
        <v>650</v>
      </c>
      <c r="K426" t="s">
        <v>542</v>
      </c>
      <c r="N426" s="3" t="s">
        <v>1556</v>
      </c>
      <c r="O426" s="4" t="s">
        <v>1557</v>
      </c>
    </row>
    <row r="427" spans="2:15">
      <c r="B427" s="25" t="s">
        <v>1564</v>
      </c>
      <c r="C427" s="27">
        <f>3/5</f>
        <v>0.6</v>
      </c>
      <c r="D427" s="27">
        <v>1</v>
      </c>
      <c r="E427" s="27">
        <v>1</v>
      </c>
      <c r="F427" s="27">
        <v>1</v>
      </c>
      <c r="G427" s="27">
        <v>1</v>
      </c>
      <c r="H427" s="27">
        <v>1</v>
      </c>
      <c r="I427" s="27">
        <v>1</v>
      </c>
      <c r="J427" s="27">
        <v>1</v>
      </c>
      <c r="K427" s="25">
        <v>0</v>
      </c>
      <c r="L427" s="25"/>
      <c r="M427" s="25"/>
      <c r="N427" s="26"/>
      <c r="O427" s="25"/>
    </row>
    <row r="428" spans="2:15">
      <c r="B428" s="4" t="s">
        <v>192</v>
      </c>
      <c r="L428" t="s">
        <v>650</v>
      </c>
      <c r="M428" t="s">
        <v>650</v>
      </c>
      <c r="N428" s="3" t="s">
        <v>193</v>
      </c>
      <c r="O428" s="5" t="s">
        <v>194</v>
      </c>
    </row>
    <row r="429" spans="2:15">
      <c r="B429" s="4" t="s">
        <v>195</v>
      </c>
      <c r="L429" t="s">
        <v>542</v>
      </c>
      <c r="M429" t="s">
        <v>542</v>
      </c>
      <c r="N429" s="3" t="s">
        <v>196</v>
      </c>
      <c r="O429" s="5" t="s">
        <v>197</v>
      </c>
    </row>
    <row r="430" spans="2:15">
      <c r="B430" s="4" t="s">
        <v>198</v>
      </c>
      <c r="L430" t="s">
        <v>650</v>
      </c>
      <c r="M430" t="s">
        <v>650</v>
      </c>
      <c r="N430" s="3" t="s">
        <v>199</v>
      </c>
      <c r="O430" s="5" t="s">
        <v>200</v>
      </c>
    </row>
    <row r="431" spans="2:15">
      <c r="B431" s="4" t="s">
        <v>202</v>
      </c>
      <c r="L431" s="3" t="s">
        <v>584</v>
      </c>
      <c r="M431" s="3" t="s">
        <v>584</v>
      </c>
      <c r="N431" s="3" t="s">
        <v>203</v>
      </c>
      <c r="O431" s="5" t="s">
        <v>204</v>
      </c>
    </row>
    <row r="432" spans="2:15">
      <c r="B432" s="4" t="s">
        <v>205</v>
      </c>
      <c r="L432" t="s">
        <v>650</v>
      </c>
      <c r="M432" t="s">
        <v>650</v>
      </c>
      <c r="N432" s="3" t="s">
        <v>206</v>
      </c>
      <c r="O432" s="5" t="s">
        <v>207</v>
      </c>
    </row>
    <row r="433" spans="2:15">
      <c r="B433" s="25" t="s">
        <v>1564</v>
      </c>
      <c r="C433" s="25"/>
      <c r="D433" s="27"/>
      <c r="E433" s="27"/>
      <c r="F433" s="27"/>
      <c r="G433" s="27"/>
      <c r="H433" s="27"/>
      <c r="I433" s="25"/>
      <c r="J433" s="25"/>
      <c r="K433" s="25"/>
      <c r="L433" s="25">
        <v>0.75</v>
      </c>
      <c r="M433" s="25">
        <v>0.75</v>
      </c>
      <c r="N433" s="26"/>
      <c r="O433" s="25"/>
    </row>
    <row r="434" spans="2:15">
      <c r="B434" t="s">
        <v>1306</v>
      </c>
      <c r="C434" t="s">
        <v>542</v>
      </c>
      <c r="D434" t="s">
        <v>542</v>
      </c>
      <c r="E434" t="s">
        <v>650</v>
      </c>
      <c r="F434" t="s">
        <v>650</v>
      </c>
      <c r="G434" t="s">
        <v>650</v>
      </c>
      <c r="H434" t="s">
        <v>650</v>
      </c>
      <c r="I434" t="s">
        <v>650</v>
      </c>
      <c r="J434" t="s">
        <v>650</v>
      </c>
      <c r="K434" t="s">
        <v>650</v>
      </c>
      <c r="N434" s="12" t="s">
        <v>750</v>
      </c>
      <c r="O434" s="11" t="s">
        <v>749</v>
      </c>
    </row>
    <row r="435" spans="2:15">
      <c r="B435" t="s">
        <v>1307</v>
      </c>
      <c r="C435" t="s">
        <v>542</v>
      </c>
      <c r="D435" t="s">
        <v>542</v>
      </c>
      <c r="E435" t="s">
        <v>650</v>
      </c>
      <c r="F435" t="s">
        <v>650</v>
      </c>
      <c r="G435" t="s">
        <v>650</v>
      </c>
      <c r="H435" t="s">
        <v>650</v>
      </c>
      <c r="I435" t="s">
        <v>650</v>
      </c>
      <c r="J435" t="s">
        <v>650</v>
      </c>
      <c r="K435" t="s">
        <v>650</v>
      </c>
      <c r="N435" s="12" t="s">
        <v>756</v>
      </c>
      <c r="O435" s="11" t="s">
        <v>755</v>
      </c>
    </row>
    <row r="436" spans="2:15">
      <c r="B436" t="s">
        <v>1308</v>
      </c>
      <c r="C436" t="s">
        <v>542</v>
      </c>
      <c r="D436" t="s">
        <v>542</v>
      </c>
      <c r="E436" t="s">
        <v>650</v>
      </c>
      <c r="F436" t="s">
        <v>542</v>
      </c>
      <c r="G436" t="s">
        <v>650</v>
      </c>
      <c r="H436" t="s">
        <v>542</v>
      </c>
      <c r="I436" t="s">
        <v>650</v>
      </c>
      <c r="J436" t="s">
        <v>650</v>
      </c>
      <c r="K436" t="s">
        <v>650</v>
      </c>
      <c r="N436" s="12" t="s">
        <v>760</v>
      </c>
      <c r="O436" s="11" t="s">
        <v>759</v>
      </c>
    </row>
    <row r="437" spans="2:15">
      <c r="B437" t="s">
        <v>1309</v>
      </c>
      <c r="C437" t="s">
        <v>542</v>
      </c>
      <c r="D437" t="s">
        <v>650</v>
      </c>
      <c r="E437" t="s">
        <v>650</v>
      </c>
      <c r="F437" t="s">
        <v>650</v>
      </c>
      <c r="G437" t="s">
        <v>650</v>
      </c>
      <c r="H437" t="s">
        <v>650</v>
      </c>
      <c r="I437" t="s">
        <v>650</v>
      </c>
      <c r="J437" t="s">
        <v>650</v>
      </c>
      <c r="K437" t="s">
        <v>650</v>
      </c>
      <c r="N437" s="12" t="s">
        <v>762</v>
      </c>
      <c r="O437" s="11" t="s">
        <v>761</v>
      </c>
    </row>
    <row r="438" spans="2:15">
      <c r="B438" t="s">
        <v>1310</v>
      </c>
      <c r="C438" t="s">
        <v>542</v>
      </c>
      <c r="D438" t="s">
        <v>650</v>
      </c>
      <c r="E438" t="s">
        <v>650</v>
      </c>
      <c r="F438" t="s">
        <v>650</v>
      </c>
      <c r="G438" t="s">
        <v>650</v>
      </c>
      <c r="H438" t="s">
        <v>650</v>
      </c>
      <c r="I438" t="s">
        <v>650</v>
      </c>
      <c r="J438" t="s">
        <v>650</v>
      </c>
      <c r="K438" t="s">
        <v>650</v>
      </c>
      <c r="N438" s="12" t="s">
        <v>765</v>
      </c>
      <c r="O438" s="11" t="s">
        <v>764</v>
      </c>
    </row>
    <row r="439" spans="2:15">
      <c r="B439" s="25" t="s">
        <v>1564</v>
      </c>
      <c r="C439" s="25">
        <v>0</v>
      </c>
      <c r="D439" s="27">
        <v>0.4</v>
      </c>
      <c r="E439" s="27">
        <v>1</v>
      </c>
      <c r="F439" s="27">
        <v>0.8</v>
      </c>
      <c r="G439" s="27">
        <v>1</v>
      </c>
      <c r="H439" s="27">
        <v>0.8</v>
      </c>
      <c r="I439" s="25">
        <v>1</v>
      </c>
      <c r="J439" s="25">
        <v>1</v>
      </c>
      <c r="K439" s="25">
        <v>1</v>
      </c>
      <c r="L439" s="25"/>
      <c r="M439" s="25"/>
      <c r="N439" s="26"/>
      <c r="O439" s="25"/>
    </row>
    <row r="440" spans="2:15">
      <c r="B440" t="s">
        <v>1520</v>
      </c>
      <c r="L440" t="s">
        <v>542</v>
      </c>
      <c r="M440" t="s">
        <v>542</v>
      </c>
      <c r="N440" s="12" t="s">
        <v>769</v>
      </c>
      <c r="O440" s="11" t="s">
        <v>768</v>
      </c>
    </row>
    <row r="441" spans="2:15">
      <c r="B441" t="s">
        <v>1521</v>
      </c>
      <c r="L441" t="s">
        <v>542</v>
      </c>
      <c r="M441" t="s">
        <v>542</v>
      </c>
      <c r="N441" s="12" t="s">
        <v>771</v>
      </c>
      <c r="O441" s="11" t="s">
        <v>770</v>
      </c>
    </row>
    <row r="442" spans="2:15">
      <c r="B442" t="s">
        <v>1522</v>
      </c>
      <c r="L442" t="s">
        <v>542</v>
      </c>
      <c r="M442" t="s">
        <v>542</v>
      </c>
      <c r="N442" s="12" t="s">
        <v>774</v>
      </c>
      <c r="O442" s="11" t="s">
        <v>773</v>
      </c>
    </row>
    <row r="443" spans="2:15">
      <c r="B443" t="s">
        <v>1523</v>
      </c>
      <c r="L443" t="s">
        <v>542</v>
      </c>
      <c r="M443" t="s">
        <v>542</v>
      </c>
      <c r="N443" s="12" t="s">
        <v>776</v>
      </c>
      <c r="O443" s="11" t="s">
        <v>775</v>
      </c>
    </row>
    <row r="444" spans="2:15">
      <c r="B444" t="s">
        <v>1524</v>
      </c>
      <c r="L444" t="s">
        <v>542</v>
      </c>
      <c r="M444" t="s">
        <v>542</v>
      </c>
      <c r="N444" s="12" t="s">
        <v>778</v>
      </c>
      <c r="O444" s="11" t="s">
        <v>777</v>
      </c>
    </row>
    <row r="445" spans="2:15">
      <c r="B445" s="25" t="s">
        <v>1564</v>
      </c>
      <c r="C445" s="25"/>
      <c r="D445" s="27"/>
      <c r="E445" s="27"/>
      <c r="F445" s="27"/>
      <c r="G445" s="27"/>
      <c r="H445" s="27"/>
      <c r="I445" s="25"/>
      <c r="J445" s="25"/>
      <c r="K445" s="25"/>
      <c r="L445" s="25">
        <v>0</v>
      </c>
      <c r="M445" s="25">
        <v>0</v>
      </c>
      <c r="N445" s="26"/>
      <c r="O445" s="25"/>
    </row>
    <row r="446" spans="2:15">
      <c r="B446" t="s">
        <v>1311</v>
      </c>
      <c r="C446" t="s">
        <v>542</v>
      </c>
      <c r="D446" t="s">
        <v>650</v>
      </c>
      <c r="E446" t="s">
        <v>650</v>
      </c>
      <c r="F446" t="s">
        <v>650</v>
      </c>
      <c r="G446" t="s">
        <v>650</v>
      </c>
      <c r="H446" t="s">
        <v>650</v>
      </c>
      <c r="I446" t="s">
        <v>542</v>
      </c>
      <c r="J446" t="s">
        <v>542</v>
      </c>
      <c r="K446" t="s">
        <v>650</v>
      </c>
      <c r="N446" s="12" t="s">
        <v>780</v>
      </c>
      <c r="O446" s="11" t="s">
        <v>779</v>
      </c>
    </row>
    <row r="447" spans="2:15">
      <c r="B447" t="s">
        <v>1312</v>
      </c>
      <c r="C447" t="s">
        <v>650</v>
      </c>
      <c r="D447" t="s">
        <v>650</v>
      </c>
      <c r="E447" t="s">
        <v>650</v>
      </c>
      <c r="F447" t="s">
        <v>650</v>
      </c>
      <c r="G447" t="s">
        <v>650</v>
      </c>
      <c r="H447" t="s">
        <v>650</v>
      </c>
      <c r="I447" t="s">
        <v>650</v>
      </c>
      <c r="J447" t="s">
        <v>650</v>
      </c>
      <c r="K447" t="s">
        <v>650</v>
      </c>
      <c r="N447" s="12" t="s">
        <v>784</v>
      </c>
      <c r="O447" s="11" t="s">
        <v>783</v>
      </c>
    </row>
    <row r="448" spans="2:15">
      <c r="B448" t="s">
        <v>1313</v>
      </c>
      <c r="C448" t="s">
        <v>650</v>
      </c>
      <c r="D448" t="s">
        <v>650</v>
      </c>
      <c r="E448" t="s">
        <v>650</v>
      </c>
      <c r="F448" t="s">
        <v>650</v>
      </c>
      <c r="G448" t="s">
        <v>650</v>
      </c>
      <c r="H448" t="s">
        <v>650</v>
      </c>
      <c r="I448" t="s">
        <v>650</v>
      </c>
      <c r="J448" t="s">
        <v>542</v>
      </c>
      <c r="K448" t="s">
        <v>650</v>
      </c>
      <c r="N448" s="12" t="s">
        <v>788</v>
      </c>
      <c r="O448" s="11" t="s">
        <v>787</v>
      </c>
    </row>
    <row r="449" spans="2:15">
      <c r="B449" t="s">
        <v>1314</v>
      </c>
      <c r="C449" t="s">
        <v>650</v>
      </c>
      <c r="D449" t="s">
        <v>650</v>
      </c>
      <c r="E449" t="s">
        <v>650</v>
      </c>
      <c r="F449" t="s">
        <v>650</v>
      </c>
      <c r="G449" t="s">
        <v>650</v>
      </c>
      <c r="H449" t="s">
        <v>650</v>
      </c>
      <c r="I449" t="s">
        <v>650</v>
      </c>
      <c r="J449" t="s">
        <v>542</v>
      </c>
      <c r="K449" t="s">
        <v>650</v>
      </c>
      <c r="N449" s="12" t="s">
        <v>790</v>
      </c>
      <c r="O449" s="11" t="s">
        <v>789</v>
      </c>
    </row>
    <row r="450" spans="2:15">
      <c r="B450" t="s">
        <v>1315</v>
      </c>
      <c r="C450" t="s">
        <v>650</v>
      </c>
      <c r="D450" t="s">
        <v>650</v>
      </c>
      <c r="E450" t="s">
        <v>650</v>
      </c>
      <c r="F450" t="s">
        <v>650</v>
      </c>
      <c r="G450" t="s">
        <v>650</v>
      </c>
      <c r="H450" t="s">
        <v>650</v>
      </c>
      <c r="I450" t="s">
        <v>650</v>
      </c>
      <c r="J450" t="s">
        <v>542</v>
      </c>
      <c r="K450" t="s">
        <v>650</v>
      </c>
      <c r="N450" s="12" t="s">
        <v>793</v>
      </c>
      <c r="O450" s="11" t="s">
        <v>792</v>
      </c>
    </row>
    <row r="451" spans="2:15">
      <c r="B451" s="25" t="s">
        <v>1564</v>
      </c>
      <c r="C451" s="27">
        <v>0.8</v>
      </c>
      <c r="D451" s="27">
        <v>1</v>
      </c>
      <c r="E451" s="27">
        <v>1</v>
      </c>
      <c r="F451" s="27">
        <v>1</v>
      </c>
      <c r="G451" s="27">
        <v>1</v>
      </c>
      <c r="H451" s="27">
        <v>1</v>
      </c>
      <c r="I451" s="57">
        <v>0.8</v>
      </c>
      <c r="J451" s="57">
        <v>0.2</v>
      </c>
      <c r="K451" s="25">
        <v>1</v>
      </c>
      <c r="L451" s="25"/>
      <c r="M451" s="25"/>
      <c r="N451" s="26"/>
      <c r="O451" s="25"/>
    </row>
    <row r="452" spans="2:15">
      <c r="B452" t="s">
        <v>1525</v>
      </c>
      <c r="L452" t="s">
        <v>650</v>
      </c>
      <c r="M452" t="s">
        <v>650</v>
      </c>
      <c r="N452" s="12" t="s">
        <v>796</v>
      </c>
      <c r="O452" s="11" t="s">
        <v>795</v>
      </c>
    </row>
    <row r="453" spans="2:15">
      <c r="B453" t="s">
        <v>1526</v>
      </c>
      <c r="L453" t="s">
        <v>650</v>
      </c>
      <c r="M453" t="s">
        <v>650</v>
      </c>
      <c r="N453" s="12" t="s">
        <v>798</v>
      </c>
      <c r="O453" s="11" t="s">
        <v>797</v>
      </c>
    </row>
    <row r="454" spans="2:15">
      <c r="B454" t="s">
        <v>1527</v>
      </c>
      <c r="L454" t="s">
        <v>650</v>
      </c>
      <c r="M454" t="s">
        <v>650</v>
      </c>
      <c r="N454" s="12" t="s">
        <v>800</v>
      </c>
      <c r="O454" s="11" t="s">
        <v>799</v>
      </c>
    </row>
    <row r="455" spans="2:15">
      <c r="B455" t="s">
        <v>1528</v>
      </c>
      <c r="L455" t="s">
        <v>542</v>
      </c>
      <c r="M455" t="s">
        <v>650</v>
      </c>
      <c r="N455" s="12" t="s">
        <v>802</v>
      </c>
      <c r="O455" s="11" t="s">
        <v>801</v>
      </c>
    </row>
    <row r="456" spans="2:15">
      <c r="B456" t="s">
        <v>1529</v>
      </c>
      <c r="L456" t="s">
        <v>650</v>
      </c>
      <c r="M456" t="s">
        <v>650</v>
      </c>
      <c r="N456" s="12" t="s">
        <v>804</v>
      </c>
      <c r="O456" s="11" t="s">
        <v>803</v>
      </c>
    </row>
    <row r="457" spans="2:15">
      <c r="B457" s="25" t="s">
        <v>1564</v>
      </c>
      <c r="C457" s="25"/>
      <c r="D457" s="27"/>
      <c r="E457" s="27"/>
      <c r="F457" s="27"/>
      <c r="G457" s="27"/>
      <c r="H457" s="27"/>
      <c r="I457" s="25"/>
      <c r="J457" s="25"/>
      <c r="K457" s="25"/>
      <c r="L457" s="25">
        <v>0.8</v>
      </c>
      <c r="M457" s="25">
        <v>1</v>
      </c>
      <c r="N457" s="26"/>
      <c r="O457" s="25"/>
    </row>
    <row r="458" spans="2:15">
      <c r="B458" s="4" t="s">
        <v>209</v>
      </c>
      <c r="C458" t="s">
        <v>542</v>
      </c>
      <c r="D458" t="s">
        <v>542</v>
      </c>
      <c r="E458" t="s">
        <v>650</v>
      </c>
      <c r="F458" t="s">
        <v>650</v>
      </c>
      <c r="G458" t="s">
        <v>542</v>
      </c>
      <c r="H458" t="s">
        <v>542</v>
      </c>
      <c r="I458" t="s">
        <v>542</v>
      </c>
      <c r="J458" t="s">
        <v>542</v>
      </c>
      <c r="K458" t="s">
        <v>650</v>
      </c>
      <c r="N458" s="3" t="s">
        <v>210</v>
      </c>
      <c r="O458" s="4" t="s">
        <v>211</v>
      </c>
    </row>
    <row r="459" spans="2:15">
      <c r="B459" s="4" t="s">
        <v>212</v>
      </c>
      <c r="C459" t="s">
        <v>542</v>
      </c>
      <c r="D459" t="s">
        <v>542</v>
      </c>
      <c r="E459" t="s">
        <v>650</v>
      </c>
      <c r="F459" t="s">
        <v>542</v>
      </c>
      <c r="G459" t="s">
        <v>542</v>
      </c>
      <c r="H459" t="s">
        <v>542</v>
      </c>
      <c r="I459" t="s">
        <v>650</v>
      </c>
      <c r="J459" t="s">
        <v>542</v>
      </c>
      <c r="K459" t="s">
        <v>650</v>
      </c>
      <c r="N459" s="3" t="s">
        <v>213</v>
      </c>
      <c r="O459" s="4" t="s">
        <v>214</v>
      </c>
    </row>
    <row r="460" spans="2:15">
      <c r="B460" s="4" t="s">
        <v>216</v>
      </c>
      <c r="C460" t="s">
        <v>542</v>
      </c>
      <c r="D460" t="s">
        <v>542</v>
      </c>
      <c r="E460" t="s">
        <v>650</v>
      </c>
      <c r="F460" t="s">
        <v>650</v>
      </c>
      <c r="G460" t="s">
        <v>542</v>
      </c>
      <c r="H460" t="s">
        <v>542</v>
      </c>
      <c r="I460" t="s">
        <v>650</v>
      </c>
      <c r="J460" t="s">
        <v>542</v>
      </c>
      <c r="K460" t="s">
        <v>650</v>
      </c>
      <c r="N460" s="3" t="s">
        <v>217</v>
      </c>
      <c r="O460" s="4" t="s">
        <v>218</v>
      </c>
    </row>
    <row r="461" spans="2:15">
      <c r="B461" s="4" t="s">
        <v>219</v>
      </c>
      <c r="C461" t="s">
        <v>542</v>
      </c>
      <c r="D461" t="s">
        <v>542</v>
      </c>
      <c r="E461" t="s">
        <v>650</v>
      </c>
      <c r="F461" t="s">
        <v>650</v>
      </c>
      <c r="G461" t="s">
        <v>650</v>
      </c>
      <c r="H461" t="s">
        <v>542</v>
      </c>
      <c r="I461" t="s">
        <v>650</v>
      </c>
      <c r="J461" t="s">
        <v>542</v>
      </c>
      <c r="K461" t="s">
        <v>650</v>
      </c>
      <c r="N461" s="3" t="s">
        <v>220</v>
      </c>
      <c r="O461" s="4" t="s">
        <v>221</v>
      </c>
    </row>
    <row r="462" spans="2:15">
      <c r="B462" s="4" t="s">
        <v>222</v>
      </c>
      <c r="C462" t="s">
        <v>542</v>
      </c>
      <c r="D462" t="s">
        <v>542</v>
      </c>
      <c r="E462" t="s">
        <v>650</v>
      </c>
      <c r="F462" t="s">
        <v>650</v>
      </c>
      <c r="G462" t="s">
        <v>650</v>
      </c>
      <c r="H462" t="s">
        <v>542</v>
      </c>
      <c r="I462" t="s">
        <v>650</v>
      </c>
      <c r="J462" t="s">
        <v>542</v>
      </c>
      <c r="K462" t="s">
        <v>650</v>
      </c>
      <c r="N462" s="3" t="s">
        <v>223</v>
      </c>
      <c r="O462" s="4" t="s">
        <v>224</v>
      </c>
    </row>
    <row r="463" spans="2:15">
      <c r="B463" s="25" t="s">
        <v>1564</v>
      </c>
      <c r="C463" s="25">
        <v>0</v>
      </c>
      <c r="D463" s="27">
        <v>0</v>
      </c>
      <c r="E463" s="27">
        <v>1</v>
      </c>
      <c r="F463" s="25">
        <v>0.8</v>
      </c>
      <c r="G463" s="27">
        <v>0.4</v>
      </c>
      <c r="H463" s="27">
        <v>0</v>
      </c>
      <c r="I463" s="25">
        <v>0.8</v>
      </c>
      <c r="J463" s="25">
        <v>0</v>
      </c>
      <c r="K463" s="25">
        <v>1</v>
      </c>
      <c r="L463" s="25"/>
      <c r="M463" s="25"/>
      <c r="N463" s="26"/>
      <c r="O463" s="25"/>
    </row>
    <row r="464" spans="2:15">
      <c r="B464" s="4" t="s">
        <v>225</v>
      </c>
      <c r="L464" t="s">
        <v>542</v>
      </c>
      <c r="M464" t="s">
        <v>542</v>
      </c>
      <c r="N464" s="3" t="s">
        <v>226</v>
      </c>
      <c r="O464" s="5" t="s">
        <v>227</v>
      </c>
    </row>
    <row r="465" spans="2:15">
      <c r="B465" s="4" t="s">
        <v>228</v>
      </c>
      <c r="L465" t="s">
        <v>542</v>
      </c>
      <c r="M465" t="s">
        <v>542</v>
      </c>
      <c r="N465" s="3" t="s">
        <v>229</v>
      </c>
      <c r="O465" s="5" t="s">
        <v>230</v>
      </c>
    </row>
    <row r="466" spans="2:15">
      <c r="B466" s="4" t="s">
        <v>231</v>
      </c>
      <c r="L466" t="s">
        <v>542</v>
      </c>
      <c r="M466" t="s">
        <v>542</v>
      </c>
      <c r="N466" s="3" t="s">
        <v>232</v>
      </c>
      <c r="O466" s="5" t="s">
        <v>233</v>
      </c>
    </row>
    <row r="467" spans="2:15">
      <c r="B467" s="4" t="s">
        <v>234</v>
      </c>
      <c r="L467" t="s">
        <v>542</v>
      </c>
      <c r="M467" t="s">
        <v>542</v>
      </c>
      <c r="N467" s="3" t="s">
        <v>235</v>
      </c>
      <c r="O467" s="5" t="s">
        <v>236</v>
      </c>
    </row>
    <row r="468" spans="2:15">
      <c r="B468" s="4" t="s">
        <v>237</v>
      </c>
      <c r="L468" t="s">
        <v>542</v>
      </c>
      <c r="M468" t="s">
        <v>542</v>
      </c>
      <c r="N468" s="3" t="s">
        <v>238</v>
      </c>
      <c r="O468" s="5" t="s">
        <v>239</v>
      </c>
    </row>
    <row r="469" spans="2:15">
      <c r="B469" s="25" t="s">
        <v>1564</v>
      </c>
      <c r="C469" s="25"/>
      <c r="D469" s="27"/>
      <c r="E469" s="27"/>
      <c r="F469" s="27"/>
      <c r="G469" s="27"/>
      <c r="H469" s="27"/>
      <c r="I469" s="25"/>
      <c r="J469" s="25"/>
      <c r="K469" s="25"/>
      <c r="L469" s="25">
        <v>0</v>
      </c>
      <c r="M469" s="25">
        <v>0</v>
      </c>
      <c r="N469" s="26"/>
      <c r="O469" s="25"/>
    </row>
    <row r="470" spans="2:15">
      <c r="B470" s="4" t="s">
        <v>240</v>
      </c>
      <c r="C470" t="s">
        <v>650</v>
      </c>
      <c r="D470" t="s">
        <v>650</v>
      </c>
      <c r="E470" t="s">
        <v>650</v>
      </c>
      <c r="F470" t="s">
        <v>650</v>
      </c>
      <c r="G470" t="s">
        <v>650</v>
      </c>
      <c r="H470" t="s">
        <v>650</v>
      </c>
      <c r="I470" t="s">
        <v>650</v>
      </c>
      <c r="J470" t="s">
        <v>650</v>
      </c>
      <c r="K470" t="s">
        <v>650</v>
      </c>
      <c r="N470" s="3" t="s">
        <v>241</v>
      </c>
      <c r="O470" s="4" t="s">
        <v>242</v>
      </c>
    </row>
    <row r="471" spans="2:15">
      <c r="B471" s="4" t="s">
        <v>244</v>
      </c>
      <c r="C471" t="s">
        <v>542</v>
      </c>
      <c r="D471" t="s">
        <v>650</v>
      </c>
      <c r="E471" t="s">
        <v>650</v>
      </c>
      <c r="F471" t="s">
        <v>542</v>
      </c>
      <c r="G471" t="s">
        <v>542</v>
      </c>
      <c r="H471" t="s">
        <v>542</v>
      </c>
      <c r="I471" t="s">
        <v>542</v>
      </c>
      <c r="J471" t="s">
        <v>542</v>
      </c>
      <c r="K471" t="s">
        <v>650</v>
      </c>
      <c r="N471" s="3" t="s">
        <v>245</v>
      </c>
      <c r="O471" s="4" t="s">
        <v>246</v>
      </c>
    </row>
    <row r="472" spans="2:15">
      <c r="B472" s="4" t="s">
        <v>248</v>
      </c>
      <c r="C472" t="s">
        <v>542</v>
      </c>
      <c r="D472" t="s">
        <v>650</v>
      </c>
      <c r="E472" t="s">
        <v>650</v>
      </c>
      <c r="F472" t="s">
        <v>542</v>
      </c>
      <c r="G472" t="s">
        <v>542</v>
      </c>
      <c r="H472" t="s">
        <v>542</v>
      </c>
      <c r="I472" t="s">
        <v>650</v>
      </c>
      <c r="J472" t="s">
        <v>542</v>
      </c>
      <c r="K472" t="s">
        <v>650</v>
      </c>
      <c r="N472" s="3" t="s">
        <v>249</v>
      </c>
      <c r="O472" s="4" t="s">
        <v>250</v>
      </c>
    </row>
    <row r="473" spans="2:15">
      <c r="B473" s="4" t="s">
        <v>252</v>
      </c>
      <c r="C473" t="s">
        <v>542</v>
      </c>
      <c r="D473" t="s">
        <v>650</v>
      </c>
      <c r="E473" t="s">
        <v>650</v>
      </c>
      <c r="F473" t="s">
        <v>650</v>
      </c>
      <c r="G473" t="s">
        <v>650</v>
      </c>
      <c r="H473" t="s">
        <v>650</v>
      </c>
      <c r="I473" t="s">
        <v>542</v>
      </c>
      <c r="J473" t="s">
        <v>542</v>
      </c>
      <c r="K473" t="s">
        <v>650</v>
      </c>
      <c r="N473" s="3" t="s">
        <v>253</v>
      </c>
      <c r="O473" s="4" t="s">
        <v>254</v>
      </c>
    </row>
    <row r="474" spans="2:15">
      <c r="B474" s="4" t="s">
        <v>255</v>
      </c>
      <c r="C474" t="s">
        <v>542</v>
      </c>
      <c r="D474" t="s">
        <v>650</v>
      </c>
      <c r="E474" t="s">
        <v>650</v>
      </c>
      <c r="F474" t="s">
        <v>542</v>
      </c>
      <c r="G474" t="s">
        <v>650</v>
      </c>
      <c r="H474" t="s">
        <v>542</v>
      </c>
      <c r="I474" t="s">
        <v>542</v>
      </c>
      <c r="J474" t="s">
        <v>542</v>
      </c>
      <c r="K474" t="s">
        <v>650</v>
      </c>
      <c r="N474" s="3" t="s">
        <v>256</v>
      </c>
      <c r="O474" s="4" t="s">
        <v>257</v>
      </c>
    </row>
    <row r="475" spans="2:15">
      <c r="B475" s="25" t="s">
        <v>1564</v>
      </c>
      <c r="C475" s="25">
        <v>0.2</v>
      </c>
      <c r="D475" s="27">
        <v>1</v>
      </c>
      <c r="E475" s="27">
        <v>1</v>
      </c>
      <c r="F475" s="27">
        <v>0.4</v>
      </c>
      <c r="G475" s="27">
        <v>0.6</v>
      </c>
      <c r="H475" s="27">
        <v>0.4</v>
      </c>
      <c r="I475" s="57">
        <v>0.2</v>
      </c>
      <c r="J475" s="57">
        <v>0.2</v>
      </c>
      <c r="K475" s="25">
        <v>1</v>
      </c>
      <c r="L475" s="25"/>
      <c r="M475" s="25"/>
      <c r="N475" s="26"/>
      <c r="O475" s="25"/>
    </row>
    <row r="476" spans="2:15">
      <c r="B476" s="4" t="s">
        <v>260</v>
      </c>
      <c r="L476" t="s">
        <v>650</v>
      </c>
      <c r="M476" t="s">
        <v>650</v>
      </c>
      <c r="N476" s="3" t="s">
        <v>261</v>
      </c>
      <c r="O476" s="5" t="s">
        <v>262</v>
      </c>
    </row>
    <row r="477" spans="2:15">
      <c r="B477" s="4" t="s">
        <v>263</v>
      </c>
      <c r="L477" t="s">
        <v>542</v>
      </c>
      <c r="M477" t="s">
        <v>650</v>
      </c>
      <c r="N477" s="3" t="s">
        <v>264</v>
      </c>
      <c r="O477" s="5" t="s">
        <v>265</v>
      </c>
    </row>
    <row r="478" spans="2:15">
      <c r="B478" s="4" t="s">
        <v>266</v>
      </c>
      <c r="L478" t="s">
        <v>650</v>
      </c>
      <c r="M478" t="s">
        <v>650</v>
      </c>
      <c r="N478" s="3" t="s">
        <v>267</v>
      </c>
      <c r="O478" s="5" t="s">
        <v>268</v>
      </c>
    </row>
    <row r="479" spans="2:15">
      <c r="B479" s="4" t="s">
        <v>269</v>
      </c>
      <c r="L479" t="s">
        <v>650</v>
      </c>
      <c r="M479" t="s">
        <v>542</v>
      </c>
      <c r="N479" s="3" t="s">
        <v>270</v>
      </c>
      <c r="O479" s="5" t="s">
        <v>271</v>
      </c>
    </row>
    <row r="480" spans="2:15">
      <c r="B480" s="4" t="s">
        <v>272</v>
      </c>
      <c r="L480" t="s">
        <v>650</v>
      </c>
      <c r="M480" t="s">
        <v>650</v>
      </c>
      <c r="N480" s="3" t="s">
        <v>273</v>
      </c>
      <c r="O480" s="5" t="s">
        <v>274</v>
      </c>
    </row>
    <row r="481" spans="2:15">
      <c r="B481" s="25" t="s">
        <v>1564</v>
      </c>
      <c r="C481" s="25"/>
      <c r="D481" s="27"/>
      <c r="E481" s="27"/>
      <c r="F481" s="27"/>
      <c r="G481" s="27"/>
      <c r="H481" s="27"/>
      <c r="I481" s="25"/>
      <c r="J481" s="25"/>
      <c r="K481" s="25"/>
      <c r="L481" s="25">
        <v>0.8</v>
      </c>
      <c r="M481" s="25">
        <v>0.8</v>
      </c>
      <c r="N481" s="26"/>
      <c r="O481" s="25"/>
    </row>
    <row r="482" spans="2:15">
      <c r="B482" s="4" t="s">
        <v>275</v>
      </c>
      <c r="C482" t="s">
        <v>542</v>
      </c>
      <c r="D482" t="s">
        <v>542</v>
      </c>
      <c r="E482" t="s">
        <v>650</v>
      </c>
      <c r="F482" t="s">
        <v>650</v>
      </c>
      <c r="G482" t="s">
        <v>650</v>
      </c>
      <c r="H482" t="s">
        <v>542</v>
      </c>
      <c r="I482" t="s">
        <v>542</v>
      </c>
      <c r="J482" t="s">
        <v>542</v>
      </c>
      <c r="K482" t="s">
        <v>542</v>
      </c>
      <c r="N482" s="3" t="s">
        <v>276</v>
      </c>
      <c r="O482" s="4" t="s">
        <v>277</v>
      </c>
    </row>
    <row r="483" spans="2:15">
      <c r="B483" s="4" t="s">
        <v>278</v>
      </c>
      <c r="C483" t="s">
        <v>542</v>
      </c>
      <c r="D483" t="s">
        <v>542</v>
      </c>
      <c r="E483" s="3" t="s">
        <v>584</v>
      </c>
      <c r="F483" s="3" t="s">
        <v>584</v>
      </c>
      <c r="G483" s="3" t="s">
        <v>584</v>
      </c>
      <c r="H483" s="3" t="s">
        <v>584</v>
      </c>
      <c r="I483" t="s">
        <v>542</v>
      </c>
      <c r="J483" t="s">
        <v>542</v>
      </c>
      <c r="K483" t="s">
        <v>542</v>
      </c>
      <c r="N483" s="3" t="s">
        <v>279</v>
      </c>
      <c r="O483" s="4" t="s">
        <v>280</v>
      </c>
    </row>
    <row r="484" spans="2:15">
      <c r="B484" s="4" t="s">
        <v>282</v>
      </c>
      <c r="C484" t="s">
        <v>542</v>
      </c>
      <c r="D484" t="s">
        <v>542</v>
      </c>
      <c r="E484" t="s">
        <v>650</v>
      </c>
      <c r="F484" t="s">
        <v>650</v>
      </c>
      <c r="G484" t="s">
        <v>650</v>
      </c>
      <c r="H484" t="s">
        <v>650</v>
      </c>
      <c r="I484" t="s">
        <v>650</v>
      </c>
      <c r="J484" t="s">
        <v>542</v>
      </c>
      <c r="K484" t="s">
        <v>542</v>
      </c>
      <c r="N484" s="3" t="s">
        <v>283</v>
      </c>
      <c r="O484" s="4" t="s">
        <v>284</v>
      </c>
    </row>
    <row r="485" spans="2:15">
      <c r="B485" s="4" t="s">
        <v>286</v>
      </c>
      <c r="C485" t="s">
        <v>542</v>
      </c>
      <c r="D485" t="s">
        <v>542</v>
      </c>
      <c r="E485" t="s">
        <v>650</v>
      </c>
      <c r="F485" t="s">
        <v>650</v>
      </c>
      <c r="G485" t="s">
        <v>650</v>
      </c>
      <c r="H485" t="s">
        <v>650</v>
      </c>
      <c r="I485" t="s">
        <v>650</v>
      </c>
      <c r="J485" t="s">
        <v>542</v>
      </c>
      <c r="K485" t="s">
        <v>542</v>
      </c>
      <c r="N485" s="3" t="s">
        <v>287</v>
      </c>
      <c r="O485" s="4" t="s">
        <v>288</v>
      </c>
    </row>
    <row r="486" spans="2:15">
      <c r="B486" s="4" t="s">
        <v>290</v>
      </c>
      <c r="C486" t="s">
        <v>542</v>
      </c>
      <c r="D486" t="s">
        <v>542</v>
      </c>
      <c r="E486" t="s">
        <v>650</v>
      </c>
      <c r="F486" t="s">
        <v>650</v>
      </c>
      <c r="G486" t="s">
        <v>650</v>
      </c>
      <c r="H486" t="s">
        <v>650</v>
      </c>
      <c r="I486" t="s">
        <v>650</v>
      </c>
      <c r="J486" t="s">
        <v>542</v>
      </c>
      <c r="K486" t="s">
        <v>542</v>
      </c>
      <c r="N486" s="3" t="s">
        <v>291</v>
      </c>
      <c r="O486" s="4" t="s">
        <v>292</v>
      </c>
    </row>
    <row r="487" spans="2:15">
      <c r="B487" s="25" t="s">
        <v>1564</v>
      </c>
      <c r="C487" s="25">
        <v>0</v>
      </c>
      <c r="D487" s="25">
        <v>0</v>
      </c>
      <c r="E487" s="27">
        <v>1</v>
      </c>
      <c r="F487" s="27">
        <v>1</v>
      </c>
      <c r="G487" s="27">
        <v>1</v>
      </c>
      <c r="H487" s="27">
        <v>0.75</v>
      </c>
      <c r="I487" s="57">
        <v>0.4</v>
      </c>
      <c r="J487" s="60">
        <v>0</v>
      </c>
      <c r="K487" s="25">
        <v>0</v>
      </c>
      <c r="L487" s="25"/>
      <c r="M487" s="25"/>
      <c r="N487" s="26"/>
      <c r="O487" s="25"/>
    </row>
    <row r="488" spans="2:15">
      <c r="B488" s="4" t="s">
        <v>294</v>
      </c>
      <c r="L488" t="s">
        <v>542</v>
      </c>
      <c r="M488" t="s">
        <v>542</v>
      </c>
      <c r="N488" s="3" t="s">
        <v>295</v>
      </c>
      <c r="O488" s="5" t="s">
        <v>296</v>
      </c>
    </row>
    <row r="489" spans="2:15">
      <c r="B489" s="4" t="s">
        <v>297</v>
      </c>
      <c r="L489" t="s">
        <v>650</v>
      </c>
      <c r="M489" t="s">
        <v>650</v>
      </c>
      <c r="N489" s="3" t="s">
        <v>298</v>
      </c>
      <c r="O489" s="5" t="s">
        <v>299</v>
      </c>
    </row>
    <row r="490" spans="2:15">
      <c r="B490" s="4" t="s">
        <v>300</v>
      </c>
      <c r="L490" t="s">
        <v>542</v>
      </c>
      <c r="M490" t="s">
        <v>542</v>
      </c>
      <c r="N490" s="3" t="s">
        <v>301</v>
      </c>
      <c r="O490" s="5" t="s">
        <v>302</v>
      </c>
    </row>
    <row r="491" spans="2:15">
      <c r="B491" s="4" t="s">
        <v>303</v>
      </c>
      <c r="L491" t="s">
        <v>650</v>
      </c>
      <c r="M491" t="s">
        <v>650</v>
      </c>
      <c r="N491" s="3" t="s">
        <v>304</v>
      </c>
      <c r="O491" s="5" t="s">
        <v>305</v>
      </c>
    </row>
    <row r="492" spans="2:15">
      <c r="B492" s="4" t="s">
        <v>306</v>
      </c>
      <c r="L492" t="s">
        <v>542</v>
      </c>
      <c r="M492" t="s">
        <v>542</v>
      </c>
      <c r="N492" s="3" t="s">
        <v>307</v>
      </c>
      <c r="O492" s="5" t="s">
        <v>308</v>
      </c>
    </row>
    <row r="493" spans="2:15">
      <c r="B493" s="25" t="s">
        <v>1564</v>
      </c>
      <c r="C493" s="25"/>
      <c r="D493" s="27"/>
      <c r="E493" s="27"/>
      <c r="F493" s="27"/>
      <c r="G493" s="27"/>
      <c r="H493" s="27"/>
      <c r="I493" s="25"/>
      <c r="J493" s="25"/>
      <c r="K493" s="25"/>
      <c r="L493" s="25">
        <v>0.4</v>
      </c>
      <c r="M493" s="25">
        <v>0.4</v>
      </c>
      <c r="N493" s="26"/>
      <c r="O493" s="25"/>
    </row>
    <row r="494" spans="2:15">
      <c r="B494" s="4" t="s">
        <v>309</v>
      </c>
      <c r="C494" t="s">
        <v>650</v>
      </c>
      <c r="D494" t="s">
        <v>650</v>
      </c>
      <c r="E494" t="s">
        <v>650</v>
      </c>
      <c r="F494" t="s">
        <v>650</v>
      </c>
      <c r="G494" t="s">
        <v>650</v>
      </c>
      <c r="H494" t="s">
        <v>650</v>
      </c>
      <c r="I494" t="s">
        <v>542</v>
      </c>
      <c r="J494" t="s">
        <v>542</v>
      </c>
      <c r="K494" t="s">
        <v>542</v>
      </c>
      <c r="N494" s="3" t="s">
        <v>310</v>
      </c>
      <c r="O494" s="4" t="s">
        <v>311</v>
      </c>
    </row>
    <row r="495" spans="2:15">
      <c r="B495" s="4" t="s">
        <v>312</v>
      </c>
      <c r="C495" t="s">
        <v>542</v>
      </c>
      <c r="D495" t="s">
        <v>650</v>
      </c>
      <c r="E495" t="s">
        <v>650</v>
      </c>
      <c r="F495" t="s">
        <v>650</v>
      </c>
      <c r="G495" t="s">
        <v>650</v>
      </c>
      <c r="H495" t="s">
        <v>650</v>
      </c>
      <c r="I495" t="s">
        <v>650</v>
      </c>
      <c r="J495" t="s">
        <v>542</v>
      </c>
      <c r="K495" t="s">
        <v>542</v>
      </c>
      <c r="N495" s="3" t="s">
        <v>313</v>
      </c>
      <c r="O495" s="4" t="s">
        <v>314</v>
      </c>
    </row>
    <row r="496" spans="2:15">
      <c r="B496" s="4" t="s">
        <v>315</v>
      </c>
      <c r="C496" t="s">
        <v>650</v>
      </c>
      <c r="D496" t="s">
        <v>650</v>
      </c>
      <c r="E496" t="s">
        <v>650</v>
      </c>
      <c r="F496" t="s">
        <v>650</v>
      </c>
      <c r="G496" t="s">
        <v>650</v>
      </c>
      <c r="H496" t="s">
        <v>542</v>
      </c>
      <c r="I496" t="s">
        <v>542</v>
      </c>
      <c r="J496" t="s">
        <v>542</v>
      </c>
      <c r="K496" t="s">
        <v>542</v>
      </c>
      <c r="N496" s="3" t="s">
        <v>316</v>
      </c>
      <c r="O496" s="4" t="s">
        <v>317</v>
      </c>
    </row>
    <row r="497" spans="2:15">
      <c r="B497" s="4" t="s">
        <v>319</v>
      </c>
      <c r="C497" t="s">
        <v>650</v>
      </c>
      <c r="D497" t="s">
        <v>650</v>
      </c>
      <c r="E497" t="s">
        <v>650</v>
      </c>
      <c r="F497" t="s">
        <v>650</v>
      </c>
      <c r="G497" t="s">
        <v>650</v>
      </c>
      <c r="H497" t="s">
        <v>650</v>
      </c>
      <c r="I497" t="s">
        <v>542</v>
      </c>
      <c r="J497" t="s">
        <v>542</v>
      </c>
      <c r="K497" t="s">
        <v>542</v>
      </c>
      <c r="N497" s="3" t="s">
        <v>320</v>
      </c>
      <c r="O497" s="4" t="s">
        <v>321</v>
      </c>
    </row>
    <row r="498" spans="2:15">
      <c r="B498" s="4" t="s">
        <v>322</v>
      </c>
      <c r="C498" t="s">
        <v>650</v>
      </c>
      <c r="D498" t="s">
        <v>650</v>
      </c>
      <c r="E498" t="s">
        <v>650</v>
      </c>
      <c r="F498" t="s">
        <v>650</v>
      </c>
      <c r="G498" t="s">
        <v>650</v>
      </c>
      <c r="H498" t="s">
        <v>650</v>
      </c>
      <c r="I498" t="s">
        <v>650</v>
      </c>
      <c r="J498" t="s">
        <v>542</v>
      </c>
      <c r="K498" t="s">
        <v>542</v>
      </c>
      <c r="N498" s="3" t="s">
        <v>323</v>
      </c>
      <c r="O498" s="4" t="s">
        <v>324</v>
      </c>
    </row>
    <row r="499" spans="2:15">
      <c r="B499" s="25" t="s">
        <v>1564</v>
      </c>
      <c r="C499" s="25">
        <v>0.8</v>
      </c>
      <c r="D499" s="27">
        <v>1</v>
      </c>
      <c r="E499" s="27">
        <v>1</v>
      </c>
      <c r="F499" s="27">
        <v>1</v>
      </c>
      <c r="G499" s="27">
        <v>1</v>
      </c>
      <c r="H499" s="27">
        <v>0.8</v>
      </c>
      <c r="I499" s="57">
        <v>0.2</v>
      </c>
      <c r="J499" s="60">
        <v>0</v>
      </c>
      <c r="K499" s="25">
        <v>0</v>
      </c>
      <c r="L499" s="25"/>
      <c r="M499" s="25"/>
      <c r="N499" s="26"/>
      <c r="O499" s="25"/>
    </row>
    <row r="500" spans="2:15">
      <c r="B500" s="4" t="s">
        <v>326</v>
      </c>
      <c r="L500" t="s">
        <v>650</v>
      </c>
      <c r="M500" t="s">
        <v>650</v>
      </c>
      <c r="N500" s="3" t="s">
        <v>327</v>
      </c>
      <c r="O500" s="5" t="s">
        <v>328</v>
      </c>
    </row>
    <row r="501" spans="2:15">
      <c r="B501" s="4" t="s">
        <v>329</v>
      </c>
      <c r="L501" t="s">
        <v>650</v>
      </c>
      <c r="M501" t="s">
        <v>650</v>
      </c>
      <c r="N501" s="3" t="s">
        <v>330</v>
      </c>
      <c r="O501" s="5" t="s">
        <v>331</v>
      </c>
    </row>
    <row r="502" spans="2:15">
      <c r="B502" s="4" t="s">
        <v>332</v>
      </c>
      <c r="L502" t="s">
        <v>650</v>
      </c>
      <c r="M502" t="s">
        <v>650</v>
      </c>
      <c r="N502" s="3" t="s">
        <v>333</v>
      </c>
      <c r="O502" s="5" t="s">
        <v>334</v>
      </c>
    </row>
    <row r="503" spans="2:15">
      <c r="B503" s="4" t="s">
        <v>335</v>
      </c>
      <c r="L503" t="s">
        <v>650</v>
      </c>
      <c r="M503" t="s">
        <v>650</v>
      </c>
      <c r="N503" s="3" t="s">
        <v>336</v>
      </c>
      <c r="O503" s="5" t="s">
        <v>337</v>
      </c>
    </row>
    <row r="504" spans="2:15">
      <c r="B504" s="4" t="s">
        <v>339</v>
      </c>
      <c r="L504" t="s">
        <v>542</v>
      </c>
      <c r="M504" t="s">
        <v>650</v>
      </c>
      <c r="N504" s="3" t="s">
        <v>340</v>
      </c>
      <c r="O504" s="5" t="s">
        <v>341</v>
      </c>
    </row>
    <row r="505" spans="2:15">
      <c r="B505" s="25" t="s">
        <v>1564</v>
      </c>
      <c r="C505" s="25"/>
      <c r="D505" s="27"/>
      <c r="E505" s="27"/>
      <c r="F505" s="27"/>
      <c r="G505" s="27"/>
      <c r="H505" s="27"/>
      <c r="I505" s="25"/>
      <c r="J505" s="25"/>
      <c r="K505" s="25"/>
      <c r="L505" s="25">
        <v>0.8</v>
      </c>
      <c r="M505" s="25">
        <v>1</v>
      </c>
      <c r="N505" s="26"/>
      <c r="O505" s="25"/>
    </row>
    <row r="506" spans="2:15">
      <c r="B506" t="s">
        <v>1316</v>
      </c>
      <c r="C506" t="s">
        <v>542</v>
      </c>
      <c r="D506" t="s">
        <v>650</v>
      </c>
      <c r="E506" t="s">
        <v>650</v>
      </c>
      <c r="F506" t="s">
        <v>650</v>
      </c>
      <c r="G506" t="s">
        <v>650</v>
      </c>
      <c r="H506" t="s">
        <v>650</v>
      </c>
      <c r="I506" t="s">
        <v>542</v>
      </c>
      <c r="J506" t="s">
        <v>542</v>
      </c>
      <c r="K506" t="s">
        <v>542</v>
      </c>
      <c r="N506" s="12" t="s">
        <v>806</v>
      </c>
      <c r="O506" s="11" t="s">
        <v>805</v>
      </c>
    </row>
    <row r="507" spans="2:15">
      <c r="B507" t="s">
        <v>1317</v>
      </c>
      <c r="C507" t="s">
        <v>542</v>
      </c>
      <c r="D507" t="s">
        <v>542</v>
      </c>
      <c r="E507" t="s">
        <v>650</v>
      </c>
      <c r="F507" t="s">
        <v>650</v>
      </c>
      <c r="G507" t="s">
        <v>650</v>
      </c>
      <c r="H507" t="s">
        <v>650</v>
      </c>
      <c r="I507" t="s">
        <v>542</v>
      </c>
      <c r="J507" t="s">
        <v>542</v>
      </c>
      <c r="K507" t="s">
        <v>542</v>
      </c>
      <c r="N507" s="12" t="s">
        <v>810</v>
      </c>
      <c r="O507" s="11" t="s">
        <v>809</v>
      </c>
    </row>
    <row r="508" spans="2:15">
      <c r="B508" t="s">
        <v>1318</v>
      </c>
      <c r="C508" t="s">
        <v>542</v>
      </c>
      <c r="D508" t="s">
        <v>650</v>
      </c>
      <c r="E508" t="s">
        <v>650</v>
      </c>
      <c r="F508" t="s">
        <v>650</v>
      </c>
      <c r="G508" t="s">
        <v>650</v>
      </c>
      <c r="H508" t="s">
        <v>650</v>
      </c>
      <c r="I508" t="s">
        <v>542</v>
      </c>
      <c r="J508" t="s">
        <v>542</v>
      </c>
      <c r="K508" t="s">
        <v>542</v>
      </c>
      <c r="N508" s="12" t="s">
        <v>814</v>
      </c>
      <c r="O508" s="11" t="s">
        <v>813</v>
      </c>
    </row>
    <row r="509" spans="2:15">
      <c r="B509" t="s">
        <v>1319</v>
      </c>
      <c r="C509" t="s">
        <v>542</v>
      </c>
      <c r="D509" t="s">
        <v>542</v>
      </c>
      <c r="E509" t="s">
        <v>650</v>
      </c>
      <c r="F509" t="s">
        <v>650</v>
      </c>
      <c r="G509" t="s">
        <v>650</v>
      </c>
      <c r="H509" t="s">
        <v>650</v>
      </c>
      <c r="I509" t="s">
        <v>542</v>
      </c>
      <c r="J509" t="s">
        <v>542</v>
      </c>
      <c r="K509" t="s">
        <v>542</v>
      </c>
      <c r="N509" s="12" t="s">
        <v>816</v>
      </c>
      <c r="O509" s="11" t="s">
        <v>815</v>
      </c>
    </row>
    <row r="510" spans="2:15">
      <c r="B510" t="s">
        <v>1320</v>
      </c>
      <c r="C510" t="s">
        <v>542</v>
      </c>
      <c r="D510" t="s">
        <v>650</v>
      </c>
      <c r="E510" t="s">
        <v>650</v>
      </c>
      <c r="F510" t="s">
        <v>650</v>
      </c>
      <c r="G510" t="s">
        <v>650</v>
      </c>
      <c r="H510" t="s">
        <v>650</v>
      </c>
      <c r="I510" t="s">
        <v>542</v>
      </c>
      <c r="J510" t="s">
        <v>542</v>
      </c>
      <c r="K510" t="s">
        <v>542</v>
      </c>
      <c r="N510" s="12" t="s">
        <v>819</v>
      </c>
      <c r="O510" s="11" t="s">
        <v>818</v>
      </c>
    </row>
    <row r="511" spans="2:15">
      <c r="B511" s="25" t="s">
        <v>1564</v>
      </c>
      <c r="C511" s="25">
        <v>0</v>
      </c>
      <c r="D511" s="27">
        <v>0.6</v>
      </c>
      <c r="E511" s="27">
        <v>1</v>
      </c>
      <c r="F511" s="27">
        <v>1</v>
      </c>
      <c r="G511" s="27">
        <v>1</v>
      </c>
      <c r="H511" s="27">
        <v>1</v>
      </c>
      <c r="I511" s="25">
        <v>0</v>
      </c>
      <c r="J511" s="25">
        <v>0</v>
      </c>
      <c r="K511" s="25">
        <v>0</v>
      </c>
      <c r="L511" s="25"/>
      <c r="M511" s="25"/>
      <c r="N511" s="26"/>
      <c r="O511" s="25"/>
    </row>
    <row r="512" spans="2:15">
      <c r="B512" t="s">
        <v>1530</v>
      </c>
      <c r="L512" t="s">
        <v>542</v>
      </c>
      <c r="M512" t="s">
        <v>650</v>
      </c>
      <c r="N512" s="12" t="s">
        <v>823</v>
      </c>
      <c r="O512" s="11" t="s">
        <v>822</v>
      </c>
    </row>
    <row r="513" spans="2:15">
      <c r="B513" t="s">
        <v>1531</v>
      </c>
      <c r="L513" t="s">
        <v>542</v>
      </c>
      <c r="M513" t="s">
        <v>542</v>
      </c>
      <c r="N513" s="12" t="s">
        <v>826</v>
      </c>
      <c r="O513" s="11" t="s">
        <v>825</v>
      </c>
    </row>
    <row r="514" spans="2:15">
      <c r="B514" t="s">
        <v>1532</v>
      </c>
      <c r="L514" t="s">
        <v>542</v>
      </c>
      <c r="M514" t="s">
        <v>542</v>
      </c>
      <c r="N514" s="12" t="s">
        <v>828</v>
      </c>
      <c r="O514" s="11" t="s">
        <v>827</v>
      </c>
    </row>
    <row r="515" spans="2:15">
      <c r="B515" t="s">
        <v>1533</v>
      </c>
      <c r="L515" t="s">
        <v>542</v>
      </c>
      <c r="M515" t="s">
        <v>542</v>
      </c>
      <c r="N515" s="12" t="s">
        <v>830</v>
      </c>
      <c r="O515" s="11" t="s">
        <v>829</v>
      </c>
    </row>
    <row r="516" spans="2:15">
      <c r="B516" t="s">
        <v>1534</v>
      </c>
      <c r="L516" t="s">
        <v>650</v>
      </c>
      <c r="M516" t="s">
        <v>650</v>
      </c>
      <c r="N516" s="12" t="s">
        <v>832</v>
      </c>
      <c r="O516" s="11" t="s">
        <v>831</v>
      </c>
    </row>
    <row r="517" spans="2:15">
      <c r="B517" s="25" t="s">
        <v>1564</v>
      </c>
      <c r="C517" s="25"/>
      <c r="D517" s="27"/>
      <c r="E517" s="27"/>
      <c r="F517" s="27"/>
      <c r="G517" s="27"/>
      <c r="H517" s="27"/>
      <c r="I517" s="25"/>
      <c r="J517" s="25"/>
      <c r="K517" s="25"/>
      <c r="L517" s="25">
        <v>0.2</v>
      </c>
      <c r="M517" s="25">
        <v>0.4</v>
      </c>
      <c r="N517" s="26"/>
      <c r="O517" s="25"/>
    </row>
    <row r="518" spans="2:15">
      <c r="B518" t="s">
        <v>1321</v>
      </c>
      <c r="C518" t="s">
        <v>650</v>
      </c>
      <c r="D518" t="s">
        <v>650</v>
      </c>
      <c r="E518" t="s">
        <v>650</v>
      </c>
      <c r="F518" t="s">
        <v>650</v>
      </c>
      <c r="G518" t="s">
        <v>650</v>
      </c>
      <c r="H518" t="s">
        <v>650</v>
      </c>
      <c r="I518" t="s">
        <v>542</v>
      </c>
      <c r="J518" t="s">
        <v>542</v>
      </c>
      <c r="K518" t="s">
        <v>542</v>
      </c>
      <c r="N518" s="12" t="s">
        <v>834</v>
      </c>
      <c r="O518" s="11" t="s">
        <v>833</v>
      </c>
    </row>
    <row r="519" spans="2:15">
      <c r="B519" t="s">
        <v>1322</v>
      </c>
      <c r="C519" t="s">
        <v>542</v>
      </c>
      <c r="D519" t="s">
        <v>650</v>
      </c>
      <c r="E519" t="s">
        <v>650</v>
      </c>
      <c r="F519" t="s">
        <v>650</v>
      </c>
      <c r="G519" t="s">
        <v>650</v>
      </c>
      <c r="H519" t="s">
        <v>650</v>
      </c>
      <c r="I519" t="s">
        <v>542</v>
      </c>
      <c r="J519" t="s">
        <v>542</v>
      </c>
      <c r="K519" t="s">
        <v>542</v>
      </c>
      <c r="N519" s="12" t="s">
        <v>838</v>
      </c>
      <c r="O519" s="11" t="s">
        <v>837</v>
      </c>
    </row>
    <row r="520" spans="2:15">
      <c r="B520" t="s">
        <v>1323</v>
      </c>
      <c r="C520" t="s">
        <v>650</v>
      </c>
      <c r="D520" t="s">
        <v>650</v>
      </c>
      <c r="E520" t="s">
        <v>650</v>
      </c>
      <c r="F520" t="s">
        <v>650</v>
      </c>
      <c r="G520" t="s">
        <v>650</v>
      </c>
      <c r="H520" t="s">
        <v>650</v>
      </c>
      <c r="I520" t="s">
        <v>542</v>
      </c>
      <c r="J520" t="s">
        <v>542</v>
      </c>
      <c r="K520" t="s">
        <v>542</v>
      </c>
      <c r="N520" s="12" t="s">
        <v>843</v>
      </c>
      <c r="O520" s="11" t="s">
        <v>842</v>
      </c>
    </row>
    <row r="521" spans="2:15">
      <c r="B521" t="s">
        <v>1324</v>
      </c>
      <c r="C521" t="s">
        <v>650</v>
      </c>
      <c r="D521" t="s">
        <v>650</v>
      </c>
      <c r="E521" t="s">
        <v>650</v>
      </c>
      <c r="F521" t="s">
        <v>650</v>
      </c>
      <c r="G521" t="s">
        <v>650</v>
      </c>
      <c r="H521" t="s">
        <v>650</v>
      </c>
      <c r="I521" t="s">
        <v>542</v>
      </c>
      <c r="J521" t="s">
        <v>542</v>
      </c>
      <c r="K521" t="s">
        <v>542</v>
      </c>
      <c r="N521" s="12" t="s">
        <v>848</v>
      </c>
      <c r="O521" s="11" t="s">
        <v>847</v>
      </c>
    </row>
    <row r="522" spans="2:15">
      <c r="B522" t="s">
        <v>1325</v>
      </c>
      <c r="C522" t="s">
        <v>650</v>
      </c>
      <c r="D522" t="s">
        <v>650</v>
      </c>
      <c r="E522" t="s">
        <v>650</v>
      </c>
      <c r="F522" t="s">
        <v>650</v>
      </c>
      <c r="G522" t="s">
        <v>650</v>
      </c>
      <c r="H522" t="s">
        <v>650</v>
      </c>
      <c r="I522" t="s">
        <v>542</v>
      </c>
      <c r="J522" t="s">
        <v>542</v>
      </c>
      <c r="K522" t="s">
        <v>542</v>
      </c>
      <c r="N522" s="12" t="s">
        <v>852</v>
      </c>
      <c r="O522" s="11" t="s">
        <v>851</v>
      </c>
    </row>
    <row r="523" spans="2:15">
      <c r="B523" s="25" t="s">
        <v>1564</v>
      </c>
      <c r="C523" s="25">
        <v>0.8</v>
      </c>
      <c r="D523" s="27">
        <v>1</v>
      </c>
      <c r="E523" s="27">
        <v>1</v>
      </c>
      <c r="F523" s="27">
        <v>1</v>
      </c>
      <c r="G523" s="27">
        <v>1</v>
      </c>
      <c r="H523" s="27">
        <v>1</v>
      </c>
      <c r="I523" s="25">
        <v>0</v>
      </c>
      <c r="J523" s="25">
        <v>0</v>
      </c>
      <c r="K523" s="25">
        <v>0</v>
      </c>
      <c r="L523" s="25"/>
      <c r="M523" s="25"/>
      <c r="N523" s="26"/>
      <c r="O523" s="25"/>
    </row>
    <row r="524" spans="2:15">
      <c r="B524" t="s">
        <v>1535</v>
      </c>
      <c r="L524" t="s">
        <v>650</v>
      </c>
      <c r="M524" t="s">
        <v>650</v>
      </c>
      <c r="N524" s="12" t="s">
        <v>855</v>
      </c>
      <c r="O524" s="11" t="s">
        <v>854</v>
      </c>
    </row>
    <row r="525" spans="2:15">
      <c r="B525" t="s">
        <v>1536</v>
      </c>
      <c r="L525" t="s">
        <v>650</v>
      </c>
      <c r="M525" t="s">
        <v>650</v>
      </c>
      <c r="N525" s="12" t="s">
        <v>857</v>
      </c>
      <c r="O525" s="11" t="s">
        <v>856</v>
      </c>
    </row>
    <row r="526" spans="2:15">
      <c r="B526" t="s">
        <v>1537</v>
      </c>
      <c r="L526" t="s">
        <v>542</v>
      </c>
      <c r="M526" t="s">
        <v>650</v>
      </c>
      <c r="N526" s="12" t="s">
        <v>859</v>
      </c>
      <c r="O526" s="11" t="s">
        <v>858</v>
      </c>
    </row>
    <row r="527" spans="2:15">
      <c r="B527" t="s">
        <v>1538</v>
      </c>
      <c r="L527" t="s">
        <v>542</v>
      </c>
      <c r="M527" t="s">
        <v>650</v>
      </c>
      <c r="N527" s="12" t="s">
        <v>861</v>
      </c>
      <c r="O527" s="11" t="s">
        <v>860</v>
      </c>
    </row>
    <row r="528" spans="2:15">
      <c r="B528" t="s">
        <v>1539</v>
      </c>
      <c r="L528" t="s">
        <v>650</v>
      </c>
      <c r="M528" t="s">
        <v>650</v>
      </c>
      <c r="N528" s="12" t="s">
        <v>863</v>
      </c>
      <c r="O528" s="11" t="s">
        <v>862</v>
      </c>
    </row>
    <row r="529" spans="2:15">
      <c r="B529" s="25" t="s">
        <v>1564</v>
      </c>
      <c r="C529" s="25"/>
      <c r="D529" s="27"/>
      <c r="E529" s="27"/>
      <c r="F529" s="27"/>
      <c r="G529" s="27"/>
      <c r="H529" s="27"/>
      <c r="I529" s="25"/>
      <c r="J529" s="25"/>
      <c r="K529" s="25"/>
      <c r="L529" s="25">
        <v>0.6</v>
      </c>
      <c r="M529" s="25">
        <v>1</v>
      </c>
      <c r="N529" s="26"/>
      <c r="O529" s="25"/>
    </row>
    <row r="530" spans="2:15">
      <c r="B530" s="4" t="s">
        <v>342</v>
      </c>
      <c r="C530" t="s">
        <v>542</v>
      </c>
      <c r="D530" t="s">
        <v>542</v>
      </c>
      <c r="E530" t="s">
        <v>650</v>
      </c>
      <c r="F530" t="s">
        <v>650</v>
      </c>
      <c r="G530" t="s">
        <v>650</v>
      </c>
      <c r="H530" t="s">
        <v>650</v>
      </c>
      <c r="I530" t="s">
        <v>650</v>
      </c>
      <c r="J530" t="s">
        <v>542</v>
      </c>
      <c r="K530" t="s">
        <v>542</v>
      </c>
      <c r="N530" s="3" t="s">
        <v>343</v>
      </c>
      <c r="O530" s="4" t="s">
        <v>344</v>
      </c>
    </row>
    <row r="531" spans="2:15">
      <c r="B531" s="4" t="s">
        <v>346</v>
      </c>
      <c r="C531" t="s">
        <v>542</v>
      </c>
      <c r="D531" t="s">
        <v>542</v>
      </c>
      <c r="E531" t="s">
        <v>650</v>
      </c>
      <c r="F531" t="s">
        <v>650</v>
      </c>
      <c r="G531" t="s">
        <v>650</v>
      </c>
      <c r="H531" t="s">
        <v>650</v>
      </c>
      <c r="I531" t="s">
        <v>650</v>
      </c>
      <c r="J531" t="s">
        <v>542</v>
      </c>
      <c r="K531" t="s">
        <v>542</v>
      </c>
      <c r="N531" s="3" t="s">
        <v>347</v>
      </c>
      <c r="O531" s="4" t="s">
        <v>348</v>
      </c>
    </row>
    <row r="532" spans="2:15">
      <c r="B532" s="4" t="s">
        <v>350</v>
      </c>
      <c r="C532" t="s">
        <v>542</v>
      </c>
      <c r="D532" t="s">
        <v>542</v>
      </c>
      <c r="E532" t="s">
        <v>650</v>
      </c>
      <c r="F532" t="s">
        <v>650</v>
      </c>
      <c r="G532" t="s">
        <v>650</v>
      </c>
      <c r="H532" t="s">
        <v>650</v>
      </c>
      <c r="I532" t="s">
        <v>542</v>
      </c>
      <c r="J532" t="s">
        <v>542</v>
      </c>
      <c r="K532" t="s">
        <v>542</v>
      </c>
      <c r="N532" s="3" t="s">
        <v>351</v>
      </c>
      <c r="O532" s="4" t="s">
        <v>352</v>
      </c>
    </row>
    <row r="533" spans="2:15">
      <c r="B533" s="4" t="s">
        <v>354</v>
      </c>
      <c r="C533" t="s">
        <v>542</v>
      </c>
      <c r="D533" t="s">
        <v>542</v>
      </c>
      <c r="E533" t="s">
        <v>650</v>
      </c>
      <c r="F533" t="s">
        <v>650</v>
      </c>
      <c r="G533" t="s">
        <v>650</v>
      </c>
      <c r="H533" t="s">
        <v>650</v>
      </c>
      <c r="I533" t="s">
        <v>650</v>
      </c>
      <c r="J533" t="s">
        <v>542</v>
      </c>
      <c r="K533" t="s">
        <v>542</v>
      </c>
      <c r="N533" s="3" t="s">
        <v>355</v>
      </c>
      <c r="O533" s="4" t="s">
        <v>356</v>
      </c>
    </row>
    <row r="534" spans="2:15">
      <c r="B534" s="4" t="s">
        <v>357</v>
      </c>
      <c r="C534" t="s">
        <v>542</v>
      </c>
      <c r="D534" t="s">
        <v>542</v>
      </c>
      <c r="E534" t="s">
        <v>650</v>
      </c>
      <c r="F534" t="s">
        <v>650</v>
      </c>
      <c r="G534" t="s">
        <v>542</v>
      </c>
      <c r="H534" t="s">
        <v>650</v>
      </c>
      <c r="I534" t="s">
        <v>650</v>
      </c>
      <c r="J534" t="s">
        <v>542</v>
      </c>
      <c r="K534" t="s">
        <v>542</v>
      </c>
      <c r="N534" s="3" t="s">
        <v>358</v>
      </c>
      <c r="O534" s="4" t="s">
        <v>359</v>
      </c>
    </row>
    <row r="535" spans="2:15">
      <c r="B535" s="25" t="s">
        <v>1564</v>
      </c>
      <c r="C535" s="25">
        <v>0</v>
      </c>
      <c r="D535" s="27">
        <v>0</v>
      </c>
      <c r="E535" s="27">
        <v>1</v>
      </c>
      <c r="F535" s="27">
        <v>1</v>
      </c>
      <c r="G535" s="27">
        <v>0.8</v>
      </c>
      <c r="H535" s="27">
        <v>1</v>
      </c>
      <c r="I535" s="25">
        <v>0.8</v>
      </c>
      <c r="J535" s="25">
        <v>0</v>
      </c>
      <c r="K535" s="25">
        <v>0</v>
      </c>
      <c r="L535" s="25"/>
      <c r="M535" s="25"/>
      <c r="N535" s="26"/>
      <c r="O535" s="25"/>
    </row>
    <row r="536" spans="2:15">
      <c r="B536" s="4" t="s">
        <v>362</v>
      </c>
      <c r="L536" t="s">
        <v>542</v>
      </c>
      <c r="M536" t="s">
        <v>542</v>
      </c>
      <c r="N536" s="3" t="s">
        <v>363</v>
      </c>
      <c r="O536" s="5" t="s">
        <v>364</v>
      </c>
    </row>
    <row r="537" spans="2:15">
      <c r="B537" s="4" t="s">
        <v>365</v>
      </c>
      <c r="L537" t="s">
        <v>542</v>
      </c>
      <c r="M537" t="s">
        <v>542</v>
      </c>
      <c r="N537" s="3" t="s">
        <v>366</v>
      </c>
      <c r="O537" s="5" t="s">
        <v>367</v>
      </c>
    </row>
    <row r="538" spans="2:15">
      <c r="B538" s="4" t="s">
        <v>368</v>
      </c>
      <c r="L538" t="s">
        <v>542</v>
      </c>
      <c r="M538" t="s">
        <v>542</v>
      </c>
      <c r="N538" s="3" t="s">
        <v>369</v>
      </c>
      <c r="O538" s="5" t="s">
        <v>370</v>
      </c>
    </row>
    <row r="539" spans="2:15">
      <c r="B539" s="4" t="s">
        <v>371</v>
      </c>
      <c r="L539" t="s">
        <v>542</v>
      </c>
      <c r="M539" t="s">
        <v>542</v>
      </c>
      <c r="N539" s="3" t="s">
        <v>372</v>
      </c>
      <c r="O539" s="5" t="s">
        <v>373</v>
      </c>
    </row>
    <row r="540" spans="2:15">
      <c r="B540" s="4" t="s">
        <v>374</v>
      </c>
      <c r="L540" t="s">
        <v>542</v>
      </c>
      <c r="M540" t="s">
        <v>542</v>
      </c>
      <c r="N540" s="3" t="s">
        <v>375</v>
      </c>
      <c r="O540" s="5" t="s">
        <v>376</v>
      </c>
    </row>
    <row r="541" spans="2:15">
      <c r="B541" s="25" t="s">
        <v>1564</v>
      </c>
      <c r="C541" s="25"/>
      <c r="D541" s="27"/>
      <c r="E541" s="27"/>
      <c r="F541" s="27"/>
      <c r="G541" s="27"/>
      <c r="H541" s="27"/>
      <c r="I541" s="25"/>
      <c r="J541" s="25"/>
      <c r="K541" s="25"/>
      <c r="L541" s="25">
        <v>0</v>
      </c>
      <c r="M541" s="25">
        <v>0</v>
      </c>
      <c r="N541" s="26"/>
      <c r="O541" s="25"/>
    </row>
    <row r="542" spans="2:15">
      <c r="B542" s="4" t="s">
        <v>377</v>
      </c>
      <c r="C542" t="s">
        <v>542</v>
      </c>
      <c r="D542" t="s">
        <v>650</v>
      </c>
      <c r="E542" t="s">
        <v>650</v>
      </c>
      <c r="F542" t="s">
        <v>650</v>
      </c>
      <c r="G542" t="s">
        <v>650</v>
      </c>
      <c r="H542" t="s">
        <v>650</v>
      </c>
      <c r="I542" t="s">
        <v>542</v>
      </c>
      <c r="J542" t="s">
        <v>542</v>
      </c>
      <c r="K542" t="s">
        <v>542</v>
      </c>
      <c r="N542" s="3" t="s">
        <v>378</v>
      </c>
      <c r="O542" s="4" t="s">
        <v>379</v>
      </c>
    </row>
    <row r="543" spans="2:15">
      <c r="B543" s="4" t="s">
        <v>381</v>
      </c>
      <c r="C543" t="s">
        <v>542</v>
      </c>
      <c r="D543" t="s">
        <v>650</v>
      </c>
      <c r="E543" t="s">
        <v>650</v>
      </c>
      <c r="F543" t="s">
        <v>650</v>
      </c>
      <c r="G543" t="s">
        <v>650</v>
      </c>
      <c r="H543" t="s">
        <v>650</v>
      </c>
      <c r="I543" t="s">
        <v>542</v>
      </c>
      <c r="J543" t="s">
        <v>542</v>
      </c>
      <c r="K543" t="s">
        <v>542</v>
      </c>
      <c r="N543" s="3" t="s">
        <v>382</v>
      </c>
      <c r="O543" s="4" t="s">
        <v>383</v>
      </c>
    </row>
    <row r="544" spans="2:15">
      <c r="B544" s="4" t="s">
        <v>385</v>
      </c>
      <c r="C544" t="s">
        <v>542</v>
      </c>
      <c r="D544" t="s">
        <v>650</v>
      </c>
      <c r="E544" t="s">
        <v>650</v>
      </c>
      <c r="F544" t="s">
        <v>650</v>
      </c>
      <c r="G544" t="s">
        <v>650</v>
      </c>
      <c r="H544" t="s">
        <v>650</v>
      </c>
      <c r="I544" t="s">
        <v>542</v>
      </c>
      <c r="J544" t="s">
        <v>542</v>
      </c>
      <c r="K544" t="s">
        <v>542</v>
      </c>
      <c r="N544" s="3" t="s">
        <v>386</v>
      </c>
      <c r="O544" s="4" t="s">
        <v>387</v>
      </c>
    </row>
    <row r="545" spans="2:15">
      <c r="B545" s="4" t="s">
        <v>388</v>
      </c>
      <c r="C545" t="s">
        <v>542</v>
      </c>
      <c r="D545" t="s">
        <v>650</v>
      </c>
      <c r="E545" t="s">
        <v>650</v>
      </c>
      <c r="F545" t="s">
        <v>650</v>
      </c>
      <c r="G545" t="s">
        <v>650</v>
      </c>
      <c r="H545" t="s">
        <v>650</v>
      </c>
      <c r="I545" t="s">
        <v>542</v>
      </c>
      <c r="J545" t="s">
        <v>542</v>
      </c>
      <c r="K545" t="s">
        <v>542</v>
      </c>
      <c r="N545" s="3" t="s">
        <v>389</v>
      </c>
      <c r="O545" s="4" t="s">
        <v>390</v>
      </c>
    </row>
    <row r="546" spans="2:15">
      <c r="B546" s="4" t="s">
        <v>391</v>
      </c>
      <c r="C546" t="s">
        <v>542</v>
      </c>
      <c r="D546" t="s">
        <v>650</v>
      </c>
      <c r="E546" t="s">
        <v>650</v>
      </c>
      <c r="F546" t="s">
        <v>650</v>
      </c>
      <c r="G546" t="s">
        <v>650</v>
      </c>
      <c r="H546" t="s">
        <v>650</v>
      </c>
      <c r="I546" t="s">
        <v>542</v>
      </c>
      <c r="J546" t="s">
        <v>542</v>
      </c>
      <c r="K546" t="s">
        <v>542</v>
      </c>
      <c r="N546" s="3" t="s">
        <v>392</v>
      </c>
      <c r="O546" s="4" t="s">
        <v>393</v>
      </c>
    </row>
    <row r="547" spans="2:15">
      <c r="B547" s="25" t="s">
        <v>1564</v>
      </c>
      <c r="C547" s="25">
        <v>0</v>
      </c>
      <c r="D547" s="27">
        <v>1</v>
      </c>
      <c r="E547" s="27">
        <v>1</v>
      </c>
      <c r="F547" s="27">
        <v>1</v>
      </c>
      <c r="G547" s="27">
        <v>1</v>
      </c>
      <c r="H547" s="27">
        <v>1</v>
      </c>
      <c r="I547" s="25">
        <v>0</v>
      </c>
      <c r="J547" s="25">
        <v>0</v>
      </c>
      <c r="K547" s="25">
        <v>0</v>
      </c>
      <c r="L547" s="25"/>
      <c r="M547" s="25"/>
      <c r="N547" s="26"/>
      <c r="O547" s="25"/>
    </row>
    <row r="548" spans="2:15">
      <c r="B548" s="4" t="s">
        <v>395</v>
      </c>
      <c r="L548" t="s">
        <v>542</v>
      </c>
      <c r="M548" t="s">
        <v>650</v>
      </c>
      <c r="N548" s="3" t="s">
        <v>396</v>
      </c>
      <c r="O548" s="5" t="s">
        <v>397</v>
      </c>
    </row>
    <row r="549" spans="2:15">
      <c r="B549" s="4" t="s">
        <v>398</v>
      </c>
      <c r="L549" t="s">
        <v>542</v>
      </c>
      <c r="M549" t="s">
        <v>650</v>
      </c>
      <c r="N549" s="3" t="s">
        <v>399</v>
      </c>
      <c r="O549" s="5" t="s">
        <v>400</v>
      </c>
    </row>
    <row r="550" spans="2:15">
      <c r="B550" s="4" t="s">
        <v>401</v>
      </c>
      <c r="L550" t="s">
        <v>650</v>
      </c>
      <c r="M550" t="s">
        <v>650</v>
      </c>
      <c r="N550" s="3" t="s">
        <v>402</v>
      </c>
      <c r="O550" s="5" t="s">
        <v>403</v>
      </c>
    </row>
    <row r="551" spans="2:15">
      <c r="B551" s="4" t="s">
        <v>405</v>
      </c>
      <c r="L551" t="s">
        <v>650</v>
      </c>
      <c r="M551" t="s">
        <v>650</v>
      </c>
      <c r="N551" s="3" t="s">
        <v>406</v>
      </c>
      <c r="O551" s="5" t="s">
        <v>407</v>
      </c>
    </row>
    <row r="552" spans="2:15">
      <c r="B552" s="4" t="s">
        <v>408</v>
      </c>
      <c r="L552" t="s">
        <v>542</v>
      </c>
      <c r="M552" t="s">
        <v>650</v>
      </c>
      <c r="N552" s="3" t="s">
        <v>409</v>
      </c>
      <c r="O552" s="5" t="s">
        <v>410</v>
      </c>
    </row>
    <row r="553" spans="2:15">
      <c r="B553" s="25" t="s">
        <v>1564</v>
      </c>
      <c r="C553" s="25"/>
      <c r="D553" s="27"/>
      <c r="E553" s="27"/>
      <c r="F553" s="27"/>
      <c r="G553" s="27"/>
      <c r="H553" s="27"/>
      <c r="I553" s="25"/>
      <c r="J553" s="25"/>
      <c r="K553" s="25"/>
      <c r="L553" s="25">
        <v>0.4</v>
      </c>
      <c r="M553" s="25">
        <v>1</v>
      </c>
      <c r="N553" s="26"/>
      <c r="O553" s="25"/>
    </row>
    <row r="554" spans="2:15">
      <c r="B554" t="s">
        <v>1326</v>
      </c>
      <c r="C554" t="s">
        <v>542</v>
      </c>
      <c r="D554" t="s">
        <v>542</v>
      </c>
      <c r="E554" t="s">
        <v>542</v>
      </c>
      <c r="F554" t="s">
        <v>650</v>
      </c>
      <c r="G554" t="s">
        <v>650</v>
      </c>
      <c r="H554" t="s">
        <v>650</v>
      </c>
      <c r="I554" t="s">
        <v>542</v>
      </c>
      <c r="J554" t="s">
        <v>542</v>
      </c>
      <c r="K554" t="s">
        <v>542</v>
      </c>
      <c r="N554" s="12" t="s">
        <v>865</v>
      </c>
      <c r="O554" s="11" t="s">
        <v>864</v>
      </c>
    </row>
    <row r="555" spans="2:15">
      <c r="B555" t="s">
        <v>1327</v>
      </c>
      <c r="C555" t="s">
        <v>542</v>
      </c>
      <c r="D555" t="s">
        <v>650</v>
      </c>
      <c r="E555" t="s">
        <v>650</v>
      </c>
      <c r="F555" t="s">
        <v>650</v>
      </c>
      <c r="G555" t="s">
        <v>650</v>
      </c>
      <c r="H555" t="s">
        <v>650</v>
      </c>
      <c r="I555" t="s">
        <v>542</v>
      </c>
      <c r="J555" t="s">
        <v>542</v>
      </c>
      <c r="K555" t="s">
        <v>542</v>
      </c>
      <c r="N555" s="12" t="s">
        <v>868</v>
      </c>
      <c r="O555" s="11" t="s">
        <v>867</v>
      </c>
    </row>
    <row r="556" spans="2:15">
      <c r="B556" t="s">
        <v>1328</v>
      </c>
      <c r="C556" t="s">
        <v>542</v>
      </c>
      <c r="D556" t="s">
        <v>542</v>
      </c>
      <c r="E556" t="s">
        <v>650</v>
      </c>
      <c r="F556" t="s">
        <v>650</v>
      </c>
      <c r="G556" t="s">
        <v>650</v>
      </c>
      <c r="H556" t="s">
        <v>650</v>
      </c>
      <c r="I556" t="s">
        <v>542</v>
      </c>
      <c r="J556" t="s">
        <v>542</v>
      </c>
      <c r="K556" t="s">
        <v>542</v>
      </c>
      <c r="N556" s="12" t="s">
        <v>873</v>
      </c>
      <c r="O556" s="11" t="s">
        <v>872</v>
      </c>
    </row>
    <row r="557" spans="2:15">
      <c r="B557" t="s">
        <v>1329</v>
      </c>
      <c r="C557" t="s">
        <v>542</v>
      </c>
      <c r="D557" t="s">
        <v>542</v>
      </c>
      <c r="E557" t="s">
        <v>650</v>
      </c>
      <c r="F557" t="s">
        <v>650</v>
      </c>
      <c r="G557" t="s">
        <v>650</v>
      </c>
      <c r="H557" t="s">
        <v>650</v>
      </c>
      <c r="I557" t="s">
        <v>542</v>
      </c>
      <c r="J557" t="s">
        <v>542</v>
      </c>
      <c r="K557" t="s">
        <v>542</v>
      </c>
      <c r="N557" s="12" t="s">
        <v>877</v>
      </c>
      <c r="O557" s="11" t="s">
        <v>876</v>
      </c>
    </row>
    <row r="558" spans="2:15">
      <c r="B558" t="s">
        <v>1330</v>
      </c>
      <c r="C558" t="s">
        <v>650</v>
      </c>
      <c r="D558" t="s">
        <v>650</v>
      </c>
      <c r="E558" t="s">
        <v>650</v>
      </c>
      <c r="F558" t="s">
        <v>650</v>
      </c>
      <c r="G558" t="s">
        <v>650</v>
      </c>
      <c r="H558" t="s">
        <v>650</v>
      </c>
      <c r="I558" t="s">
        <v>542</v>
      </c>
      <c r="J558" t="s">
        <v>542</v>
      </c>
      <c r="K558" t="s">
        <v>542</v>
      </c>
      <c r="N558" s="12" t="s">
        <v>880</v>
      </c>
      <c r="O558" s="11" t="s">
        <v>879</v>
      </c>
    </row>
    <row r="559" spans="2:15">
      <c r="B559" s="25" t="s">
        <v>1564</v>
      </c>
      <c r="C559" s="25">
        <v>0.2</v>
      </c>
      <c r="D559" s="27">
        <v>0.4</v>
      </c>
      <c r="E559" s="27">
        <v>0.8</v>
      </c>
      <c r="F559" s="27">
        <v>1</v>
      </c>
      <c r="G559" s="27">
        <v>1</v>
      </c>
      <c r="H559" s="27">
        <v>1</v>
      </c>
      <c r="I559" s="25">
        <v>0</v>
      </c>
      <c r="J559" s="25">
        <v>0</v>
      </c>
      <c r="K559" s="25">
        <v>0</v>
      </c>
      <c r="L559" s="25"/>
      <c r="M559" s="25"/>
      <c r="N559" s="26"/>
      <c r="O559" s="25"/>
    </row>
    <row r="560" spans="2:15">
      <c r="B560" t="s">
        <v>1540</v>
      </c>
      <c r="L560" s="12" t="s">
        <v>584</v>
      </c>
      <c r="M560" t="s">
        <v>542</v>
      </c>
      <c r="N560" s="12" t="s">
        <v>883</v>
      </c>
      <c r="O560" s="11" t="s">
        <v>882</v>
      </c>
    </row>
    <row r="561" spans="2:15">
      <c r="B561" t="s">
        <v>1541</v>
      </c>
      <c r="L561" t="s">
        <v>542</v>
      </c>
      <c r="M561" t="s">
        <v>542</v>
      </c>
      <c r="N561" s="12" t="s">
        <v>885</v>
      </c>
      <c r="O561" s="11" t="s">
        <v>884</v>
      </c>
    </row>
    <row r="562" spans="2:15">
      <c r="B562" t="s">
        <v>1542</v>
      </c>
      <c r="L562" t="s">
        <v>542</v>
      </c>
      <c r="M562" t="s">
        <v>542</v>
      </c>
      <c r="N562" s="12" t="s">
        <v>887</v>
      </c>
      <c r="O562" s="11" t="s">
        <v>886</v>
      </c>
    </row>
    <row r="563" spans="2:15">
      <c r="B563" t="s">
        <v>1543</v>
      </c>
      <c r="L563" t="s">
        <v>542</v>
      </c>
      <c r="M563" t="s">
        <v>542</v>
      </c>
      <c r="N563" s="12" t="s">
        <v>889</v>
      </c>
      <c r="O563" s="11" t="s">
        <v>888</v>
      </c>
    </row>
    <row r="564" spans="2:15">
      <c r="B564" t="s">
        <v>1544</v>
      </c>
      <c r="L564" t="s">
        <v>542</v>
      </c>
      <c r="M564" t="s">
        <v>542</v>
      </c>
      <c r="N564" s="12" t="s">
        <v>891</v>
      </c>
      <c r="O564" s="11" t="s">
        <v>890</v>
      </c>
    </row>
    <row r="565" spans="2:15">
      <c r="B565" s="25" t="s">
        <v>1564</v>
      </c>
      <c r="C565" s="25"/>
      <c r="D565" s="27"/>
      <c r="E565" s="27"/>
      <c r="F565" s="27"/>
      <c r="G565" s="27"/>
      <c r="H565" s="27"/>
      <c r="I565" s="25"/>
      <c r="J565" s="25"/>
      <c r="K565" s="25"/>
      <c r="L565" s="25">
        <v>0</v>
      </c>
      <c r="M565" s="25">
        <v>0</v>
      </c>
      <c r="N565" s="26"/>
      <c r="O565" s="25"/>
    </row>
    <row r="566" spans="2:15">
      <c r="B566" s="18" t="s">
        <v>1331</v>
      </c>
      <c r="C566" t="s">
        <v>650</v>
      </c>
      <c r="D566" t="s">
        <v>650</v>
      </c>
      <c r="E566" t="s">
        <v>650</v>
      </c>
      <c r="F566" t="s">
        <v>650</v>
      </c>
      <c r="G566" t="s">
        <v>650</v>
      </c>
      <c r="H566" t="s">
        <v>650</v>
      </c>
      <c r="I566" t="s">
        <v>542</v>
      </c>
      <c r="J566" t="s">
        <v>542</v>
      </c>
      <c r="K566" t="s">
        <v>542</v>
      </c>
      <c r="N566" s="12" t="s">
        <v>893</v>
      </c>
      <c r="O566" s="11" t="s">
        <v>892</v>
      </c>
    </row>
    <row r="567" spans="2:15">
      <c r="B567" s="18" t="s">
        <v>1332</v>
      </c>
      <c r="C567" t="s">
        <v>650</v>
      </c>
      <c r="D567" t="s">
        <v>650</v>
      </c>
      <c r="E567" t="s">
        <v>650</v>
      </c>
      <c r="F567" t="s">
        <v>650</v>
      </c>
      <c r="G567" t="s">
        <v>650</v>
      </c>
      <c r="H567" t="s">
        <v>650</v>
      </c>
      <c r="I567" t="s">
        <v>650</v>
      </c>
      <c r="J567" t="s">
        <v>650</v>
      </c>
      <c r="K567" t="s">
        <v>542</v>
      </c>
      <c r="N567" s="12" t="s">
        <v>897</v>
      </c>
      <c r="O567" s="11" t="s">
        <v>896</v>
      </c>
    </row>
    <row r="568" spans="2:15">
      <c r="B568" s="18" t="s">
        <v>1333</v>
      </c>
      <c r="C568" t="s">
        <v>650</v>
      </c>
      <c r="D568" t="s">
        <v>650</v>
      </c>
      <c r="E568" t="s">
        <v>650</v>
      </c>
      <c r="F568" t="s">
        <v>650</v>
      </c>
      <c r="G568" t="s">
        <v>650</v>
      </c>
      <c r="H568" t="s">
        <v>650</v>
      </c>
      <c r="I568" t="s">
        <v>542</v>
      </c>
      <c r="J568" t="s">
        <v>542</v>
      </c>
      <c r="K568" t="s">
        <v>542</v>
      </c>
      <c r="N568" s="12" t="s">
        <v>901</v>
      </c>
      <c r="O568" s="11" t="s">
        <v>900</v>
      </c>
    </row>
    <row r="569" spans="2:15">
      <c r="B569" s="18" t="s">
        <v>1334</v>
      </c>
      <c r="C569" t="s">
        <v>650</v>
      </c>
      <c r="D569" t="s">
        <v>650</v>
      </c>
      <c r="E569" t="s">
        <v>650</v>
      </c>
      <c r="F569" t="s">
        <v>650</v>
      </c>
      <c r="G569" t="s">
        <v>650</v>
      </c>
      <c r="H569" t="s">
        <v>650</v>
      </c>
      <c r="I569" t="s">
        <v>542</v>
      </c>
      <c r="J569" t="s">
        <v>542</v>
      </c>
      <c r="K569" t="s">
        <v>542</v>
      </c>
      <c r="N569" s="12" t="s">
        <v>903</v>
      </c>
      <c r="O569" s="11" t="s">
        <v>902</v>
      </c>
    </row>
    <row r="570" spans="2:15">
      <c r="B570" s="18" t="s">
        <v>1335</v>
      </c>
      <c r="C570" t="s">
        <v>542</v>
      </c>
      <c r="D570" t="s">
        <v>650</v>
      </c>
      <c r="E570" t="s">
        <v>650</v>
      </c>
      <c r="F570" t="s">
        <v>650</v>
      </c>
      <c r="G570" t="s">
        <v>650</v>
      </c>
      <c r="H570" t="s">
        <v>650</v>
      </c>
      <c r="I570" t="s">
        <v>542</v>
      </c>
      <c r="J570" t="s">
        <v>542</v>
      </c>
      <c r="K570" t="s">
        <v>542</v>
      </c>
      <c r="N570" s="12" t="s">
        <v>907</v>
      </c>
      <c r="O570" s="11" t="s">
        <v>906</v>
      </c>
    </row>
    <row r="571" spans="2:15">
      <c r="B571" s="25" t="s">
        <v>1564</v>
      </c>
      <c r="C571" s="25">
        <v>0.8</v>
      </c>
      <c r="D571" s="27">
        <v>1</v>
      </c>
      <c r="E571" s="27">
        <v>1</v>
      </c>
      <c r="F571" s="27">
        <v>1</v>
      </c>
      <c r="G571" s="27">
        <v>1</v>
      </c>
      <c r="H571" s="27">
        <v>1</v>
      </c>
      <c r="I571" s="25">
        <v>0.2</v>
      </c>
      <c r="J571" s="25">
        <v>0.2</v>
      </c>
      <c r="K571" s="25">
        <v>0</v>
      </c>
      <c r="L571" s="25"/>
      <c r="M571" s="25"/>
      <c r="N571" s="26"/>
      <c r="O571" s="25"/>
    </row>
    <row r="572" spans="2:15">
      <c r="B572" t="s">
        <v>1545</v>
      </c>
      <c r="L572" t="s">
        <v>542</v>
      </c>
      <c r="M572" t="s">
        <v>542</v>
      </c>
      <c r="N572" s="12" t="s">
        <v>909</v>
      </c>
      <c r="O572" s="11" t="s">
        <v>908</v>
      </c>
    </row>
    <row r="573" spans="2:15">
      <c r="B573" t="s">
        <v>1546</v>
      </c>
      <c r="L573" t="s">
        <v>650</v>
      </c>
      <c r="M573" t="s">
        <v>650</v>
      </c>
      <c r="N573" s="12" t="s">
        <v>911</v>
      </c>
      <c r="O573" s="11" t="s">
        <v>910</v>
      </c>
    </row>
    <row r="574" spans="2:15">
      <c r="B574" t="s">
        <v>1547</v>
      </c>
      <c r="L574" t="s">
        <v>542</v>
      </c>
      <c r="M574" t="s">
        <v>650</v>
      </c>
      <c r="N574" s="12" t="s">
        <v>913</v>
      </c>
      <c r="O574" s="11" t="s">
        <v>912</v>
      </c>
    </row>
    <row r="575" spans="2:15">
      <c r="B575" t="s">
        <v>1548</v>
      </c>
      <c r="L575" t="s">
        <v>542</v>
      </c>
      <c r="M575" t="s">
        <v>542</v>
      </c>
      <c r="N575" s="12" t="s">
        <v>915</v>
      </c>
      <c r="O575" s="11" t="s">
        <v>914</v>
      </c>
    </row>
    <row r="576" spans="2:15">
      <c r="B576" t="s">
        <v>1549</v>
      </c>
      <c r="L576" t="s">
        <v>650</v>
      </c>
      <c r="M576" t="s">
        <v>650</v>
      </c>
      <c r="N576" s="12" t="s">
        <v>917</v>
      </c>
      <c r="O576" s="11" t="s">
        <v>916</v>
      </c>
    </row>
    <row r="577" spans="2:15">
      <c r="B577" s="25" t="s">
        <v>1564</v>
      </c>
      <c r="C577" s="25"/>
      <c r="D577" s="27"/>
      <c r="E577" s="27"/>
      <c r="F577" s="27"/>
      <c r="G577" s="27"/>
      <c r="H577" s="27"/>
      <c r="I577" s="25"/>
      <c r="J577" s="25"/>
      <c r="K577" s="25"/>
      <c r="L577" s="25">
        <v>0.4</v>
      </c>
      <c r="M577" s="25">
        <v>0.6</v>
      </c>
      <c r="N577" s="26"/>
      <c r="O577" s="25"/>
    </row>
  </sheetData>
  <phoneticPr fontId="9"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B840E-0AC5-4D41-87E4-2E08D668313E}">
  <dimension ref="A1:N481"/>
  <sheetViews>
    <sheetView topLeftCell="A210" workbookViewId="0">
      <selection activeCell="A37" sqref="A37"/>
    </sheetView>
  </sheetViews>
  <sheetFormatPr baseColWidth="10" defaultColWidth="8.83203125" defaultRowHeight="15"/>
  <cols>
    <col min="1" max="1" width="28.83203125" customWidth="1"/>
    <col min="2" max="2" width="24.5" bestFit="1" customWidth="1"/>
    <col min="3" max="3" width="22.33203125" customWidth="1"/>
    <col min="4" max="4" width="14.1640625" customWidth="1"/>
    <col min="5" max="5" width="10.83203125" customWidth="1"/>
    <col min="6" max="6" width="8.33203125" customWidth="1"/>
    <col min="7" max="7" width="9.5" customWidth="1"/>
    <col min="8" max="8" width="8.5" customWidth="1"/>
    <col min="9" max="9" width="7.83203125" customWidth="1"/>
    <col min="10" max="10" width="17.33203125" customWidth="1"/>
    <col min="12" max="12" width="42.83203125" customWidth="1"/>
  </cols>
  <sheetData>
    <row r="1" spans="1:13" ht="85">
      <c r="A1" s="14" t="s">
        <v>1581</v>
      </c>
      <c r="B1" s="1" t="s">
        <v>1225</v>
      </c>
      <c r="C1" s="16" t="s">
        <v>1223</v>
      </c>
      <c r="D1" s="16" t="s">
        <v>0</v>
      </c>
      <c r="E1" s="16" t="s">
        <v>2</v>
      </c>
      <c r="F1" s="16" t="s">
        <v>3</v>
      </c>
      <c r="G1" s="16" t="s">
        <v>4</v>
      </c>
      <c r="H1" s="16" t="s">
        <v>5</v>
      </c>
      <c r="I1" s="16" t="s">
        <v>6</v>
      </c>
      <c r="J1" s="2" t="s">
        <v>7</v>
      </c>
      <c r="K1" s="2" t="s">
        <v>1582</v>
      </c>
      <c r="L1" s="1" t="s">
        <v>1593</v>
      </c>
    </row>
    <row r="2" spans="1:13">
      <c r="B2" t="s">
        <v>1226</v>
      </c>
      <c r="C2">
        <v>3</v>
      </c>
      <c r="D2">
        <v>11</v>
      </c>
      <c r="K2" s="10" t="s">
        <v>196</v>
      </c>
      <c r="L2" t="s">
        <v>541</v>
      </c>
    </row>
    <row r="3" spans="1:13">
      <c r="B3" t="s">
        <v>1227</v>
      </c>
      <c r="C3">
        <v>8</v>
      </c>
      <c r="D3">
        <v>13</v>
      </c>
      <c r="K3" s="10" t="s">
        <v>428</v>
      </c>
      <c r="L3" t="s">
        <v>545</v>
      </c>
    </row>
    <row r="4" spans="1:13">
      <c r="B4" t="s">
        <v>1228</v>
      </c>
      <c r="C4">
        <v>7</v>
      </c>
      <c r="D4">
        <v>12</v>
      </c>
      <c r="K4" s="10" t="s">
        <v>351</v>
      </c>
      <c r="L4" t="s">
        <v>547</v>
      </c>
    </row>
    <row r="5" spans="1:13">
      <c r="B5" t="s">
        <v>1229</v>
      </c>
      <c r="C5">
        <v>9</v>
      </c>
      <c r="D5">
        <v>8</v>
      </c>
      <c r="K5" s="10" t="s">
        <v>369</v>
      </c>
      <c r="L5" t="s">
        <v>550</v>
      </c>
    </row>
    <row r="6" spans="1:13">
      <c r="B6" t="s">
        <v>1230</v>
      </c>
      <c r="C6">
        <v>5</v>
      </c>
      <c r="D6">
        <v>11</v>
      </c>
      <c r="K6" s="10" t="s">
        <v>486</v>
      </c>
      <c r="L6" t="s">
        <v>551</v>
      </c>
    </row>
    <row r="7" spans="1:13">
      <c r="B7" t="s">
        <v>1390</v>
      </c>
      <c r="E7">
        <v>1</v>
      </c>
      <c r="F7">
        <v>0</v>
      </c>
      <c r="G7">
        <v>3</v>
      </c>
      <c r="H7">
        <v>2</v>
      </c>
      <c r="I7">
        <v>1</v>
      </c>
      <c r="J7">
        <v>4</v>
      </c>
      <c r="K7" s="10" t="s">
        <v>553</v>
      </c>
      <c r="L7" t="s">
        <v>1694</v>
      </c>
      <c r="M7" s="10"/>
    </row>
    <row r="8" spans="1:13">
      <c r="B8" t="s">
        <v>1391</v>
      </c>
      <c r="E8">
        <v>0</v>
      </c>
      <c r="F8">
        <v>1</v>
      </c>
      <c r="G8">
        <v>2</v>
      </c>
      <c r="H8">
        <v>2</v>
      </c>
      <c r="I8">
        <v>2</v>
      </c>
      <c r="J8">
        <v>4</v>
      </c>
      <c r="K8" s="10" t="s">
        <v>555</v>
      </c>
      <c r="L8" t="s">
        <v>1693</v>
      </c>
      <c r="M8" s="10"/>
    </row>
    <row r="9" spans="1:13">
      <c r="B9" t="s">
        <v>1392</v>
      </c>
      <c r="E9">
        <v>1</v>
      </c>
      <c r="F9">
        <v>0</v>
      </c>
      <c r="G9">
        <v>5</v>
      </c>
      <c r="H9">
        <v>3</v>
      </c>
      <c r="I9">
        <v>3</v>
      </c>
      <c r="J9">
        <v>2</v>
      </c>
      <c r="K9" s="10" t="s">
        <v>557</v>
      </c>
      <c r="L9" t="s">
        <v>1692</v>
      </c>
      <c r="M9" s="10"/>
    </row>
    <row r="10" spans="1:13">
      <c r="B10" t="s">
        <v>1393</v>
      </c>
      <c r="E10">
        <v>0</v>
      </c>
      <c r="F10">
        <v>0</v>
      </c>
      <c r="G10">
        <v>1</v>
      </c>
      <c r="H10">
        <v>3</v>
      </c>
      <c r="I10">
        <v>6</v>
      </c>
      <c r="J10">
        <v>1</v>
      </c>
      <c r="K10" s="10" t="s">
        <v>558</v>
      </c>
      <c r="L10" t="s">
        <v>1695</v>
      </c>
      <c r="M10" s="10"/>
    </row>
    <row r="11" spans="1:13">
      <c r="B11" t="s">
        <v>1394</v>
      </c>
      <c r="E11">
        <v>0</v>
      </c>
      <c r="F11">
        <v>0</v>
      </c>
      <c r="G11">
        <v>3</v>
      </c>
      <c r="H11">
        <v>4</v>
      </c>
      <c r="I11">
        <v>2</v>
      </c>
      <c r="J11">
        <v>3</v>
      </c>
      <c r="K11" s="10" t="s">
        <v>559</v>
      </c>
      <c r="L11" t="s">
        <v>1696</v>
      </c>
      <c r="M11" s="10"/>
    </row>
    <row r="12" spans="1:13">
      <c r="B12" t="s">
        <v>1231</v>
      </c>
      <c r="C12">
        <v>0</v>
      </c>
      <c r="D12">
        <v>14</v>
      </c>
      <c r="K12" s="10" t="s">
        <v>283</v>
      </c>
      <c r="L12" t="s">
        <v>560</v>
      </c>
      <c r="M12" s="17"/>
    </row>
    <row r="13" spans="1:13">
      <c r="B13" t="s">
        <v>1232</v>
      </c>
      <c r="C13">
        <v>0</v>
      </c>
      <c r="D13">
        <v>15</v>
      </c>
      <c r="K13" s="10" t="s">
        <v>366</v>
      </c>
      <c r="L13" t="s">
        <v>561</v>
      </c>
      <c r="M13" s="17"/>
    </row>
    <row r="14" spans="1:13">
      <c r="B14" t="s">
        <v>1233</v>
      </c>
      <c r="C14">
        <v>0</v>
      </c>
      <c r="D14">
        <v>12</v>
      </c>
      <c r="K14" s="10" t="s">
        <v>76</v>
      </c>
      <c r="L14" t="s">
        <v>562</v>
      </c>
      <c r="M14" s="17"/>
    </row>
    <row r="15" spans="1:13">
      <c r="B15" t="s">
        <v>1234</v>
      </c>
      <c r="C15">
        <v>0</v>
      </c>
      <c r="D15">
        <v>14</v>
      </c>
      <c r="K15" s="10" t="s">
        <v>184</v>
      </c>
      <c r="L15" t="s">
        <v>563</v>
      </c>
      <c r="M15" s="17"/>
    </row>
    <row r="16" spans="1:13">
      <c r="B16" t="s">
        <v>1235</v>
      </c>
      <c r="C16">
        <v>1</v>
      </c>
      <c r="D16">
        <v>11</v>
      </c>
      <c r="K16" s="10" t="s">
        <v>161</v>
      </c>
      <c r="L16" t="s">
        <v>564</v>
      </c>
      <c r="M16" s="17"/>
    </row>
    <row r="17" spans="2:13">
      <c r="B17" t="s">
        <v>1395</v>
      </c>
      <c r="E17">
        <v>0</v>
      </c>
      <c r="F17">
        <v>0</v>
      </c>
      <c r="G17">
        <v>1</v>
      </c>
      <c r="H17">
        <v>4</v>
      </c>
      <c r="I17">
        <v>3</v>
      </c>
      <c r="J17">
        <v>7</v>
      </c>
      <c r="K17" s="17" t="s">
        <v>565</v>
      </c>
      <c r="L17" t="s">
        <v>1688</v>
      </c>
    </row>
    <row r="18" spans="2:13">
      <c r="B18" t="s">
        <v>1396</v>
      </c>
      <c r="E18">
        <v>0</v>
      </c>
      <c r="F18">
        <v>1</v>
      </c>
      <c r="G18">
        <v>4</v>
      </c>
      <c r="H18">
        <v>0</v>
      </c>
      <c r="I18">
        <v>1</v>
      </c>
      <c r="J18">
        <v>2</v>
      </c>
      <c r="K18" s="17" t="s">
        <v>566</v>
      </c>
      <c r="L18" t="s">
        <v>1691</v>
      </c>
    </row>
    <row r="19" spans="2:13">
      <c r="B19" t="s">
        <v>1397</v>
      </c>
      <c r="E19">
        <v>0</v>
      </c>
      <c r="F19">
        <v>3</v>
      </c>
      <c r="G19">
        <v>0</v>
      </c>
      <c r="H19">
        <v>1</v>
      </c>
      <c r="I19">
        <v>1</v>
      </c>
      <c r="J19">
        <v>5</v>
      </c>
      <c r="K19" s="17" t="s">
        <v>567</v>
      </c>
      <c r="L19" t="s">
        <v>1690</v>
      </c>
    </row>
    <row r="20" spans="2:13">
      <c r="B20" t="s">
        <v>1398</v>
      </c>
      <c r="E20">
        <v>0</v>
      </c>
      <c r="F20">
        <v>0</v>
      </c>
      <c r="G20">
        <v>3</v>
      </c>
      <c r="H20">
        <v>0</v>
      </c>
      <c r="I20">
        <v>0</v>
      </c>
      <c r="J20">
        <v>4</v>
      </c>
      <c r="K20" s="17" t="s">
        <v>568</v>
      </c>
      <c r="L20" t="s">
        <v>1689</v>
      </c>
    </row>
    <row r="21" spans="2:13">
      <c r="B21" t="s">
        <v>1399</v>
      </c>
      <c r="E21">
        <v>0</v>
      </c>
      <c r="F21">
        <v>2</v>
      </c>
      <c r="G21">
        <v>4</v>
      </c>
      <c r="H21">
        <v>2</v>
      </c>
      <c r="I21">
        <v>2</v>
      </c>
      <c r="J21">
        <v>2</v>
      </c>
      <c r="K21" s="17" t="s">
        <v>569</v>
      </c>
      <c r="L21" t="s">
        <v>1687</v>
      </c>
    </row>
    <row r="22" spans="2:13">
      <c r="B22" t="s">
        <v>1236</v>
      </c>
      <c r="C22">
        <v>4</v>
      </c>
      <c r="D22">
        <v>1</v>
      </c>
      <c r="K22" s="17" t="s">
        <v>50</v>
      </c>
      <c r="L22" t="s">
        <v>570</v>
      </c>
    </row>
    <row r="23" spans="2:13">
      <c r="B23" t="s">
        <v>1237</v>
      </c>
      <c r="C23">
        <v>13</v>
      </c>
      <c r="D23">
        <v>18</v>
      </c>
      <c r="K23" s="17" t="s">
        <v>573</v>
      </c>
      <c r="L23" t="s">
        <v>572</v>
      </c>
    </row>
    <row r="24" spans="2:13">
      <c r="B24" t="s">
        <v>1238</v>
      </c>
      <c r="C24">
        <v>3</v>
      </c>
      <c r="D24">
        <v>20</v>
      </c>
      <c r="K24" s="17" t="s">
        <v>91</v>
      </c>
      <c r="L24" t="s">
        <v>575</v>
      </c>
    </row>
    <row r="25" spans="2:13">
      <c r="B25" t="s">
        <v>1239</v>
      </c>
      <c r="C25">
        <v>9</v>
      </c>
      <c r="D25">
        <v>7</v>
      </c>
      <c r="K25" s="17" t="s">
        <v>578</v>
      </c>
      <c r="L25" t="s">
        <v>577</v>
      </c>
    </row>
    <row r="26" spans="2:13">
      <c r="B26" t="s">
        <v>1240</v>
      </c>
      <c r="C26">
        <v>9</v>
      </c>
      <c r="D26">
        <v>16</v>
      </c>
      <c r="K26" s="17" t="s">
        <v>581</v>
      </c>
      <c r="L26" t="s">
        <v>580</v>
      </c>
    </row>
    <row r="27" spans="2:13">
      <c r="B27" t="s">
        <v>1400</v>
      </c>
      <c r="E27">
        <v>1</v>
      </c>
      <c r="F27">
        <v>0</v>
      </c>
      <c r="G27">
        <v>13</v>
      </c>
      <c r="H27">
        <v>0</v>
      </c>
      <c r="I27">
        <v>0</v>
      </c>
      <c r="J27">
        <v>16</v>
      </c>
      <c r="K27" s="17" t="s">
        <v>583</v>
      </c>
      <c r="L27" t="s">
        <v>1624</v>
      </c>
      <c r="M27" s="17"/>
    </row>
    <row r="28" spans="2:13">
      <c r="B28" t="s">
        <v>1401</v>
      </c>
      <c r="E28">
        <v>2</v>
      </c>
      <c r="F28">
        <v>0</v>
      </c>
      <c r="G28">
        <v>10</v>
      </c>
      <c r="H28">
        <v>0</v>
      </c>
      <c r="I28">
        <v>0</v>
      </c>
      <c r="J28">
        <v>6</v>
      </c>
      <c r="K28" s="17" t="s">
        <v>585</v>
      </c>
      <c r="L28" t="s">
        <v>1625</v>
      </c>
      <c r="M28" s="17"/>
    </row>
    <row r="29" spans="2:13">
      <c r="B29" t="s">
        <v>1402</v>
      </c>
      <c r="E29">
        <v>4</v>
      </c>
      <c r="F29">
        <v>0</v>
      </c>
      <c r="G29">
        <v>13</v>
      </c>
      <c r="H29">
        <v>0</v>
      </c>
      <c r="I29">
        <v>1</v>
      </c>
      <c r="J29">
        <v>9</v>
      </c>
      <c r="K29" s="17" t="s">
        <v>586</v>
      </c>
      <c r="L29" t="s">
        <v>1622</v>
      </c>
      <c r="M29" s="17"/>
    </row>
    <row r="30" spans="2:13">
      <c r="B30" t="s">
        <v>1403</v>
      </c>
      <c r="E30">
        <v>0</v>
      </c>
      <c r="F30">
        <v>0</v>
      </c>
      <c r="G30">
        <v>7</v>
      </c>
      <c r="H30">
        <v>1</v>
      </c>
      <c r="I30">
        <v>0</v>
      </c>
      <c r="J30">
        <v>7</v>
      </c>
      <c r="K30" s="17" t="s">
        <v>588</v>
      </c>
      <c r="L30" t="s">
        <v>1623</v>
      </c>
      <c r="M30" s="17"/>
    </row>
    <row r="31" spans="2:13">
      <c r="B31" t="s">
        <v>1404</v>
      </c>
      <c r="E31">
        <v>1</v>
      </c>
      <c r="F31">
        <v>3</v>
      </c>
      <c r="G31">
        <v>14</v>
      </c>
      <c r="H31">
        <v>5</v>
      </c>
      <c r="I31">
        <v>2</v>
      </c>
      <c r="J31">
        <v>13</v>
      </c>
      <c r="K31" s="10" t="s">
        <v>589</v>
      </c>
      <c r="L31" t="s">
        <v>1626</v>
      </c>
      <c r="M31" s="10"/>
    </row>
    <row r="32" spans="2:13">
      <c r="B32" t="s">
        <v>1241</v>
      </c>
      <c r="C32">
        <v>6</v>
      </c>
      <c r="D32">
        <v>10</v>
      </c>
      <c r="K32" s="10" t="s">
        <v>135</v>
      </c>
      <c r="L32" t="s">
        <v>590</v>
      </c>
      <c r="M32" s="10"/>
    </row>
    <row r="33" spans="2:13">
      <c r="B33" t="s">
        <v>1242</v>
      </c>
      <c r="C33">
        <v>3</v>
      </c>
      <c r="D33">
        <v>2</v>
      </c>
      <c r="K33" s="10" t="s">
        <v>431</v>
      </c>
      <c r="L33" t="s">
        <v>593</v>
      </c>
      <c r="M33" s="10"/>
    </row>
    <row r="34" spans="2:13">
      <c r="B34" t="s">
        <v>1243</v>
      </c>
      <c r="C34">
        <v>3</v>
      </c>
      <c r="D34">
        <v>4</v>
      </c>
      <c r="K34" s="10" t="s">
        <v>595</v>
      </c>
      <c r="L34" t="s">
        <v>594</v>
      </c>
      <c r="M34" s="10"/>
    </row>
    <row r="35" spans="2:13">
      <c r="B35" t="s">
        <v>1244</v>
      </c>
      <c r="C35">
        <v>6</v>
      </c>
      <c r="D35">
        <v>10</v>
      </c>
      <c r="K35" s="10" t="s">
        <v>597</v>
      </c>
      <c r="L35" t="s">
        <v>596</v>
      </c>
      <c r="M35" s="10"/>
    </row>
    <row r="36" spans="2:13">
      <c r="B36" t="s">
        <v>1245</v>
      </c>
      <c r="C36">
        <v>14</v>
      </c>
      <c r="D36">
        <v>13</v>
      </c>
      <c r="K36" s="10" t="s">
        <v>316</v>
      </c>
      <c r="L36" t="s">
        <v>598</v>
      </c>
      <c r="M36" s="10"/>
    </row>
    <row r="37" spans="2:13">
      <c r="B37" t="s">
        <v>1405</v>
      </c>
      <c r="E37">
        <v>0</v>
      </c>
      <c r="F37">
        <v>0</v>
      </c>
      <c r="G37">
        <v>4</v>
      </c>
      <c r="H37">
        <v>0</v>
      </c>
      <c r="I37">
        <v>0</v>
      </c>
      <c r="J37">
        <v>8</v>
      </c>
      <c r="K37" s="10" t="s">
        <v>599</v>
      </c>
      <c r="L37" t="s">
        <v>1620</v>
      </c>
    </row>
    <row r="38" spans="2:13">
      <c r="B38" t="s">
        <v>1406</v>
      </c>
      <c r="E38" t="s">
        <v>1584</v>
      </c>
      <c r="F38">
        <v>3</v>
      </c>
      <c r="G38">
        <v>6</v>
      </c>
      <c r="H38">
        <v>2</v>
      </c>
      <c r="I38">
        <v>1</v>
      </c>
      <c r="J38">
        <v>18</v>
      </c>
      <c r="K38" s="10" t="s">
        <v>600</v>
      </c>
      <c r="L38" t="s">
        <v>1621</v>
      </c>
    </row>
    <row r="39" spans="2:13">
      <c r="B39" t="s">
        <v>1407</v>
      </c>
      <c r="E39">
        <v>6</v>
      </c>
      <c r="F39">
        <v>0</v>
      </c>
      <c r="G39">
        <v>23</v>
      </c>
      <c r="H39">
        <v>3</v>
      </c>
      <c r="I39">
        <v>2</v>
      </c>
      <c r="J39">
        <v>17</v>
      </c>
      <c r="K39" s="10" t="s">
        <v>601</v>
      </c>
      <c r="L39" t="s">
        <v>1619</v>
      </c>
    </row>
    <row r="40" spans="2:13">
      <c r="B40" t="s">
        <v>1408</v>
      </c>
      <c r="E40">
        <v>2</v>
      </c>
      <c r="F40">
        <v>7</v>
      </c>
      <c r="G40">
        <v>7</v>
      </c>
      <c r="H40">
        <v>10</v>
      </c>
      <c r="I40">
        <v>7</v>
      </c>
      <c r="J40" t="s">
        <v>1584</v>
      </c>
      <c r="K40" s="10" t="s">
        <v>602</v>
      </c>
      <c r="L40" t="s">
        <v>1617</v>
      </c>
    </row>
    <row r="41" spans="2:13">
      <c r="B41" t="s">
        <v>1409</v>
      </c>
      <c r="E41">
        <v>2</v>
      </c>
      <c r="F41">
        <v>6</v>
      </c>
      <c r="G41">
        <v>7</v>
      </c>
      <c r="H41">
        <v>1</v>
      </c>
      <c r="I41">
        <v>5</v>
      </c>
      <c r="J41">
        <v>2</v>
      </c>
      <c r="K41" s="10" t="s">
        <v>604</v>
      </c>
      <c r="L41" t="s">
        <v>1618</v>
      </c>
    </row>
    <row r="42" spans="2:13">
      <c r="B42" t="s">
        <v>1246</v>
      </c>
      <c r="C42">
        <v>2</v>
      </c>
      <c r="D42">
        <v>0</v>
      </c>
      <c r="K42" s="10" t="s">
        <v>478</v>
      </c>
      <c r="L42" t="s">
        <v>605</v>
      </c>
    </row>
    <row r="43" spans="2:13">
      <c r="B43" t="s">
        <v>1247</v>
      </c>
      <c r="C43">
        <v>1</v>
      </c>
      <c r="D43">
        <v>0</v>
      </c>
      <c r="K43" s="10" t="s">
        <v>176</v>
      </c>
      <c r="L43" t="s">
        <v>606</v>
      </c>
    </row>
    <row r="44" spans="2:13">
      <c r="B44" t="s">
        <v>1248</v>
      </c>
      <c r="C44">
        <v>1</v>
      </c>
      <c r="D44">
        <v>0</v>
      </c>
      <c r="K44" s="10" t="s">
        <v>73</v>
      </c>
      <c r="L44" t="s">
        <v>607</v>
      </c>
    </row>
    <row r="45" spans="2:13">
      <c r="B45" t="s">
        <v>1249</v>
      </c>
      <c r="C45">
        <v>3</v>
      </c>
      <c r="D45">
        <v>0</v>
      </c>
      <c r="K45" s="10" t="s">
        <v>264</v>
      </c>
      <c r="L45" t="s">
        <v>608</v>
      </c>
    </row>
    <row r="46" spans="2:13">
      <c r="B46" t="s">
        <v>1250</v>
      </c>
      <c r="C46">
        <v>2</v>
      </c>
      <c r="D46">
        <v>0</v>
      </c>
      <c r="K46" s="10" t="s">
        <v>375</v>
      </c>
      <c r="L46" t="s">
        <v>609</v>
      </c>
    </row>
    <row r="47" spans="2:13">
      <c r="B47" t="s">
        <v>1410</v>
      </c>
      <c r="E47">
        <v>4</v>
      </c>
      <c r="F47">
        <v>0</v>
      </c>
      <c r="G47">
        <v>4</v>
      </c>
      <c r="H47">
        <v>7</v>
      </c>
      <c r="I47">
        <v>0</v>
      </c>
      <c r="J47">
        <v>4</v>
      </c>
      <c r="K47" s="10" t="s">
        <v>610</v>
      </c>
      <c r="L47" t="s">
        <v>1683</v>
      </c>
      <c r="M47" s="10"/>
    </row>
    <row r="48" spans="2:13">
      <c r="B48" t="s">
        <v>1411</v>
      </c>
      <c r="E48">
        <v>1</v>
      </c>
      <c r="F48">
        <v>1</v>
      </c>
      <c r="G48">
        <v>5</v>
      </c>
      <c r="H48">
        <v>0</v>
      </c>
      <c r="I48">
        <v>1</v>
      </c>
      <c r="J48">
        <v>8</v>
      </c>
      <c r="K48" s="10" t="s">
        <v>611</v>
      </c>
      <c r="L48" t="s">
        <v>1684</v>
      </c>
      <c r="M48" s="10"/>
    </row>
    <row r="49" spans="2:13">
      <c r="B49" t="s">
        <v>1412</v>
      </c>
      <c r="E49">
        <v>0</v>
      </c>
      <c r="F49">
        <v>2</v>
      </c>
      <c r="G49">
        <v>3</v>
      </c>
      <c r="H49">
        <v>11</v>
      </c>
      <c r="I49">
        <v>4</v>
      </c>
      <c r="J49">
        <v>15</v>
      </c>
      <c r="K49" s="10" t="s">
        <v>612</v>
      </c>
      <c r="L49" t="s">
        <v>1681</v>
      </c>
      <c r="M49" s="10"/>
    </row>
    <row r="50" spans="2:13">
      <c r="B50" t="s">
        <v>1413</v>
      </c>
      <c r="E50">
        <v>0</v>
      </c>
      <c r="F50">
        <v>0</v>
      </c>
      <c r="G50">
        <v>2</v>
      </c>
      <c r="H50">
        <v>6</v>
      </c>
      <c r="I50">
        <v>1</v>
      </c>
      <c r="J50">
        <v>6</v>
      </c>
      <c r="K50" s="10" t="s">
        <v>613</v>
      </c>
      <c r="L50" t="s">
        <v>1682</v>
      </c>
      <c r="M50" s="10"/>
    </row>
    <row r="51" spans="2:13">
      <c r="B51" t="s">
        <v>1414</v>
      </c>
      <c r="E51">
        <v>3</v>
      </c>
      <c r="F51">
        <v>0</v>
      </c>
      <c r="G51">
        <v>8</v>
      </c>
      <c r="H51">
        <v>5</v>
      </c>
      <c r="I51">
        <v>3</v>
      </c>
      <c r="J51">
        <v>0</v>
      </c>
      <c r="K51" s="10" t="s">
        <v>615</v>
      </c>
      <c r="L51" t="s">
        <v>1685</v>
      </c>
      <c r="M51" s="10"/>
    </row>
    <row r="52" spans="2:13">
      <c r="B52" t="s">
        <v>1251</v>
      </c>
      <c r="C52">
        <v>0</v>
      </c>
      <c r="D52">
        <v>0</v>
      </c>
      <c r="K52" s="10" t="s">
        <v>617</v>
      </c>
      <c r="L52" t="s">
        <v>616</v>
      </c>
      <c r="M52" s="10"/>
    </row>
    <row r="53" spans="2:13">
      <c r="B53" t="s">
        <v>1252</v>
      </c>
      <c r="C53">
        <v>0</v>
      </c>
      <c r="D53">
        <v>0</v>
      </c>
      <c r="K53" s="10" t="s">
        <v>396</v>
      </c>
      <c r="L53" t="s">
        <v>618</v>
      </c>
      <c r="M53" s="10"/>
    </row>
    <row r="54" spans="2:13">
      <c r="B54" t="s">
        <v>1253</v>
      </c>
      <c r="C54">
        <v>3</v>
      </c>
      <c r="D54">
        <v>0</v>
      </c>
      <c r="K54" s="10" t="s">
        <v>249</v>
      </c>
      <c r="L54" t="s">
        <v>619</v>
      </c>
      <c r="M54" s="10"/>
    </row>
    <row r="55" spans="2:13">
      <c r="B55" t="s">
        <v>1254</v>
      </c>
      <c r="C55">
        <v>2</v>
      </c>
      <c r="D55">
        <v>0</v>
      </c>
      <c r="K55" s="10" t="s">
        <v>517</v>
      </c>
      <c r="L55" t="s">
        <v>620</v>
      </c>
      <c r="M55" s="10"/>
    </row>
    <row r="56" spans="2:13">
      <c r="B56" t="s">
        <v>1255</v>
      </c>
      <c r="C56">
        <v>2</v>
      </c>
      <c r="D56">
        <v>0</v>
      </c>
      <c r="K56" s="10" t="s">
        <v>482</v>
      </c>
      <c r="L56" t="s">
        <v>621</v>
      </c>
      <c r="M56" s="10"/>
    </row>
    <row r="57" spans="2:13">
      <c r="B57" t="s">
        <v>1415</v>
      </c>
      <c r="E57">
        <v>0</v>
      </c>
      <c r="F57">
        <v>0</v>
      </c>
      <c r="G57">
        <v>10</v>
      </c>
      <c r="H57">
        <v>12</v>
      </c>
      <c r="I57">
        <v>9</v>
      </c>
      <c r="J57">
        <v>16</v>
      </c>
      <c r="K57" s="10" t="s">
        <v>622</v>
      </c>
      <c r="L57" t="s">
        <v>1680</v>
      </c>
    </row>
    <row r="58" spans="2:13">
      <c r="B58" t="s">
        <v>1416</v>
      </c>
      <c r="E58">
        <v>1</v>
      </c>
      <c r="F58">
        <v>0</v>
      </c>
      <c r="G58">
        <v>4</v>
      </c>
      <c r="H58">
        <v>13</v>
      </c>
      <c r="I58">
        <v>0</v>
      </c>
      <c r="J58">
        <v>7</v>
      </c>
      <c r="K58" s="10" t="s">
        <v>623</v>
      </c>
      <c r="L58" t="s">
        <v>1678</v>
      </c>
    </row>
    <row r="59" spans="2:13">
      <c r="B59" t="s">
        <v>1417</v>
      </c>
      <c r="E59">
        <v>0</v>
      </c>
      <c r="F59">
        <v>0</v>
      </c>
      <c r="G59">
        <v>13</v>
      </c>
      <c r="H59">
        <v>17</v>
      </c>
      <c r="I59">
        <v>4</v>
      </c>
      <c r="J59">
        <v>16</v>
      </c>
      <c r="K59" s="10" t="s">
        <v>624</v>
      </c>
      <c r="L59" t="s">
        <v>1677</v>
      </c>
    </row>
    <row r="60" spans="2:13">
      <c r="B60" t="s">
        <v>1418</v>
      </c>
      <c r="E60">
        <v>2</v>
      </c>
      <c r="F60">
        <v>0</v>
      </c>
      <c r="G60">
        <v>9</v>
      </c>
      <c r="H60">
        <v>18</v>
      </c>
      <c r="I60">
        <v>10</v>
      </c>
      <c r="J60">
        <v>20</v>
      </c>
      <c r="K60" s="10" t="s">
        <v>625</v>
      </c>
      <c r="L60" t="s">
        <v>1686</v>
      </c>
    </row>
    <row r="61" spans="2:13">
      <c r="B61" t="s">
        <v>1419</v>
      </c>
      <c r="E61">
        <v>0</v>
      </c>
      <c r="F61">
        <v>0</v>
      </c>
      <c r="G61">
        <v>9</v>
      </c>
      <c r="H61">
        <v>15</v>
      </c>
      <c r="I61">
        <v>2</v>
      </c>
      <c r="J61">
        <v>13</v>
      </c>
      <c r="K61" s="10" t="s">
        <v>626</v>
      </c>
      <c r="L61" t="s">
        <v>1679</v>
      </c>
    </row>
    <row r="62" spans="2:13">
      <c r="B62" t="s">
        <v>1256</v>
      </c>
      <c r="C62">
        <v>2</v>
      </c>
      <c r="D62" t="s">
        <v>1590</v>
      </c>
      <c r="K62" s="10" t="s">
        <v>203</v>
      </c>
      <c r="L62" t="s">
        <v>627</v>
      </c>
    </row>
    <row r="63" spans="2:13">
      <c r="B63" t="s">
        <v>1257</v>
      </c>
      <c r="C63">
        <v>4</v>
      </c>
      <c r="D63">
        <v>11</v>
      </c>
      <c r="K63" s="10" t="s">
        <v>46</v>
      </c>
      <c r="L63" t="s">
        <v>628</v>
      </c>
    </row>
    <row r="64" spans="2:13">
      <c r="B64" t="s">
        <v>1258</v>
      </c>
      <c r="C64">
        <v>3</v>
      </c>
      <c r="D64">
        <v>16</v>
      </c>
      <c r="K64" s="10" t="s">
        <v>83</v>
      </c>
      <c r="L64" t="s">
        <v>629</v>
      </c>
    </row>
    <row r="65" spans="2:13">
      <c r="B65" t="s">
        <v>1259</v>
      </c>
      <c r="C65">
        <v>2</v>
      </c>
      <c r="D65">
        <v>10</v>
      </c>
      <c r="K65" s="10" t="s">
        <v>402</v>
      </c>
      <c r="L65" t="s">
        <v>630</v>
      </c>
    </row>
    <row r="66" spans="2:13">
      <c r="B66" t="s">
        <v>1260</v>
      </c>
      <c r="C66">
        <v>1</v>
      </c>
      <c r="D66">
        <v>15</v>
      </c>
      <c r="K66" s="10" t="s">
        <v>229</v>
      </c>
      <c r="L66" t="s">
        <v>631</v>
      </c>
    </row>
    <row r="67" spans="2:13">
      <c r="B67" t="s">
        <v>1420</v>
      </c>
      <c r="E67">
        <v>5</v>
      </c>
      <c r="F67">
        <v>0</v>
      </c>
      <c r="G67">
        <v>12</v>
      </c>
      <c r="H67">
        <v>1</v>
      </c>
      <c r="I67">
        <v>6</v>
      </c>
      <c r="J67">
        <v>8</v>
      </c>
      <c r="K67" s="10" t="s">
        <v>632</v>
      </c>
      <c r="L67" t="s">
        <v>1636</v>
      </c>
      <c r="M67" s="10"/>
    </row>
    <row r="68" spans="2:13">
      <c r="B68" t="s">
        <v>1421</v>
      </c>
      <c r="E68">
        <v>1</v>
      </c>
      <c r="F68">
        <v>0</v>
      </c>
      <c r="G68">
        <v>4</v>
      </c>
      <c r="H68">
        <v>0</v>
      </c>
      <c r="I68">
        <v>1</v>
      </c>
      <c r="J68" t="s">
        <v>1584</v>
      </c>
      <c r="K68" s="10" t="s">
        <v>633</v>
      </c>
      <c r="L68" t="s">
        <v>1633</v>
      </c>
      <c r="M68" s="10"/>
    </row>
    <row r="69" spans="2:13">
      <c r="B69" t="s">
        <v>1422</v>
      </c>
      <c r="E69">
        <v>4</v>
      </c>
      <c r="F69">
        <v>0</v>
      </c>
      <c r="G69">
        <v>17</v>
      </c>
      <c r="H69">
        <v>4</v>
      </c>
      <c r="I69">
        <v>7</v>
      </c>
      <c r="J69">
        <v>12</v>
      </c>
      <c r="K69" s="10" t="s">
        <v>634</v>
      </c>
      <c r="L69" t="s">
        <v>1635</v>
      </c>
      <c r="M69" s="10"/>
    </row>
    <row r="70" spans="2:13">
      <c r="B70" t="s">
        <v>1423</v>
      </c>
      <c r="E70">
        <v>1</v>
      </c>
      <c r="F70">
        <v>0</v>
      </c>
      <c r="G70">
        <v>14</v>
      </c>
      <c r="H70">
        <v>3</v>
      </c>
      <c r="I70">
        <v>0</v>
      </c>
      <c r="J70">
        <v>11</v>
      </c>
      <c r="K70" s="10" t="s">
        <v>635</v>
      </c>
      <c r="L70" t="s">
        <v>1634</v>
      </c>
      <c r="M70" s="10"/>
    </row>
    <row r="71" spans="2:13">
      <c r="B71" t="s">
        <v>1424</v>
      </c>
      <c r="E71">
        <v>0</v>
      </c>
      <c r="F71">
        <v>0</v>
      </c>
      <c r="G71">
        <v>9</v>
      </c>
      <c r="H71">
        <v>2</v>
      </c>
      <c r="I71">
        <v>2</v>
      </c>
      <c r="J71">
        <v>3</v>
      </c>
      <c r="K71" s="10" t="s">
        <v>636</v>
      </c>
      <c r="L71" t="s">
        <v>1632</v>
      </c>
      <c r="M71" s="10"/>
    </row>
    <row r="72" spans="2:13">
      <c r="B72" t="s">
        <v>1261</v>
      </c>
      <c r="C72">
        <v>1</v>
      </c>
      <c r="D72">
        <v>11</v>
      </c>
      <c r="K72" s="10" t="s">
        <v>343</v>
      </c>
      <c r="L72" t="s">
        <v>637</v>
      </c>
      <c r="M72" s="10"/>
    </row>
    <row r="73" spans="2:13">
      <c r="B73" t="s">
        <v>1262</v>
      </c>
      <c r="C73">
        <v>2</v>
      </c>
      <c r="D73">
        <v>14</v>
      </c>
      <c r="K73" s="10" t="s">
        <v>419</v>
      </c>
      <c r="L73" t="s">
        <v>638</v>
      </c>
      <c r="M73" s="10"/>
    </row>
    <row r="74" spans="2:13">
      <c r="B74" t="s">
        <v>1263</v>
      </c>
      <c r="C74">
        <v>2</v>
      </c>
      <c r="D74">
        <v>12</v>
      </c>
      <c r="K74" s="10" t="s">
        <v>640</v>
      </c>
      <c r="L74" t="s">
        <v>639</v>
      </c>
      <c r="M74" s="10"/>
    </row>
    <row r="75" spans="2:13">
      <c r="B75" t="s">
        <v>1264</v>
      </c>
      <c r="C75">
        <v>0</v>
      </c>
      <c r="D75">
        <v>10</v>
      </c>
      <c r="K75" s="10" t="s">
        <v>437</v>
      </c>
      <c r="L75" t="s">
        <v>641</v>
      </c>
      <c r="M75" s="10"/>
    </row>
    <row r="76" spans="2:13">
      <c r="B76" t="s">
        <v>1265</v>
      </c>
      <c r="C76">
        <v>1</v>
      </c>
      <c r="D76">
        <v>5</v>
      </c>
      <c r="K76" s="10" t="s">
        <v>422</v>
      </c>
      <c r="L76" t="s">
        <v>642</v>
      </c>
      <c r="M76" s="10"/>
    </row>
    <row r="77" spans="2:13">
      <c r="B77" t="s">
        <v>1425</v>
      </c>
      <c r="E77">
        <v>0</v>
      </c>
      <c r="F77">
        <v>0</v>
      </c>
      <c r="G77">
        <v>12</v>
      </c>
      <c r="H77">
        <v>0</v>
      </c>
      <c r="I77">
        <v>0</v>
      </c>
      <c r="J77" t="s">
        <v>1584</v>
      </c>
      <c r="K77" s="10" t="s">
        <v>643</v>
      </c>
      <c r="L77" t="s">
        <v>1628</v>
      </c>
    </row>
    <row r="78" spans="2:13">
      <c r="B78" t="s">
        <v>1426</v>
      </c>
      <c r="E78">
        <v>0</v>
      </c>
      <c r="F78">
        <v>1</v>
      </c>
      <c r="G78">
        <v>14</v>
      </c>
      <c r="H78">
        <v>11</v>
      </c>
      <c r="I78">
        <v>6</v>
      </c>
      <c r="J78">
        <v>11</v>
      </c>
      <c r="K78" s="10" t="s">
        <v>644</v>
      </c>
      <c r="L78" t="s">
        <v>1631</v>
      </c>
    </row>
    <row r="79" spans="2:13">
      <c r="B79" t="s">
        <v>1427</v>
      </c>
      <c r="E79">
        <v>0</v>
      </c>
      <c r="F79">
        <v>1</v>
      </c>
      <c r="G79">
        <v>16</v>
      </c>
      <c r="H79">
        <v>1</v>
      </c>
      <c r="I79">
        <v>6</v>
      </c>
      <c r="J79">
        <v>13</v>
      </c>
      <c r="K79" s="10" t="s">
        <v>645</v>
      </c>
      <c r="L79" t="s">
        <v>1627</v>
      </c>
    </row>
    <row r="80" spans="2:13">
      <c r="B80" t="s">
        <v>1428</v>
      </c>
      <c r="E80">
        <v>1</v>
      </c>
      <c r="F80">
        <v>0</v>
      </c>
      <c r="G80">
        <v>9</v>
      </c>
      <c r="H80">
        <v>1</v>
      </c>
      <c r="I80">
        <v>1</v>
      </c>
      <c r="J80">
        <v>8</v>
      </c>
      <c r="K80" s="10" t="s">
        <v>647</v>
      </c>
      <c r="L80" t="s">
        <v>1629</v>
      </c>
    </row>
    <row r="81" spans="2:14">
      <c r="B81" t="s">
        <v>1429</v>
      </c>
      <c r="E81">
        <v>0</v>
      </c>
      <c r="F81">
        <v>0</v>
      </c>
      <c r="G81">
        <v>2</v>
      </c>
      <c r="H81">
        <v>2</v>
      </c>
      <c r="I81">
        <v>0</v>
      </c>
      <c r="J81">
        <v>9</v>
      </c>
      <c r="K81" s="10" t="s">
        <v>648</v>
      </c>
      <c r="L81" t="s">
        <v>1630</v>
      </c>
    </row>
    <row r="82" spans="2:14">
      <c r="B82" t="s">
        <v>1266</v>
      </c>
      <c r="C82">
        <v>3</v>
      </c>
      <c r="D82">
        <v>1</v>
      </c>
      <c r="K82" s="10" t="s">
        <v>15</v>
      </c>
      <c r="L82" s="63" t="s">
        <v>1608</v>
      </c>
      <c r="M82" s="10"/>
      <c r="N82" s="63"/>
    </row>
    <row r="83" spans="2:14">
      <c r="B83" t="s">
        <v>1267</v>
      </c>
      <c r="C83">
        <v>0</v>
      </c>
      <c r="D83">
        <v>3</v>
      </c>
      <c r="K83" s="10" t="s">
        <v>406</v>
      </c>
      <c r="L83" s="63" t="s">
        <v>1607</v>
      </c>
      <c r="M83" s="10"/>
      <c r="N83" s="63"/>
    </row>
    <row r="84" spans="2:14">
      <c r="B84" t="s">
        <v>1268</v>
      </c>
      <c r="C84">
        <v>0</v>
      </c>
      <c r="D84">
        <v>0</v>
      </c>
      <c r="K84" s="10" t="s">
        <v>107</v>
      </c>
      <c r="L84" s="63" t="s">
        <v>1610</v>
      </c>
      <c r="M84" s="10"/>
      <c r="N84" s="63"/>
    </row>
    <row r="85" spans="2:14">
      <c r="B85" t="s">
        <v>1269</v>
      </c>
      <c r="C85">
        <v>7</v>
      </c>
      <c r="D85">
        <v>0</v>
      </c>
      <c r="K85" s="10" t="s">
        <v>327</v>
      </c>
      <c r="L85" s="63" t="s">
        <v>1609</v>
      </c>
      <c r="M85" s="10"/>
      <c r="N85" s="63"/>
    </row>
    <row r="86" spans="2:14">
      <c r="B86" t="s">
        <v>1270</v>
      </c>
      <c r="C86">
        <v>5</v>
      </c>
      <c r="D86">
        <v>1</v>
      </c>
      <c r="K86" s="10" t="s">
        <v>533</v>
      </c>
      <c r="L86" s="63" t="s">
        <v>1606</v>
      </c>
      <c r="M86" s="10"/>
      <c r="N86" s="63"/>
    </row>
    <row r="87" spans="2:14">
      <c r="B87" t="s">
        <v>1430</v>
      </c>
      <c r="E87">
        <v>2</v>
      </c>
      <c r="F87">
        <v>0</v>
      </c>
      <c r="G87">
        <v>8</v>
      </c>
      <c r="H87">
        <v>0</v>
      </c>
      <c r="I87">
        <v>3</v>
      </c>
      <c r="J87">
        <v>2</v>
      </c>
      <c r="K87" s="10" t="s">
        <v>654</v>
      </c>
      <c r="L87" t="s">
        <v>1663</v>
      </c>
      <c r="M87" s="10"/>
    </row>
    <row r="88" spans="2:14">
      <c r="B88" t="s">
        <v>1431</v>
      </c>
      <c r="E88">
        <v>6</v>
      </c>
      <c r="F88">
        <v>0</v>
      </c>
      <c r="G88">
        <v>6</v>
      </c>
      <c r="H88">
        <v>0</v>
      </c>
      <c r="I88">
        <v>1</v>
      </c>
      <c r="J88" t="s">
        <v>1584</v>
      </c>
      <c r="K88" s="10" t="s">
        <v>655</v>
      </c>
      <c r="L88" t="s">
        <v>1665</v>
      </c>
      <c r="M88" s="10"/>
    </row>
    <row r="89" spans="2:14">
      <c r="B89" t="s">
        <v>1432</v>
      </c>
      <c r="E89">
        <v>3</v>
      </c>
      <c r="F89">
        <v>4</v>
      </c>
      <c r="G89">
        <v>15</v>
      </c>
      <c r="H89">
        <v>2</v>
      </c>
      <c r="I89">
        <v>3</v>
      </c>
      <c r="J89">
        <v>4</v>
      </c>
      <c r="K89" s="10" t="s">
        <v>657</v>
      </c>
      <c r="L89" t="s">
        <v>1662</v>
      </c>
      <c r="M89" s="10"/>
    </row>
    <row r="90" spans="2:14">
      <c r="B90" t="s">
        <v>1433</v>
      </c>
      <c r="E90">
        <v>3</v>
      </c>
      <c r="F90">
        <v>0</v>
      </c>
      <c r="G90">
        <v>6</v>
      </c>
      <c r="H90">
        <v>0</v>
      </c>
      <c r="I90">
        <v>0</v>
      </c>
      <c r="J90">
        <v>1</v>
      </c>
      <c r="K90" s="10" t="s">
        <v>658</v>
      </c>
      <c r="L90" t="s">
        <v>1664</v>
      </c>
      <c r="M90" s="10"/>
    </row>
    <row r="91" spans="2:14">
      <c r="B91" t="s">
        <v>1434</v>
      </c>
      <c r="E91">
        <v>5</v>
      </c>
      <c r="F91">
        <v>2</v>
      </c>
      <c r="G91">
        <v>3</v>
      </c>
      <c r="H91">
        <v>2</v>
      </c>
      <c r="I91">
        <v>1</v>
      </c>
      <c r="J91">
        <v>1</v>
      </c>
      <c r="K91" s="10" t="s">
        <v>659</v>
      </c>
      <c r="L91" t="s">
        <v>1666</v>
      </c>
      <c r="M91" s="10"/>
    </row>
    <row r="92" spans="2:14">
      <c r="B92" t="s">
        <v>1271</v>
      </c>
      <c r="C92">
        <v>21</v>
      </c>
      <c r="D92">
        <v>1</v>
      </c>
      <c r="E92">
        <v>5</v>
      </c>
      <c r="F92">
        <v>2</v>
      </c>
      <c r="G92">
        <v>10</v>
      </c>
      <c r="H92">
        <v>4</v>
      </c>
      <c r="I92">
        <v>1</v>
      </c>
      <c r="J92">
        <v>1</v>
      </c>
      <c r="K92" s="10" t="s">
        <v>33</v>
      </c>
      <c r="L92" s="63" t="s">
        <v>1613</v>
      </c>
      <c r="M92" s="10"/>
    </row>
    <row r="93" spans="2:14">
      <c r="B93" t="s">
        <v>1272</v>
      </c>
      <c r="C93">
        <v>19</v>
      </c>
      <c r="D93">
        <v>2</v>
      </c>
      <c r="K93" s="10" t="s">
        <v>30</v>
      </c>
      <c r="L93" s="63" t="s">
        <v>1611</v>
      </c>
      <c r="M93" s="10"/>
    </row>
    <row r="94" spans="2:14">
      <c r="B94" t="s">
        <v>1273</v>
      </c>
      <c r="C94">
        <v>12</v>
      </c>
      <c r="D94">
        <v>0</v>
      </c>
      <c r="K94" s="10" t="s">
        <v>66</v>
      </c>
      <c r="L94" s="63" t="s">
        <v>1615</v>
      </c>
      <c r="M94" s="10"/>
    </row>
    <row r="95" spans="2:14">
      <c r="B95" t="s">
        <v>1274</v>
      </c>
      <c r="C95">
        <v>18</v>
      </c>
      <c r="D95">
        <v>0</v>
      </c>
      <c r="K95" s="10" t="s">
        <v>459</v>
      </c>
      <c r="L95" s="63" t="s">
        <v>1612</v>
      </c>
      <c r="M95" s="10"/>
    </row>
    <row r="96" spans="2:14">
      <c r="B96" t="s">
        <v>1275</v>
      </c>
      <c r="C96">
        <v>14</v>
      </c>
      <c r="D96">
        <v>0</v>
      </c>
      <c r="K96" s="10" t="s">
        <v>98</v>
      </c>
      <c r="L96" s="63" t="s">
        <v>1614</v>
      </c>
      <c r="M96" s="10"/>
    </row>
    <row r="97" spans="2:14">
      <c r="B97" t="s">
        <v>1435</v>
      </c>
      <c r="E97">
        <v>5</v>
      </c>
      <c r="F97">
        <v>2</v>
      </c>
      <c r="G97">
        <v>10</v>
      </c>
      <c r="H97">
        <v>4</v>
      </c>
      <c r="I97">
        <v>1</v>
      </c>
      <c r="J97">
        <v>1</v>
      </c>
      <c r="K97" s="10" t="s">
        <v>665</v>
      </c>
      <c r="L97" t="s">
        <v>1658</v>
      </c>
    </row>
    <row r="98" spans="2:14">
      <c r="B98" t="s">
        <v>1436</v>
      </c>
      <c r="E98">
        <v>5</v>
      </c>
      <c r="F98">
        <v>2</v>
      </c>
      <c r="G98">
        <v>12</v>
      </c>
      <c r="H98">
        <v>4</v>
      </c>
      <c r="I98">
        <v>3</v>
      </c>
      <c r="J98">
        <v>2</v>
      </c>
      <c r="K98" s="10" t="s">
        <v>666</v>
      </c>
      <c r="L98" t="s">
        <v>1661</v>
      </c>
    </row>
    <row r="99" spans="2:14">
      <c r="B99" t="s">
        <v>1437</v>
      </c>
      <c r="E99">
        <v>4</v>
      </c>
      <c r="F99">
        <v>0</v>
      </c>
      <c r="G99">
        <v>20</v>
      </c>
      <c r="H99">
        <v>2</v>
      </c>
      <c r="I99">
        <v>4</v>
      </c>
      <c r="J99">
        <v>3</v>
      </c>
      <c r="K99" s="10" t="s">
        <v>667</v>
      </c>
      <c r="L99" t="s">
        <v>1660</v>
      </c>
    </row>
    <row r="100" spans="2:14">
      <c r="B100" t="s">
        <v>1438</v>
      </c>
      <c r="E100">
        <v>6</v>
      </c>
      <c r="F100">
        <v>0</v>
      </c>
      <c r="G100">
        <v>17</v>
      </c>
      <c r="H100">
        <v>9</v>
      </c>
      <c r="I100">
        <v>10</v>
      </c>
      <c r="J100">
        <v>3</v>
      </c>
      <c r="K100" s="10" t="s">
        <v>668</v>
      </c>
      <c r="L100" t="s">
        <v>1659</v>
      </c>
    </row>
    <row r="101" spans="2:14">
      <c r="B101" t="s">
        <v>1439</v>
      </c>
      <c r="E101">
        <v>4</v>
      </c>
      <c r="F101">
        <v>2</v>
      </c>
      <c r="G101">
        <v>13</v>
      </c>
      <c r="H101">
        <v>4</v>
      </c>
      <c r="I101">
        <v>6</v>
      </c>
      <c r="J101">
        <v>2</v>
      </c>
      <c r="K101" s="10" t="s">
        <v>669</v>
      </c>
      <c r="L101" t="s">
        <v>1657</v>
      </c>
      <c r="M101" s="10"/>
      <c r="N101" s="62"/>
    </row>
    <row r="102" spans="2:14">
      <c r="B102" t="s">
        <v>1276</v>
      </c>
      <c r="C102">
        <v>14</v>
      </c>
      <c r="D102">
        <v>21</v>
      </c>
      <c r="K102" s="10" t="s">
        <v>336</v>
      </c>
      <c r="L102" s="62" t="s">
        <v>1600</v>
      </c>
      <c r="M102" s="10"/>
      <c r="N102" s="62"/>
    </row>
    <row r="103" spans="2:14">
      <c r="B103" t="s">
        <v>1277</v>
      </c>
      <c r="C103">
        <v>8</v>
      </c>
      <c r="D103">
        <v>12</v>
      </c>
      <c r="K103" s="10" t="s">
        <v>670</v>
      </c>
      <c r="L103" s="62" t="s">
        <v>1596</v>
      </c>
      <c r="M103" s="10"/>
      <c r="N103" s="62"/>
    </row>
    <row r="104" spans="2:14">
      <c r="B104" t="s">
        <v>1278</v>
      </c>
      <c r="C104">
        <v>6</v>
      </c>
      <c r="D104">
        <v>16</v>
      </c>
      <c r="K104" s="10" t="s">
        <v>495</v>
      </c>
      <c r="L104" s="62" t="s">
        <v>1597</v>
      </c>
      <c r="M104" s="10"/>
      <c r="N104" s="62"/>
    </row>
    <row r="105" spans="2:14">
      <c r="B105" t="s">
        <v>1279</v>
      </c>
      <c r="C105">
        <v>0</v>
      </c>
      <c r="D105">
        <v>15</v>
      </c>
      <c r="K105" s="10" t="s">
        <v>104</v>
      </c>
      <c r="L105" s="62" t="s">
        <v>1598</v>
      </c>
      <c r="M105" s="10"/>
      <c r="N105" s="62"/>
    </row>
    <row r="106" spans="2:14">
      <c r="B106" t="s">
        <v>1280</v>
      </c>
      <c r="C106">
        <v>5</v>
      </c>
      <c r="D106">
        <v>15</v>
      </c>
      <c r="K106" s="10" t="s">
        <v>167</v>
      </c>
      <c r="L106" s="62" t="s">
        <v>1599</v>
      </c>
      <c r="M106" s="10"/>
      <c r="N106" s="62"/>
    </row>
    <row r="107" spans="2:14">
      <c r="B107" t="s">
        <v>1440</v>
      </c>
      <c r="E107">
        <v>0</v>
      </c>
      <c r="F107">
        <v>0</v>
      </c>
      <c r="G107">
        <v>0</v>
      </c>
      <c r="H107">
        <v>8</v>
      </c>
      <c r="I107">
        <v>3</v>
      </c>
      <c r="J107">
        <v>8</v>
      </c>
      <c r="K107" s="10" t="s">
        <v>672</v>
      </c>
      <c r="L107" t="s">
        <v>1675</v>
      </c>
      <c r="M107" s="10"/>
    </row>
    <row r="108" spans="2:14">
      <c r="B108" t="s">
        <v>1441</v>
      </c>
      <c r="E108">
        <v>3</v>
      </c>
      <c r="F108">
        <v>0</v>
      </c>
      <c r="G108">
        <v>3</v>
      </c>
      <c r="H108">
        <v>3</v>
      </c>
      <c r="I108">
        <v>5</v>
      </c>
      <c r="J108">
        <v>16</v>
      </c>
      <c r="K108" s="10" t="s">
        <v>673</v>
      </c>
      <c r="L108" t="s">
        <v>1673</v>
      </c>
      <c r="M108" s="10"/>
    </row>
    <row r="109" spans="2:14">
      <c r="B109" t="s">
        <v>1442</v>
      </c>
      <c r="E109">
        <v>5</v>
      </c>
      <c r="F109">
        <v>0</v>
      </c>
      <c r="G109">
        <v>10</v>
      </c>
      <c r="H109">
        <v>6</v>
      </c>
      <c r="I109">
        <v>5</v>
      </c>
      <c r="J109">
        <v>22</v>
      </c>
      <c r="K109" s="10" t="s">
        <v>674</v>
      </c>
      <c r="L109" t="s">
        <v>1674</v>
      </c>
      <c r="M109" s="10"/>
    </row>
    <row r="110" spans="2:14">
      <c r="B110" t="s">
        <v>1443</v>
      </c>
      <c r="E110">
        <v>8</v>
      </c>
      <c r="F110">
        <v>3</v>
      </c>
      <c r="G110">
        <v>5</v>
      </c>
      <c r="H110">
        <v>6</v>
      </c>
      <c r="I110">
        <v>15</v>
      </c>
      <c r="J110">
        <v>17</v>
      </c>
      <c r="K110" s="10" t="s">
        <v>675</v>
      </c>
      <c r="L110" t="s">
        <v>1672</v>
      </c>
      <c r="M110" s="10"/>
    </row>
    <row r="111" spans="2:14">
      <c r="B111" t="s">
        <v>1444</v>
      </c>
      <c r="E111">
        <v>9</v>
      </c>
      <c r="F111">
        <v>0</v>
      </c>
      <c r="G111">
        <v>6</v>
      </c>
      <c r="H111">
        <v>0</v>
      </c>
      <c r="I111">
        <v>5</v>
      </c>
      <c r="J111">
        <v>10</v>
      </c>
      <c r="K111" s="10" t="s">
        <v>676</v>
      </c>
      <c r="L111" t="s">
        <v>1676</v>
      </c>
      <c r="M111" s="10"/>
    </row>
    <row r="112" spans="2:14">
      <c r="B112" t="s">
        <v>1281</v>
      </c>
      <c r="C112">
        <v>5</v>
      </c>
      <c r="D112">
        <v>25</v>
      </c>
      <c r="K112" s="10" t="s">
        <v>110</v>
      </c>
      <c r="L112" s="62" t="s">
        <v>1602</v>
      </c>
      <c r="M112" s="10"/>
    </row>
    <row r="113" spans="2:13">
      <c r="B113" t="s">
        <v>1282</v>
      </c>
      <c r="C113">
        <v>15</v>
      </c>
      <c r="D113">
        <v>17</v>
      </c>
      <c r="K113" s="10" t="s">
        <v>187</v>
      </c>
      <c r="L113" s="62" t="s">
        <v>1603</v>
      </c>
      <c r="M113" s="10"/>
    </row>
    <row r="114" spans="2:13">
      <c r="B114" t="s">
        <v>1283</v>
      </c>
      <c r="C114">
        <v>24</v>
      </c>
      <c r="D114">
        <v>20</v>
      </c>
      <c r="K114" s="10" t="s">
        <v>170</v>
      </c>
      <c r="L114" s="62" t="s">
        <v>1605</v>
      </c>
      <c r="M114" s="10"/>
    </row>
    <row r="115" spans="2:13">
      <c r="B115" t="s">
        <v>1284</v>
      </c>
      <c r="C115">
        <v>32</v>
      </c>
      <c r="D115">
        <v>20</v>
      </c>
      <c r="K115" s="10" t="s">
        <v>399</v>
      </c>
      <c r="L115" s="62" t="s">
        <v>1601</v>
      </c>
      <c r="M115" s="10"/>
    </row>
    <row r="116" spans="2:13">
      <c r="B116" t="s">
        <v>1285</v>
      </c>
      <c r="C116">
        <v>15</v>
      </c>
      <c r="D116">
        <v>16</v>
      </c>
      <c r="K116" s="10" t="s">
        <v>678</v>
      </c>
      <c r="L116" s="62" t="s">
        <v>1604</v>
      </c>
      <c r="M116" s="10"/>
    </row>
    <row r="117" spans="2:13">
      <c r="B117" t="s">
        <v>1445</v>
      </c>
      <c r="E117">
        <v>6</v>
      </c>
      <c r="F117">
        <v>0</v>
      </c>
      <c r="G117">
        <v>2</v>
      </c>
      <c r="H117">
        <v>5</v>
      </c>
      <c r="I117">
        <v>1</v>
      </c>
      <c r="J117">
        <v>12</v>
      </c>
      <c r="K117" s="10" t="s">
        <v>680</v>
      </c>
      <c r="L117" t="s">
        <v>1667</v>
      </c>
    </row>
    <row r="118" spans="2:13">
      <c r="B118" t="s">
        <v>1446</v>
      </c>
      <c r="E118">
        <v>0</v>
      </c>
      <c r="F118">
        <v>1</v>
      </c>
      <c r="G118">
        <v>0</v>
      </c>
      <c r="H118">
        <v>5</v>
      </c>
      <c r="I118">
        <v>1</v>
      </c>
      <c r="J118">
        <v>11</v>
      </c>
      <c r="K118" s="10" t="s">
        <v>681</v>
      </c>
      <c r="L118" t="s">
        <v>1668</v>
      </c>
    </row>
    <row r="119" spans="2:13">
      <c r="B119" t="s">
        <v>1447</v>
      </c>
      <c r="E119">
        <v>4</v>
      </c>
      <c r="F119">
        <v>0</v>
      </c>
      <c r="G119">
        <v>2</v>
      </c>
      <c r="H119">
        <v>7</v>
      </c>
      <c r="I119">
        <v>4</v>
      </c>
      <c r="J119">
        <v>13</v>
      </c>
      <c r="K119" s="10" t="s">
        <v>682</v>
      </c>
      <c r="L119" t="s">
        <v>1669</v>
      </c>
    </row>
    <row r="120" spans="2:13">
      <c r="B120" t="s">
        <v>1448</v>
      </c>
      <c r="E120">
        <v>9</v>
      </c>
      <c r="F120">
        <v>0</v>
      </c>
      <c r="G120">
        <v>12</v>
      </c>
      <c r="H120">
        <v>3</v>
      </c>
      <c r="I120">
        <v>0</v>
      </c>
      <c r="J120">
        <v>17</v>
      </c>
      <c r="K120" s="10" t="s">
        <v>683</v>
      </c>
      <c r="L120" t="s">
        <v>1671</v>
      </c>
    </row>
    <row r="121" spans="2:13">
      <c r="B121" t="s">
        <v>1449</v>
      </c>
      <c r="E121">
        <v>0</v>
      </c>
      <c r="F121">
        <v>0</v>
      </c>
      <c r="G121">
        <v>2</v>
      </c>
      <c r="H121">
        <v>7</v>
      </c>
      <c r="I121">
        <v>3</v>
      </c>
      <c r="J121">
        <v>12</v>
      </c>
      <c r="K121" s="10" t="s">
        <v>684</v>
      </c>
      <c r="L121" t="s">
        <v>1670</v>
      </c>
    </row>
    <row r="122" spans="2:13">
      <c r="B122" t="s">
        <v>1286</v>
      </c>
      <c r="C122">
        <v>16</v>
      </c>
      <c r="D122">
        <v>14</v>
      </c>
      <c r="K122" s="10" t="s">
        <v>330</v>
      </c>
      <c r="L122" t="s">
        <v>685</v>
      </c>
    </row>
    <row r="123" spans="2:13">
      <c r="B123" t="s">
        <v>1287</v>
      </c>
      <c r="C123">
        <v>7</v>
      </c>
      <c r="D123">
        <v>12</v>
      </c>
      <c r="K123" s="10" t="s">
        <v>217</v>
      </c>
      <c r="L123" t="s">
        <v>687</v>
      </c>
    </row>
    <row r="124" spans="2:13">
      <c r="B124" t="s">
        <v>1288</v>
      </c>
      <c r="C124">
        <v>16</v>
      </c>
      <c r="D124">
        <v>11</v>
      </c>
      <c r="K124" s="10" t="s">
        <v>95</v>
      </c>
      <c r="L124" t="s">
        <v>689</v>
      </c>
    </row>
    <row r="125" spans="2:13">
      <c r="B125" t="s">
        <v>1289</v>
      </c>
      <c r="C125">
        <v>20</v>
      </c>
      <c r="D125">
        <v>12</v>
      </c>
      <c r="K125" s="10" t="s">
        <v>539</v>
      </c>
      <c r="L125" t="s">
        <v>690</v>
      </c>
    </row>
    <row r="126" spans="2:13">
      <c r="B126" t="s">
        <v>1290</v>
      </c>
      <c r="C126">
        <v>4</v>
      </c>
      <c r="D126">
        <v>11</v>
      </c>
      <c r="K126" s="10" t="s">
        <v>333</v>
      </c>
      <c r="L126" t="s">
        <v>693</v>
      </c>
    </row>
    <row r="127" spans="2:13">
      <c r="B127" t="s">
        <v>1450</v>
      </c>
      <c r="E127">
        <v>5</v>
      </c>
      <c r="F127">
        <v>2</v>
      </c>
      <c r="G127">
        <v>10</v>
      </c>
      <c r="H127">
        <v>0</v>
      </c>
      <c r="I127">
        <v>0</v>
      </c>
      <c r="J127">
        <v>9</v>
      </c>
      <c r="K127" s="10" t="s">
        <v>694</v>
      </c>
      <c r="L127" t="s">
        <v>1642</v>
      </c>
      <c r="M127" s="10"/>
    </row>
    <row r="128" spans="2:13">
      <c r="B128" t="s">
        <v>1451</v>
      </c>
      <c r="E128">
        <v>0</v>
      </c>
      <c r="F128">
        <v>0</v>
      </c>
      <c r="G128">
        <v>10</v>
      </c>
      <c r="H128">
        <v>3</v>
      </c>
      <c r="I128">
        <v>8</v>
      </c>
      <c r="J128">
        <v>10</v>
      </c>
      <c r="K128" s="10" t="s">
        <v>695</v>
      </c>
      <c r="L128" t="s">
        <v>1646</v>
      </c>
      <c r="M128" s="10"/>
    </row>
    <row r="129" spans="2:13">
      <c r="B129" t="s">
        <v>1452</v>
      </c>
      <c r="E129">
        <v>2</v>
      </c>
      <c r="F129">
        <v>0</v>
      </c>
      <c r="G129">
        <v>10</v>
      </c>
      <c r="H129">
        <v>1</v>
      </c>
      <c r="I129">
        <v>3</v>
      </c>
      <c r="J129">
        <v>5</v>
      </c>
      <c r="K129" s="10" t="s">
        <v>696</v>
      </c>
      <c r="L129" t="s">
        <v>1644</v>
      </c>
      <c r="M129" s="10"/>
    </row>
    <row r="130" spans="2:13">
      <c r="B130" t="s">
        <v>1453</v>
      </c>
      <c r="E130">
        <v>2</v>
      </c>
      <c r="F130">
        <v>3</v>
      </c>
      <c r="G130">
        <v>10</v>
      </c>
      <c r="H130">
        <v>5</v>
      </c>
      <c r="I130">
        <v>0</v>
      </c>
      <c r="J130">
        <v>8</v>
      </c>
      <c r="K130" s="10" t="s">
        <v>697</v>
      </c>
      <c r="L130" t="s">
        <v>1645</v>
      </c>
      <c r="M130" s="10"/>
    </row>
    <row r="131" spans="2:13">
      <c r="B131" t="s">
        <v>1454</v>
      </c>
      <c r="E131">
        <v>3</v>
      </c>
      <c r="F131">
        <v>0</v>
      </c>
      <c r="G131">
        <v>9</v>
      </c>
      <c r="H131">
        <v>3</v>
      </c>
      <c r="I131">
        <v>4</v>
      </c>
      <c r="J131">
        <v>4</v>
      </c>
      <c r="K131" s="10" t="s">
        <v>698</v>
      </c>
      <c r="L131" t="s">
        <v>1643</v>
      </c>
      <c r="M131" s="10"/>
    </row>
    <row r="132" spans="2:13">
      <c r="B132" t="s">
        <v>1291</v>
      </c>
      <c r="C132">
        <v>0</v>
      </c>
      <c r="D132" t="s">
        <v>1590</v>
      </c>
      <c r="K132" s="10" t="s">
        <v>24</v>
      </c>
      <c r="L132" t="s">
        <v>699</v>
      </c>
      <c r="M132" s="10"/>
    </row>
    <row r="133" spans="2:13">
      <c r="B133" t="s">
        <v>1292</v>
      </c>
      <c r="C133">
        <v>10</v>
      </c>
      <c r="D133">
        <v>8</v>
      </c>
      <c r="K133" s="10" t="s">
        <v>372</v>
      </c>
      <c r="L133" t="s">
        <v>700</v>
      </c>
      <c r="M133" s="10"/>
    </row>
    <row r="134" spans="2:13">
      <c r="B134" t="s">
        <v>1293</v>
      </c>
      <c r="C134">
        <v>7</v>
      </c>
      <c r="D134">
        <v>14</v>
      </c>
      <c r="K134" s="10" t="s">
        <v>101</v>
      </c>
      <c r="L134" t="s">
        <v>703</v>
      </c>
      <c r="M134" s="10"/>
    </row>
    <row r="135" spans="2:13">
      <c r="B135" t="s">
        <v>1294</v>
      </c>
      <c r="C135">
        <v>6</v>
      </c>
      <c r="D135">
        <v>11</v>
      </c>
      <c r="K135" s="10" t="s">
        <v>199</v>
      </c>
      <c r="L135" t="s">
        <v>705</v>
      </c>
      <c r="M135" s="10"/>
    </row>
    <row r="136" spans="2:13">
      <c r="B136" t="s">
        <v>1295</v>
      </c>
      <c r="C136">
        <v>10</v>
      </c>
      <c r="D136">
        <v>16</v>
      </c>
      <c r="K136" s="10" t="s">
        <v>164</v>
      </c>
      <c r="L136" t="s">
        <v>706</v>
      </c>
      <c r="M136" s="10"/>
    </row>
    <row r="137" spans="2:13">
      <c r="B137" t="s">
        <v>1455</v>
      </c>
      <c r="E137">
        <v>5</v>
      </c>
      <c r="F137">
        <v>4</v>
      </c>
      <c r="G137">
        <v>14</v>
      </c>
      <c r="H137">
        <v>13</v>
      </c>
      <c r="I137">
        <v>8</v>
      </c>
      <c r="J137">
        <v>18</v>
      </c>
      <c r="K137" s="10" t="s">
        <v>707</v>
      </c>
      <c r="L137" t="s">
        <v>1641</v>
      </c>
    </row>
    <row r="138" spans="2:13">
      <c r="B138" t="s">
        <v>1456</v>
      </c>
      <c r="E138">
        <v>2</v>
      </c>
      <c r="F138">
        <v>9</v>
      </c>
      <c r="G138">
        <v>4</v>
      </c>
      <c r="H138">
        <v>9</v>
      </c>
      <c r="I138">
        <v>0</v>
      </c>
      <c r="J138">
        <v>9</v>
      </c>
      <c r="K138" s="10" t="s">
        <v>708</v>
      </c>
      <c r="L138" t="s">
        <v>1637</v>
      </c>
    </row>
    <row r="139" spans="2:13">
      <c r="B139" t="s">
        <v>1457</v>
      </c>
      <c r="E139">
        <v>3</v>
      </c>
      <c r="F139">
        <v>8</v>
      </c>
      <c r="G139">
        <v>4</v>
      </c>
      <c r="H139">
        <v>7</v>
      </c>
      <c r="I139">
        <v>6</v>
      </c>
      <c r="J139">
        <v>13</v>
      </c>
      <c r="K139" s="10" t="s">
        <v>709</v>
      </c>
      <c r="L139" t="s">
        <v>1639</v>
      </c>
    </row>
    <row r="140" spans="2:13">
      <c r="B140" t="s">
        <v>1458</v>
      </c>
      <c r="E140">
        <v>2</v>
      </c>
      <c r="F140">
        <v>0</v>
      </c>
      <c r="G140">
        <v>13</v>
      </c>
      <c r="H140">
        <v>1</v>
      </c>
      <c r="I140">
        <v>6</v>
      </c>
      <c r="J140">
        <v>21</v>
      </c>
      <c r="K140" s="10" t="s">
        <v>710</v>
      </c>
      <c r="L140" t="s">
        <v>1640</v>
      </c>
    </row>
    <row r="141" spans="2:13">
      <c r="B141" t="s">
        <v>1459</v>
      </c>
      <c r="E141">
        <v>1</v>
      </c>
      <c r="F141">
        <v>0</v>
      </c>
      <c r="G141">
        <v>16</v>
      </c>
      <c r="H141">
        <v>6</v>
      </c>
      <c r="I141">
        <v>0</v>
      </c>
      <c r="J141">
        <v>20</v>
      </c>
      <c r="K141" s="10" t="s">
        <v>711</v>
      </c>
      <c r="L141" t="s">
        <v>1638</v>
      </c>
    </row>
    <row r="142" spans="2:13">
      <c r="B142" t="s">
        <v>1296</v>
      </c>
      <c r="C142">
        <v>7</v>
      </c>
      <c r="D142">
        <v>12</v>
      </c>
      <c r="K142" s="10" t="s">
        <v>713</v>
      </c>
      <c r="L142" t="s">
        <v>712</v>
      </c>
    </row>
    <row r="143" spans="2:13">
      <c r="B143" t="s">
        <v>1297</v>
      </c>
      <c r="C143">
        <v>3</v>
      </c>
      <c r="D143">
        <v>4</v>
      </c>
      <c r="K143" s="10" t="s">
        <v>347</v>
      </c>
      <c r="L143" t="s">
        <v>715</v>
      </c>
    </row>
    <row r="144" spans="2:13">
      <c r="B144" t="s">
        <v>1298</v>
      </c>
      <c r="C144">
        <v>3</v>
      </c>
      <c r="D144">
        <v>6</v>
      </c>
      <c r="K144" s="10" t="s">
        <v>291</v>
      </c>
      <c r="L144" t="s">
        <v>717</v>
      </c>
    </row>
    <row r="145" spans="2:12">
      <c r="B145" t="s">
        <v>1299</v>
      </c>
      <c r="C145">
        <v>3</v>
      </c>
      <c r="D145">
        <v>8</v>
      </c>
      <c r="K145" s="10" t="s">
        <v>179</v>
      </c>
      <c r="L145" t="s">
        <v>718</v>
      </c>
    </row>
    <row r="146" spans="2:12">
      <c r="B146" t="s">
        <v>1300</v>
      </c>
      <c r="C146">
        <v>4</v>
      </c>
      <c r="D146">
        <v>6</v>
      </c>
      <c r="K146" s="10" t="s">
        <v>447</v>
      </c>
      <c r="L146" t="s">
        <v>720</v>
      </c>
    </row>
    <row r="147" spans="2:12">
      <c r="B147" t="s">
        <v>1460</v>
      </c>
      <c r="E147" t="s">
        <v>1584</v>
      </c>
      <c r="F147" t="s">
        <v>1584</v>
      </c>
      <c r="G147" t="s">
        <v>1584</v>
      </c>
      <c r="H147" t="s">
        <v>1584</v>
      </c>
      <c r="I147" t="s">
        <v>1584</v>
      </c>
      <c r="J147" t="s">
        <v>1584</v>
      </c>
      <c r="K147" s="10" t="s">
        <v>723</v>
      </c>
      <c r="L147" t="s">
        <v>722</v>
      </c>
    </row>
    <row r="148" spans="2:12">
      <c r="B148" t="s">
        <v>1461</v>
      </c>
      <c r="E148">
        <v>1</v>
      </c>
      <c r="F148">
        <v>0</v>
      </c>
      <c r="G148">
        <v>3</v>
      </c>
      <c r="H148">
        <v>0</v>
      </c>
      <c r="I148">
        <v>0</v>
      </c>
      <c r="J148">
        <v>3</v>
      </c>
      <c r="K148" s="10" t="s">
        <v>725</v>
      </c>
      <c r="L148" t="s">
        <v>724</v>
      </c>
    </row>
    <row r="149" spans="2:12">
      <c r="B149" t="s">
        <v>1462</v>
      </c>
      <c r="E149">
        <v>0</v>
      </c>
      <c r="F149">
        <v>0</v>
      </c>
      <c r="G149">
        <v>2</v>
      </c>
      <c r="H149">
        <v>2</v>
      </c>
      <c r="I149">
        <v>0</v>
      </c>
      <c r="J149">
        <v>4</v>
      </c>
      <c r="K149" s="10" t="s">
        <v>727</v>
      </c>
      <c r="L149" t="s">
        <v>726</v>
      </c>
    </row>
    <row r="150" spans="2:12">
      <c r="B150" t="s">
        <v>1463</v>
      </c>
      <c r="E150">
        <v>0</v>
      </c>
      <c r="F150">
        <v>0</v>
      </c>
      <c r="G150">
        <v>10</v>
      </c>
      <c r="H150">
        <v>0</v>
      </c>
      <c r="I150">
        <v>0</v>
      </c>
      <c r="J150">
        <v>9</v>
      </c>
      <c r="K150" s="10" t="s">
        <v>729</v>
      </c>
      <c r="L150" t="s">
        <v>728</v>
      </c>
    </row>
    <row r="151" spans="2:12">
      <c r="B151" t="s">
        <v>1464</v>
      </c>
      <c r="E151">
        <v>0</v>
      </c>
      <c r="F151">
        <v>0</v>
      </c>
      <c r="G151">
        <v>8</v>
      </c>
      <c r="H151">
        <v>3</v>
      </c>
      <c r="I151">
        <v>0</v>
      </c>
      <c r="J151">
        <v>4</v>
      </c>
      <c r="K151" s="10" t="s">
        <v>731</v>
      </c>
      <c r="L151" t="s">
        <v>730</v>
      </c>
    </row>
    <row r="152" spans="2:12">
      <c r="B152" t="s">
        <v>1301</v>
      </c>
      <c r="C152">
        <v>4</v>
      </c>
      <c r="D152" t="s">
        <v>1590</v>
      </c>
      <c r="K152" s="10" t="s">
        <v>267</v>
      </c>
      <c r="L152" t="s">
        <v>732</v>
      </c>
    </row>
    <row r="153" spans="2:12">
      <c r="B153" t="s">
        <v>1302</v>
      </c>
      <c r="C153">
        <v>1</v>
      </c>
      <c r="D153">
        <v>2</v>
      </c>
      <c r="K153" s="10" t="s">
        <v>378</v>
      </c>
      <c r="L153" t="s">
        <v>733</v>
      </c>
    </row>
    <row r="154" spans="2:12">
      <c r="B154" t="s">
        <v>1303</v>
      </c>
      <c r="C154">
        <v>4</v>
      </c>
      <c r="D154">
        <v>2</v>
      </c>
      <c r="K154" s="10" t="s">
        <v>147</v>
      </c>
      <c r="L154" t="s">
        <v>735</v>
      </c>
    </row>
    <row r="155" spans="2:12">
      <c r="B155" t="s">
        <v>1304</v>
      </c>
      <c r="C155">
        <v>3</v>
      </c>
      <c r="D155" t="s">
        <v>1584</v>
      </c>
      <c r="K155" s="10" t="s">
        <v>392</v>
      </c>
      <c r="L155" t="s">
        <v>736</v>
      </c>
    </row>
    <row r="156" spans="2:12">
      <c r="B156" t="s">
        <v>1305</v>
      </c>
      <c r="C156">
        <v>5</v>
      </c>
      <c r="D156">
        <v>5</v>
      </c>
      <c r="K156" s="10" t="s">
        <v>389</v>
      </c>
      <c r="L156" t="s">
        <v>737</v>
      </c>
    </row>
    <row r="157" spans="2:12">
      <c r="B157" t="s">
        <v>1465</v>
      </c>
      <c r="E157">
        <v>0</v>
      </c>
      <c r="F157">
        <v>0</v>
      </c>
      <c r="G157">
        <v>0</v>
      </c>
      <c r="H157">
        <v>0</v>
      </c>
      <c r="I157">
        <v>0</v>
      </c>
      <c r="J157">
        <v>2</v>
      </c>
      <c r="K157" s="10" t="s">
        <v>739</v>
      </c>
      <c r="L157" t="s">
        <v>738</v>
      </c>
    </row>
    <row r="158" spans="2:12">
      <c r="B158" t="s">
        <v>1466</v>
      </c>
      <c r="E158">
        <v>0</v>
      </c>
      <c r="F158">
        <v>8</v>
      </c>
      <c r="G158">
        <v>0</v>
      </c>
      <c r="H158">
        <v>0</v>
      </c>
      <c r="I158">
        <v>0</v>
      </c>
      <c r="J158">
        <v>3</v>
      </c>
      <c r="K158" s="10" t="s">
        <v>742</v>
      </c>
      <c r="L158" t="s">
        <v>741</v>
      </c>
    </row>
    <row r="159" spans="2:12">
      <c r="B159" t="s">
        <v>1467</v>
      </c>
      <c r="E159">
        <v>2</v>
      </c>
      <c r="F159">
        <v>0</v>
      </c>
      <c r="G159">
        <v>3</v>
      </c>
      <c r="H159">
        <v>0</v>
      </c>
      <c r="I159">
        <v>0</v>
      </c>
      <c r="J159">
        <v>0</v>
      </c>
      <c r="K159" s="10" t="s">
        <v>744</v>
      </c>
      <c r="L159" t="s">
        <v>743</v>
      </c>
    </row>
    <row r="160" spans="2:12">
      <c r="B160" t="s">
        <v>1468</v>
      </c>
      <c r="E160">
        <v>3</v>
      </c>
      <c r="F160">
        <v>0</v>
      </c>
      <c r="G160">
        <v>4</v>
      </c>
      <c r="H160">
        <v>2</v>
      </c>
      <c r="I160">
        <v>5</v>
      </c>
      <c r="J160">
        <v>6</v>
      </c>
      <c r="K160" s="10" t="s">
        <v>746</v>
      </c>
      <c r="L160" t="s">
        <v>745</v>
      </c>
    </row>
    <row r="161" spans="2:12">
      <c r="B161" t="s">
        <v>1469</v>
      </c>
      <c r="E161">
        <v>0</v>
      </c>
      <c r="F161">
        <v>0</v>
      </c>
      <c r="G161">
        <v>9</v>
      </c>
      <c r="H161">
        <v>0</v>
      </c>
      <c r="I161">
        <v>0</v>
      </c>
      <c r="J161">
        <v>4</v>
      </c>
      <c r="K161" s="10" t="s">
        <v>748</v>
      </c>
      <c r="L161" t="s">
        <v>747</v>
      </c>
    </row>
    <row r="162" spans="2:12">
      <c r="B162" s="4" t="s">
        <v>9</v>
      </c>
      <c r="C162" s="3">
        <v>26</v>
      </c>
      <c r="D162" s="3">
        <v>26</v>
      </c>
      <c r="K162" s="3" t="s">
        <v>10</v>
      </c>
      <c r="L162" s="4" t="s">
        <v>11</v>
      </c>
    </row>
    <row r="163" spans="2:12">
      <c r="B163" s="4" t="s">
        <v>14</v>
      </c>
      <c r="C163" s="3">
        <v>17</v>
      </c>
      <c r="D163" s="3">
        <v>31</v>
      </c>
      <c r="K163" s="3" t="s">
        <v>15</v>
      </c>
      <c r="L163" s="4" t="s">
        <v>16</v>
      </c>
    </row>
    <row r="164" spans="2:12">
      <c r="B164" s="4" t="s">
        <v>19</v>
      </c>
      <c r="C164" s="3">
        <v>7</v>
      </c>
      <c r="D164" s="3">
        <v>3</v>
      </c>
      <c r="K164" s="3" t="s">
        <v>20</v>
      </c>
      <c r="L164" s="4" t="s">
        <v>21</v>
      </c>
    </row>
    <row r="165" spans="2:12">
      <c r="B165" s="4" t="s">
        <v>23</v>
      </c>
      <c r="C165" s="3">
        <v>11</v>
      </c>
      <c r="D165" s="3">
        <v>26</v>
      </c>
      <c r="K165" s="3" t="s">
        <v>24</v>
      </c>
      <c r="L165" s="4" t="s">
        <v>25</v>
      </c>
    </row>
    <row r="166" spans="2:12">
      <c r="B166" s="4" t="s">
        <v>26</v>
      </c>
      <c r="C166" s="3">
        <v>18</v>
      </c>
      <c r="D166" s="3">
        <v>22</v>
      </c>
      <c r="K166" s="3" t="s">
        <v>27</v>
      </c>
      <c r="L166" s="4" t="s">
        <v>28</v>
      </c>
    </row>
    <row r="167" spans="2:12">
      <c r="B167" s="4" t="s">
        <v>29</v>
      </c>
      <c r="C167" s="3"/>
      <c r="D167" s="3"/>
      <c r="E167" s="3">
        <v>5</v>
      </c>
      <c r="F167" s="3">
        <v>0</v>
      </c>
      <c r="G167" s="3">
        <v>14</v>
      </c>
      <c r="H167" s="3">
        <v>9</v>
      </c>
      <c r="I167" s="3">
        <v>4</v>
      </c>
      <c r="J167" s="3">
        <v>10</v>
      </c>
      <c r="K167" s="3" t="s">
        <v>30</v>
      </c>
      <c r="L167" s="5" t="s">
        <v>31</v>
      </c>
    </row>
    <row r="168" spans="2:12">
      <c r="B168" s="4" t="s">
        <v>32</v>
      </c>
      <c r="C168" s="4"/>
      <c r="D168" s="4"/>
      <c r="E168" s="3">
        <v>3</v>
      </c>
      <c r="F168" s="3">
        <v>0</v>
      </c>
      <c r="G168" s="3">
        <v>15</v>
      </c>
      <c r="H168" s="3">
        <v>6</v>
      </c>
      <c r="I168" s="3">
        <v>6</v>
      </c>
      <c r="J168" s="3">
        <v>17</v>
      </c>
      <c r="K168" s="3" t="s">
        <v>33</v>
      </c>
      <c r="L168" s="5" t="s">
        <v>34</v>
      </c>
    </row>
    <row r="169" spans="2:12">
      <c r="B169" s="4" t="s">
        <v>35</v>
      </c>
      <c r="C169" s="7"/>
      <c r="D169" s="7"/>
      <c r="E169" s="3">
        <v>3</v>
      </c>
      <c r="F169" t="s">
        <v>1584</v>
      </c>
      <c r="G169" s="3">
        <v>13</v>
      </c>
      <c r="H169" s="3">
        <v>19</v>
      </c>
      <c r="I169" s="3">
        <v>11</v>
      </c>
      <c r="J169" s="3">
        <v>20</v>
      </c>
      <c r="K169" s="3" t="s">
        <v>36</v>
      </c>
      <c r="L169" s="5" t="s">
        <v>37</v>
      </c>
    </row>
    <row r="170" spans="2:12">
      <c r="B170" s="4" t="s">
        <v>38</v>
      </c>
      <c r="C170" s="6"/>
      <c r="D170" s="4"/>
      <c r="E170" s="3">
        <v>0</v>
      </c>
      <c r="F170" s="3">
        <v>1</v>
      </c>
      <c r="G170" s="3">
        <v>17</v>
      </c>
      <c r="H170" s="3">
        <v>8</v>
      </c>
      <c r="I170" s="3">
        <v>14</v>
      </c>
      <c r="J170" s="3">
        <v>9</v>
      </c>
      <c r="K170" s="3" t="s">
        <v>39</v>
      </c>
      <c r="L170" s="5" t="s">
        <v>40</v>
      </c>
    </row>
    <row r="171" spans="2:12">
      <c r="B171" s="4" t="s">
        <v>42</v>
      </c>
      <c r="C171" s="6"/>
      <c r="D171" s="6"/>
      <c r="E171" s="6">
        <v>5</v>
      </c>
      <c r="F171" s="6">
        <v>2</v>
      </c>
      <c r="G171" s="6">
        <v>21</v>
      </c>
      <c r="H171" s="6">
        <v>9</v>
      </c>
      <c r="I171" s="6">
        <v>5</v>
      </c>
      <c r="J171" s="6">
        <v>11</v>
      </c>
      <c r="K171" s="3" t="s">
        <v>43</v>
      </c>
      <c r="L171" s="5" t="s">
        <v>44</v>
      </c>
    </row>
    <row r="172" spans="2:12">
      <c r="B172" s="4" t="s">
        <v>45</v>
      </c>
      <c r="C172" s="3">
        <v>22</v>
      </c>
      <c r="D172" s="3">
        <v>34</v>
      </c>
      <c r="K172" s="3" t="s">
        <v>46</v>
      </c>
      <c r="L172" s="4" t="s">
        <v>47</v>
      </c>
    </row>
    <row r="173" spans="2:12">
      <c r="B173" s="4" t="s">
        <v>49</v>
      </c>
      <c r="C173" t="s">
        <v>1584</v>
      </c>
      <c r="D173" t="s">
        <v>1584</v>
      </c>
      <c r="K173" s="3" t="s">
        <v>50</v>
      </c>
      <c r="L173" s="4" t="s">
        <v>51</v>
      </c>
    </row>
    <row r="174" spans="2:12">
      <c r="B174" s="4" t="s">
        <v>52</v>
      </c>
      <c r="C174" s="7" t="s">
        <v>1585</v>
      </c>
      <c r="D174" s="7" t="s">
        <v>1585</v>
      </c>
      <c r="K174" s="3" t="s">
        <v>53</v>
      </c>
      <c r="L174" s="4" t="s">
        <v>54</v>
      </c>
    </row>
    <row r="175" spans="2:12">
      <c r="B175" s="4" t="s">
        <v>56</v>
      </c>
      <c r="C175" s="6">
        <v>20</v>
      </c>
      <c r="D175" s="4">
        <v>37</v>
      </c>
      <c r="K175" s="3" t="s">
        <v>57</v>
      </c>
      <c r="L175" s="4" t="s">
        <v>58</v>
      </c>
    </row>
    <row r="176" spans="2:12">
      <c r="B176" s="4" t="s">
        <v>61</v>
      </c>
      <c r="C176" s="6">
        <v>27</v>
      </c>
      <c r="D176" s="6">
        <v>32</v>
      </c>
      <c r="K176" s="3" t="s">
        <v>62</v>
      </c>
      <c r="L176" s="4" t="s">
        <v>63</v>
      </c>
    </row>
    <row r="177" spans="2:12">
      <c r="B177" s="4" t="s">
        <v>65</v>
      </c>
      <c r="E177" s="3">
        <v>4</v>
      </c>
      <c r="F177" s="3">
        <v>5</v>
      </c>
      <c r="G177" s="3">
        <v>27</v>
      </c>
      <c r="H177" s="3">
        <v>8</v>
      </c>
      <c r="I177" s="3">
        <v>12</v>
      </c>
      <c r="J177" s="3">
        <v>25</v>
      </c>
      <c r="K177" s="3" t="s">
        <v>66</v>
      </c>
      <c r="L177" s="5" t="s">
        <v>67</v>
      </c>
    </row>
    <row r="178" spans="2:12">
      <c r="B178" s="4" t="s">
        <v>68</v>
      </c>
      <c r="E178" s="3">
        <v>9</v>
      </c>
      <c r="F178" s="3">
        <v>1</v>
      </c>
      <c r="G178" s="3">
        <v>36</v>
      </c>
      <c r="H178" s="3">
        <v>15</v>
      </c>
      <c r="I178" s="3">
        <v>5</v>
      </c>
      <c r="J178" s="3">
        <v>42</v>
      </c>
      <c r="K178" s="3" t="s">
        <v>69</v>
      </c>
      <c r="L178" s="5" t="s">
        <v>70</v>
      </c>
    </row>
    <row r="179" spans="2:12">
      <c r="B179" s="4" t="s">
        <v>72</v>
      </c>
      <c r="E179" s="6">
        <v>7</v>
      </c>
      <c r="F179" s="6">
        <v>0</v>
      </c>
      <c r="G179" s="6">
        <v>14</v>
      </c>
      <c r="H179" s="6">
        <v>8</v>
      </c>
      <c r="I179" s="6">
        <v>11</v>
      </c>
      <c r="J179" s="6">
        <v>18</v>
      </c>
      <c r="K179" s="3" t="s">
        <v>73</v>
      </c>
      <c r="L179" s="5" t="s">
        <v>74</v>
      </c>
    </row>
    <row r="180" spans="2:12">
      <c r="B180" s="4" t="s">
        <v>75</v>
      </c>
      <c r="E180" s="3">
        <v>4</v>
      </c>
      <c r="F180" s="3">
        <v>2</v>
      </c>
      <c r="G180" s="4" t="s">
        <v>1591</v>
      </c>
      <c r="H180" s="3">
        <v>4</v>
      </c>
      <c r="I180" s="3">
        <v>9</v>
      </c>
      <c r="J180" s="4" t="s">
        <v>1591</v>
      </c>
      <c r="K180" s="3" t="s">
        <v>76</v>
      </c>
      <c r="L180" s="5" t="s">
        <v>77</v>
      </c>
    </row>
    <row r="181" spans="2:12">
      <c r="B181" s="4" t="s">
        <v>78</v>
      </c>
      <c r="E181" s="3">
        <v>3</v>
      </c>
      <c r="F181" s="3">
        <v>3</v>
      </c>
      <c r="G181" s="3">
        <v>19</v>
      </c>
      <c r="H181" s="3">
        <v>11</v>
      </c>
      <c r="I181" s="3">
        <v>11</v>
      </c>
      <c r="J181" s="3">
        <v>29</v>
      </c>
      <c r="K181" s="3" t="s">
        <v>79</v>
      </c>
      <c r="L181" s="5" t="s">
        <v>80</v>
      </c>
    </row>
    <row r="182" spans="2:12">
      <c r="B182" t="s">
        <v>1336</v>
      </c>
      <c r="C182" s="12">
        <v>19</v>
      </c>
      <c r="D182" s="12">
        <v>37</v>
      </c>
      <c r="K182" s="12" t="s">
        <v>919</v>
      </c>
      <c r="L182" s="11" t="s">
        <v>918</v>
      </c>
    </row>
    <row r="183" spans="2:12">
      <c r="B183" t="s">
        <v>1337</v>
      </c>
      <c r="C183" s="12">
        <v>11</v>
      </c>
      <c r="D183" s="12">
        <v>9</v>
      </c>
      <c r="K183" s="12" t="s">
        <v>923</v>
      </c>
      <c r="L183" s="11" t="s">
        <v>922</v>
      </c>
    </row>
    <row r="184" spans="2:12">
      <c r="B184" t="s">
        <v>1338</v>
      </c>
      <c r="C184" s="12">
        <v>24</v>
      </c>
      <c r="D184" s="12">
        <v>23</v>
      </c>
      <c r="K184" s="12" t="s">
        <v>926</v>
      </c>
      <c r="L184" s="11" t="s">
        <v>925</v>
      </c>
    </row>
    <row r="185" spans="2:12">
      <c r="B185" t="s">
        <v>1339</v>
      </c>
      <c r="C185" s="12">
        <v>22</v>
      </c>
      <c r="D185" s="12">
        <v>25</v>
      </c>
      <c r="K185" s="12" t="s">
        <v>929</v>
      </c>
      <c r="L185" s="11" t="s">
        <v>928</v>
      </c>
    </row>
    <row r="186" spans="2:12">
      <c r="B186" t="s">
        <v>1340</v>
      </c>
      <c r="C186" s="12">
        <v>18</v>
      </c>
      <c r="D186" s="12">
        <v>32</v>
      </c>
      <c r="K186" s="12" t="s">
        <v>932</v>
      </c>
      <c r="L186" s="11" t="s">
        <v>931</v>
      </c>
    </row>
    <row r="187" spans="2:12">
      <c r="B187" t="s">
        <v>1470</v>
      </c>
      <c r="E187" s="12">
        <v>6</v>
      </c>
      <c r="F187" s="12">
        <v>7</v>
      </c>
      <c r="G187" s="12">
        <v>16</v>
      </c>
      <c r="H187" s="12">
        <v>9</v>
      </c>
      <c r="I187" s="12">
        <v>9</v>
      </c>
      <c r="J187" s="12">
        <v>17</v>
      </c>
      <c r="K187" s="12" t="s">
        <v>935</v>
      </c>
      <c r="L187" s="11" t="s">
        <v>934</v>
      </c>
    </row>
    <row r="188" spans="2:12">
      <c r="B188" t="s">
        <v>1471</v>
      </c>
      <c r="E188" s="12">
        <v>1</v>
      </c>
      <c r="F188" s="12">
        <v>4</v>
      </c>
      <c r="G188" s="12">
        <v>9</v>
      </c>
      <c r="H188" s="12">
        <v>6</v>
      </c>
      <c r="I188" s="12">
        <v>4</v>
      </c>
      <c r="J188" s="12">
        <v>17</v>
      </c>
      <c r="K188" s="12" t="s">
        <v>937</v>
      </c>
      <c r="L188" s="11" t="s">
        <v>936</v>
      </c>
    </row>
    <row r="189" spans="2:12">
      <c r="B189" t="s">
        <v>1472</v>
      </c>
      <c r="E189" s="12">
        <v>7</v>
      </c>
      <c r="F189" s="12">
        <v>6</v>
      </c>
      <c r="G189" s="12">
        <v>12</v>
      </c>
      <c r="H189" s="12">
        <v>12</v>
      </c>
      <c r="I189" s="12">
        <v>6</v>
      </c>
      <c r="J189" s="12">
        <v>23</v>
      </c>
      <c r="K189" s="12" t="s">
        <v>939</v>
      </c>
      <c r="L189" s="11" t="s">
        <v>938</v>
      </c>
    </row>
    <row r="190" spans="2:12">
      <c r="B190" t="s">
        <v>1473</v>
      </c>
      <c r="E190" s="12">
        <v>9</v>
      </c>
      <c r="F190" s="12">
        <v>2</v>
      </c>
      <c r="G190" s="12">
        <v>14</v>
      </c>
      <c r="H190" s="12">
        <v>7</v>
      </c>
      <c r="I190" s="12">
        <v>2</v>
      </c>
      <c r="J190" s="12">
        <v>15</v>
      </c>
      <c r="K190" s="12" t="s">
        <v>941</v>
      </c>
      <c r="L190" s="11" t="s">
        <v>940</v>
      </c>
    </row>
    <row r="191" spans="2:12">
      <c r="B191" t="s">
        <v>1474</v>
      </c>
      <c r="E191" s="12">
        <v>5</v>
      </c>
      <c r="F191" s="12">
        <v>1</v>
      </c>
      <c r="G191" s="12">
        <v>10</v>
      </c>
      <c r="H191" s="12">
        <v>6</v>
      </c>
      <c r="I191" s="12">
        <v>4</v>
      </c>
      <c r="J191" s="12">
        <v>13</v>
      </c>
      <c r="K191" s="12" t="s">
        <v>943</v>
      </c>
      <c r="L191" s="11" t="s">
        <v>942</v>
      </c>
    </row>
    <row r="192" spans="2:12">
      <c r="B192" t="s">
        <v>1341</v>
      </c>
      <c r="C192" s="12">
        <v>29</v>
      </c>
      <c r="D192" s="12">
        <v>33</v>
      </c>
      <c r="K192" s="12" t="s">
        <v>945</v>
      </c>
      <c r="L192" s="11" t="s">
        <v>944</v>
      </c>
    </row>
    <row r="193" spans="2:12">
      <c r="B193" t="s">
        <v>1342</v>
      </c>
      <c r="C193" s="12">
        <v>35</v>
      </c>
      <c r="D193" s="12">
        <v>45</v>
      </c>
      <c r="K193" s="12" t="s">
        <v>949</v>
      </c>
      <c r="L193" s="11" t="s">
        <v>948</v>
      </c>
    </row>
    <row r="194" spans="2:12">
      <c r="B194" t="s">
        <v>1343</v>
      </c>
      <c r="C194" s="12">
        <v>27</v>
      </c>
      <c r="D194" s="12">
        <v>34</v>
      </c>
      <c r="K194" s="12" t="s">
        <v>952</v>
      </c>
      <c r="L194" s="11" t="s">
        <v>951</v>
      </c>
    </row>
    <row r="195" spans="2:12">
      <c r="B195" t="s">
        <v>1344</v>
      </c>
      <c r="C195" s="12">
        <v>41</v>
      </c>
      <c r="D195" s="12">
        <v>50</v>
      </c>
      <c r="K195" s="12" t="s">
        <v>955</v>
      </c>
      <c r="L195" s="11" t="s">
        <v>954</v>
      </c>
    </row>
    <row r="196" spans="2:12">
      <c r="B196" t="s">
        <v>1345</v>
      </c>
      <c r="C196" s="12">
        <v>0</v>
      </c>
      <c r="D196" s="12">
        <v>45</v>
      </c>
      <c r="K196" s="12" t="s">
        <v>958</v>
      </c>
      <c r="L196" s="11" t="s">
        <v>957</v>
      </c>
    </row>
    <row r="197" spans="2:12">
      <c r="B197" t="s">
        <v>1475</v>
      </c>
      <c r="E197" s="12">
        <v>13</v>
      </c>
      <c r="F197" s="12">
        <v>10</v>
      </c>
      <c r="G197" s="12">
        <v>28</v>
      </c>
      <c r="H197" s="12">
        <v>29</v>
      </c>
      <c r="I197" s="12">
        <v>7</v>
      </c>
      <c r="J197" s="12">
        <v>37</v>
      </c>
      <c r="K197" s="12" t="s">
        <v>961</v>
      </c>
      <c r="L197" s="11" t="s">
        <v>960</v>
      </c>
    </row>
    <row r="198" spans="2:12">
      <c r="B198" t="s">
        <v>1476</v>
      </c>
      <c r="E198" s="12">
        <v>3</v>
      </c>
      <c r="F198" s="12">
        <v>5</v>
      </c>
      <c r="G198" s="12">
        <v>24</v>
      </c>
      <c r="H198" s="12">
        <v>24</v>
      </c>
      <c r="I198" s="12">
        <v>16</v>
      </c>
      <c r="J198" s="12">
        <v>35</v>
      </c>
      <c r="K198" s="12" t="s">
        <v>964</v>
      </c>
      <c r="L198" s="11" t="s">
        <v>963</v>
      </c>
    </row>
    <row r="199" spans="2:12">
      <c r="B199" t="s">
        <v>1477</v>
      </c>
      <c r="E199">
        <v>7</v>
      </c>
      <c r="F199" s="12">
        <v>17</v>
      </c>
      <c r="G199" s="12">
        <v>26</v>
      </c>
      <c r="H199" s="12">
        <v>26</v>
      </c>
      <c r="I199" s="12">
        <v>14</v>
      </c>
      <c r="J199" s="12">
        <v>30</v>
      </c>
      <c r="K199" s="12" t="s">
        <v>966</v>
      </c>
      <c r="L199" s="11" t="s">
        <v>965</v>
      </c>
    </row>
    <row r="200" spans="2:12">
      <c r="B200" t="s">
        <v>1478</v>
      </c>
      <c r="E200" s="12">
        <v>4</v>
      </c>
      <c r="F200" s="12">
        <v>12</v>
      </c>
      <c r="G200" s="12">
        <v>20</v>
      </c>
      <c r="H200" s="12">
        <v>24</v>
      </c>
      <c r="I200" s="12">
        <v>2</v>
      </c>
      <c r="J200" s="12">
        <v>27</v>
      </c>
      <c r="K200" s="12" t="s">
        <v>968</v>
      </c>
      <c r="L200" s="11" t="s">
        <v>967</v>
      </c>
    </row>
    <row r="201" spans="2:12">
      <c r="B201" t="s">
        <v>1479</v>
      </c>
      <c r="E201" s="12">
        <v>6</v>
      </c>
      <c r="F201" s="12">
        <v>12</v>
      </c>
      <c r="G201" s="12">
        <v>25</v>
      </c>
      <c r="H201" s="12">
        <v>19</v>
      </c>
      <c r="I201" s="12">
        <v>21</v>
      </c>
      <c r="J201" s="12">
        <v>34</v>
      </c>
      <c r="K201" s="12" t="s">
        <v>970</v>
      </c>
      <c r="L201" s="11" t="s">
        <v>969</v>
      </c>
    </row>
    <row r="202" spans="2:12">
      <c r="B202" s="4" t="s">
        <v>411</v>
      </c>
      <c r="C202" s="3">
        <v>23</v>
      </c>
      <c r="D202" s="3">
        <v>21</v>
      </c>
      <c r="K202" s="3" t="s">
        <v>412</v>
      </c>
      <c r="L202" s="4" t="s">
        <v>413</v>
      </c>
    </row>
    <row r="203" spans="2:12">
      <c r="B203" s="4" t="s">
        <v>415</v>
      </c>
      <c r="C203" s="3">
        <v>15</v>
      </c>
      <c r="D203" s="3">
        <v>20</v>
      </c>
      <c r="K203" s="3" t="s">
        <v>416</v>
      </c>
      <c r="L203" s="4" t="s">
        <v>417</v>
      </c>
    </row>
    <row r="204" spans="2:12">
      <c r="B204" s="4" t="s">
        <v>418</v>
      </c>
      <c r="C204" s="4" t="s">
        <v>1592</v>
      </c>
      <c r="D204" s="4" t="s">
        <v>1590</v>
      </c>
      <c r="K204" s="3" t="s">
        <v>419</v>
      </c>
      <c r="L204" s="4" t="s">
        <v>420</v>
      </c>
    </row>
    <row r="205" spans="2:12">
      <c r="B205" s="4" t="s">
        <v>421</v>
      </c>
      <c r="C205" s="3">
        <v>22</v>
      </c>
      <c r="D205" s="3">
        <v>19</v>
      </c>
      <c r="K205" s="3" t="s">
        <v>422</v>
      </c>
      <c r="L205" s="4" t="s">
        <v>423</v>
      </c>
    </row>
    <row r="206" spans="2:12">
      <c r="B206" s="4" t="s">
        <v>424</v>
      </c>
      <c r="C206" s="6">
        <v>22</v>
      </c>
      <c r="D206" s="6">
        <v>22</v>
      </c>
      <c r="K206" s="3" t="s">
        <v>425</v>
      </c>
      <c r="L206" s="4" t="s">
        <v>426</v>
      </c>
    </row>
    <row r="207" spans="2:12">
      <c r="B207" s="4" t="s">
        <v>427</v>
      </c>
      <c r="E207" s="3">
        <v>6</v>
      </c>
      <c r="F207" s="3">
        <v>3</v>
      </c>
      <c r="G207" s="3">
        <v>12</v>
      </c>
      <c r="H207" s="3">
        <v>9</v>
      </c>
      <c r="I207" s="3">
        <v>6</v>
      </c>
      <c r="J207" s="3">
        <v>15</v>
      </c>
      <c r="K207" s="3" t="s">
        <v>428</v>
      </c>
      <c r="L207" s="5" t="s">
        <v>429</v>
      </c>
    </row>
    <row r="208" spans="2:12">
      <c r="B208" s="4" t="s">
        <v>430</v>
      </c>
      <c r="E208" s="3">
        <v>6</v>
      </c>
      <c r="F208" s="3">
        <v>0</v>
      </c>
      <c r="G208" s="3">
        <v>13</v>
      </c>
      <c r="H208" s="3">
        <v>5</v>
      </c>
      <c r="I208" s="3">
        <v>8</v>
      </c>
      <c r="J208" s="3">
        <v>16</v>
      </c>
      <c r="K208" s="3" t="s">
        <v>431</v>
      </c>
      <c r="L208" s="5" t="s">
        <v>432</v>
      </c>
    </row>
    <row r="209" spans="2:12">
      <c r="B209" s="4" t="s">
        <v>433</v>
      </c>
      <c r="E209" s="3">
        <v>7</v>
      </c>
      <c r="F209" s="3">
        <v>0</v>
      </c>
      <c r="G209" s="3">
        <v>17</v>
      </c>
      <c r="H209" s="3">
        <v>9</v>
      </c>
      <c r="I209" s="3">
        <v>14</v>
      </c>
      <c r="J209" s="3">
        <v>15</v>
      </c>
      <c r="K209" s="3" t="s">
        <v>434</v>
      </c>
      <c r="L209" s="5" t="s">
        <v>435</v>
      </c>
    </row>
    <row r="210" spans="2:12">
      <c r="B210" s="4" t="s">
        <v>436</v>
      </c>
      <c r="E210" s="3">
        <v>3</v>
      </c>
      <c r="F210" s="3">
        <v>6</v>
      </c>
      <c r="G210" s="3">
        <v>10</v>
      </c>
      <c r="H210" s="3">
        <v>3</v>
      </c>
      <c r="I210" s="3">
        <v>7</v>
      </c>
      <c r="J210" s="3">
        <v>14</v>
      </c>
      <c r="K210" s="3" t="s">
        <v>437</v>
      </c>
      <c r="L210" s="5" t="s">
        <v>438</v>
      </c>
    </row>
    <row r="211" spans="2:12">
      <c r="B211" s="4" t="s">
        <v>439</v>
      </c>
      <c r="E211" s="3">
        <v>15</v>
      </c>
      <c r="F211" s="3">
        <v>6</v>
      </c>
      <c r="G211" s="3">
        <v>7</v>
      </c>
      <c r="H211" s="3">
        <v>4</v>
      </c>
      <c r="I211" s="3">
        <v>6</v>
      </c>
      <c r="J211" s="3">
        <v>11</v>
      </c>
      <c r="K211" s="3" t="s">
        <v>440</v>
      </c>
      <c r="L211" s="5" t="s">
        <v>441</v>
      </c>
    </row>
    <row r="212" spans="2:12">
      <c r="B212" s="4" t="s">
        <v>442</v>
      </c>
      <c r="C212" s="6">
        <v>6</v>
      </c>
      <c r="D212" s="6">
        <v>13</v>
      </c>
      <c r="K212" s="3" t="s">
        <v>443</v>
      </c>
      <c r="L212" s="4" t="s">
        <v>444</v>
      </c>
    </row>
    <row r="213" spans="2:12">
      <c r="B213" s="4" t="s">
        <v>446</v>
      </c>
      <c r="C213" s="3">
        <v>13</v>
      </c>
      <c r="D213" s="3">
        <v>21</v>
      </c>
      <c r="K213" s="3" t="s">
        <v>447</v>
      </c>
      <c r="L213" s="4" t="s">
        <v>448</v>
      </c>
    </row>
    <row r="214" spans="2:12">
      <c r="B214" s="4" t="s">
        <v>450</v>
      </c>
      <c r="C214" s="4" t="s">
        <v>1584</v>
      </c>
      <c r="D214" s="3">
        <v>16</v>
      </c>
      <c r="K214" s="3" t="s">
        <v>451</v>
      </c>
      <c r="L214" s="4" t="s">
        <v>452</v>
      </c>
    </row>
    <row r="215" spans="2:12">
      <c r="B215" s="4" t="s">
        <v>453</v>
      </c>
      <c r="C215" s="3">
        <v>17</v>
      </c>
      <c r="D215" s="3">
        <v>24</v>
      </c>
      <c r="K215" s="3" t="s">
        <v>454</v>
      </c>
      <c r="L215" s="4" t="s">
        <v>455</v>
      </c>
    </row>
    <row r="216" spans="2:12">
      <c r="B216" s="4" t="s">
        <v>458</v>
      </c>
      <c r="C216" s="3">
        <v>8</v>
      </c>
      <c r="D216" s="3">
        <v>14</v>
      </c>
      <c r="K216" s="3" t="s">
        <v>459</v>
      </c>
      <c r="L216" s="4" t="s">
        <v>460</v>
      </c>
    </row>
    <row r="217" spans="2:12">
      <c r="B217" s="4" t="s">
        <v>462</v>
      </c>
      <c r="E217" s="3">
        <v>5</v>
      </c>
      <c r="F217" s="3">
        <v>0</v>
      </c>
      <c r="G217" s="3">
        <v>17</v>
      </c>
      <c r="H217" s="3">
        <v>12</v>
      </c>
      <c r="I217" s="4" t="s">
        <v>1584</v>
      </c>
      <c r="J217" s="4" t="s">
        <v>1584</v>
      </c>
      <c r="K217" s="3" t="s">
        <v>463</v>
      </c>
      <c r="L217" s="5" t="s">
        <v>464</v>
      </c>
    </row>
    <row r="218" spans="2:12">
      <c r="B218" s="4" t="s">
        <v>465</v>
      </c>
      <c r="E218" s="3">
        <v>6</v>
      </c>
      <c r="F218" s="3">
        <v>1</v>
      </c>
      <c r="G218" s="4" t="s">
        <v>1584</v>
      </c>
      <c r="H218" s="3">
        <v>13</v>
      </c>
      <c r="I218" s="3">
        <v>9</v>
      </c>
      <c r="J218" s="3">
        <v>15</v>
      </c>
      <c r="K218" s="3" t="s">
        <v>466</v>
      </c>
      <c r="L218" s="5" t="s">
        <v>467</v>
      </c>
    </row>
    <row r="219" spans="2:12">
      <c r="B219" s="4" t="s">
        <v>468</v>
      </c>
      <c r="E219" s="3">
        <v>13</v>
      </c>
      <c r="F219" s="3">
        <v>9</v>
      </c>
      <c r="G219" s="3">
        <v>18</v>
      </c>
      <c r="H219" s="3">
        <v>19</v>
      </c>
      <c r="I219" s="3">
        <v>16</v>
      </c>
      <c r="J219" s="3">
        <v>23</v>
      </c>
      <c r="K219" s="3" t="s">
        <v>469</v>
      </c>
      <c r="L219" s="5" t="s">
        <v>470</v>
      </c>
    </row>
    <row r="220" spans="2:12">
      <c r="B220" s="4" t="s">
        <v>471</v>
      </c>
      <c r="E220" s="3">
        <v>3</v>
      </c>
      <c r="F220" s="3">
        <v>8</v>
      </c>
      <c r="G220" s="3">
        <v>17</v>
      </c>
      <c r="H220" s="3">
        <v>12</v>
      </c>
      <c r="I220" s="3">
        <v>10</v>
      </c>
      <c r="J220" s="4" t="s">
        <v>1584</v>
      </c>
      <c r="K220" s="3" t="s">
        <v>472</v>
      </c>
      <c r="L220" s="5" t="s">
        <v>473</v>
      </c>
    </row>
    <row r="221" spans="2:12">
      <c r="B221" s="4" t="s">
        <v>474</v>
      </c>
      <c r="E221" s="3">
        <v>5</v>
      </c>
      <c r="F221" s="3">
        <v>4</v>
      </c>
      <c r="G221" s="3">
        <v>11</v>
      </c>
      <c r="H221" s="3">
        <v>15</v>
      </c>
      <c r="I221" s="3">
        <v>7</v>
      </c>
      <c r="J221" s="3">
        <v>15</v>
      </c>
      <c r="K221" s="3" t="s">
        <v>475</v>
      </c>
      <c r="L221" s="5" t="s">
        <v>476</v>
      </c>
    </row>
    <row r="222" spans="2:12">
      <c r="B222" t="s">
        <v>1346</v>
      </c>
      <c r="C222" s="12">
        <v>17</v>
      </c>
      <c r="D222" s="12">
        <v>16</v>
      </c>
      <c r="K222" s="12" t="s">
        <v>982</v>
      </c>
      <c r="L222" s="11" t="s">
        <v>981</v>
      </c>
    </row>
    <row r="223" spans="2:12">
      <c r="B223" t="s">
        <v>1347</v>
      </c>
      <c r="C223" s="12">
        <v>8</v>
      </c>
      <c r="D223" s="12">
        <v>6</v>
      </c>
      <c r="K223" s="12" t="s">
        <v>984</v>
      </c>
      <c r="L223" s="11" t="s">
        <v>983</v>
      </c>
    </row>
    <row r="224" spans="2:12">
      <c r="B224" t="s">
        <v>1348</v>
      </c>
      <c r="C224" s="12">
        <v>8</v>
      </c>
      <c r="D224" s="12">
        <v>23</v>
      </c>
      <c r="K224" s="12" t="s">
        <v>988</v>
      </c>
      <c r="L224" s="11" t="s">
        <v>987</v>
      </c>
    </row>
    <row r="225" spans="2:12">
      <c r="B225" t="s">
        <v>1349</v>
      </c>
      <c r="C225" s="12">
        <v>13</v>
      </c>
      <c r="D225" s="12">
        <v>17</v>
      </c>
      <c r="K225" s="12" t="s">
        <v>992</v>
      </c>
      <c r="L225" s="11" t="s">
        <v>991</v>
      </c>
    </row>
    <row r="226" spans="2:12">
      <c r="B226" t="s">
        <v>1350</v>
      </c>
      <c r="C226" s="12">
        <v>13</v>
      </c>
      <c r="D226" s="12">
        <v>19</v>
      </c>
      <c r="K226" s="12" t="s">
        <v>996</v>
      </c>
      <c r="L226" s="11" t="s">
        <v>995</v>
      </c>
    </row>
    <row r="227" spans="2:12">
      <c r="B227" t="s">
        <v>1480</v>
      </c>
      <c r="E227" s="12">
        <v>5</v>
      </c>
      <c r="F227" s="12">
        <v>5</v>
      </c>
      <c r="G227" s="12">
        <v>20</v>
      </c>
      <c r="H227" s="12">
        <v>11</v>
      </c>
      <c r="I227" s="12">
        <v>13</v>
      </c>
      <c r="J227" s="12">
        <v>16</v>
      </c>
      <c r="K227" s="12" t="s">
        <v>972</v>
      </c>
      <c r="L227" s="11" t="s">
        <v>971</v>
      </c>
    </row>
    <row r="228" spans="2:12">
      <c r="B228" t="s">
        <v>1481</v>
      </c>
      <c r="E228" s="12">
        <v>0</v>
      </c>
      <c r="F228" s="12">
        <v>1</v>
      </c>
      <c r="G228" s="12">
        <v>8</v>
      </c>
      <c r="H228" s="12">
        <v>4</v>
      </c>
      <c r="I228" s="12">
        <v>11</v>
      </c>
      <c r="J228" s="12">
        <v>14</v>
      </c>
      <c r="K228" s="12" t="s">
        <v>974</v>
      </c>
      <c r="L228" s="11" t="s">
        <v>973</v>
      </c>
    </row>
    <row r="229" spans="2:12">
      <c r="B229" t="s">
        <v>1482</v>
      </c>
      <c r="E229" s="12">
        <v>2</v>
      </c>
      <c r="F229" s="12">
        <v>2</v>
      </c>
      <c r="G229" s="12">
        <v>15</v>
      </c>
      <c r="H229" s="12">
        <v>7</v>
      </c>
      <c r="I229" s="12">
        <v>5</v>
      </c>
      <c r="J229" s="12">
        <v>13</v>
      </c>
      <c r="K229" s="12" t="s">
        <v>976</v>
      </c>
      <c r="L229" s="11" t="s">
        <v>975</v>
      </c>
    </row>
    <row r="230" spans="2:12">
      <c r="B230" t="s">
        <v>1483</v>
      </c>
      <c r="E230" s="12">
        <v>6</v>
      </c>
      <c r="F230" s="12">
        <v>7</v>
      </c>
      <c r="G230" s="12">
        <v>13</v>
      </c>
      <c r="H230" s="12">
        <v>16</v>
      </c>
      <c r="I230" s="12">
        <v>9</v>
      </c>
      <c r="J230" s="12">
        <v>17</v>
      </c>
      <c r="K230" s="12" t="s">
        <v>978</v>
      </c>
      <c r="L230" s="11" t="s">
        <v>977</v>
      </c>
    </row>
    <row r="231" spans="2:12">
      <c r="B231" t="s">
        <v>1484</v>
      </c>
      <c r="E231" s="12">
        <v>5</v>
      </c>
      <c r="F231" s="12">
        <v>7</v>
      </c>
      <c r="G231" s="12">
        <v>9</v>
      </c>
      <c r="H231" s="12">
        <v>5</v>
      </c>
      <c r="I231" s="12">
        <v>11</v>
      </c>
      <c r="J231" s="12">
        <v>10</v>
      </c>
      <c r="K231" s="12" t="s">
        <v>980</v>
      </c>
      <c r="L231" s="11" t="s">
        <v>979</v>
      </c>
    </row>
    <row r="232" spans="2:12">
      <c r="B232" s="18" t="s">
        <v>1351</v>
      </c>
      <c r="C232" s="12">
        <v>15</v>
      </c>
      <c r="D232" s="12">
        <v>9</v>
      </c>
      <c r="K232" s="12" t="s">
        <v>999</v>
      </c>
      <c r="L232" s="11" t="s">
        <v>998</v>
      </c>
    </row>
    <row r="233" spans="2:12">
      <c r="B233" s="18" t="s">
        <v>1352</v>
      </c>
      <c r="C233" s="12">
        <v>10</v>
      </c>
      <c r="D233" s="12">
        <v>16</v>
      </c>
      <c r="K233" s="12" t="s">
        <v>1003</v>
      </c>
      <c r="L233" s="11" t="s">
        <v>1002</v>
      </c>
    </row>
    <row r="234" spans="2:12">
      <c r="B234" s="18" t="s">
        <v>1353</v>
      </c>
      <c r="C234" s="12">
        <v>19</v>
      </c>
      <c r="D234" s="12">
        <v>19</v>
      </c>
      <c r="K234" s="12" t="s">
        <v>1006</v>
      </c>
      <c r="L234" s="11" t="s">
        <v>1005</v>
      </c>
    </row>
    <row r="235" spans="2:12">
      <c r="B235" s="18" t="s">
        <v>1354</v>
      </c>
      <c r="C235" s="12">
        <v>11</v>
      </c>
      <c r="D235" s="12">
        <v>22</v>
      </c>
      <c r="K235" s="12" t="s">
        <v>1008</v>
      </c>
      <c r="L235" s="11" t="s">
        <v>1007</v>
      </c>
    </row>
    <row r="236" spans="2:12">
      <c r="B236" s="18" t="s">
        <v>1355</v>
      </c>
      <c r="C236" s="12">
        <v>7</v>
      </c>
      <c r="D236" s="12">
        <v>29</v>
      </c>
      <c r="K236" s="12" t="s">
        <v>1012</v>
      </c>
      <c r="L236" s="11" t="s">
        <v>1011</v>
      </c>
    </row>
    <row r="237" spans="2:12">
      <c r="B237" t="s">
        <v>1485</v>
      </c>
      <c r="E237" s="12">
        <v>10</v>
      </c>
      <c r="F237" s="12">
        <v>5</v>
      </c>
      <c r="G237" s="12">
        <v>20</v>
      </c>
      <c r="H237" s="12">
        <v>2</v>
      </c>
      <c r="I237" s="12">
        <v>13</v>
      </c>
      <c r="J237" s="12">
        <v>18</v>
      </c>
      <c r="K237" s="12" t="s">
        <v>1014</v>
      </c>
      <c r="L237" s="11" t="s">
        <v>1013</v>
      </c>
    </row>
    <row r="238" spans="2:12">
      <c r="B238" t="s">
        <v>1486</v>
      </c>
      <c r="E238" s="12">
        <v>5</v>
      </c>
      <c r="F238" s="12">
        <v>12</v>
      </c>
      <c r="G238" s="12">
        <v>25</v>
      </c>
      <c r="H238" s="12">
        <v>16</v>
      </c>
      <c r="I238" s="12">
        <v>12</v>
      </c>
      <c r="J238" s="12">
        <v>21</v>
      </c>
      <c r="K238" s="12" t="s">
        <v>1016</v>
      </c>
      <c r="L238" s="11" t="s">
        <v>1015</v>
      </c>
    </row>
    <row r="239" spans="2:12">
      <c r="B239" t="s">
        <v>1487</v>
      </c>
      <c r="E239" s="12">
        <v>6</v>
      </c>
      <c r="F239" s="12">
        <v>20</v>
      </c>
      <c r="G239" s="12">
        <v>20</v>
      </c>
      <c r="H239" s="12">
        <v>13</v>
      </c>
      <c r="I239" s="12">
        <v>11</v>
      </c>
      <c r="J239" s="12">
        <v>19</v>
      </c>
      <c r="K239" s="12" t="s">
        <v>1018</v>
      </c>
      <c r="L239" s="11" t="s">
        <v>1017</v>
      </c>
    </row>
    <row r="240" spans="2:12">
      <c r="B240" t="s">
        <v>1488</v>
      </c>
      <c r="E240" s="12">
        <v>11</v>
      </c>
      <c r="F240" s="12">
        <v>15</v>
      </c>
      <c r="G240" s="12">
        <v>16</v>
      </c>
      <c r="H240" s="12">
        <v>7</v>
      </c>
      <c r="I240" s="12">
        <v>19</v>
      </c>
      <c r="J240" s="12">
        <v>26</v>
      </c>
      <c r="K240" s="12" t="s">
        <v>1021</v>
      </c>
      <c r="L240" s="11" t="s">
        <v>1020</v>
      </c>
    </row>
    <row r="241" spans="2:12">
      <c r="B241" t="s">
        <v>1489</v>
      </c>
      <c r="E241" s="12">
        <v>1</v>
      </c>
      <c r="F241" s="12">
        <v>3</v>
      </c>
      <c r="G241" s="12">
        <v>17</v>
      </c>
      <c r="H241" s="12">
        <v>13</v>
      </c>
      <c r="I241" s="12">
        <v>6</v>
      </c>
      <c r="J241" s="12">
        <v>16</v>
      </c>
      <c r="K241" s="12" t="s">
        <v>1023</v>
      </c>
      <c r="L241" s="11" t="s">
        <v>1022</v>
      </c>
    </row>
    <row r="242" spans="2:12">
      <c r="B242" t="s">
        <v>1356</v>
      </c>
      <c r="C242" s="12">
        <v>24</v>
      </c>
      <c r="D242" s="12">
        <v>17</v>
      </c>
      <c r="K242" s="12" t="s">
        <v>1025</v>
      </c>
      <c r="L242" s="11" t="s">
        <v>1024</v>
      </c>
    </row>
    <row r="243" spans="2:12">
      <c r="B243" t="s">
        <v>1357</v>
      </c>
      <c r="C243" s="12">
        <v>17</v>
      </c>
      <c r="D243" s="12">
        <v>20</v>
      </c>
      <c r="K243" s="12" t="s">
        <v>1028</v>
      </c>
      <c r="L243" s="11" t="s">
        <v>1027</v>
      </c>
    </row>
    <row r="244" spans="2:12">
      <c r="B244" t="s">
        <v>1358</v>
      </c>
      <c r="C244" s="12">
        <v>21</v>
      </c>
      <c r="D244" s="12">
        <v>28</v>
      </c>
      <c r="K244" s="12" t="s">
        <v>1032</v>
      </c>
      <c r="L244" s="11" t="s">
        <v>1031</v>
      </c>
    </row>
    <row r="245" spans="2:12">
      <c r="B245" t="s">
        <v>1359</v>
      </c>
      <c r="C245" s="12">
        <v>12</v>
      </c>
      <c r="D245" s="12">
        <v>18</v>
      </c>
      <c r="K245" s="12" t="s">
        <v>1036</v>
      </c>
      <c r="L245" s="11" t="s">
        <v>1035</v>
      </c>
    </row>
    <row r="246" spans="2:12">
      <c r="B246" t="s">
        <v>1360</v>
      </c>
      <c r="C246" s="12">
        <v>11</v>
      </c>
      <c r="D246" s="12">
        <v>5</v>
      </c>
      <c r="K246" s="12" t="s">
        <v>1038</v>
      </c>
      <c r="L246" s="11" t="s">
        <v>1037</v>
      </c>
    </row>
    <row r="247" spans="2:12">
      <c r="B247" t="s">
        <v>1490</v>
      </c>
      <c r="E247" s="12">
        <v>7</v>
      </c>
      <c r="F247" s="12">
        <v>0</v>
      </c>
      <c r="G247" s="12">
        <v>19</v>
      </c>
      <c r="H247" s="12">
        <v>5</v>
      </c>
      <c r="I247" s="12">
        <v>8</v>
      </c>
      <c r="J247" s="12">
        <v>16</v>
      </c>
      <c r="K247" s="12" t="s">
        <v>1042</v>
      </c>
      <c r="L247" s="11" t="s">
        <v>1041</v>
      </c>
    </row>
    <row r="248" spans="2:12">
      <c r="B248" t="s">
        <v>1491</v>
      </c>
      <c r="E248" s="12">
        <v>6</v>
      </c>
      <c r="F248" s="12">
        <v>10</v>
      </c>
      <c r="G248" s="12">
        <v>9</v>
      </c>
      <c r="H248" s="12">
        <v>10</v>
      </c>
      <c r="I248" s="12">
        <v>4</v>
      </c>
      <c r="J248" s="12">
        <v>13</v>
      </c>
      <c r="K248" s="12" t="s">
        <v>1044</v>
      </c>
      <c r="L248" s="11" t="s">
        <v>1043</v>
      </c>
    </row>
    <row r="249" spans="2:12">
      <c r="B249" t="s">
        <v>1492</v>
      </c>
      <c r="E249" s="12">
        <v>2</v>
      </c>
      <c r="F249" s="12">
        <v>5</v>
      </c>
      <c r="G249" s="12">
        <v>21</v>
      </c>
      <c r="H249" s="12">
        <v>14</v>
      </c>
      <c r="I249" s="12">
        <v>14</v>
      </c>
      <c r="J249" s="12">
        <v>27</v>
      </c>
      <c r="K249" s="12" t="s">
        <v>1046</v>
      </c>
      <c r="L249" s="11" t="s">
        <v>1045</v>
      </c>
    </row>
    <row r="250" spans="2:12">
      <c r="B250" t="s">
        <v>1493</v>
      </c>
      <c r="E250" s="12">
        <v>5</v>
      </c>
      <c r="F250" s="12">
        <v>2</v>
      </c>
      <c r="G250" s="12">
        <v>16</v>
      </c>
      <c r="H250" s="12">
        <v>5</v>
      </c>
      <c r="I250" s="12">
        <v>7</v>
      </c>
      <c r="J250" s="12">
        <v>18</v>
      </c>
      <c r="K250" s="12" t="s">
        <v>1048</v>
      </c>
      <c r="L250" s="11" t="s">
        <v>1047</v>
      </c>
    </row>
    <row r="251" spans="2:12">
      <c r="B251" t="s">
        <v>1494</v>
      </c>
      <c r="E251" s="12">
        <v>8</v>
      </c>
      <c r="F251" s="12">
        <v>10</v>
      </c>
      <c r="G251" s="12">
        <v>25</v>
      </c>
      <c r="H251" s="12">
        <v>9</v>
      </c>
      <c r="I251" s="12">
        <v>11</v>
      </c>
      <c r="J251" s="12">
        <v>24</v>
      </c>
      <c r="K251" s="12" t="s">
        <v>1050</v>
      </c>
      <c r="L251" s="11" t="s">
        <v>1049</v>
      </c>
    </row>
    <row r="252" spans="2:12">
      <c r="B252" t="s">
        <v>1361</v>
      </c>
      <c r="C252" s="12">
        <v>23</v>
      </c>
      <c r="D252" s="12">
        <v>21</v>
      </c>
      <c r="K252" s="12" t="s">
        <v>1052</v>
      </c>
      <c r="L252" s="11" t="s">
        <v>1051</v>
      </c>
    </row>
    <row r="253" spans="2:12">
      <c r="B253" t="s">
        <v>1362</v>
      </c>
      <c r="C253" s="12">
        <v>11</v>
      </c>
      <c r="D253" s="12">
        <v>30</v>
      </c>
      <c r="K253" s="12" t="s">
        <v>1056</v>
      </c>
      <c r="L253" s="11" t="s">
        <v>1055</v>
      </c>
    </row>
    <row r="254" spans="2:12">
      <c r="B254" t="s">
        <v>1363</v>
      </c>
      <c r="C254" s="12">
        <v>8</v>
      </c>
      <c r="D254" s="12">
        <v>9</v>
      </c>
      <c r="K254" s="12" t="s">
        <v>1058</v>
      </c>
      <c r="L254" s="11" t="s">
        <v>1057</v>
      </c>
    </row>
    <row r="255" spans="2:12">
      <c r="B255" t="s">
        <v>1364</v>
      </c>
      <c r="C255" s="12">
        <v>23</v>
      </c>
      <c r="D255" s="12">
        <v>30</v>
      </c>
      <c r="K255" s="12" t="s">
        <v>1061</v>
      </c>
      <c r="L255" s="11" t="s">
        <v>1060</v>
      </c>
    </row>
    <row r="256" spans="2:12">
      <c r="B256" t="s">
        <v>1365</v>
      </c>
      <c r="C256" s="12">
        <v>20</v>
      </c>
      <c r="D256" s="12">
        <v>18</v>
      </c>
      <c r="K256" s="12" t="s">
        <v>1065</v>
      </c>
      <c r="L256" s="11" t="s">
        <v>1064</v>
      </c>
    </row>
    <row r="257" spans="2:12">
      <c r="B257" t="s">
        <v>1495</v>
      </c>
      <c r="E257" s="12">
        <v>7</v>
      </c>
      <c r="F257" s="12">
        <v>19</v>
      </c>
      <c r="G257" s="12">
        <v>17</v>
      </c>
      <c r="H257" s="12">
        <v>28</v>
      </c>
      <c r="I257" s="12">
        <v>6</v>
      </c>
      <c r="J257" s="12">
        <v>38</v>
      </c>
      <c r="K257" s="12" t="s">
        <v>1069</v>
      </c>
      <c r="L257" s="12" t="s">
        <v>1068</v>
      </c>
    </row>
    <row r="258" spans="2:12">
      <c r="B258" t="s">
        <v>1496</v>
      </c>
      <c r="E258" s="12">
        <v>4</v>
      </c>
      <c r="F258" s="12">
        <v>18</v>
      </c>
      <c r="G258" s="12">
        <v>27</v>
      </c>
      <c r="H258" s="12">
        <v>23</v>
      </c>
      <c r="I258" s="12">
        <v>6</v>
      </c>
      <c r="J258" s="12">
        <v>34</v>
      </c>
      <c r="K258" s="12" t="s">
        <v>1071</v>
      </c>
      <c r="L258" s="11" t="s">
        <v>1070</v>
      </c>
    </row>
    <row r="259" spans="2:12">
      <c r="B259" t="s">
        <v>1497</v>
      </c>
      <c r="E259" s="12">
        <v>0</v>
      </c>
      <c r="F259" s="12">
        <v>16</v>
      </c>
      <c r="G259" s="12">
        <v>30</v>
      </c>
      <c r="H259" s="12">
        <v>33</v>
      </c>
      <c r="I259" s="12">
        <v>7</v>
      </c>
      <c r="J259" s="12">
        <v>29</v>
      </c>
      <c r="K259" s="12" t="s">
        <v>1073</v>
      </c>
      <c r="L259" s="11" t="s">
        <v>1072</v>
      </c>
    </row>
    <row r="260" spans="2:12">
      <c r="B260" t="s">
        <v>1498</v>
      </c>
      <c r="E260" s="12">
        <v>8</v>
      </c>
      <c r="F260" s="12">
        <v>5</v>
      </c>
      <c r="G260" s="12">
        <v>21</v>
      </c>
      <c r="H260" s="12">
        <v>24</v>
      </c>
      <c r="I260" s="12">
        <v>31</v>
      </c>
      <c r="J260" s="12">
        <v>21</v>
      </c>
      <c r="K260" s="12" t="s">
        <v>1075</v>
      </c>
      <c r="L260" s="11" t="s">
        <v>1074</v>
      </c>
    </row>
    <row r="261" spans="2:12">
      <c r="B261" t="s">
        <v>1499</v>
      </c>
      <c r="E261" s="12">
        <v>4</v>
      </c>
      <c r="F261" s="12">
        <v>18</v>
      </c>
      <c r="G261" s="12">
        <v>31</v>
      </c>
      <c r="H261" s="12">
        <v>23</v>
      </c>
      <c r="I261" s="12">
        <v>15</v>
      </c>
      <c r="J261" s="12">
        <v>45</v>
      </c>
      <c r="K261" s="12" t="s">
        <v>1077</v>
      </c>
      <c r="L261" s="11" t="s">
        <v>1076</v>
      </c>
    </row>
    <row r="262" spans="2:12">
      <c r="B262" t="s">
        <v>1366</v>
      </c>
      <c r="C262" s="12">
        <v>18</v>
      </c>
      <c r="D262" s="12">
        <v>11</v>
      </c>
      <c r="K262" s="12" t="s">
        <v>1079</v>
      </c>
      <c r="L262" s="11" t="s">
        <v>1078</v>
      </c>
    </row>
    <row r="263" spans="2:12">
      <c r="B263" t="s">
        <v>1367</v>
      </c>
      <c r="C263" s="12">
        <v>20</v>
      </c>
      <c r="D263" s="12">
        <v>14</v>
      </c>
      <c r="K263" s="12" t="s">
        <v>1081</v>
      </c>
      <c r="L263" s="11" t="s">
        <v>1080</v>
      </c>
    </row>
    <row r="264" spans="2:12">
      <c r="B264" t="s">
        <v>1368</v>
      </c>
      <c r="C264" s="12">
        <v>4</v>
      </c>
      <c r="D264" s="12">
        <v>4</v>
      </c>
      <c r="K264" s="12" t="s">
        <v>1083</v>
      </c>
      <c r="L264" s="11" t="s">
        <v>1082</v>
      </c>
    </row>
    <row r="265" spans="2:12">
      <c r="B265" t="s">
        <v>1369</v>
      </c>
      <c r="C265" s="12">
        <v>15</v>
      </c>
      <c r="D265" s="12">
        <v>13</v>
      </c>
      <c r="K265" s="12" t="s">
        <v>1085</v>
      </c>
      <c r="L265" s="11" t="s">
        <v>1084</v>
      </c>
    </row>
    <row r="266" spans="2:12">
      <c r="B266" t="s">
        <v>1370</v>
      </c>
      <c r="C266" s="12">
        <v>7</v>
      </c>
      <c r="D266" s="12">
        <v>14</v>
      </c>
      <c r="K266" s="12" t="s">
        <v>1088</v>
      </c>
      <c r="L266" s="11" t="s">
        <v>1087</v>
      </c>
    </row>
    <row r="267" spans="2:12">
      <c r="B267" t="s">
        <v>1500</v>
      </c>
      <c r="E267" s="12">
        <v>10</v>
      </c>
      <c r="F267" s="12">
        <v>18</v>
      </c>
      <c r="G267" s="12">
        <v>8</v>
      </c>
      <c r="H267" s="12">
        <v>6</v>
      </c>
      <c r="I267" s="12">
        <v>7</v>
      </c>
      <c r="J267" s="12">
        <v>13</v>
      </c>
      <c r="K267" s="12" t="s">
        <v>1091</v>
      </c>
      <c r="L267" s="11" t="s">
        <v>1090</v>
      </c>
    </row>
    <row r="268" spans="2:12">
      <c r="B268" t="s">
        <v>1501</v>
      </c>
      <c r="E268" s="12">
        <v>5</v>
      </c>
      <c r="F268" s="12">
        <v>8</v>
      </c>
      <c r="G268" s="12">
        <v>12</v>
      </c>
      <c r="H268" s="12">
        <v>9</v>
      </c>
      <c r="I268" s="12">
        <v>4</v>
      </c>
      <c r="J268" s="12">
        <v>15</v>
      </c>
      <c r="K268" s="12" t="s">
        <v>1093</v>
      </c>
      <c r="L268" s="11" t="s">
        <v>1092</v>
      </c>
    </row>
    <row r="269" spans="2:12">
      <c r="B269" t="s">
        <v>1502</v>
      </c>
      <c r="E269" s="12">
        <v>7</v>
      </c>
      <c r="F269" s="12">
        <v>13</v>
      </c>
      <c r="G269" s="12">
        <v>13</v>
      </c>
      <c r="H269" s="12">
        <v>8</v>
      </c>
      <c r="I269" s="12">
        <v>6</v>
      </c>
      <c r="J269" s="12">
        <v>24</v>
      </c>
      <c r="K269" s="12" t="s">
        <v>1095</v>
      </c>
      <c r="L269" s="11" t="s">
        <v>1094</v>
      </c>
    </row>
    <row r="270" spans="2:12">
      <c r="B270" t="s">
        <v>1503</v>
      </c>
      <c r="E270" s="12">
        <v>4</v>
      </c>
      <c r="F270" s="12">
        <v>4</v>
      </c>
      <c r="G270" s="12">
        <v>20</v>
      </c>
      <c r="H270" s="12">
        <v>11</v>
      </c>
      <c r="I270" s="12">
        <v>0</v>
      </c>
      <c r="J270" s="12">
        <v>4</v>
      </c>
      <c r="K270" s="12" t="s">
        <v>1097</v>
      </c>
      <c r="L270" s="11" t="s">
        <v>1096</v>
      </c>
    </row>
    <row r="271" spans="2:12">
      <c r="B271" t="s">
        <v>1504</v>
      </c>
      <c r="E271" s="12">
        <v>2</v>
      </c>
      <c r="F271" s="12">
        <v>5</v>
      </c>
      <c r="G271" s="12">
        <v>15</v>
      </c>
      <c r="H271" s="12">
        <v>9</v>
      </c>
      <c r="I271" s="12">
        <v>7</v>
      </c>
      <c r="J271" s="12">
        <v>15</v>
      </c>
      <c r="K271" s="12" t="s">
        <v>1099</v>
      </c>
      <c r="L271" s="11" t="s">
        <v>1098</v>
      </c>
    </row>
    <row r="272" spans="2:12">
      <c r="B272" t="s">
        <v>1371</v>
      </c>
      <c r="C272" s="12">
        <v>27</v>
      </c>
      <c r="D272" s="12">
        <v>27</v>
      </c>
      <c r="K272" s="12" t="s">
        <v>1101</v>
      </c>
      <c r="L272" s="11" t="s">
        <v>1100</v>
      </c>
    </row>
    <row r="273" spans="2:12">
      <c r="B273" t="s">
        <v>1372</v>
      </c>
      <c r="C273" s="12">
        <v>39</v>
      </c>
      <c r="D273" s="12">
        <v>18</v>
      </c>
      <c r="K273" s="12" t="s">
        <v>1104</v>
      </c>
      <c r="L273" s="11" t="s">
        <v>1103</v>
      </c>
    </row>
    <row r="274" spans="2:12">
      <c r="B274" t="s">
        <v>1373</v>
      </c>
      <c r="C274" s="12">
        <v>32</v>
      </c>
      <c r="D274" s="12">
        <v>27</v>
      </c>
      <c r="K274" s="12" t="s">
        <v>1106</v>
      </c>
      <c r="L274" s="11" t="s">
        <v>1105</v>
      </c>
    </row>
    <row r="275" spans="2:12">
      <c r="B275" t="s">
        <v>1374</v>
      </c>
      <c r="C275" s="12">
        <v>34</v>
      </c>
      <c r="D275" s="12">
        <v>22</v>
      </c>
      <c r="K275" s="12" t="s">
        <v>1109</v>
      </c>
      <c r="L275" s="11" t="s">
        <v>1108</v>
      </c>
    </row>
    <row r="276" spans="2:12">
      <c r="B276" t="s">
        <v>1375</v>
      </c>
      <c r="C276" s="12">
        <v>32</v>
      </c>
      <c r="D276" s="12">
        <v>25</v>
      </c>
      <c r="K276" s="12" t="s">
        <v>1111</v>
      </c>
      <c r="L276" s="11" t="s">
        <v>1110</v>
      </c>
    </row>
    <row r="277" spans="2:12">
      <c r="B277" t="s">
        <v>1505</v>
      </c>
      <c r="E277" s="12">
        <v>10</v>
      </c>
      <c r="F277" s="12">
        <v>6</v>
      </c>
      <c r="G277" s="12">
        <v>19</v>
      </c>
      <c r="H277" s="12">
        <v>11</v>
      </c>
      <c r="I277" s="12">
        <v>11</v>
      </c>
      <c r="J277" s="12">
        <v>23</v>
      </c>
      <c r="K277" s="12" t="s">
        <v>1113</v>
      </c>
      <c r="L277" s="11" t="s">
        <v>1112</v>
      </c>
    </row>
    <row r="278" spans="2:12">
      <c r="B278" t="s">
        <v>1506</v>
      </c>
      <c r="E278" s="12">
        <v>6</v>
      </c>
      <c r="F278" s="12">
        <v>11</v>
      </c>
      <c r="G278" s="12">
        <v>26</v>
      </c>
      <c r="H278" s="12">
        <v>16</v>
      </c>
      <c r="I278" s="12">
        <v>8</v>
      </c>
      <c r="J278" s="12">
        <v>33</v>
      </c>
      <c r="K278" s="12" t="s">
        <v>1115</v>
      </c>
      <c r="L278" s="11" t="s">
        <v>1114</v>
      </c>
    </row>
    <row r="279" spans="2:12">
      <c r="B279" t="s">
        <v>1507</v>
      </c>
      <c r="E279" s="12">
        <v>4</v>
      </c>
      <c r="F279" s="12">
        <v>17</v>
      </c>
      <c r="G279" s="12">
        <v>2</v>
      </c>
      <c r="H279" s="12">
        <v>15</v>
      </c>
      <c r="I279" s="12">
        <v>5</v>
      </c>
      <c r="J279" s="12">
        <v>19</v>
      </c>
      <c r="K279" s="12" t="s">
        <v>1117</v>
      </c>
      <c r="L279" s="11" t="s">
        <v>1116</v>
      </c>
    </row>
    <row r="280" spans="2:12">
      <c r="B280" t="s">
        <v>1508</v>
      </c>
      <c r="E280" s="12">
        <v>3</v>
      </c>
      <c r="F280" s="12">
        <v>6</v>
      </c>
      <c r="G280" s="12">
        <v>7</v>
      </c>
      <c r="H280" s="12">
        <v>24</v>
      </c>
      <c r="I280" s="12">
        <v>9</v>
      </c>
      <c r="J280" s="12">
        <v>21</v>
      </c>
      <c r="K280" s="12" t="s">
        <v>1119</v>
      </c>
      <c r="L280" s="11" t="s">
        <v>1118</v>
      </c>
    </row>
    <row r="281" spans="2:12">
      <c r="B281" t="s">
        <v>1509</v>
      </c>
      <c r="E281" s="12">
        <v>7</v>
      </c>
      <c r="F281" s="12">
        <v>13</v>
      </c>
      <c r="G281" s="12">
        <v>19</v>
      </c>
      <c r="H281" s="12">
        <v>21</v>
      </c>
      <c r="I281" s="12">
        <v>10</v>
      </c>
      <c r="J281" s="12">
        <v>27</v>
      </c>
      <c r="K281" s="12" t="s">
        <v>1121</v>
      </c>
      <c r="L281" s="11" t="s">
        <v>1120</v>
      </c>
    </row>
    <row r="282" spans="2:12">
      <c r="B282" s="4" t="s">
        <v>477</v>
      </c>
      <c r="C282" s="3">
        <v>21</v>
      </c>
      <c r="D282" s="3">
        <v>33</v>
      </c>
      <c r="K282" s="3" t="s">
        <v>478</v>
      </c>
      <c r="L282" s="4" t="s">
        <v>479</v>
      </c>
    </row>
    <row r="283" spans="2:12">
      <c r="B283" s="4" t="s">
        <v>481</v>
      </c>
      <c r="C283" s="3">
        <v>22</v>
      </c>
      <c r="D283" s="3">
        <v>32</v>
      </c>
      <c r="K283" s="3" t="s">
        <v>482</v>
      </c>
      <c r="L283" s="4" t="s">
        <v>483</v>
      </c>
    </row>
    <row r="284" spans="2:12">
      <c r="B284" s="4" t="s">
        <v>485</v>
      </c>
      <c r="C284" s="3">
        <v>14</v>
      </c>
      <c r="D284" s="3">
        <v>13</v>
      </c>
      <c r="K284" s="3" t="s">
        <v>486</v>
      </c>
      <c r="L284" s="4" t="s">
        <v>487</v>
      </c>
    </row>
    <row r="285" spans="2:12">
      <c r="B285" s="4" t="s">
        <v>488</v>
      </c>
      <c r="C285" s="6">
        <v>9</v>
      </c>
      <c r="D285" s="6">
        <v>14</v>
      </c>
      <c r="K285" s="3" t="s">
        <v>489</v>
      </c>
      <c r="L285" s="4" t="s">
        <v>490</v>
      </c>
    </row>
    <row r="286" spans="2:12">
      <c r="B286" s="4" t="s">
        <v>491</v>
      </c>
      <c r="C286" s="6">
        <v>10</v>
      </c>
      <c r="D286" s="6">
        <v>19</v>
      </c>
      <c r="K286" s="3" t="s">
        <v>492</v>
      </c>
      <c r="L286" s="4" t="s">
        <v>493</v>
      </c>
    </row>
    <row r="287" spans="2:12">
      <c r="B287" s="4" t="s">
        <v>494</v>
      </c>
      <c r="E287" s="3">
        <v>5</v>
      </c>
      <c r="F287" s="3">
        <v>7</v>
      </c>
      <c r="G287" s="3">
        <v>30</v>
      </c>
      <c r="H287" s="3">
        <v>11</v>
      </c>
      <c r="I287" s="3">
        <v>4</v>
      </c>
      <c r="J287" s="4" t="s">
        <v>1584</v>
      </c>
      <c r="K287" s="3" t="s">
        <v>495</v>
      </c>
      <c r="L287" s="5" t="s">
        <v>496</v>
      </c>
    </row>
    <row r="288" spans="2:12">
      <c r="B288" s="4" t="s">
        <v>497</v>
      </c>
      <c r="E288" s="6">
        <v>5</v>
      </c>
      <c r="F288" s="6">
        <v>6</v>
      </c>
      <c r="G288" s="6">
        <v>26</v>
      </c>
      <c r="H288" s="6">
        <v>4</v>
      </c>
      <c r="I288" s="6">
        <v>10</v>
      </c>
      <c r="J288" s="6">
        <v>16</v>
      </c>
      <c r="K288" s="3" t="s">
        <v>498</v>
      </c>
      <c r="L288" s="5" t="s">
        <v>499</v>
      </c>
    </row>
    <row r="289" spans="2:12">
      <c r="B289" s="4" t="s">
        <v>500</v>
      </c>
      <c r="E289" s="3">
        <v>6</v>
      </c>
      <c r="F289" s="3">
        <v>1</v>
      </c>
      <c r="G289" s="3">
        <v>20</v>
      </c>
      <c r="H289" s="3">
        <v>11</v>
      </c>
      <c r="I289" s="3">
        <v>10</v>
      </c>
      <c r="J289" s="3">
        <v>17</v>
      </c>
      <c r="K289" s="3" t="s">
        <v>501</v>
      </c>
      <c r="L289" s="5" t="s">
        <v>502</v>
      </c>
    </row>
    <row r="290" spans="2:12">
      <c r="B290" s="4" t="s">
        <v>503</v>
      </c>
      <c r="E290" s="3">
        <v>0</v>
      </c>
      <c r="F290" s="3">
        <v>5</v>
      </c>
      <c r="G290" s="3">
        <v>22</v>
      </c>
      <c r="H290" s="3">
        <v>9</v>
      </c>
      <c r="I290" s="3">
        <v>14</v>
      </c>
      <c r="J290" s="3">
        <v>14</v>
      </c>
      <c r="K290" s="3" t="s">
        <v>504</v>
      </c>
      <c r="L290" s="5" t="s">
        <v>505</v>
      </c>
    </row>
    <row r="291" spans="2:12">
      <c r="B291" s="4" t="s">
        <v>507</v>
      </c>
      <c r="E291" s="3">
        <v>9</v>
      </c>
      <c r="F291" s="3">
        <v>3</v>
      </c>
      <c r="G291" s="3">
        <v>24</v>
      </c>
      <c r="H291" s="3">
        <v>5</v>
      </c>
      <c r="I291" s="3">
        <v>17</v>
      </c>
      <c r="J291" s="3">
        <v>16</v>
      </c>
      <c r="K291" s="3" t="s">
        <v>508</v>
      </c>
      <c r="L291" s="5" t="s">
        <v>509</v>
      </c>
    </row>
    <row r="292" spans="2:12">
      <c r="B292" s="4" t="s">
        <v>510</v>
      </c>
      <c r="C292" s="6">
        <v>6</v>
      </c>
      <c r="D292" s="6">
        <v>17</v>
      </c>
      <c r="K292" s="3" t="s">
        <v>511</v>
      </c>
      <c r="L292" s="4" t="s">
        <v>512</v>
      </c>
    </row>
    <row r="293" spans="2:12">
      <c r="B293" s="4" t="s">
        <v>513</v>
      </c>
      <c r="C293" s="6">
        <v>21</v>
      </c>
      <c r="D293" s="6">
        <v>16</v>
      </c>
      <c r="K293" s="3" t="s">
        <v>514</v>
      </c>
      <c r="L293" s="4" t="s">
        <v>515</v>
      </c>
    </row>
    <row r="294" spans="2:12">
      <c r="B294" s="4" t="s">
        <v>516</v>
      </c>
      <c r="C294" s="3">
        <v>12</v>
      </c>
      <c r="D294" s="3">
        <v>19</v>
      </c>
      <c r="K294" s="3" t="s">
        <v>517</v>
      </c>
      <c r="L294" s="4" t="s">
        <v>518</v>
      </c>
    </row>
    <row r="295" spans="2:12">
      <c r="B295" s="4" t="s">
        <v>519</v>
      </c>
      <c r="C295" s="6">
        <v>9</v>
      </c>
      <c r="D295" s="6">
        <v>14</v>
      </c>
      <c r="K295" s="3" t="s">
        <v>520</v>
      </c>
      <c r="L295" s="4" t="s">
        <v>521</v>
      </c>
    </row>
    <row r="296" spans="2:12">
      <c r="B296" s="4" t="s">
        <v>523</v>
      </c>
      <c r="C296" s="3">
        <v>16</v>
      </c>
      <c r="D296" s="3">
        <v>18</v>
      </c>
      <c r="K296" s="3" t="s">
        <v>524</v>
      </c>
      <c r="L296" s="4" t="s">
        <v>525</v>
      </c>
    </row>
    <row r="297" spans="2:12">
      <c r="B297" s="4" t="s">
        <v>526</v>
      </c>
      <c r="E297" s="3">
        <v>3</v>
      </c>
      <c r="F297" s="3">
        <v>4</v>
      </c>
      <c r="G297" s="3">
        <v>34</v>
      </c>
      <c r="H297" s="3">
        <v>19</v>
      </c>
      <c r="I297" s="3">
        <v>16</v>
      </c>
      <c r="J297" s="3">
        <v>20</v>
      </c>
      <c r="K297" s="3" t="s">
        <v>527</v>
      </c>
      <c r="L297" s="5" t="s">
        <v>528</v>
      </c>
    </row>
    <row r="298" spans="2:12">
      <c r="B298" s="4" t="s">
        <v>529</v>
      </c>
      <c r="E298" s="3">
        <v>0</v>
      </c>
      <c r="F298" s="3">
        <v>8</v>
      </c>
      <c r="G298" s="3">
        <v>21</v>
      </c>
      <c r="H298" s="3">
        <v>10</v>
      </c>
      <c r="I298" s="3">
        <v>12</v>
      </c>
      <c r="J298" s="3">
        <v>19</v>
      </c>
      <c r="K298" s="3" t="s">
        <v>530</v>
      </c>
      <c r="L298" s="5" t="s">
        <v>531</v>
      </c>
    </row>
    <row r="299" spans="2:12">
      <c r="B299" s="4" t="s">
        <v>532</v>
      </c>
      <c r="E299" s="3">
        <v>3</v>
      </c>
      <c r="F299" s="3">
        <v>7</v>
      </c>
      <c r="G299" s="3">
        <v>16</v>
      </c>
      <c r="H299" s="3">
        <v>22</v>
      </c>
      <c r="I299" s="3">
        <v>12</v>
      </c>
      <c r="J299" s="3">
        <v>26</v>
      </c>
      <c r="K299" s="3" t="s">
        <v>533</v>
      </c>
      <c r="L299" s="5" t="s">
        <v>534</v>
      </c>
    </row>
    <row r="300" spans="2:12">
      <c r="B300" s="4" t="s">
        <v>535</v>
      </c>
      <c r="E300" s="3">
        <v>5</v>
      </c>
      <c r="F300" s="3">
        <v>5</v>
      </c>
      <c r="G300" s="3">
        <v>29</v>
      </c>
      <c r="H300" s="3">
        <v>4</v>
      </c>
      <c r="I300" s="3">
        <v>5</v>
      </c>
      <c r="J300" s="3">
        <v>17</v>
      </c>
      <c r="K300" s="3" t="s">
        <v>536</v>
      </c>
      <c r="L300" s="5" t="s">
        <v>537</v>
      </c>
    </row>
    <row r="301" spans="2:12">
      <c r="B301" s="4" t="s">
        <v>538</v>
      </c>
      <c r="E301" s="3">
        <v>0</v>
      </c>
      <c r="F301" s="3">
        <v>10</v>
      </c>
      <c r="G301" s="3">
        <v>27</v>
      </c>
      <c r="H301" s="3">
        <v>20</v>
      </c>
      <c r="I301" s="3">
        <v>10</v>
      </c>
      <c r="J301" s="3">
        <v>30</v>
      </c>
      <c r="K301" s="3" t="s">
        <v>539</v>
      </c>
      <c r="L301" s="5" t="s">
        <v>540</v>
      </c>
    </row>
    <row r="302" spans="2:12">
      <c r="B302" t="s">
        <v>1376</v>
      </c>
      <c r="C302" s="12">
        <v>29</v>
      </c>
      <c r="D302" s="12">
        <v>34</v>
      </c>
      <c r="K302" s="12" t="s">
        <v>1123</v>
      </c>
      <c r="L302" s="11" t="s">
        <v>1122</v>
      </c>
    </row>
    <row r="303" spans="2:12">
      <c r="B303" t="s">
        <v>1377</v>
      </c>
      <c r="C303" s="12">
        <v>25</v>
      </c>
      <c r="D303" s="12">
        <v>36</v>
      </c>
      <c r="K303" s="12" t="s">
        <v>1127</v>
      </c>
      <c r="L303" s="11" t="s">
        <v>1126</v>
      </c>
    </row>
    <row r="304" spans="2:12">
      <c r="B304" t="s">
        <v>1378</v>
      </c>
      <c r="C304" s="12">
        <v>29</v>
      </c>
      <c r="D304" s="12">
        <v>31</v>
      </c>
      <c r="K304" s="12" t="s">
        <v>1130</v>
      </c>
      <c r="L304" s="11" t="s">
        <v>1129</v>
      </c>
    </row>
    <row r="305" spans="2:12">
      <c r="B305" t="s">
        <v>1379</v>
      </c>
      <c r="C305" s="12">
        <v>21</v>
      </c>
      <c r="D305" s="12">
        <v>43</v>
      </c>
      <c r="K305" s="12" t="s">
        <v>1134</v>
      </c>
      <c r="L305" s="11" t="s">
        <v>1133</v>
      </c>
    </row>
    <row r="306" spans="2:12">
      <c r="B306" t="s">
        <v>1380</v>
      </c>
      <c r="C306" s="12">
        <v>26</v>
      </c>
      <c r="D306" s="12">
        <v>27</v>
      </c>
      <c r="K306" s="12" t="s">
        <v>1138</v>
      </c>
      <c r="L306" s="11" t="s">
        <v>1137</v>
      </c>
    </row>
    <row r="307" spans="2:12">
      <c r="B307" t="s">
        <v>1510</v>
      </c>
      <c r="E307" s="12">
        <v>7</v>
      </c>
      <c r="F307" s="12">
        <v>5</v>
      </c>
      <c r="G307" s="12">
        <v>22</v>
      </c>
      <c r="H307" s="12">
        <v>6</v>
      </c>
      <c r="I307" s="12">
        <v>6</v>
      </c>
      <c r="J307" s="12">
        <v>22</v>
      </c>
      <c r="K307" s="12" t="s">
        <v>1141</v>
      </c>
      <c r="L307" s="11" t="s">
        <v>1140</v>
      </c>
    </row>
    <row r="308" spans="2:12">
      <c r="B308" t="s">
        <v>1511</v>
      </c>
      <c r="E308" s="12">
        <v>9</v>
      </c>
      <c r="F308" s="12">
        <v>5</v>
      </c>
      <c r="G308" s="12">
        <v>16</v>
      </c>
      <c r="H308" s="12">
        <v>13</v>
      </c>
      <c r="I308" s="12">
        <v>2</v>
      </c>
      <c r="J308" s="12">
        <v>21</v>
      </c>
      <c r="K308" s="12" t="s">
        <v>1143</v>
      </c>
      <c r="L308" s="11" t="s">
        <v>1142</v>
      </c>
    </row>
    <row r="309" spans="2:12">
      <c r="B309" t="s">
        <v>1512</v>
      </c>
      <c r="E309" s="12">
        <v>8</v>
      </c>
      <c r="F309" s="12">
        <v>8</v>
      </c>
      <c r="G309" s="12">
        <v>16</v>
      </c>
      <c r="H309" s="12">
        <v>4</v>
      </c>
      <c r="I309" s="12">
        <v>7</v>
      </c>
      <c r="J309" s="12">
        <v>14</v>
      </c>
      <c r="K309" s="12" t="s">
        <v>1145</v>
      </c>
      <c r="L309" s="11" t="s">
        <v>1144</v>
      </c>
    </row>
    <row r="310" spans="2:12">
      <c r="B310" t="s">
        <v>1513</v>
      </c>
      <c r="E310" s="12">
        <v>5</v>
      </c>
      <c r="F310" s="12">
        <v>7</v>
      </c>
      <c r="G310" s="12">
        <v>15</v>
      </c>
      <c r="H310" s="12">
        <v>6</v>
      </c>
      <c r="I310" s="12">
        <v>8</v>
      </c>
      <c r="J310" s="12">
        <v>21</v>
      </c>
      <c r="K310" s="12" t="s">
        <v>1147</v>
      </c>
      <c r="L310" s="11" t="s">
        <v>1146</v>
      </c>
    </row>
    <row r="311" spans="2:12">
      <c r="B311" t="s">
        <v>1514</v>
      </c>
      <c r="E311" s="12">
        <v>6</v>
      </c>
      <c r="F311" s="12">
        <v>7</v>
      </c>
      <c r="G311" s="12">
        <v>25</v>
      </c>
      <c r="H311" s="12">
        <v>16</v>
      </c>
      <c r="I311" s="12">
        <v>16</v>
      </c>
      <c r="J311" s="12">
        <v>18</v>
      </c>
      <c r="K311" s="12" t="s">
        <v>1149</v>
      </c>
      <c r="L311" s="11" t="s">
        <v>1148</v>
      </c>
    </row>
    <row r="312" spans="2:12">
      <c r="B312" t="s">
        <v>1381</v>
      </c>
      <c r="C312" s="12">
        <v>17</v>
      </c>
      <c r="D312" s="12">
        <v>12</v>
      </c>
      <c r="K312" s="12" t="s">
        <v>1151</v>
      </c>
      <c r="L312" s="11" t="s">
        <v>1150</v>
      </c>
    </row>
    <row r="313" spans="2:12">
      <c r="B313" t="s">
        <v>1382</v>
      </c>
      <c r="C313" s="12">
        <v>22</v>
      </c>
      <c r="D313" s="12">
        <v>9</v>
      </c>
      <c r="K313" s="12" t="s">
        <v>1154</v>
      </c>
      <c r="L313" s="11" t="s">
        <v>1153</v>
      </c>
    </row>
    <row r="314" spans="2:12">
      <c r="B314" t="s">
        <v>1383</v>
      </c>
      <c r="C314" s="12">
        <v>42</v>
      </c>
      <c r="D314" s="12">
        <v>43</v>
      </c>
      <c r="K314" s="12" t="s">
        <v>1157</v>
      </c>
      <c r="L314" s="11" t="s">
        <v>1156</v>
      </c>
    </row>
    <row r="315" spans="2:12">
      <c r="B315" t="s">
        <v>1384</v>
      </c>
      <c r="C315" s="12">
        <v>26</v>
      </c>
      <c r="D315" s="12">
        <v>39</v>
      </c>
      <c r="K315" s="12" t="s">
        <v>1160</v>
      </c>
      <c r="L315" s="11" t="s">
        <v>1159</v>
      </c>
    </row>
    <row r="316" spans="2:12">
      <c r="B316" t="s">
        <v>1385</v>
      </c>
      <c r="C316" s="12">
        <v>31</v>
      </c>
      <c r="D316" s="12">
        <v>23</v>
      </c>
      <c r="K316" s="12" t="s">
        <v>1162</v>
      </c>
      <c r="L316" s="11" t="s">
        <v>1161</v>
      </c>
    </row>
    <row r="317" spans="2:12">
      <c r="B317" t="s">
        <v>1515</v>
      </c>
      <c r="E317" s="12">
        <v>6</v>
      </c>
      <c r="F317" s="12">
        <v>11</v>
      </c>
      <c r="G317" s="12">
        <v>18</v>
      </c>
      <c r="H317" s="12">
        <v>4</v>
      </c>
      <c r="I317" s="12">
        <v>10</v>
      </c>
      <c r="J317" s="12">
        <v>29</v>
      </c>
      <c r="K317" s="12" t="s">
        <v>1164</v>
      </c>
      <c r="L317" s="11" t="s">
        <v>1163</v>
      </c>
    </row>
    <row r="318" spans="2:12">
      <c r="B318" t="s">
        <v>1516</v>
      </c>
      <c r="E318" s="12">
        <v>3</v>
      </c>
      <c r="F318" s="12">
        <v>6</v>
      </c>
      <c r="G318" s="12">
        <v>9</v>
      </c>
      <c r="H318" s="12">
        <v>4</v>
      </c>
      <c r="I318" s="12">
        <v>8</v>
      </c>
      <c r="J318" s="12">
        <v>26</v>
      </c>
      <c r="K318" s="12" t="s">
        <v>1166</v>
      </c>
      <c r="L318" s="11" t="s">
        <v>1165</v>
      </c>
    </row>
    <row r="319" spans="2:12">
      <c r="B319" t="s">
        <v>1517</v>
      </c>
      <c r="E319" s="12">
        <v>4</v>
      </c>
      <c r="F319" s="12">
        <v>9</v>
      </c>
      <c r="G319" s="12">
        <v>21</v>
      </c>
      <c r="H319" s="12">
        <v>10</v>
      </c>
      <c r="I319" s="12">
        <v>6</v>
      </c>
      <c r="J319" s="12">
        <v>24</v>
      </c>
      <c r="K319" s="12" t="s">
        <v>1169</v>
      </c>
      <c r="L319" s="11" t="s">
        <v>1168</v>
      </c>
    </row>
    <row r="320" spans="2:12">
      <c r="B320" t="s">
        <v>1518</v>
      </c>
      <c r="E320" s="12">
        <v>4</v>
      </c>
      <c r="F320" s="12">
        <v>4</v>
      </c>
      <c r="G320" s="12">
        <v>10</v>
      </c>
      <c r="H320" s="12">
        <v>6</v>
      </c>
      <c r="I320" s="12">
        <v>8</v>
      </c>
      <c r="J320" s="12">
        <v>23</v>
      </c>
      <c r="K320" s="12" t="s">
        <v>1171</v>
      </c>
      <c r="L320" s="11" t="s">
        <v>1170</v>
      </c>
    </row>
    <row r="321" spans="2:12">
      <c r="B321" t="s">
        <v>1519</v>
      </c>
      <c r="E321" s="12">
        <v>13</v>
      </c>
      <c r="F321" s="12">
        <v>10</v>
      </c>
      <c r="G321" s="12">
        <v>33</v>
      </c>
      <c r="H321" s="12">
        <v>20</v>
      </c>
      <c r="I321" s="12">
        <v>18</v>
      </c>
      <c r="J321" s="12">
        <v>36</v>
      </c>
      <c r="K321" s="12" t="s">
        <v>1173</v>
      </c>
      <c r="L321" s="11" t="s">
        <v>1172</v>
      </c>
    </row>
    <row r="322" spans="2:12">
      <c r="B322" s="4" t="s">
        <v>82</v>
      </c>
      <c r="C322" s="3">
        <v>13</v>
      </c>
      <c r="D322" s="3">
        <v>14</v>
      </c>
      <c r="K322" s="3" t="s">
        <v>83</v>
      </c>
      <c r="L322" s="4" t="s">
        <v>84</v>
      </c>
    </row>
    <row r="323" spans="2:12">
      <c r="B323" s="4" t="s">
        <v>85</v>
      </c>
      <c r="C323" s="3">
        <v>11</v>
      </c>
      <c r="D323" s="3">
        <v>10</v>
      </c>
      <c r="K323" s="3" t="s">
        <v>86</v>
      </c>
      <c r="L323" s="4" t="s">
        <v>87</v>
      </c>
    </row>
    <row r="324" spans="2:12">
      <c r="B324" s="4" t="s">
        <v>90</v>
      </c>
      <c r="C324" s="3">
        <v>2</v>
      </c>
      <c r="D324" s="3">
        <v>14</v>
      </c>
      <c r="K324" s="3" t="s">
        <v>91</v>
      </c>
      <c r="L324" s="4" t="s">
        <v>92</v>
      </c>
    </row>
    <row r="325" spans="2:12">
      <c r="B325" s="4" t="s">
        <v>94</v>
      </c>
      <c r="C325" s="4" t="s">
        <v>1584</v>
      </c>
      <c r="D325" s="3">
        <v>9</v>
      </c>
      <c r="K325" s="3" t="s">
        <v>95</v>
      </c>
      <c r="L325" s="4" t="s">
        <v>96</v>
      </c>
    </row>
    <row r="326" spans="2:12">
      <c r="B326" s="4" t="s">
        <v>97</v>
      </c>
      <c r="C326" s="3">
        <v>2</v>
      </c>
      <c r="D326" s="3">
        <v>10</v>
      </c>
      <c r="K326" s="3" t="s">
        <v>98</v>
      </c>
      <c r="L326" s="4" t="s">
        <v>99</v>
      </c>
    </row>
    <row r="327" spans="2:12">
      <c r="B327" s="4" t="s">
        <v>100</v>
      </c>
      <c r="E327" s="6">
        <v>6</v>
      </c>
      <c r="F327" s="6">
        <v>6</v>
      </c>
      <c r="G327" s="6">
        <v>21</v>
      </c>
      <c r="H327" s="6">
        <v>4</v>
      </c>
      <c r="I327" s="6">
        <v>9</v>
      </c>
      <c r="J327" s="6">
        <v>22</v>
      </c>
      <c r="K327" s="3" t="s">
        <v>101</v>
      </c>
      <c r="L327" s="5" t="s">
        <v>102</v>
      </c>
    </row>
    <row r="328" spans="2:12">
      <c r="B328" s="4" t="s">
        <v>103</v>
      </c>
      <c r="E328" s="3">
        <v>4</v>
      </c>
      <c r="F328" s="3">
        <v>15</v>
      </c>
      <c r="G328" s="3">
        <v>19</v>
      </c>
      <c r="H328" s="3">
        <v>5</v>
      </c>
      <c r="I328" s="4" t="s">
        <v>1584</v>
      </c>
      <c r="J328" s="4" t="s">
        <v>1584</v>
      </c>
      <c r="K328" s="3" t="s">
        <v>104</v>
      </c>
      <c r="L328" s="5" t="s">
        <v>105</v>
      </c>
    </row>
    <row r="329" spans="2:12">
      <c r="B329" s="4" t="s">
        <v>106</v>
      </c>
      <c r="E329" s="3">
        <v>3</v>
      </c>
      <c r="F329" s="3">
        <v>7</v>
      </c>
      <c r="G329" s="3">
        <v>13</v>
      </c>
      <c r="H329" s="3">
        <v>13</v>
      </c>
      <c r="I329" s="3">
        <v>16</v>
      </c>
      <c r="J329" s="3">
        <v>22</v>
      </c>
      <c r="K329" s="3" t="s">
        <v>107</v>
      </c>
      <c r="L329" s="5" t="s">
        <v>108</v>
      </c>
    </row>
    <row r="330" spans="2:12">
      <c r="B330" s="4" t="s">
        <v>109</v>
      </c>
      <c r="E330" s="3">
        <v>4</v>
      </c>
      <c r="F330" s="3">
        <v>2</v>
      </c>
      <c r="G330" s="3">
        <v>19</v>
      </c>
      <c r="H330" s="3">
        <v>11</v>
      </c>
      <c r="I330" s="3">
        <v>14</v>
      </c>
      <c r="J330" s="3">
        <v>18</v>
      </c>
      <c r="K330" s="3" t="s">
        <v>110</v>
      </c>
      <c r="L330" s="5" t="s">
        <v>111</v>
      </c>
    </row>
    <row r="331" spans="2:12">
      <c r="B331" s="4" t="s">
        <v>112</v>
      </c>
      <c r="E331" s="3">
        <v>5</v>
      </c>
      <c r="F331" s="3">
        <v>2</v>
      </c>
      <c r="G331" s="3">
        <v>14</v>
      </c>
      <c r="H331" s="3">
        <v>12</v>
      </c>
      <c r="I331" s="3">
        <v>7</v>
      </c>
      <c r="J331" s="3">
        <v>25</v>
      </c>
      <c r="K331" s="3" t="s">
        <v>113</v>
      </c>
      <c r="L331" s="5" t="s">
        <v>114</v>
      </c>
    </row>
    <row r="332" spans="2:12">
      <c r="B332" s="4" t="s">
        <v>115</v>
      </c>
      <c r="C332" s="6">
        <v>10</v>
      </c>
      <c r="D332" s="6">
        <v>12</v>
      </c>
      <c r="K332" s="3" t="s">
        <v>116</v>
      </c>
      <c r="L332" s="4" t="s">
        <v>117</v>
      </c>
    </row>
    <row r="333" spans="2:12">
      <c r="B333" s="4" t="s">
        <v>120</v>
      </c>
      <c r="C333" s="3">
        <v>8</v>
      </c>
      <c r="D333" s="3">
        <v>10</v>
      </c>
      <c r="K333" s="3" t="s">
        <v>121</v>
      </c>
      <c r="L333" s="4" t="s">
        <v>122</v>
      </c>
    </row>
    <row r="334" spans="2:12">
      <c r="B334" s="4" t="s">
        <v>123</v>
      </c>
      <c r="C334" s="3">
        <v>25</v>
      </c>
      <c r="D334" s="3">
        <v>8</v>
      </c>
      <c r="K334" s="3" t="s">
        <v>124</v>
      </c>
      <c r="L334" s="4" t="s">
        <v>125</v>
      </c>
    </row>
    <row r="335" spans="2:12">
      <c r="B335" s="4" t="s">
        <v>126</v>
      </c>
      <c r="C335" s="6">
        <v>15</v>
      </c>
      <c r="D335" s="6">
        <v>10</v>
      </c>
      <c r="K335" s="3" t="s">
        <v>127</v>
      </c>
      <c r="L335" s="4" t="s">
        <v>128</v>
      </c>
    </row>
    <row r="336" spans="2:12">
      <c r="B336" s="4" t="s">
        <v>130</v>
      </c>
      <c r="C336" s="3">
        <v>20</v>
      </c>
      <c r="D336" s="3">
        <v>8</v>
      </c>
      <c r="K336" s="3" t="s">
        <v>131</v>
      </c>
      <c r="L336" s="4" t="s">
        <v>132</v>
      </c>
    </row>
    <row r="337" spans="2:12">
      <c r="B337" s="4" t="s">
        <v>134</v>
      </c>
      <c r="E337" s="3">
        <v>7</v>
      </c>
      <c r="F337" s="3">
        <v>5</v>
      </c>
      <c r="G337" s="3">
        <v>17</v>
      </c>
      <c r="H337" s="3">
        <v>21</v>
      </c>
      <c r="I337" s="3">
        <v>20</v>
      </c>
      <c r="J337" s="3">
        <v>29</v>
      </c>
      <c r="K337" s="3" t="s">
        <v>135</v>
      </c>
      <c r="L337" s="5" t="s">
        <v>136</v>
      </c>
    </row>
    <row r="338" spans="2:12">
      <c r="B338" s="4" t="s">
        <v>137</v>
      </c>
      <c r="E338" s="3">
        <v>6</v>
      </c>
      <c r="F338" s="3">
        <v>2</v>
      </c>
      <c r="G338" s="3">
        <v>11</v>
      </c>
      <c r="H338" s="3">
        <v>25</v>
      </c>
      <c r="I338" s="3">
        <v>11</v>
      </c>
      <c r="J338" s="3">
        <v>32</v>
      </c>
      <c r="K338" s="3" t="s">
        <v>138</v>
      </c>
      <c r="L338" s="5" t="s">
        <v>139</v>
      </c>
    </row>
    <row r="339" spans="2:12">
      <c r="B339" s="4" t="s">
        <v>140</v>
      </c>
      <c r="E339" s="3">
        <v>6</v>
      </c>
      <c r="F339" s="3">
        <v>0</v>
      </c>
      <c r="G339" s="3">
        <v>11</v>
      </c>
      <c r="H339" s="3">
        <v>14</v>
      </c>
      <c r="I339" s="4" t="s">
        <v>1584</v>
      </c>
      <c r="J339" s="4" t="s">
        <v>1584</v>
      </c>
      <c r="K339" s="3" t="s">
        <v>141</v>
      </c>
      <c r="L339" s="5" t="s">
        <v>142</v>
      </c>
    </row>
    <row r="340" spans="2:12">
      <c r="B340" s="4" t="s">
        <v>143</v>
      </c>
      <c r="E340" s="3">
        <v>6</v>
      </c>
      <c r="F340" s="3">
        <v>11</v>
      </c>
      <c r="G340" s="3">
        <v>15</v>
      </c>
      <c r="H340" s="3">
        <v>27</v>
      </c>
      <c r="I340" s="3">
        <v>11</v>
      </c>
      <c r="J340" s="3">
        <v>26</v>
      </c>
      <c r="K340" s="3" t="s">
        <v>144</v>
      </c>
      <c r="L340" s="5" t="s">
        <v>145</v>
      </c>
    </row>
    <row r="341" spans="2:12">
      <c r="B341" s="4" t="s">
        <v>146</v>
      </c>
      <c r="E341" s="3">
        <v>5</v>
      </c>
      <c r="F341" s="3">
        <v>2</v>
      </c>
      <c r="G341" s="3">
        <v>23</v>
      </c>
      <c r="H341" s="3">
        <v>17</v>
      </c>
      <c r="I341" s="3">
        <v>6</v>
      </c>
      <c r="J341" s="3">
        <v>17</v>
      </c>
      <c r="K341" s="3" t="s">
        <v>147</v>
      </c>
      <c r="L341" s="5" t="s">
        <v>148</v>
      </c>
    </row>
    <row r="342" spans="2:12">
      <c r="B342" s="4" t="s">
        <v>149</v>
      </c>
      <c r="C342" s="4" t="s">
        <v>1584</v>
      </c>
      <c r="D342" s="4" t="s">
        <v>1584</v>
      </c>
      <c r="K342" s="3" t="s">
        <v>150</v>
      </c>
      <c r="L342" s="4" t="s">
        <v>151</v>
      </c>
    </row>
    <row r="343" spans="2:12">
      <c r="B343" s="4" t="s">
        <v>152</v>
      </c>
      <c r="C343" s="4" t="s">
        <v>1592</v>
      </c>
      <c r="D343" s="4" t="s">
        <v>1590</v>
      </c>
      <c r="K343" s="3" t="s">
        <v>153</v>
      </c>
      <c r="L343" s="4" t="s">
        <v>154</v>
      </c>
    </row>
    <row r="344" spans="2:12">
      <c r="B344" s="4" t="s">
        <v>156</v>
      </c>
      <c r="C344" s="3">
        <v>32</v>
      </c>
      <c r="D344" s="3">
        <v>27</v>
      </c>
      <c r="K344" s="3" t="s">
        <v>157</v>
      </c>
      <c r="L344" s="4" t="s">
        <v>158</v>
      </c>
    </row>
    <row r="345" spans="2:12">
      <c r="B345" s="4" t="s">
        <v>160</v>
      </c>
      <c r="C345" s="3">
        <v>32</v>
      </c>
      <c r="D345" s="3">
        <v>15</v>
      </c>
      <c r="K345" s="3" t="s">
        <v>161</v>
      </c>
      <c r="L345" s="4" t="s">
        <v>162</v>
      </c>
    </row>
    <row r="346" spans="2:12">
      <c r="B346" s="4" t="s">
        <v>163</v>
      </c>
      <c r="C346" s="3">
        <v>23</v>
      </c>
      <c r="D346" s="3">
        <v>16</v>
      </c>
      <c r="K346" s="3" t="s">
        <v>164</v>
      </c>
      <c r="L346" s="4" t="s">
        <v>165</v>
      </c>
    </row>
    <row r="347" spans="2:12">
      <c r="B347" s="4" t="s">
        <v>166</v>
      </c>
      <c r="E347" s="3">
        <v>5</v>
      </c>
      <c r="F347" s="3">
        <v>1</v>
      </c>
      <c r="G347" s="3">
        <v>24</v>
      </c>
      <c r="H347" s="3">
        <v>8</v>
      </c>
      <c r="I347" s="3">
        <v>11</v>
      </c>
      <c r="J347" s="3">
        <v>13</v>
      </c>
      <c r="K347" s="3" t="s">
        <v>167</v>
      </c>
      <c r="L347" s="5" t="s">
        <v>168</v>
      </c>
    </row>
    <row r="348" spans="2:12">
      <c r="B348" s="4" t="s">
        <v>169</v>
      </c>
      <c r="E348" s="3">
        <v>5</v>
      </c>
      <c r="F348" s="3">
        <v>2</v>
      </c>
      <c r="G348" s="3">
        <v>6</v>
      </c>
      <c r="H348" s="3">
        <v>8</v>
      </c>
      <c r="I348" s="3">
        <v>6</v>
      </c>
      <c r="J348" s="3">
        <v>8</v>
      </c>
      <c r="K348" s="3" t="s">
        <v>170</v>
      </c>
      <c r="L348" s="5" t="s">
        <v>171</v>
      </c>
    </row>
    <row r="349" spans="2:12">
      <c r="B349" s="4" t="s">
        <v>172</v>
      </c>
      <c r="E349" s="6">
        <v>7</v>
      </c>
      <c r="F349" s="6">
        <v>3</v>
      </c>
      <c r="G349" s="6">
        <v>15</v>
      </c>
      <c r="H349" s="6">
        <v>11</v>
      </c>
      <c r="I349" s="6">
        <v>6</v>
      </c>
      <c r="J349" s="6">
        <v>15</v>
      </c>
      <c r="K349" s="3" t="s">
        <v>173</v>
      </c>
      <c r="L349" s="5" t="s">
        <v>174</v>
      </c>
    </row>
    <row r="350" spans="2:12">
      <c r="B350" s="4" t="s">
        <v>175</v>
      </c>
      <c r="E350" s="3">
        <v>8</v>
      </c>
      <c r="F350" s="3">
        <v>5</v>
      </c>
      <c r="G350" s="3">
        <v>23</v>
      </c>
      <c r="H350" s="3">
        <v>14</v>
      </c>
      <c r="I350" s="3">
        <v>13</v>
      </c>
      <c r="J350" s="3">
        <v>15</v>
      </c>
      <c r="K350" s="3" t="s">
        <v>176</v>
      </c>
      <c r="L350" s="5" t="s">
        <v>177</v>
      </c>
    </row>
    <row r="351" spans="2:12">
      <c r="B351" s="4" t="s">
        <v>178</v>
      </c>
      <c r="E351" s="3">
        <v>1</v>
      </c>
      <c r="F351" s="3">
        <v>0</v>
      </c>
      <c r="G351" s="3">
        <v>16</v>
      </c>
      <c r="H351" s="3">
        <v>9</v>
      </c>
      <c r="I351" s="3">
        <v>7</v>
      </c>
      <c r="J351" s="3">
        <v>17</v>
      </c>
      <c r="K351" s="3" t="s">
        <v>179</v>
      </c>
      <c r="L351" s="5" t="s">
        <v>180</v>
      </c>
    </row>
    <row r="352" spans="2:12">
      <c r="B352" s="4" t="s">
        <v>181</v>
      </c>
      <c r="C352" s="3">
        <v>32</v>
      </c>
      <c r="D352" s="3">
        <v>22</v>
      </c>
      <c r="K352" s="3" t="s">
        <v>1550</v>
      </c>
      <c r="L352" s="4" t="s">
        <v>1551</v>
      </c>
    </row>
    <row r="353" spans="2:12">
      <c r="B353" s="4" t="s">
        <v>183</v>
      </c>
      <c r="C353" s="3">
        <v>37</v>
      </c>
      <c r="D353" s="3">
        <v>29</v>
      </c>
      <c r="K353" s="3" t="s">
        <v>184</v>
      </c>
      <c r="L353" s="4" t="s">
        <v>1552</v>
      </c>
    </row>
    <row r="354" spans="2:12">
      <c r="B354" s="4" t="s">
        <v>186</v>
      </c>
      <c r="C354" s="3">
        <v>34</v>
      </c>
      <c r="D354" s="3">
        <v>35</v>
      </c>
      <c r="K354" s="3" t="s">
        <v>187</v>
      </c>
      <c r="L354" s="4" t="s">
        <v>1553</v>
      </c>
    </row>
    <row r="355" spans="2:12">
      <c r="B355" s="4" t="s">
        <v>189</v>
      </c>
      <c r="C355" s="4" t="s">
        <v>1592</v>
      </c>
      <c r="D355" s="4" t="s">
        <v>1592</v>
      </c>
      <c r="K355" s="3" t="s">
        <v>1554</v>
      </c>
      <c r="L355" s="4" t="s">
        <v>1555</v>
      </c>
    </row>
    <row r="356" spans="2:12">
      <c r="B356" s="4" t="s">
        <v>191</v>
      </c>
      <c r="C356" s="3">
        <v>35</v>
      </c>
      <c r="D356" s="3">
        <v>22</v>
      </c>
      <c r="K356" s="3" t="s">
        <v>1556</v>
      </c>
      <c r="L356" s="4" t="s">
        <v>1557</v>
      </c>
    </row>
    <row r="357" spans="2:12">
      <c r="B357" s="4" t="s">
        <v>192</v>
      </c>
      <c r="E357" s="3">
        <v>8</v>
      </c>
      <c r="F357" s="3">
        <v>5</v>
      </c>
      <c r="G357" s="3">
        <v>47</v>
      </c>
      <c r="H357" s="3">
        <v>26</v>
      </c>
      <c r="I357" s="3">
        <v>11</v>
      </c>
      <c r="J357" s="3">
        <v>29</v>
      </c>
      <c r="K357" s="3" t="s">
        <v>193</v>
      </c>
      <c r="L357" s="5" t="s">
        <v>194</v>
      </c>
    </row>
    <row r="358" spans="2:12">
      <c r="B358" s="4" t="s">
        <v>195</v>
      </c>
      <c r="E358" s="3">
        <v>9</v>
      </c>
      <c r="F358" s="3">
        <v>2</v>
      </c>
      <c r="G358" s="3">
        <v>25</v>
      </c>
      <c r="H358" s="3">
        <v>14</v>
      </c>
      <c r="I358" s="3">
        <v>23</v>
      </c>
      <c r="J358" s="3">
        <v>13</v>
      </c>
      <c r="K358" s="3" t="s">
        <v>196</v>
      </c>
      <c r="L358" s="5" t="s">
        <v>197</v>
      </c>
    </row>
    <row r="359" spans="2:12">
      <c r="B359" s="4" t="s">
        <v>198</v>
      </c>
      <c r="E359" s="3">
        <v>4</v>
      </c>
      <c r="F359" s="3">
        <v>10</v>
      </c>
      <c r="G359" s="3">
        <v>28</v>
      </c>
      <c r="H359" s="3">
        <v>16</v>
      </c>
      <c r="I359" s="3">
        <v>21</v>
      </c>
      <c r="J359" s="3">
        <v>28</v>
      </c>
      <c r="K359" s="3" t="s">
        <v>199</v>
      </c>
      <c r="L359" s="5" t="s">
        <v>200</v>
      </c>
    </row>
    <row r="360" spans="2:12">
      <c r="B360" s="4" t="s">
        <v>202</v>
      </c>
      <c r="E360" s="4" t="s">
        <v>1584</v>
      </c>
      <c r="F360" s="4" t="s">
        <v>1584</v>
      </c>
      <c r="G360" s="3">
        <v>34</v>
      </c>
      <c r="H360" s="3">
        <v>15</v>
      </c>
      <c r="I360" s="3">
        <v>22</v>
      </c>
      <c r="J360" s="3">
        <v>25</v>
      </c>
      <c r="K360" s="3" t="s">
        <v>203</v>
      </c>
      <c r="L360" s="5" t="s">
        <v>204</v>
      </c>
    </row>
    <row r="361" spans="2:12">
      <c r="B361" s="4" t="s">
        <v>205</v>
      </c>
      <c r="E361" s="3">
        <v>3</v>
      </c>
      <c r="F361" s="3">
        <v>2</v>
      </c>
      <c r="G361" s="3">
        <v>19</v>
      </c>
      <c r="H361" s="3">
        <v>1</v>
      </c>
      <c r="I361" s="3">
        <v>5</v>
      </c>
      <c r="J361" s="3">
        <v>19</v>
      </c>
      <c r="K361" s="3" t="s">
        <v>206</v>
      </c>
      <c r="L361" s="5" t="s">
        <v>207</v>
      </c>
    </row>
    <row r="362" spans="2:12">
      <c r="B362" t="s">
        <v>1306</v>
      </c>
      <c r="C362" s="12">
        <v>23</v>
      </c>
      <c r="D362" s="12">
        <v>34</v>
      </c>
      <c r="K362" s="12" t="s">
        <v>750</v>
      </c>
      <c r="L362" s="11" t="s">
        <v>749</v>
      </c>
    </row>
    <row r="363" spans="2:12">
      <c r="B363" t="s">
        <v>1307</v>
      </c>
      <c r="C363" s="12">
        <v>20</v>
      </c>
      <c r="D363" s="12">
        <v>25</v>
      </c>
      <c r="K363" s="12" t="s">
        <v>756</v>
      </c>
      <c r="L363" s="11" t="s">
        <v>755</v>
      </c>
    </row>
    <row r="364" spans="2:12">
      <c r="B364" t="s">
        <v>1308</v>
      </c>
      <c r="C364" s="12">
        <v>21</v>
      </c>
      <c r="D364" s="12">
        <v>31</v>
      </c>
      <c r="K364" s="12" t="s">
        <v>760</v>
      </c>
      <c r="L364" s="11" t="s">
        <v>759</v>
      </c>
    </row>
    <row r="365" spans="2:12">
      <c r="B365" t="s">
        <v>1309</v>
      </c>
      <c r="C365" s="12">
        <v>14</v>
      </c>
      <c r="D365" s="12">
        <v>27</v>
      </c>
      <c r="K365" s="12" t="s">
        <v>762</v>
      </c>
      <c r="L365" s="11" t="s">
        <v>761</v>
      </c>
    </row>
    <row r="366" spans="2:12">
      <c r="B366" t="s">
        <v>1310</v>
      </c>
      <c r="C366" s="12">
        <v>23</v>
      </c>
      <c r="D366" s="12">
        <v>22</v>
      </c>
      <c r="K366" s="12" t="s">
        <v>765</v>
      </c>
      <c r="L366" s="11" t="s">
        <v>764</v>
      </c>
    </row>
    <row r="367" spans="2:12">
      <c r="B367" t="s">
        <v>1520</v>
      </c>
      <c r="E367" s="12">
        <v>0</v>
      </c>
      <c r="F367" s="12">
        <v>2</v>
      </c>
      <c r="G367" s="12">
        <v>28</v>
      </c>
      <c r="H367" s="12">
        <v>20</v>
      </c>
      <c r="I367" s="12">
        <v>7</v>
      </c>
      <c r="J367" s="12">
        <v>28</v>
      </c>
      <c r="K367" s="12" t="s">
        <v>769</v>
      </c>
      <c r="L367" s="11" t="s">
        <v>768</v>
      </c>
    </row>
    <row r="368" spans="2:12">
      <c r="B368" t="s">
        <v>1521</v>
      </c>
      <c r="E368" s="12">
        <v>9</v>
      </c>
      <c r="F368" s="12">
        <v>5</v>
      </c>
      <c r="G368" s="12">
        <v>16</v>
      </c>
      <c r="H368" s="12">
        <v>11</v>
      </c>
      <c r="I368" s="12">
        <v>7</v>
      </c>
      <c r="J368" s="12">
        <v>19</v>
      </c>
      <c r="K368" s="12" t="s">
        <v>771</v>
      </c>
      <c r="L368" s="11" t="s">
        <v>770</v>
      </c>
    </row>
    <row r="369" spans="2:12">
      <c r="B369" t="s">
        <v>1522</v>
      </c>
      <c r="E369" s="12">
        <v>14</v>
      </c>
      <c r="F369" s="12">
        <v>16</v>
      </c>
      <c r="G369" s="12">
        <v>20</v>
      </c>
      <c r="H369" s="12">
        <v>13</v>
      </c>
      <c r="I369" s="12">
        <v>6</v>
      </c>
      <c r="J369" s="12">
        <v>29</v>
      </c>
      <c r="K369" s="12" t="s">
        <v>774</v>
      </c>
      <c r="L369" s="11" t="s">
        <v>773</v>
      </c>
    </row>
    <row r="370" spans="2:12">
      <c r="B370" t="s">
        <v>1523</v>
      </c>
      <c r="E370" s="12">
        <v>4</v>
      </c>
      <c r="F370" s="12">
        <v>4</v>
      </c>
      <c r="G370" s="12">
        <v>16</v>
      </c>
      <c r="H370" s="12">
        <v>7</v>
      </c>
      <c r="I370" s="12">
        <v>6</v>
      </c>
      <c r="J370" s="12">
        <v>9</v>
      </c>
      <c r="K370" s="12" t="s">
        <v>776</v>
      </c>
      <c r="L370" s="11" t="s">
        <v>775</v>
      </c>
    </row>
    <row r="371" spans="2:12">
      <c r="B371" t="s">
        <v>1524</v>
      </c>
      <c r="E371" s="12">
        <v>9</v>
      </c>
      <c r="F371" s="12">
        <v>11</v>
      </c>
      <c r="G371" s="12">
        <v>18</v>
      </c>
      <c r="H371" s="12">
        <v>11</v>
      </c>
      <c r="I371" s="12">
        <v>11</v>
      </c>
      <c r="J371" s="12">
        <v>27</v>
      </c>
      <c r="K371" s="12" t="s">
        <v>778</v>
      </c>
      <c r="L371" s="11" t="s">
        <v>777</v>
      </c>
    </row>
    <row r="372" spans="2:12">
      <c r="B372" t="s">
        <v>1311</v>
      </c>
      <c r="C372" s="12">
        <v>21</v>
      </c>
      <c r="D372" s="12">
        <v>27</v>
      </c>
      <c r="K372" s="12" t="s">
        <v>780</v>
      </c>
      <c r="L372" s="11" t="s">
        <v>779</v>
      </c>
    </row>
    <row r="373" spans="2:12">
      <c r="B373" t="s">
        <v>1312</v>
      </c>
      <c r="C373" s="12">
        <v>50</v>
      </c>
      <c r="D373" s="12">
        <v>39</v>
      </c>
      <c r="K373" s="12" t="s">
        <v>784</v>
      </c>
      <c r="L373" s="11" t="s">
        <v>783</v>
      </c>
    </row>
    <row r="374" spans="2:12">
      <c r="B374" t="s">
        <v>1313</v>
      </c>
      <c r="C374" s="12">
        <v>39</v>
      </c>
      <c r="D374" s="12">
        <v>27</v>
      </c>
      <c r="K374" s="12" t="s">
        <v>788</v>
      </c>
      <c r="L374" s="11" t="s">
        <v>787</v>
      </c>
    </row>
    <row r="375" spans="2:12">
      <c r="B375" t="s">
        <v>1314</v>
      </c>
      <c r="C375" s="12">
        <v>26</v>
      </c>
      <c r="D375" s="12">
        <v>32</v>
      </c>
      <c r="K375" s="12" t="s">
        <v>790</v>
      </c>
      <c r="L375" s="11" t="s">
        <v>789</v>
      </c>
    </row>
    <row r="376" spans="2:12">
      <c r="B376" t="s">
        <v>1315</v>
      </c>
      <c r="C376" s="12">
        <v>36</v>
      </c>
      <c r="D376" s="12">
        <v>35</v>
      </c>
      <c r="K376" s="12" t="s">
        <v>793</v>
      </c>
      <c r="L376" s="11" t="s">
        <v>792</v>
      </c>
    </row>
    <row r="377" spans="2:12">
      <c r="B377" t="s">
        <v>1525</v>
      </c>
      <c r="E377" s="12">
        <v>9</v>
      </c>
      <c r="F377" s="12">
        <v>12</v>
      </c>
      <c r="G377" s="12">
        <v>12</v>
      </c>
      <c r="H377" s="12">
        <v>15</v>
      </c>
      <c r="I377" s="12">
        <v>16</v>
      </c>
      <c r="J377" s="12">
        <v>29</v>
      </c>
      <c r="K377" s="12" t="s">
        <v>796</v>
      </c>
      <c r="L377" s="11" t="s">
        <v>795</v>
      </c>
    </row>
    <row r="378" spans="2:12">
      <c r="B378" t="s">
        <v>1526</v>
      </c>
      <c r="E378" s="12">
        <v>12</v>
      </c>
      <c r="F378" s="12">
        <v>24</v>
      </c>
      <c r="G378" s="12">
        <v>19</v>
      </c>
      <c r="H378" s="12">
        <v>29</v>
      </c>
      <c r="I378" s="12">
        <v>14</v>
      </c>
      <c r="J378" s="12">
        <v>55</v>
      </c>
      <c r="K378" s="12" t="s">
        <v>798</v>
      </c>
      <c r="L378" s="11" t="s">
        <v>797</v>
      </c>
    </row>
    <row r="379" spans="2:12">
      <c r="B379" t="s">
        <v>1527</v>
      </c>
      <c r="E379" s="12">
        <v>7</v>
      </c>
      <c r="F379" s="12">
        <v>13</v>
      </c>
      <c r="G379" s="12">
        <v>26</v>
      </c>
      <c r="H379" s="12">
        <v>28</v>
      </c>
      <c r="I379" s="12">
        <v>17</v>
      </c>
      <c r="J379" s="12">
        <v>35</v>
      </c>
      <c r="K379" s="12" t="s">
        <v>800</v>
      </c>
      <c r="L379" s="11" t="s">
        <v>799</v>
      </c>
    </row>
    <row r="380" spans="2:12">
      <c r="B380" t="s">
        <v>1528</v>
      </c>
      <c r="E380" s="12">
        <v>0</v>
      </c>
      <c r="F380" s="12">
        <v>7</v>
      </c>
      <c r="G380" s="12">
        <v>12</v>
      </c>
      <c r="H380" s="12">
        <v>11</v>
      </c>
      <c r="I380" s="12">
        <v>17</v>
      </c>
      <c r="J380" s="12">
        <v>24</v>
      </c>
      <c r="K380" s="12" t="s">
        <v>802</v>
      </c>
      <c r="L380" s="11" t="s">
        <v>801</v>
      </c>
    </row>
    <row r="381" spans="2:12">
      <c r="B381" t="s">
        <v>1529</v>
      </c>
      <c r="E381" s="12">
        <v>12</v>
      </c>
      <c r="F381" s="12">
        <v>34</v>
      </c>
      <c r="G381" s="12">
        <v>30</v>
      </c>
      <c r="H381" s="12">
        <v>35</v>
      </c>
      <c r="I381" s="12">
        <v>25</v>
      </c>
      <c r="J381" s="12">
        <v>46</v>
      </c>
      <c r="K381" s="12" t="s">
        <v>804</v>
      </c>
      <c r="L381" s="11" t="s">
        <v>803</v>
      </c>
    </row>
    <row r="382" spans="2:12">
      <c r="B382" s="4" t="s">
        <v>209</v>
      </c>
      <c r="C382" s="6">
        <v>4</v>
      </c>
      <c r="D382" s="4" t="s">
        <v>1584</v>
      </c>
      <c r="K382" s="3" t="s">
        <v>210</v>
      </c>
      <c r="L382" s="4" t="s">
        <v>211</v>
      </c>
    </row>
    <row r="383" spans="2:12">
      <c r="B383" s="4" t="s">
        <v>212</v>
      </c>
      <c r="C383" s="6">
        <v>3</v>
      </c>
      <c r="D383" s="6">
        <v>15</v>
      </c>
      <c r="K383" s="3" t="s">
        <v>213</v>
      </c>
      <c r="L383" s="4" t="s">
        <v>214</v>
      </c>
    </row>
    <row r="384" spans="2:12">
      <c r="B384" s="4" t="s">
        <v>216</v>
      </c>
      <c r="C384" s="3">
        <v>1</v>
      </c>
      <c r="D384" s="3">
        <v>5</v>
      </c>
      <c r="K384" s="3" t="s">
        <v>217</v>
      </c>
      <c r="L384" s="4" t="s">
        <v>218</v>
      </c>
    </row>
    <row r="385" spans="2:12">
      <c r="B385" s="4" t="s">
        <v>219</v>
      </c>
      <c r="C385" s="3">
        <v>1</v>
      </c>
      <c r="D385" s="3">
        <v>4</v>
      </c>
      <c r="K385" s="3" t="s">
        <v>220</v>
      </c>
      <c r="L385" s="4" t="s">
        <v>221</v>
      </c>
    </row>
    <row r="386" spans="2:12">
      <c r="B386" s="4" t="s">
        <v>222</v>
      </c>
      <c r="C386" s="6">
        <v>1</v>
      </c>
      <c r="D386" s="6">
        <v>7</v>
      </c>
      <c r="K386" s="3" t="s">
        <v>223</v>
      </c>
      <c r="L386" s="4" t="s">
        <v>224</v>
      </c>
    </row>
    <row r="387" spans="2:12">
      <c r="B387" s="4" t="s">
        <v>225</v>
      </c>
      <c r="E387" s="3">
        <v>0</v>
      </c>
      <c r="F387" s="3">
        <v>7</v>
      </c>
      <c r="G387" s="3">
        <v>9</v>
      </c>
      <c r="H387" s="3">
        <v>1</v>
      </c>
      <c r="I387" s="3">
        <v>3</v>
      </c>
      <c r="J387" s="4" t="s">
        <v>1584</v>
      </c>
      <c r="K387" s="3" t="s">
        <v>226</v>
      </c>
      <c r="L387" s="5" t="s">
        <v>227</v>
      </c>
    </row>
    <row r="388" spans="2:12">
      <c r="B388" s="4" t="s">
        <v>228</v>
      </c>
      <c r="E388" s="3">
        <v>4</v>
      </c>
      <c r="F388" s="3">
        <v>3</v>
      </c>
      <c r="G388" s="3">
        <v>7</v>
      </c>
      <c r="H388" s="3">
        <v>4</v>
      </c>
      <c r="I388" s="3">
        <v>2</v>
      </c>
      <c r="J388" s="3">
        <v>5</v>
      </c>
      <c r="K388" s="3" t="s">
        <v>229</v>
      </c>
      <c r="L388" s="5" t="s">
        <v>230</v>
      </c>
    </row>
    <row r="389" spans="2:12">
      <c r="B389" s="4" t="s">
        <v>231</v>
      </c>
      <c r="E389" s="3">
        <v>3</v>
      </c>
      <c r="F389" s="3">
        <v>4</v>
      </c>
      <c r="G389" s="3">
        <v>14</v>
      </c>
      <c r="H389" s="3">
        <v>6</v>
      </c>
      <c r="I389" s="3">
        <v>6</v>
      </c>
      <c r="J389" s="3">
        <v>6</v>
      </c>
      <c r="K389" s="3" t="s">
        <v>232</v>
      </c>
      <c r="L389" s="5" t="s">
        <v>233</v>
      </c>
    </row>
    <row r="390" spans="2:12">
      <c r="B390" s="4" t="s">
        <v>234</v>
      </c>
      <c r="E390" s="3">
        <v>4</v>
      </c>
      <c r="F390" s="3">
        <v>3</v>
      </c>
      <c r="G390" s="3">
        <v>9</v>
      </c>
      <c r="H390" s="3">
        <v>7</v>
      </c>
      <c r="I390" s="3">
        <v>5</v>
      </c>
      <c r="J390" s="3">
        <v>11</v>
      </c>
      <c r="K390" s="3" t="s">
        <v>235</v>
      </c>
      <c r="L390" s="5" t="s">
        <v>236</v>
      </c>
    </row>
    <row r="391" spans="2:12">
      <c r="B391" s="4" t="s">
        <v>237</v>
      </c>
      <c r="E391" s="3">
        <v>4</v>
      </c>
      <c r="F391" s="3">
        <v>0</v>
      </c>
      <c r="G391" s="3">
        <v>10</v>
      </c>
      <c r="H391" s="3">
        <v>4</v>
      </c>
      <c r="I391" s="3">
        <v>6</v>
      </c>
      <c r="J391" s="3">
        <v>3</v>
      </c>
      <c r="K391" s="3" t="s">
        <v>238</v>
      </c>
      <c r="L391" s="5" t="s">
        <v>239</v>
      </c>
    </row>
    <row r="392" spans="2:12">
      <c r="B392" s="4" t="s">
        <v>240</v>
      </c>
      <c r="C392" s="3">
        <v>13</v>
      </c>
      <c r="D392" s="3">
        <v>18</v>
      </c>
      <c r="K392" s="3" t="s">
        <v>241</v>
      </c>
      <c r="L392" s="4" t="s">
        <v>242</v>
      </c>
    </row>
    <row r="393" spans="2:12">
      <c r="B393" s="4" t="s">
        <v>244</v>
      </c>
      <c r="C393" s="3">
        <v>5</v>
      </c>
      <c r="D393" s="3">
        <v>19</v>
      </c>
      <c r="K393" s="3" t="s">
        <v>245</v>
      </c>
      <c r="L393" s="4" t="s">
        <v>246</v>
      </c>
    </row>
    <row r="394" spans="2:12">
      <c r="B394" s="4" t="s">
        <v>248</v>
      </c>
      <c r="C394" s="3">
        <v>11</v>
      </c>
      <c r="D394" s="3">
        <v>17</v>
      </c>
      <c r="K394" s="3" t="s">
        <v>249</v>
      </c>
      <c r="L394" s="4" t="s">
        <v>250</v>
      </c>
    </row>
    <row r="395" spans="2:12">
      <c r="B395" s="4" t="s">
        <v>252</v>
      </c>
      <c r="C395" s="6">
        <v>5</v>
      </c>
      <c r="D395" s="6">
        <v>4</v>
      </c>
      <c r="K395" s="3" t="s">
        <v>253</v>
      </c>
      <c r="L395" s="4" t="s">
        <v>254</v>
      </c>
    </row>
    <row r="396" spans="2:12">
      <c r="B396" s="4" t="s">
        <v>255</v>
      </c>
      <c r="C396" s="3">
        <v>3</v>
      </c>
      <c r="D396" s="3">
        <v>3</v>
      </c>
      <c r="K396" s="3" t="s">
        <v>256</v>
      </c>
      <c r="L396" s="4" t="s">
        <v>257</v>
      </c>
    </row>
    <row r="397" spans="2:12">
      <c r="B397" s="4" t="s">
        <v>260</v>
      </c>
      <c r="E397" s="3">
        <v>1</v>
      </c>
      <c r="F397" s="3">
        <v>3</v>
      </c>
      <c r="G397" s="3">
        <v>21</v>
      </c>
      <c r="H397" s="3">
        <v>4</v>
      </c>
      <c r="I397" s="3">
        <v>1</v>
      </c>
      <c r="J397" s="3">
        <v>6</v>
      </c>
      <c r="K397" s="3" t="s">
        <v>261</v>
      </c>
      <c r="L397" s="5" t="s">
        <v>262</v>
      </c>
    </row>
    <row r="398" spans="2:12">
      <c r="B398" s="4" t="s">
        <v>263</v>
      </c>
      <c r="E398" s="6">
        <v>1</v>
      </c>
      <c r="F398" s="6">
        <v>4</v>
      </c>
      <c r="G398" s="6">
        <v>15</v>
      </c>
      <c r="H398" s="6">
        <v>12</v>
      </c>
      <c r="I398" s="6">
        <v>1</v>
      </c>
      <c r="J398" s="6">
        <v>11</v>
      </c>
      <c r="K398" s="3" t="s">
        <v>264</v>
      </c>
      <c r="L398" s="5" t="s">
        <v>265</v>
      </c>
    </row>
    <row r="399" spans="2:12">
      <c r="B399" s="4" t="s">
        <v>266</v>
      </c>
      <c r="E399" s="3">
        <v>5</v>
      </c>
      <c r="F399" s="3">
        <v>0</v>
      </c>
      <c r="G399" s="3">
        <v>26</v>
      </c>
      <c r="H399" s="3">
        <v>11</v>
      </c>
      <c r="I399" s="3">
        <v>10</v>
      </c>
      <c r="J399" s="3">
        <v>14</v>
      </c>
      <c r="K399" s="3" t="s">
        <v>267</v>
      </c>
      <c r="L399" s="5" t="s">
        <v>268</v>
      </c>
    </row>
    <row r="400" spans="2:12">
      <c r="B400" s="4" t="s">
        <v>269</v>
      </c>
      <c r="E400" s="3">
        <v>1</v>
      </c>
      <c r="F400" s="3">
        <v>4</v>
      </c>
      <c r="G400" s="3">
        <v>19</v>
      </c>
      <c r="H400" s="3">
        <v>11</v>
      </c>
      <c r="I400" s="3">
        <v>5</v>
      </c>
      <c r="J400" s="3">
        <v>19</v>
      </c>
      <c r="K400" s="3" t="s">
        <v>270</v>
      </c>
      <c r="L400" s="5" t="s">
        <v>271</v>
      </c>
    </row>
    <row r="401" spans="2:12">
      <c r="B401" s="4" t="s">
        <v>272</v>
      </c>
      <c r="E401" s="3">
        <v>3</v>
      </c>
      <c r="F401" s="3">
        <v>1</v>
      </c>
      <c r="G401" s="3">
        <v>13</v>
      </c>
      <c r="H401" s="3">
        <v>0</v>
      </c>
      <c r="I401" s="3">
        <v>12</v>
      </c>
      <c r="J401" s="3">
        <v>16</v>
      </c>
      <c r="K401" s="3" t="s">
        <v>273</v>
      </c>
      <c r="L401" s="5" t="s">
        <v>274</v>
      </c>
    </row>
    <row r="402" spans="2:12">
      <c r="B402" s="4" t="s">
        <v>275</v>
      </c>
      <c r="C402" s="4" t="s">
        <v>1592</v>
      </c>
      <c r="D402" s="4" t="s">
        <v>1592</v>
      </c>
      <c r="K402" s="3" t="s">
        <v>276</v>
      </c>
      <c r="L402" s="4" t="s">
        <v>277</v>
      </c>
    </row>
    <row r="403" spans="2:12">
      <c r="B403" s="4" t="s">
        <v>278</v>
      </c>
      <c r="C403" s="4" t="s">
        <v>1584</v>
      </c>
      <c r="D403" s="3">
        <v>4</v>
      </c>
      <c r="K403" s="3" t="s">
        <v>279</v>
      </c>
      <c r="L403" s="4" t="s">
        <v>280</v>
      </c>
    </row>
    <row r="404" spans="2:12">
      <c r="B404" s="4" t="s">
        <v>282</v>
      </c>
      <c r="C404" s="3">
        <v>9</v>
      </c>
      <c r="D404" s="3">
        <v>15</v>
      </c>
      <c r="K404" s="3" t="s">
        <v>283</v>
      </c>
      <c r="L404" s="4" t="s">
        <v>284</v>
      </c>
    </row>
    <row r="405" spans="2:12">
      <c r="B405" s="4" t="s">
        <v>286</v>
      </c>
      <c r="C405" s="6">
        <v>3</v>
      </c>
      <c r="D405" s="6">
        <v>5</v>
      </c>
      <c r="K405" s="3" t="s">
        <v>287</v>
      </c>
      <c r="L405" s="4" t="s">
        <v>288</v>
      </c>
    </row>
    <row r="406" spans="2:12">
      <c r="B406" s="4" t="s">
        <v>290</v>
      </c>
      <c r="C406" s="3">
        <v>11</v>
      </c>
      <c r="D406" s="3">
        <v>14</v>
      </c>
      <c r="K406" s="3" t="s">
        <v>291</v>
      </c>
      <c r="L406" s="4" t="s">
        <v>292</v>
      </c>
    </row>
    <row r="407" spans="2:12">
      <c r="B407" s="4" t="s">
        <v>294</v>
      </c>
      <c r="E407" s="3">
        <v>7</v>
      </c>
      <c r="F407" s="3">
        <v>8</v>
      </c>
      <c r="G407" s="3">
        <v>26</v>
      </c>
      <c r="H407" s="3">
        <v>5</v>
      </c>
      <c r="I407" s="3">
        <v>9</v>
      </c>
      <c r="J407" s="3">
        <v>17</v>
      </c>
      <c r="K407" s="3" t="s">
        <v>295</v>
      </c>
      <c r="L407" s="5" t="s">
        <v>296</v>
      </c>
    </row>
    <row r="408" spans="2:12">
      <c r="B408" s="4" t="s">
        <v>297</v>
      </c>
      <c r="E408" s="3">
        <v>3</v>
      </c>
      <c r="F408" s="3">
        <v>7</v>
      </c>
      <c r="G408" s="3">
        <v>15</v>
      </c>
      <c r="H408" s="3">
        <v>2</v>
      </c>
      <c r="I408" s="3">
        <v>11</v>
      </c>
      <c r="J408" s="3">
        <v>12</v>
      </c>
      <c r="K408" s="3" t="s">
        <v>298</v>
      </c>
      <c r="L408" s="5" t="s">
        <v>299</v>
      </c>
    </row>
    <row r="409" spans="2:12">
      <c r="B409" s="4" t="s">
        <v>300</v>
      </c>
      <c r="E409" s="3">
        <v>2</v>
      </c>
      <c r="F409" s="3">
        <v>5</v>
      </c>
      <c r="G409" s="3">
        <v>17</v>
      </c>
      <c r="H409" s="3">
        <v>13</v>
      </c>
      <c r="I409" s="3">
        <v>7</v>
      </c>
      <c r="J409" s="3">
        <v>13</v>
      </c>
      <c r="K409" s="3" t="s">
        <v>301</v>
      </c>
      <c r="L409" s="5" t="s">
        <v>302</v>
      </c>
    </row>
    <row r="410" spans="2:12">
      <c r="B410" s="4" t="s">
        <v>303</v>
      </c>
      <c r="E410" s="3">
        <v>3</v>
      </c>
      <c r="F410" s="3">
        <v>2</v>
      </c>
      <c r="G410" s="3">
        <v>21</v>
      </c>
      <c r="H410" s="3">
        <v>7</v>
      </c>
      <c r="I410" s="3">
        <v>9</v>
      </c>
      <c r="J410" s="3">
        <v>23</v>
      </c>
      <c r="K410" s="3" t="s">
        <v>304</v>
      </c>
      <c r="L410" s="5" t="s">
        <v>305</v>
      </c>
    </row>
    <row r="411" spans="2:12">
      <c r="B411" s="4" t="s">
        <v>306</v>
      </c>
      <c r="E411" s="3">
        <v>6</v>
      </c>
      <c r="F411" s="3">
        <v>3</v>
      </c>
      <c r="G411" s="3">
        <v>16</v>
      </c>
      <c r="H411" s="3">
        <v>11</v>
      </c>
      <c r="I411" s="3">
        <v>8</v>
      </c>
      <c r="J411" s="3">
        <v>21</v>
      </c>
      <c r="K411" s="3" t="s">
        <v>307</v>
      </c>
      <c r="L411" s="5" t="s">
        <v>308</v>
      </c>
    </row>
    <row r="412" spans="2:12">
      <c r="B412" s="4" t="s">
        <v>309</v>
      </c>
      <c r="C412" s="3">
        <v>27</v>
      </c>
      <c r="D412" s="3">
        <v>20</v>
      </c>
      <c r="K412" s="3" t="s">
        <v>310</v>
      </c>
      <c r="L412" s="4" t="s">
        <v>311</v>
      </c>
    </row>
    <row r="413" spans="2:12">
      <c r="B413" s="4" t="s">
        <v>312</v>
      </c>
      <c r="C413" s="3">
        <v>16</v>
      </c>
      <c r="D413" s="3">
        <v>11</v>
      </c>
      <c r="K413" s="3" t="s">
        <v>313</v>
      </c>
      <c r="L413" s="4" t="s">
        <v>314</v>
      </c>
    </row>
    <row r="414" spans="2:12">
      <c r="B414" s="4" t="s">
        <v>315</v>
      </c>
      <c r="C414" s="3">
        <v>18</v>
      </c>
      <c r="D414" s="3">
        <v>19</v>
      </c>
      <c r="K414" s="3" t="s">
        <v>316</v>
      </c>
      <c r="L414" s="4" t="s">
        <v>317</v>
      </c>
    </row>
    <row r="415" spans="2:12">
      <c r="B415" s="4" t="s">
        <v>319</v>
      </c>
      <c r="C415" s="6">
        <v>26</v>
      </c>
      <c r="D415" s="6">
        <v>19</v>
      </c>
      <c r="K415" s="3" t="s">
        <v>320</v>
      </c>
      <c r="L415" s="4" t="s">
        <v>321</v>
      </c>
    </row>
    <row r="416" spans="2:12">
      <c r="B416" s="4" t="s">
        <v>322</v>
      </c>
      <c r="C416" s="6">
        <v>14</v>
      </c>
      <c r="D416" s="6">
        <v>18</v>
      </c>
      <c r="K416" s="3" t="s">
        <v>323</v>
      </c>
      <c r="L416" s="4" t="s">
        <v>324</v>
      </c>
    </row>
    <row r="417" spans="2:12">
      <c r="B417" s="4" t="s">
        <v>326</v>
      </c>
      <c r="E417" s="3">
        <v>2</v>
      </c>
      <c r="F417" s="3">
        <v>5</v>
      </c>
      <c r="G417" s="3">
        <v>11</v>
      </c>
      <c r="H417" s="3">
        <v>5</v>
      </c>
      <c r="I417" s="3">
        <v>7</v>
      </c>
      <c r="J417" s="4" t="s">
        <v>1592</v>
      </c>
      <c r="K417" s="3" t="s">
        <v>327</v>
      </c>
      <c r="L417" s="5" t="s">
        <v>328</v>
      </c>
    </row>
    <row r="418" spans="2:12">
      <c r="B418" s="4" t="s">
        <v>329</v>
      </c>
      <c r="E418" s="3">
        <v>2</v>
      </c>
      <c r="F418" s="3">
        <v>2</v>
      </c>
      <c r="G418" s="3">
        <v>26</v>
      </c>
      <c r="H418" s="3">
        <v>13</v>
      </c>
      <c r="I418" s="3">
        <v>24</v>
      </c>
      <c r="J418" s="3">
        <v>22</v>
      </c>
      <c r="K418" s="3" t="s">
        <v>330</v>
      </c>
      <c r="L418" s="5" t="s">
        <v>331</v>
      </c>
    </row>
    <row r="419" spans="2:12">
      <c r="B419" s="4" t="s">
        <v>332</v>
      </c>
      <c r="E419" s="6">
        <v>2</v>
      </c>
      <c r="F419" s="6">
        <v>15</v>
      </c>
      <c r="G419" s="6">
        <v>29</v>
      </c>
      <c r="H419" s="6">
        <v>11</v>
      </c>
      <c r="I419" s="6">
        <v>16</v>
      </c>
      <c r="J419" s="6">
        <v>31</v>
      </c>
      <c r="K419" s="3" t="s">
        <v>333</v>
      </c>
      <c r="L419" s="5" t="s">
        <v>334</v>
      </c>
    </row>
    <row r="420" spans="2:12">
      <c r="B420" s="4" t="s">
        <v>335</v>
      </c>
      <c r="E420" s="3">
        <v>1</v>
      </c>
      <c r="F420" s="3">
        <v>16</v>
      </c>
      <c r="G420" s="3">
        <v>22</v>
      </c>
      <c r="H420" s="3">
        <v>9</v>
      </c>
      <c r="I420" s="3">
        <v>16</v>
      </c>
      <c r="J420" s="3">
        <v>25</v>
      </c>
      <c r="K420" s="3" t="s">
        <v>336</v>
      </c>
      <c r="L420" s="5" t="s">
        <v>337</v>
      </c>
    </row>
    <row r="421" spans="2:12">
      <c r="B421" s="4" t="s">
        <v>339</v>
      </c>
      <c r="E421" s="6">
        <v>0</v>
      </c>
      <c r="F421" s="6">
        <v>0</v>
      </c>
      <c r="G421" s="6">
        <v>29</v>
      </c>
      <c r="H421" s="6">
        <v>21</v>
      </c>
      <c r="I421" s="6">
        <v>6</v>
      </c>
      <c r="J421" s="6">
        <v>23</v>
      </c>
      <c r="K421" s="3" t="s">
        <v>340</v>
      </c>
      <c r="L421" s="5" t="s">
        <v>341</v>
      </c>
    </row>
    <row r="422" spans="2:12">
      <c r="B422" t="s">
        <v>1316</v>
      </c>
      <c r="C422" s="12">
        <v>28</v>
      </c>
      <c r="D422" s="12">
        <v>29</v>
      </c>
      <c r="K422" s="12" t="s">
        <v>806</v>
      </c>
      <c r="L422" s="11" t="s">
        <v>805</v>
      </c>
    </row>
    <row r="423" spans="2:12">
      <c r="B423" t="s">
        <v>1317</v>
      </c>
      <c r="C423" s="12">
        <v>18</v>
      </c>
      <c r="D423" s="12">
        <v>28</v>
      </c>
      <c r="K423" s="12" t="s">
        <v>810</v>
      </c>
      <c r="L423" s="11" t="s">
        <v>809</v>
      </c>
    </row>
    <row r="424" spans="2:12">
      <c r="B424" t="s">
        <v>1318</v>
      </c>
      <c r="C424" s="12">
        <v>13</v>
      </c>
      <c r="D424" s="12">
        <v>20</v>
      </c>
      <c r="K424" s="12" t="s">
        <v>814</v>
      </c>
      <c r="L424" s="11" t="s">
        <v>813</v>
      </c>
    </row>
    <row r="425" spans="2:12">
      <c r="B425" t="s">
        <v>1319</v>
      </c>
      <c r="C425" s="12">
        <v>13</v>
      </c>
      <c r="D425" s="12">
        <v>30</v>
      </c>
      <c r="K425" s="12" t="s">
        <v>816</v>
      </c>
      <c r="L425" s="11" t="s">
        <v>815</v>
      </c>
    </row>
    <row r="426" spans="2:12">
      <c r="B426" t="s">
        <v>1320</v>
      </c>
      <c r="C426" s="12">
        <v>24</v>
      </c>
      <c r="D426" s="12">
        <v>40</v>
      </c>
      <c r="K426" s="12" t="s">
        <v>819</v>
      </c>
      <c r="L426" s="11" t="s">
        <v>818</v>
      </c>
    </row>
    <row r="427" spans="2:12">
      <c r="B427" t="s">
        <v>1530</v>
      </c>
      <c r="E427" s="12">
        <v>6</v>
      </c>
      <c r="F427" s="12">
        <v>2</v>
      </c>
      <c r="G427" s="12">
        <v>17</v>
      </c>
      <c r="H427" s="12">
        <v>9</v>
      </c>
      <c r="I427" s="12">
        <v>8</v>
      </c>
      <c r="J427" s="12">
        <v>22</v>
      </c>
      <c r="K427" s="12" t="s">
        <v>823</v>
      </c>
      <c r="L427" s="11" t="s">
        <v>822</v>
      </c>
    </row>
    <row r="428" spans="2:12">
      <c r="B428" t="s">
        <v>1531</v>
      </c>
      <c r="E428" s="12">
        <v>0</v>
      </c>
      <c r="F428" s="12">
        <v>9</v>
      </c>
      <c r="G428" s="12">
        <v>15</v>
      </c>
      <c r="H428" s="12">
        <v>8</v>
      </c>
      <c r="I428" s="12">
        <v>6</v>
      </c>
      <c r="J428" s="12">
        <v>22</v>
      </c>
      <c r="K428" s="12" t="s">
        <v>826</v>
      </c>
      <c r="L428" s="11" t="s">
        <v>825</v>
      </c>
    </row>
    <row r="429" spans="2:12">
      <c r="B429" t="s">
        <v>1532</v>
      </c>
      <c r="E429" s="12">
        <v>7</v>
      </c>
      <c r="F429" s="12">
        <v>11</v>
      </c>
      <c r="G429" s="12">
        <v>18</v>
      </c>
      <c r="H429" s="12">
        <v>5</v>
      </c>
      <c r="I429" s="12">
        <v>10</v>
      </c>
      <c r="J429" s="12">
        <v>16</v>
      </c>
      <c r="K429" s="12" t="s">
        <v>828</v>
      </c>
      <c r="L429" s="11" t="s">
        <v>827</v>
      </c>
    </row>
    <row r="430" spans="2:12">
      <c r="B430" t="s">
        <v>1533</v>
      </c>
      <c r="E430" s="12">
        <v>6</v>
      </c>
      <c r="F430" s="12">
        <v>5</v>
      </c>
      <c r="G430" s="12">
        <v>15</v>
      </c>
      <c r="H430" s="12">
        <v>13</v>
      </c>
      <c r="I430" s="12">
        <v>6</v>
      </c>
      <c r="J430" s="12">
        <v>15</v>
      </c>
      <c r="K430" s="12" t="s">
        <v>830</v>
      </c>
      <c r="L430" s="11" t="s">
        <v>829</v>
      </c>
    </row>
    <row r="431" spans="2:12">
      <c r="B431" t="s">
        <v>1534</v>
      </c>
      <c r="E431" s="12">
        <v>5</v>
      </c>
      <c r="F431" s="12">
        <v>3</v>
      </c>
      <c r="G431" s="12">
        <v>5</v>
      </c>
      <c r="H431" s="12">
        <v>2</v>
      </c>
      <c r="I431" s="12">
        <v>6</v>
      </c>
      <c r="J431" s="12">
        <v>21</v>
      </c>
      <c r="K431" s="12" t="s">
        <v>832</v>
      </c>
      <c r="L431" s="11" t="s">
        <v>831</v>
      </c>
    </row>
    <row r="432" spans="2:12">
      <c r="B432" t="s">
        <v>1321</v>
      </c>
      <c r="C432" s="12">
        <v>21</v>
      </c>
      <c r="D432" s="12">
        <v>30</v>
      </c>
      <c r="K432" s="12" t="s">
        <v>834</v>
      </c>
      <c r="L432" s="11" t="s">
        <v>833</v>
      </c>
    </row>
    <row r="433" spans="2:12">
      <c r="B433" t="s">
        <v>1322</v>
      </c>
      <c r="C433" s="12">
        <v>2</v>
      </c>
      <c r="D433" s="12">
        <v>0</v>
      </c>
      <c r="K433" s="12" t="s">
        <v>838</v>
      </c>
      <c r="L433" s="11" t="s">
        <v>837</v>
      </c>
    </row>
    <row r="434" spans="2:12">
      <c r="B434" t="s">
        <v>1323</v>
      </c>
      <c r="C434" s="12">
        <v>26</v>
      </c>
      <c r="D434" s="12">
        <v>5</v>
      </c>
      <c r="K434" s="12" t="s">
        <v>843</v>
      </c>
      <c r="L434" s="11" t="s">
        <v>842</v>
      </c>
    </row>
    <row r="435" spans="2:12">
      <c r="B435" t="s">
        <v>1324</v>
      </c>
      <c r="C435" s="12">
        <v>38</v>
      </c>
      <c r="D435" s="12">
        <v>15</v>
      </c>
      <c r="K435" s="12" t="s">
        <v>848</v>
      </c>
      <c r="L435" s="11" t="s">
        <v>847</v>
      </c>
    </row>
    <row r="436" spans="2:12">
      <c r="B436" t="s">
        <v>1325</v>
      </c>
      <c r="C436" s="12">
        <v>13</v>
      </c>
      <c r="D436" s="12">
        <v>26</v>
      </c>
      <c r="K436" s="12" t="s">
        <v>852</v>
      </c>
      <c r="L436" s="11" t="s">
        <v>851</v>
      </c>
    </row>
    <row r="437" spans="2:12">
      <c r="B437" t="s">
        <v>1535</v>
      </c>
      <c r="E437" s="12">
        <v>9</v>
      </c>
      <c r="F437" s="12">
        <v>24</v>
      </c>
      <c r="G437" s="12">
        <v>23</v>
      </c>
      <c r="H437" s="12">
        <v>17</v>
      </c>
      <c r="I437" s="12">
        <v>7</v>
      </c>
      <c r="J437" s="12">
        <v>31</v>
      </c>
      <c r="K437" s="12" t="s">
        <v>855</v>
      </c>
      <c r="L437" s="11" t="s">
        <v>854</v>
      </c>
    </row>
    <row r="438" spans="2:12">
      <c r="B438" t="s">
        <v>1536</v>
      </c>
      <c r="E438" s="12">
        <v>7</v>
      </c>
      <c r="F438" s="12">
        <v>16</v>
      </c>
      <c r="G438" s="12">
        <v>15</v>
      </c>
      <c r="H438" s="12">
        <v>11</v>
      </c>
      <c r="I438" s="12">
        <v>11</v>
      </c>
      <c r="J438" s="12">
        <v>17</v>
      </c>
      <c r="K438" s="12" t="s">
        <v>857</v>
      </c>
      <c r="L438" s="11" t="s">
        <v>856</v>
      </c>
    </row>
    <row r="439" spans="2:12">
      <c r="B439" t="s">
        <v>1537</v>
      </c>
      <c r="E439" s="12">
        <v>9</v>
      </c>
      <c r="F439" s="12">
        <v>14</v>
      </c>
      <c r="G439" s="12">
        <v>18</v>
      </c>
      <c r="H439" s="12">
        <v>19</v>
      </c>
      <c r="I439" s="12">
        <v>10</v>
      </c>
      <c r="J439" s="12">
        <v>24</v>
      </c>
      <c r="K439" s="12" t="s">
        <v>859</v>
      </c>
      <c r="L439" s="11" t="s">
        <v>858</v>
      </c>
    </row>
    <row r="440" spans="2:12">
      <c r="B440" t="s">
        <v>1538</v>
      </c>
      <c r="E440" s="12">
        <v>0</v>
      </c>
      <c r="F440" s="12">
        <v>12</v>
      </c>
      <c r="G440" s="12">
        <v>20</v>
      </c>
      <c r="H440" s="12">
        <v>18</v>
      </c>
      <c r="I440" s="12">
        <v>13</v>
      </c>
      <c r="J440" s="12">
        <v>33</v>
      </c>
      <c r="K440" s="12" t="s">
        <v>861</v>
      </c>
      <c r="L440" s="11" t="s">
        <v>860</v>
      </c>
    </row>
    <row r="441" spans="2:12">
      <c r="B441" t="s">
        <v>1539</v>
      </c>
      <c r="E441" s="12">
        <v>11</v>
      </c>
      <c r="F441" s="12">
        <v>17</v>
      </c>
      <c r="G441" s="12">
        <v>17</v>
      </c>
      <c r="H441" s="12">
        <v>24</v>
      </c>
      <c r="I441" s="12">
        <v>7</v>
      </c>
      <c r="J441" s="12">
        <v>31</v>
      </c>
      <c r="K441" s="12" t="s">
        <v>863</v>
      </c>
      <c r="L441" s="11" t="s">
        <v>862</v>
      </c>
    </row>
    <row r="442" spans="2:12">
      <c r="B442" s="4" t="s">
        <v>342</v>
      </c>
      <c r="C442" s="3">
        <v>18</v>
      </c>
      <c r="D442" s="3">
        <v>30</v>
      </c>
      <c r="K442" s="3" t="s">
        <v>343</v>
      </c>
      <c r="L442" s="4" t="s">
        <v>344</v>
      </c>
    </row>
    <row r="443" spans="2:12">
      <c r="B443" s="4" t="s">
        <v>346</v>
      </c>
      <c r="C443" s="3">
        <v>5</v>
      </c>
      <c r="D443" s="3">
        <v>24</v>
      </c>
      <c r="K443" s="3" t="s">
        <v>347</v>
      </c>
      <c r="L443" s="4" t="s">
        <v>348</v>
      </c>
    </row>
    <row r="444" spans="2:12">
      <c r="B444" s="4" t="s">
        <v>350</v>
      </c>
      <c r="C444" s="3">
        <v>10</v>
      </c>
      <c r="D444" s="3">
        <v>23</v>
      </c>
      <c r="K444" s="3" t="s">
        <v>351</v>
      </c>
      <c r="L444" s="4" t="s">
        <v>352</v>
      </c>
    </row>
    <row r="445" spans="2:12">
      <c r="B445" s="4" t="s">
        <v>354</v>
      </c>
      <c r="C445" s="3">
        <v>10</v>
      </c>
      <c r="D445" s="3">
        <v>25</v>
      </c>
      <c r="K445" s="3" t="s">
        <v>355</v>
      </c>
      <c r="L445" s="4" t="s">
        <v>356</v>
      </c>
    </row>
    <row r="446" spans="2:12">
      <c r="B446" s="4" t="s">
        <v>357</v>
      </c>
      <c r="C446" s="4" t="s">
        <v>1584</v>
      </c>
      <c r="D446" s="6">
        <v>17</v>
      </c>
      <c r="K446" s="3" t="s">
        <v>358</v>
      </c>
      <c r="L446" s="4" t="s">
        <v>359</v>
      </c>
    </row>
    <row r="447" spans="2:12">
      <c r="B447" s="4" t="s">
        <v>362</v>
      </c>
      <c r="E447" s="3">
        <v>3</v>
      </c>
      <c r="F447" s="3">
        <v>4</v>
      </c>
      <c r="G447" s="3">
        <v>18</v>
      </c>
      <c r="H447" s="3">
        <v>9</v>
      </c>
      <c r="I447" s="3">
        <v>4</v>
      </c>
      <c r="J447" s="3">
        <v>12</v>
      </c>
      <c r="K447" s="3" t="s">
        <v>363</v>
      </c>
      <c r="L447" s="5" t="s">
        <v>364</v>
      </c>
    </row>
    <row r="448" spans="2:12">
      <c r="B448" s="4" t="s">
        <v>365</v>
      </c>
      <c r="E448" s="3">
        <v>5</v>
      </c>
      <c r="F448" s="3">
        <v>5</v>
      </c>
      <c r="G448" s="3">
        <v>12</v>
      </c>
      <c r="H448" s="3">
        <v>6</v>
      </c>
      <c r="I448" s="3">
        <v>10</v>
      </c>
      <c r="J448" s="3">
        <v>11</v>
      </c>
      <c r="K448" s="3" t="s">
        <v>366</v>
      </c>
      <c r="L448" s="5" t="s">
        <v>367</v>
      </c>
    </row>
    <row r="449" spans="2:12">
      <c r="B449" s="4" t="s">
        <v>368</v>
      </c>
      <c r="E449" s="3">
        <v>6</v>
      </c>
      <c r="F449" s="3">
        <v>2</v>
      </c>
      <c r="G449" s="3">
        <v>19</v>
      </c>
      <c r="H449" s="3">
        <v>7</v>
      </c>
      <c r="I449" s="3">
        <v>7</v>
      </c>
      <c r="J449" s="3">
        <v>11</v>
      </c>
      <c r="K449" s="3" t="s">
        <v>369</v>
      </c>
      <c r="L449" s="5" t="s">
        <v>370</v>
      </c>
    </row>
    <row r="450" spans="2:12">
      <c r="B450" s="4" t="s">
        <v>371</v>
      </c>
      <c r="E450" s="3">
        <v>4</v>
      </c>
      <c r="F450" s="3">
        <v>5</v>
      </c>
      <c r="G450" s="3">
        <v>20</v>
      </c>
      <c r="H450" s="3">
        <v>9</v>
      </c>
      <c r="I450" s="3">
        <v>14</v>
      </c>
      <c r="J450" s="3">
        <v>14</v>
      </c>
      <c r="K450" s="3" t="s">
        <v>372</v>
      </c>
      <c r="L450" s="5" t="s">
        <v>373</v>
      </c>
    </row>
    <row r="451" spans="2:12">
      <c r="B451" s="4" t="s">
        <v>374</v>
      </c>
      <c r="E451" s="6">
        <v>7</v>
      </c>
      <c r="F451" s="6">
        <v>10</v>
      </c>
      <c r="G451" s="6">
        <v>33</v>
      </c>
      <c r="H451" s="6">
        <v>16</v>
      </c>
      <c r="I451" s="6">
        <v>14</v>
      </c>
      <c r="J451" s="6">
        <v>14</v>
      </c>
      <c r="K451" s="3" t="s">
        <v>375</v>
      </c>
      <c r="L451" s="5" t="s">
        <v>376</v>
      </c>
    </row>
    <row r="452" spans="2:12">
      <c r="B452" s="4" t="s">
        <v>377</v>
      </c>
      <c r="C452" s="4" t="s">
        <v>1592</v>
      </c>
      <c r="D452" s="3">
        <v>7</v>
      </c>
      <c r="K452" s="3" t="s">
        <v>378</v>
      </c>
      <c r="L452" s="4" t="s">
        <v>379</v>
      </c>
    </row>
    <row r="453" spans="2:12">
      <c r="B453" s="4" t="s">
        <v>381</v>
      </c>
      <c r="C453" s="3">
        <v>3</v>
      </c>
      <c r="D453" s="3">
        <v>18</v>
      </c>
      <c r="K453" s="3" t="s">
        <v>382</v>
      </c>
      <c r="L453" s="4" t="s">
        <v>383</v>
      </c>
    </row>
    <row r="454" spans="2:12">
      <c r="B454" s="4" t="s">
        <v>385</v>
      </c>
      <c r="C454" s="6">
        <v>6</v>
      </c>
      <c r="D454" s="6">
        <v>20</v>
      </c>
      <c r="K454" s="3" t="s">
        <v>386</v>
      </c>
      <c r="L454" s="4" t="s">
        <v>387</v>
      </c>
    </row>
    <row r="455" spans="2:12">
      <c r="B455" s="4" t="s">
        <v>388</v>
      </c>
      <c r="C455" s="3">
        <v>15</v>
      </c>
      <c r="D455" s="3">
        <v>2</v>
      </c>
      <c r="K455" s="3" t="s">
        <v>389</v>
      </c>
      <c r="L455" s="4" t="s">
        <v>390</v>
      </c>
    </row>
    <row r="456" spans="2:12">
      <c r="B456" s="4" t="s">
        <v>391</v>
      </c>
      <c r="C456" s="3">
        <v>6</v>
      </c>
      <c r="D456" s="3">
        <v>20</v>
      </c>
      <c r="K456" s="3" t="s">
        <v>392</v>
      </c>
      <c r="L456" s="4" t="s">
        <v>393</v>
      </c>
    </row>
    <row r="457" spans="2:12">
      <c r="B457" s="4" t="s">
        <v>395</v>
      </c>
      <c r="E457" s="3">
        <v>6</v>
      </c>
      <c r="F457" s="3">
        <v>1</v>
      </c>
      <c r="G457" s="3">
        <v>5</v>
      </c>
      <c r="H457" s="3">
        <v>3</v>
      </c>
      <c r="I457" s="3">
        <v>5</v>
      </c>
      <c r="J457" s="3">
        <v>8</v>
      </c>
      <c r="K457" s="3" t="s">
        <v>396</v>
      </c>
      <c r="L457" s="5" t="s">
        <v>397</v>
      </c>
    </row>
    <row r="458" spans="2:12">
      <c r="B458" s="4" t="s">
        <v>398</v>
      </c>
      <c r="E458" s="3">
        <v>3</v>
      </c>
      <c r="F458" s="3">
        <v>4</v>
      </c>
      <c r="G458" s="3">
        <v>3</v>
      </c>
      <c r="H458" s="3">
        <v>0</v>
      </c>
      <c r="I458" s="3">
        <v>0</v>
      </c>
      <c r="J458" s="3">
        <v>7</v>
      </c>
      <c r="K458" s="3" t="s">
        <v>399</v>
      </c>
      <c r="L458" s="5" t="s">
        <v>400</v>
      </c>
    </row>
    <row r="459" spans="2:12">
      <c r="B459" s="4" t="s">
        <v>401</v>
      </c>
      <c r="E459" s="3">
        <v>7</v>
      </c>
      <c r="F459" s="3">
        <v>7</v>
      </c>
      <c r="G459" s="3">
        <v>15</v>
      </c>
      <c r="H459" s="3">
        <v>12</v>
      </c>
      <c r="I459" s="3">
        <v>7</v>
      </c>
      <c r="J459" s="3">
        <v>21</v>
      </c>
      <c r="K459" s="3" t="s">
        <v>402</v>
      </c>
      <c r="L459" s="5" t="s">
        <v>403</v>
      </c>
    </row>
    <row r="460" spans="2:12">
      <c r="B460" s="4" t="s">
        <v>405</v>
      </c>
      <c r="E460" s="3">
        <v>4</v>
      </c>
      <c r="F460" s="3">
        <v>8</v>
      </c>
      <c r="G460" s="3">
        <v>7</v>
      </c>
      <c r="H460" s="3">
        <v>7</v>
      </c>
      <c r="I460" s="3">
        <v>9</v>
      </c>
      <c r="J460" s="3">
        <v>13</v>
      </c>
      <c r="K460" s="3" t="s">
        <v>406</v>
      </c>
      <c r="L460" s="5" t="s">
        <v>407</v>
      </c>
    </row>
    <row r="461" spans="2:12">
      <c r="B461" s="4" t="s">
        <v>408</v>
      </c>
      <c r="E461" s="3">
        <v>3</v>
      </c>
      <c r="F461" s="3">
        <v>6</v>
      </c>
      <c r="G461" s="3">
        <v>19</v>
      </c>
      <c r="H461" s="3">
        <v>6</v>
      </c>
      <c r="I461" s="3">
        <v>8</v>
      </c>
      <c r="J461" s="3">
        <v>15</v>
      </c>
      <c r="K461" s="3" t="s">
        <v>409</v>
      </c>
      <c r="L461" s="5" t="s">
        <v>410</v>
      </c>
    </row>
    <row r="462" spans="2:12">
      <c r="B462" t="s">
        <v>1326</v>
      </c>
      <c r="C462" s="12">
        <v>16</v>
      </c>
      <c r="D462" s="12">
        <v>21</v>
      </c>
      <c r="K462" s="12" t="s">
        <v>865</v>
      </c>
      <c r="L462" s="11" t="s">
        <v>864</v>
      </c>
    </row>
    <row r="463" spans="2:12">
      <c r="B463" t="s">
        <v>1327</v>
      </c>
      <c r="C463" s="12">
        <v>13</v>
      </c>
      <c r="D463" s="12">
        <v>14</v>
      </c>
      <c r="K463" s="12" t="s">
        <v>868</v>
      </c>
      <c r="L463" s="11" t="s">
        <v>867</v>
      </c>
    </row>
    <row r="464" spans="2:12">
      <c r="B464" t="s">
        <v>1328</v>
      </c>
      <c r="C464" s="12">
        <v>13</v>
      </c>
      <c r="D464" s="12">
        <v>9</v>
      </c>
      <c r="K464" s="12" t="s">
        <v>873</v>
      </c>
      <c r="L464" s="11" t="s">
        <v>872</v>
      </c>
    </row>
    <row r="465" spans="2:12">
      <c r="B465" t="s">
        <v>1329</v>
      </c>
      <c r="C465" s="12">
        <v>17</v>
      </c>
      <c r="D465" s="12">
        <v>9</v>
      </c>
      <c r="K465" s="12" t="s">
        <v>877</v>
      </c>
      <c r="L465" s="11" t="s">
        <v>876</v>
      </c>
    </row>
    <row r="466" spans="2:12">
      <c r="B466" t="s">
        <v>1330</v>
      </c>
      <c r="C466" s="12">
        <v>16</v>
      </c>
      <c r="D466" s="12">
        <v>13</v>
      </c>
      <c r="K466" s="12" t="s">
        <v>880</v>
      </c>
      <c r="L466" s="11" t="s">
        <v>879</v>
      </c>
    </row>
    <row r="467" spans="2:12">
      <c r="B467" t="s">
        <v>1540</v>
      </c>
      <c r="E467" s="12">
        <v>0</v>
      </c>
      <c r="F467" s="12">
        <v>2</v>
      </c>
      <c r="G467" s="12">
        <v>9</v>
      </c>
      <c r="H467" s="12">
        <v>6</v>
      </c>
      <c r="I467" s="12">
        <v>3</v>
      </c>
      <c r="J467" s="12">
        <v>11</v>
      </c>
      <c r="K467" s="12" t="s">
        <v>883</v>
      </c>
      <c r="L467" s="11" t="s">
        <v>882</v>
      </c>
    </row>
    <row r="468" spans="2:12">
      <c r="B468" t="s">
        <v>1541</v>
      </c>
      <c r="E468" s="12">
        <v>6</v>
      </c>
      <c r="F468" s="12">
        <v>9</v>
      </c>
      <c r="G468" s="12">
        <v>11</v>
      </c>
      <c r="H468" s="12">
        <v>5</v>
      </c>
      <c r="I468" s="12">
        <v>6</v>
      </c>
      <c r="J468" s="12">
        <v>14</v>
      </c>
      <c r="K468" s="12" t="s">
        <v>885</v>
      </c>
      <c r="L468" s="11" t="s">
        <v>884</v>
      </c>
    </row>
    <row r="469" spans="2:12">
      <c r="B469" t="s">
        <v>1542</v>
      </c>
      <c r="E469" s="12">
        <v>7</v>
      </c>
      <c r="F469" s="12">
        <v>2</v>
      </c>
      <c r="G469" s="12">
        <v>9</v>
      </c>
      <c r="H469" s="12">
        <v>7</v>
      </c>
      <c r="I469" s="12">
        <v>13</v>
      </c>
      <c r="J469" s="12">
        <v>16</v>
      </c>
      <c r="K469" s="12" t="s">
        <v>887</v>
      </c>
      <c r="L469" s="11" t="s">
        <v>886</v>
      </c>
    </row>
    <row r="470" spans="2:12">
      <c r="B470" t="s">
        <v>1543</v>
      </c>
      <c r="E470" s="12">
        <v>5</v>
      </c>
      <c r="F470" s="12">
        <v>6</v>
      </c>
      <c r="G470" s="12">
        <v>12</v>
      </c>
      <c r="H470" s="12">
        <v>8</v>
      </c>
      <c r="I470" s="12">
        <v>12</v>
      </c>
      <c r="J470" s="12">
        <v>14</v>
      </c>
      <c r="K470" s="12" t="s">
        <v>889</v>
      </c>
      <c r="L470" s="11" t="s">
        <v>888</v>
      </c>
    </row>
    <row r="471" spans="2:12">
      <c r="B471" t="s">
        <v>1544</v>
      </c>
      <c r="E471" s="12">
        <v>6</v>
      </c>
      <c r="F471" s="12">
        <v>3</v>
      </c>
      <c r="G471" s="12">
        <v>15</v>
      </c>
      <c r="H471" s="12">
        <v>10</v>
      </c>
      <c r="I471" s="12">
        <v>7</v>
      </c>
      <c r="J471" s="12">
        <v>14</v>
      </c>
      <c r="K471" s="12" t="s">
        <v>891</v>
      </c>
      <c r="L471" s="11" t="s">
        <v>890</v>
      </c>
    </row>
    <row r="472" spans="2:12">
      <c r="B472" s="18" t="s">
        <v>1331</v>
      </c>
      <c r="C472" s="12">
        <v>18</v>
      </c>
      <c r="D472" s="12">
        <v>21</v>
      </c>
      <c r="K472" s="12" t="s">
        <v>893</v>
      </c>
      <c r="L472" s="11" t="s">
        <v>892</v>
      </c>
    </row>
    <row r="473" spans="2:12">
      <c r="B473" s="18" t="s">
        <v>1332</v>
      </c>
      <c r="C473" s="12">
        <v>16</v>
      </c>
      <c r="D473" s="12">
        <v>20</v>
      </c>
      <c r="K473" s="12" t="s">
        <v>897</v>
      </c>
      <c r="L473" s="11" t="s">
        <v>896</v>
      </c>
    </row>
    <row r="474" spans="2:12">
      <c r="B474" s="18" t="s">
        <v>1333</v>
      </c>
      <c r="C474" s="12">
        <v>24</v>
      </c>
      <c r="D474" s="12">
        <v>25</v>
      </c>
      <c r="K474" s="12" t="s">
        <v>901</v>
      </c>
      <c r="L474" s="11" t="s">
        <v>900</v>
      </c>
    </row>
    <row r="475" spans="2:12">
      <c r="B475" s="18" t="s">
        <v>1334</v>
      </c>
      <c r="C475" s="12">
        <v>24</v>
      </c>
      <c r="D475" s="12">
        <v>29</v>
      </c>
      <c r="K475" s="12" t="s">
        <v>903</v>
      </c>
      <c r="L475" s="11" t="s">
        <v>902</v>
      </c>
    </row>
    <row r="476" spans="2:12">
      <c r="B476" s="18" t="s">
        <v>1335</v>
      </c>
      <c r="C476" s="12">
        <v>4</v>
      </c>
      <c r="D476" s="12">
        <v>32</v>
      </c>
      <c r="K476" s="12" t="s">
        <v>907</v>
      </c>
      <c r="L476" s="11" t="s">
        <v>906</v>
      </c>
    </row>
    <row r="477" spans="2:12">
      <c r="B477" t="s">
        <v>1545</v>
      </c>
      <c r="E477" s="12">
        <v>6</v>
      </c>
      <c r="F477" s="12">
        <v>16</v>
      </c>
      <c r="G477" s="12">
        <v>21</v>
      </c>
      <c r="H477" s="12">
        <v>12</v>
      </c>
      <c r="I477" s="12">
        <v>8</v>
      </c>
      <c r="J477" s="12">
        <v>23</v>
      </c>
      <c r="K477" s="12" t="s">
        <v>909</v>
      </c>
      <c r="L477" s="11" t="s">
        <v>908</v>
      </c>
    </row>
    <row r="478" spans="2:12">
      <c r="B478" t="s">
        <v>1546</v>
      </c>
      <c r="E478" s="12">
        <v>4</v>
      </c>
      <c r="F478" s="12">
        <v>17</v>
      </c>
      <c r="G478" s="12">
        <v>18</v>
      </c>
      <c r="H478" s="12">
        <v>12</v>
      </c>
      <c r="I478" s="12">
        <v>6</v>
      </c>
      <c r="J478" s="12">
        <v>16</v>
      </c>
      <c r="K478" s="12" t="s">
        <v>911</v>
      </c>
      <c r="L478" s="11" t="s">
        <v>910</v>
      </c>
    </row>
    <row r="479" spans="2:12">
      <c r="B479" t="s">
        <v>1547</v>
      </c>
      <c r="E479" s="12">
        <v>8</v>
      </c>
      <c r="F479" s="12">
        <v>11</v>
      </c>
      <c r="G479" s="12">
        <v>10</v>
      </c>
      <c r="H479" s="12">
        <v>12</v>
      </c>
      <c r="I479" s="12">
        <v>16</v>
      </c>
      <c r="J479" s="12">
        <v>12</v>
      </c>
      <c r="K479" s="12" t="s">
        <v>913</v>
      </c>
      <c r="L479" s="11" t="s">
        <v>912</v>
      </c>
    </row>
    <row r="480" spans="2:12">
      <c r="B480" t="s">
        <v>1548</v>
      </c>
      <c r="E480" s="12">
        <v>8</v>
      </c>
      <c r="F480" s="12">
        <v>4</v>
      </c>
      <c r="G480" s="12">
        <v>11</v>
      </c>
      <c r="H480" s="12">
        <v>7</v>
      </c>
      <c r="I480" s="12">
        <v>7</v>
      </c>
      <c r="J480" s="12">
        <v>18</v>
      </c>
      <c r="K480" s="12" t="s">
        <v>915</v>
      </c>
      <c r="L480" s="11" t="s">
        <v>914</v>
      </c>
    </row>
    <row r="481" spans="2:12">
      <c r="B481" t="s">
        <v>1549</v>
      </c>
      <c r="E481" s="12">
        <v>5</v>
      </c>
      <c r="F481" s="12">
        <v>13</v>
      </c>
      <c r="G481" s="12">
        <v>24</v>
      </c>
      <c r="H481" s="12">
        <v>12</v>
      </c>
      <c r="I481" s="12">
        <v>12</v>
      </c>
      <c r="J481" s="12">
        <v>31</v>
      </c>
      <c r="K481" s="12" t="s">
        <v>917</v>
      </c>
      <c r="L481" s="11" t="s">
        <v>916</v>
      </c>
    </row>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0D17-9620-4FB4-BCC9-2E6ED80501AA}">
  <dimension ref="A1:O674"/>
  <sheetViews>
    <sheetView topLeftCell="A316" workbookViewId="0">
      <selection activeCell="G16" sqref="G16"/>
    </sheetView>
  </sheetViews>
  <sheetFormatPr baseColWidth="10" defaultColWidth="8.83203125" defaultRowHeight="15"/>
  <cols>
    <col min="1" max="1" width="32.83203125" customWidth="1"/>
    <col min="2" max="2" width="24.5" bestFit="1" customWidth="1"/>
    <col min="3" max="3" width="15.6640625" customWidth="1"/>
    <col min="4" max="4" width="7.6640625" customWidth="1"/>
    <col min="5" max="5" width="9.6640625" customWidth="1"/>
    <col min="6" max="6" width="8.33203125" customWidth="1"/>
    <col min="7" max="7" width="11.5" customWidth="1"/>
    <col min="8" max="8" width="8.5" customWidth="1"/>
    <col min="9" max="9" width="7.83203125" customWidth="1"/>
    <col min="10" max="10" width="13.6640625" customWidth="1"/>
    <col min="12" max="12" width="42.83203125" customWidth="1"/>
  </cols>
  <sheetData>
    <row r="1" spans="1:14" ht="85">
      <c r="A1" s="14" t="s">
        <v>1581</v>
      </c>
      <c r="B1" s="1" t="s">
        <v>1225</v>
      </c>
      <c r="C1" s="2" t="s">
        <v>1568</v>
      </c>
      <c r="D1" s="16" t="s">
        <v>1569</v>
      </c>
      <c r="E1" s="16" t="s">
        <v>1570</v>
      </c>
      <c r="F1" s="16" t="s">
        <v>1571</v>
      </c>
      <c r="G1" s="16" t="s">
        <v>1572</v>
      </c>
      <c r="H1" s="16" t="s">
        <v>1573</v>
      </c>
      <c r="I1" s="16" t="s">
        <v>1574</v>
      </c>
      <c r="J1" s="2" t="s">
        <v>1575</v>
      </c>
      <c r="K1" s="2" t="s">
        <v>1582</v>
      </c>
      <c r="L1" s="1" t="s">
        <v>1593</v>
      </c>
    </row>
    <row r="2" spans="1:14" s="25" customFormat="1">
      <c r="B2" s="31" t="s">
        <v>1567</v>
      </c>
      <c r="C2" s="32">
        <v>50</v>
      </c>
      <c r="D2" s="30">
        <v>50</v>
      </c>
      <c r="E2" s="30">
        <v>15</v>
      </c>
      <c r="F2" s="30">
        <v>34</v>
      </c>
      <c r="G2" s="30">
        <v>47</v>
      </c>
      <c r="H2" s="30">
        <v>35</v>
      </c>
      <c r="I2" s="30">
        <v>31</v>
      </c>
      <c r="J2" s="30">
        <v>55</v>
      </c>
      <c r="K2" s="32"/>
      <c r="L2" s="31"/>
    </row>
    <row r="3" spans="1:14">
      <c r="B3" t="s">
        <v>1226</v>
      </c>
      <c r="C3">
        <v>3</v>
      </c>
      <c r="D3">
        <v>11</v>
      </c>
      <c r="K3" s="10" t="s">
        <v>196</v>
      </c>
      <c r="L3" t="s">
        <v>541</v>
      </c>
    </row>
    <row r="4" spans="1:14">
      <c r="B4" t="s">
        <v>1227</v>
      </c>
      <c r="C4">
        <v>8</v>
      </c>
      <c r="D4">
        <v>13</v>
      </c>
      <c r="K4" s="10" t="s">
        <v>428</v>
      </c>
      <c r="L4" t="s">
        <v>545</v>
      </c>
    </row>
    <row r="5" spans="1:14">
      <c r="B5" t="s">
        <v>1228</v>
      </c>
      <c r="C5">
        <v>7</v>
      </c>
      <c r="D5">
        <v>12</v>
      </c>
      <c r="K5" s="10" t="s">
        <v>351</v>
      </c>
      <c r="L5" t="s">
        <v>547</v>
      </c>
    </row>
    <row r="6" spans="1:14">
      <c r="B6" t="s">
        <v>1229</v>
      </c>
      <c r="C6">
        <v>9</v>
      </c>
      <c r="D6">
        <v>8</v>
      </c>
      <c r="K6" s="10" t="s">
        <v>369</v>
      </c>
      <c r="L6" t="s">
        <v>550</v>
      </c>
    </row>
    <row r="7" spans="1:14">
      <c r="B7" t="s">
        <v>1230</v>
      </c>
      <c r="C7">
        <v>5</v>
      </c>
      <c r="D7">
        <v>11</v>
      </c>
      <c r="K7" s="10" t="s">
        <v>486</v>
      </c>
      <c r="L7" t="s">
        <v>551</v>
      </c>
    </row>
    <row r="8" spans="1:14" s="25" customFormat="1">
      <c r="B8" s="25" t="s">
        <v>1565</v>
      </c>
      <c r="C8" s="25">
        <f>AVERAGE(C3:C7)</f>
        <v>6.4</v>
      </c>
      <c r="D8" s="25">
        <f>AVERAGE(D3:D7)</f>
        <v>11</v>
      </c>
      <c r="K8" s="26"/>
    </row>
    <row r="9" spans="1:14" s="25" customFormat="1">
      <c r="B9" s="25" t="s">
        <v>1566</v>
      </c>
      <c r="C9" s="25">
        <f>C8/C2</f>
        <v>0.128</v>
      </c>
      <c r="D9" s="25">
        <f>D8/D2</f>
        <v>0.22</v>
      </c>
      <c r="K9" s="26"/>
    </row>
    <row r="10" spans="1:14">
      <c r="B10" t="s">
        <v>1390</v>
      </c>
      <c r="E10">
        <v>1</v>
      </c>
      <c r="F10">
        <v>0</v>
      </c>
      <c r="G10">
        <v>3</v>
      </c>
      <c r="H10">
        <v>2</v>
      </c>
      <c r="I10">
        <v>1</v>
      </c>
      <c r="J10">
        <v>4</v>
      </c>
      <c r="K10" s="10" t="s">
        <v>553</v>
      </c>
      <c r="L10" t="s">
        <v>1694</v>
      </c>
      <c r="M10" s="10"/>
    </row>
    <row r="11" spans="1:14">
      <c r="B11" t="s">
        <v>1391</v>
      </c>
      <c r="E11">
        <v>0</v>
      </c>
      <c r="F11">
        <v>1</v>
      </c>
      <c r="G11">
        <v>2</v>
      </c>
      <c r="H11">
        <v>2</v>
      </c>
      <c r="I11">
        <v>2</v>
      </c>
      <c r="J11">
        <v>4</v>
      </c>
      <c r="K11" s="10" t="s">
        <v>555</v>
      </c>
      <c r="L11" t="s">
        <v>1693</v>
      </c>
      <c r="M11" s="10"/>
    </row>
    <row r="12" spans="1:14">
      <c r="B12" t="s">
        <v>1392</v>
      </c>
      <c r="E12">
        <v>1</v>
      </c>
      <c r="F12">
        <v>0</v>
      </c>
      <c r="G12">
        <v>5</v>
      </c>
      <c r="H12">
        <v>3</v>
      </c>
      <c r="I12">
        <v>3</v>
      </c>
      <c r="J12">
        <v>2</v>
      </c>
      <c r="K12" s="10" t="s">
        <v>557</v>
      </c>
      <c r="L12" t="s">
        <v>1692</v>
      </c>
      <c r="M12" s="10"/>
    </row>
    <row r="13" spans="1:14">
      <c r="B13" t="s">
        <v>1393</v>
      </c>
      <c r="E13">
        <v>0</v>
      </c>
      <c r="F13">
        <v>0</v>
      </c>
      <c r="G13">
        <v>1</v>
      </c>
      <c r="H13">
        <v>3</v>
      </c>
      <c r="I13">
        <v>6</v>
      </c>
      <c r="J13">
        <v>1</v>
      </c>
      <c r="K13" s="10" t="s">
        <v>558</v>
      </c>
      <c r="L13" t="s">
        <v>1695</v>
      </c>
      <c r="M13" s="10"/>
    </row>
    <row r="14" spans="1:14">
      <c r="B14" t="s">
        <v>1394</v>
      </c>
      <c r="E14">
        <v>0</v>
      </c>
      <c r="F14">
        <v>0</v>
      </c>
      <c r="G14">
        <v>3</v>
      </c>
      <c r="H14">
        <v>4</v>
      </c>
      <c r="I14">
        <v>2</v>
      </c>
      <c r="J14">
        <v>3</v>
      </c>
      <c r="K14" s="10" t="s">
        <v>559</v>
      </c>
      <c r="L14" t="s">
        <v>1696</v>
      </c>
      <c r="M14" s="10"/>
    </row>
    <row r="15" spans="1:14" s="25" customFormat="1">
      <c r="B15" s="25" t="s">
        <v>1565</v>
      </c>
      <c r="E15" s="25">
        <f>AVERAGE(E10:E14)</f>
        <v>0.4</v>
      </c>
      <c r="F15" s="25">
        <f t="shared" ref="F15:J15" si="0">AVERAGE(F10:F14)</f>
        <v>0.2</v>
      </c>
      <c r="G15" s="25">
        <f t="shared" si="0"/>
        <v>2.8</v>
      </c>
      <c r="H15" s="25">
        <f t="shared" si="0"/>
        <v>2.8</v>
      </c>
      <c r="I15" s="25">
        <f t="shared" si="0"/>
        <v>2.8</v>
      </c>
      <c r="J15" s="25">
        <f t="shared" si="0"/>
        <v>2.8</v>
      </c>
      <c r="K15" s="26"/>
      <c r="M15" s="17"/>
      <c r="N15"/>
    </row>
    <row r="16" spans="1:14" s="25" customFormat="1">
      <c r="B16" s="25" t="s">
        <v>1566</v>
      </c>
      <c r="E16" s="25">
        <f t="shared" ref="E16:J16" si="1">E15/E2</f>
        <v>2.6666666666666668E-2</v>
      </c>
      <c r="F16" s="25">
        <f t="shared" si="1"/>
        <v>5.8823529411764705E-3</v>
      </c>
      <c r="G16" s="25">
        <f t="shared" si="1"/>
        <v>5.9574468085106379E-2</v>
      </c>
      <c r="H16" s="25">
        <f t="shared" si="1"/>
        <v>0.08</v>
      </c>
      <c r="I16" s="25">
        <f t="shared" si="1"/>
        <v>9.0322580645161285E-2</v>
      </c>
      <c r="J16" s="25">
        <f t="shared" si="1"/>
        <v>5.0909090909090904E-2</v>
      </c>
      <c r="K16" s="26"/>
      <c r="M16" s="17"/>
      <c r="N16"/>
    </row>
    <row r="17" spans="2:13">
      <c r="B17" t="s">
        <v>1231</v>
      </c>
      <c r="C17">
        <v>0</v>
      </c>
      <c r="D17">
        <v>14</v>
      </c>
      <c r="K17" s="10" t="s">
        <v>283</v>
      </c>
      <c r="L17" t="s">
        <v>560</v>
      </c>
      <c r="M17" s="17"/>
    </row>
    <row r="18" spans="2:13">
      <c r="B18" t="s">
        <v>1232</v>
      </c>
      <c r="C18">
        <v>0</v>
      </c>
      <c r="D18">
        <v>15</v>
      </c>
      <c r="K18" s="10" t="s">
        <v>366</v>
      </c>
      <c r="L18" t="s">
        <v>561</v>
      </c>
      <c r="M18" s="17"/>
    </row>
    <row r="19" spans="2:13">
      <c r="B19" t="s">
        <v>1233</v>
      </c>
      <c r="C19">
        <v>0</v>
      </c>
      <c r="D19">
        <v>12</v>
      </c>
      <c r="K19" s="10" t="s">
        <v>76</v>
      </c>
      <c r="L19" t="s">
        <v>562</v>
      </c>
      <c r="M19" s="17"/>
    </row>
    <row r="20" spans="2:13">
      <c r="B20" t="s">
        <v>1234</v>
      </c>
      <c r="C20">
        <v>0</v>
      </c>
      <c r="D20">
        <v>14</v>
      </c>
      <c r="K20" s="10" t="s">
        <v>184</v>
      </c>
      <c r="L20" t="s">
        <v>563</v>
      </c>
    </row>
    <row r="21" spans="2:13">
      <c r="B21" t="s">
        <v>1235</v>
      </c>
      <c r="C21">
        <v>1</v>
      </c>
      <c r="D21">
        <v>11</v>
      </c>
      <c r="K21" s="10" t="s">
        <v>161</v>
      </c>
      <c r="L21" t="s">
        <v>564</v>
      </c>
    </row>
    <row r="22" spans="2:13" s="25" customFormat="1">
      <c r="B22" s="25" t="s">
        <v>1565</v>
      </c>
      <c r="C22" s="25">
        <f>AVERAGE(C17:C21)</f>
        <v>0.2</v>
      </c>
      <c r="D22" s="25">
        <f>AVERAGE(D17:D21)</f>
        <v>13.2</v>
      </c>
      <c r="K22" s="26"/>
    </row>
    <row r="23" spans="2:13" s="25" customFormat="1">
      <c r="B23" s="25" t="s">
        <v>1566</v>
      </c>
      <c r="C23" s="25">
        <f>C22/C2</f>
        <v>4.0000000000000001E-3</v>
      </c>
      <c r="D23" s="25">
        <f>D22/D2</f>
        <v>0.26400000000000001</v>
      </c>
      <c r="K23" s="26"/>
    </row>
    <row r="24" spans="2:13">
      <c r="B24" t="s">
        <v>1395</v>
      </c>
      <c r="E24">
        <v>0</v>
      </c>
      <c r="F24">
        <v>0</v>
      </c>
      <c r="G24">
        <v>1</v>
      </c>
      <c r="H24">
        <v>4</v>
      </c>
      <c r="I24">
        <v>3</v>
      </c>
      <c r="J24">
        <v>7</v>
      </c>
      <c r="K24" s="17" t="s">
        <v>565</v>
      </c>
      <c r="L24" t="s">
        <v>1688</v>
      </c>
    </row>
    <row r="25" spans="2:13">
      <c r="B25" t="s">
        <v>1396</v>
      </c>
      <c r="E25">
        <v>0</v>
      </c>
      <c r="F25">
        <v>1</v>
      </c>
      <c r="G25">
        <v>4</v>
      </c>
      <c r="H25">
        <v>0</v>
      </c>
      <c r="I25">
        <v>1</v>
      </c>
      <c r="J25">
        <v>2</v>
      </c>
      <c r="K25" s="17" t="s">
        <v>566</v>
      </c>
      <c r="L25" t="s">
        <v>1691</v>
      </c>
    </row>
    <row r="26" spans="2:13">
      <c r="B26" t="s">
        <v>1397</v>
      </c>
      <c r="E26">
        <v>0</v>
      </c>
      <c r="F26">
        <v>3</v>
      </c>
      <c r="G26">
        <v>0</v>
      </c>
      <c r="H26">
        <v>1</v>
      </c>
      <c r="I26">
        <v>1</v>
      </c>
      <c r="J26">
        <v>5</v>
      </c>
      <c r="K26" s="17" t="s">
        <v>567</v>
      </c>
      <c r="L26" t="s">
        <v>1690</v>
      </c>
    </row>
    <row r="27" spans="2:13">
      <c r="B27" t="s">
        <v>1398</v>
      </c>
      <c r="E27">
        <v>0</v>
      </c>
      <c r="F27">
        <v>0</v>
      </c>
      <c r="G27">
        <v>3</v>
      </c>
      <c r="H27">
        <v>0</v>
      </c>
      <c r="I27">
        <v>0</v>
      </c>
      <c r="J27">
        <v>4</v>
      </c>
      <c r="K27" s="17" t="s">
        <v>568</v>
      </c>
      <c r="L27" t="s">
        <v>1689</v>
      </c>
    </row>
    <row r="28" spans="2:13">
      <c r="B28" t="s">
        <v>1399</v>
      </c>
      <c r="E28">
        <v>0</v>
      </c>
      <c r="F28">
        <v>2</v>
      </c>
      <c r="G28">
        <v>4</v>
      </c>
      <c r="H28">
        <v>2</v>
      </c>
      <c r="I28">
        <v>2</v>
      </c>
      <c r="J28">
        <v>2</v>
      </c>
      <c r="K28" s="17" t="s">
        <v>569</v>
      </c>
      <c r="L28" t="s">
        <v>1687</v>
      </c>
    </row>
    <row r="29" spans="2:13" s="25" customFormat="1">
      <c r="B29" s="25" t="s">
        <v>1565</v>
      </c>
      <c r="E29" s="25">
        <f>AVERAGE(E24:E28)</f>
        <v>0</v>
      </c>
      <c r="F29" s="25">
        <f t="shared" ref="F29:J29" si="2">AVERAGE(F24:F28)</f>
        <v>1.2</v>
      </c>
      <c r="G29" s="25">
        <f t="shared" si="2"/>
        <v>2.4</v>
      </c>
      <c r="H29" s="25">
        <f t="shared" si="2"/>
        <v>1.4</v>
      </c>
      <c r="I29" s="25">
        <f t="shared" si="2"/>
        <v>1.4</v>
      </c>
      <c r="J29" s="25">
        <f t="shared" si="2"/>
        <v>4</v>
      </c>
      <c r="K29" s="26"/>
    </row>
    <row r="30" spans="2:13" s="25" customFormat="1">
      <c r="B30" s="25" t="s">
        <v>1566</v>
      </c>
      <c r="E30" s="25">
        <v>0</v>
      </c>
      <c r="F30" s="25">
        <f>F29/F2</f>
        <v>3.5294117647058823E-2</v>
      </c>
      <c r="G30" s="25">
        <f>G29/G2</f>
        <v>5.106382978723404E-2</v>
      </c>
      <c r="H30" s="25">
        <f>H29/H2</f>
        <v>0.04</v>
      </c>
      <c r="I30" s="25">
        <f>I29/I2</f>
        <v>4.5161290322580643E-2</v>
      </c>
      <c r="J30" s="25">
        <f>J29/J2</f>
        <v>7.2727272727272724E-2</v>
      </c>
      <c r="K30" s="26"/>
    </row>
    <row r="31" spans="2:13">
      <c r="B31" t="s">
        <v>1236</v>
      </c>
      <c r="C31">
        <v>4</v>
      </c>
      <c r="D31">
        <v>1</v>
      </c>
      <c r="K31" s="17" t="s">
        <v>50</v>
      </c>
      <c r="L31" t="s">
        <v>570</v>
      </c>
    </row>
    <row r="32" spans="2:13">
      <c r="B32" t="s">
        <v>1237</v>
      </c>
      <c r="C32">
        <v>13</v>
      </c>
      <c r="D32">
        <v>18</v>
      </c>
      <c r="K32" s="17" t="s">
        <v>573</v>
      </c>
      <c r="L32" t="s">
        <v>572</v>
      </c>
    </row>
    <row r="33" spans="2:14">
      <c r="B33" t="s">
        <v>1238</v>
      </c>
      <c r="C33">
        <v>3</v>
      </c>
      <c r="D33">
        <v>20</v>
      </c>
      <c r="K33" s="17" t="s">
        <v>91</v>
      </c>
      <c r="L33" t="s">
        <v>575</v>
      </c>
    </row>
    <row r="34" spans="2:14">
      <c r="B34" t="s">
        <v>1239</v>
      </c>
      <c r="C34">
        <v>9</v>
      </c>
      <c r="D34">
        <v>7</v>
      </c>
      <c r="K34" s="17" t="s">
        <v>578</v>
      </c>
      <c r="L34" t="s">
        <v>577</v>
      </c>
    </row>
    <row r="35" spans="2:14">
      <c r="B35" t="s">
        <v>1240</v>
      </c>
      <c r="C35">
        <v>9</v>
      </c>
      <c r="D35">
        <v>16</v>
      </c>
      <c r="K35" s="17" t="s">
        <v>581</v>
      </c>
      <c r="L35" t="s">
        <v>580</v>
      </c>
    </row>
    <row r="36" spans="2:14" s="25" customFormat="1">
      <c r="B36" s="25" t="s">
        <v>1565</v>
      </c>
      <c r="C36" s="25">
        <f>AVERAGE(C31:C35)</f>
        <v>7.6</v>
      </c>
      <c r="D36" s="25">
        <f>AVERAGE(D31:D35)</f>
        <v>12.4</v>
      </c>
      <c r="K36" s="26"/>
    </row>
    <row r="37" spans="2:14" s="25" customFormat="1">
      <c r="B37" s="25" t="s">
        <v>1566</v>
      </c>
      <c r="C37" s="25">
        <f>C36/C2</f>
        <v>0.152</v>
      </c>
      <c r="D37" s="25">
        <f>D36/D2</f>
        <v>0.248</v>
      </c>
      <c r="K37" s="26"/>
    </row>
    <row r="38" spans="2:14">
      <c r="B38" t="s">
        <v>1400</v>
      </c>
      <c r="E38">
        <v>1</v>
      </c>
      <c r="F38">
        <v>0</v>
      </c>
      <c r="G38">
        <v>13</v>
      </c>
      <c r="H38">
        <v>0</v>
      </c>
      <c r="I38">
        <v>0</v>
      </c>
      <c r="J38">
        <v>16</v>
      </c>
      <c r="K38" s="17" t="s">
        <v>583</v>
      </c>
      <c r="L38" t="s">
        <v>1624</v>
      </c>
      <c r="M38" s="17"/>
    </row>
    <row r="39" spans="2:14">
      <c r="B39" t="s">
        <v>1401</v>
      </c>
      <c r="E39">
        <v>2</v>
      </c>
      <c r="F39">
        <v>0</v>
      </c>
      <c r="G39">
        <v>10</v>
      </c>
      <c r="H39">
        <v>0</v>
      </c>
      <c r="I39">
        <v>0</v>
      </c>
      <c r="J39">
        <v>6</v>
      </c>
      <c r="K39" s="17" t="s">
        <v>585</v>
      </c>
      <c r="L39" t="s">
        <v>1625</v>
      </c>
      <c r="M39" s="17"/>
    </row>
    <row r="40" spans="2:14">
      <c r="B40" t="s">
        <v>1402</v>
      </c>
      <c r="E40">
        <v>4</v>
      </c>
      <c r="F40">
        <v>0</v>
      </c>
      <c r="G40">
        <v>13</v>
      </c>
      <c r="H40">
        <v>0</v>
      </c>
      <c r="I40">
        <v>1</v>
      </c>
      <c r="J40">
        <v>9</v>
      </c>
      <c r="K40" s="17" t="s">
        <v>586</v>
      </c>
      <c r="L40" t="s">
        <v>1622</v>
      </c>
      <c r="M40" s="17"/>
    </row>
    <row r="41" spans="2:14">
      <c r="B41" t="s">
        <v>1403</v>
      </c>
      <c r="E41">
        <v>0</v>
      </c>
      <c r="F41">
        <v>0</v>
      </c>
      <c r="G41">
        <v>7</v>
      </c>
      <c r="H41">
        <v>1</v>
      </c>
      <c r="I41">
        <v>0</v>
      </c>
      <c r="J41">
        <v>7</v>
      </c>
      <c r="K41" s="17" t="s">
        <v>588</v>
      </c>
      <c r="L41" t="s">
        <v>1623</v>
      </c>
      <c r="M41" s="17"/>
    </row>
    <row r="42" spans="2:14">
      <c r="B42" t="s">
        <v>1404</v>
      </c>
      <c r="E42">
        <v>1</v>
      </c>
      <c r="F42">
        <v>3</v>
      </c>
      <c r="G42">
        <v>14</v>
      </c>
      <c r="H42">
        <v>5</v>
      </c>
      <c r="I42">
        <v>2</v>
      </c>
      <c r="J42">
        <v>13</v>
      </c>
      <c r="K42" s="10" t="s">
        <v>589</v>
      </c>
      <c r="L42" t="s">
        <v>1626</v>
      </c>
      <c r="M42" s="10"/>
    </row>
    <row r="43" spans="2:14" s="25" customFormat="1">
      <c r="B43" s="25" t="s">
        <v>1565</v>
      </c>
      <c r="E43" s="25">
        <f>AVERAGE(E38:E42)</f>
        <v>1.6</v>
      </c>
      <c r="F43" s="25">
        <f t="shared" ref="F43:J43" si="3">AVERAGE(F38:F42)</f>
        <v>0.6</v>
      </c>
      <c r="G43" s="25">
        <f t="shared" si="3"/>
        <v>11.4</v>
      </c>
      <c r="H43" s="25">
        <f t="shared" si="3"/>
        <v>1.2</v>
      </c>
      <c r="I43" s="25">
        <f t="shared" si="3"/>
        <v>0.6</v>
      </c>
      <c r="J43" s="25">
        <f t="shared" si="3"/>
        <v>10.199999999999999</v>
      </c>
      <c r="K43" s="26"/>
      <c r="M43" s="10"/>
      <c r="N43"/>
    </row>
    <row r="44" spans="2:14" s="25" customFormat="1">
      <c r="B44" s="25" t="s">
        <v>1566</v>
      </c>
      <c r="E44" s="25">
        <f t="shared" ref="E44:J44" si="4">E43/E2</f>
        <v>0.10666666666666667</v>
      </c>
      <c r="F44" s="25">
        <f t="shared" si="4"/>
        <v>1.7647058823529412E-2</v>
      </c>
      <c r="G44" s="25">
        <f t="shared" si="4"/>
        <v>0.24255319148936172</v>
      </c>
      <c r="H44" s="25">
        <f t="shared" si="4"/>
        <v>3.4285714285714287E-2</v>
      </c>
      <c r="I44" s="25">
        <f t="shared" si="4"/>
        <v>1.935483870967742E-2</v>
      </c>
      <c r="J44" s="25">
        <f t="shared" si="4"/>
        <v>0.18545454545454546</v>
      </c>
      <c r="K44" s="26"/>
      <c r="M44" s="10"/>
      <c r="N44"/>
    </row>
    <row r="45" spans="2:14">
      <c r="B45" t="s">
        <v>1241</v>
      </c>
      <c r="C45">
        <v>6</v>
      </c>
      <c r="D45">
        <v>10</v>
      </c>
      <c r="K45" s="10" t="s">
        <v>135</v>
      </c>
      <c r="L45" t="s">
        <v>590</v>
      </c>
      <c r="M45" s="10"/>
    </row>
    <row r="46" spans="2:14">
      <c r="B46" t="s">
        <v>1242</v>
      </c>
      <c r="C46">
        <v>3</v>
      </c>
      <c r="D46">
        <v>2</v>
      </c>
      <c r="K46" s="10" t="s">
        <v>431</v>
      </c>
      <c r="L46" t="s">
        <v>593</v>
      </c>
      <c r="M46" s="10"/>
    </row>
    <row r="47" spans="2:14">
      <c r="B47" t="s">
        <v>1243</v>
      </c>
      <c r="C47">
        <v>3</v>
      </c>
      <c r="D47">
        <v>4</v>
      </c>
      <c r="K47" s="10" t="s">
        <v>595</v>
      </c>
      <c r="L47" t="s">
        <v>594</v>
      </c>
      <c r="M47" s="10"/>
    </row>
    <row r="48" spans="2:14">
      <c r="B48" t="s">
        <v>1244</v>
      </c>
      <c r="C48">
        <v>6</v>
      </c>
      <c r="D48">
        <v>10</v>
      </c>
      <c r="K48" s="10" t="s">
        <v>597</v>
      </c>
      <c r="L48" t="s">
        <v>596</v>
      </c>
    </row>
    <row r="49" spans="2:12">
      <c r="B49" t="s">
        <v>1245</v>
      </c>
      <c r="C49">
        <v>14</v>
      </c>
      <c r="D49">
        <v>13</v>
      </c>
      <c r="K49" s="10" t="s">
        <v>316</v>
      </c>
      <c r="L49" t="s">
        <v>598</v>
      </c>
    </row>
    <row r="50" spans="2:12" s="25" customFormat="1">
      <c r="B50" s="25" t="s">
        <v>1565</v>
      </c>
      <c r="C50" s="25">
        <f>AVERAGE(C45:C49)</f>
        <v>6.4</v>
      </c>
      <c r="D50" s="25">
        <f>AVERAGE(D45:D49)</f>
        <v>7.8</v>
      </c>
      <c r="K50" s="26"/>
    </row>
    <row r="51" spans="2:12" s="25" customFormat="1">
      <c r="B51" s="25" t="s">
        <v>1566</v>
      </c>
      <c r="C51" s="25">
        <f>C50/C2</f>
        <v>0.128</v>
      </c>
      <c r="D51" s="25">
        <f>D50/D2</f>
        <v>0.156</v>
      </c>
      <c r="K51" s="26"/>
    </row>
    <row r="52" spans="2:12">
      <c r="B52" t="s">
        <v>1405</v>
      </c>
      <c r="E52">
        <v>0</v>
      </c>
      <c r="F52">
        <v>0</v>
      </c>
      <c r="G52">
        <v>4</v>
      </c>
      <c r="H52">
        <v>0</v>
      </c>
      <c r="I52">
        <v>0</v>
      </c>
      <c r="J52">
        <v>8</v>
      </c>
      <c r="K52" s="10" t="s">
        <v>599</v>
      </c>
      <c r="L52" t="s">
        <v>1620</v>
      </c>
    </row>
    <row r="53" spans="2:12">
      <c r="B53" t="s">
        <v>1406</v>
      </c>
      <c r="E53" s="41" t="s">
        <v>584</v>
      </c>
      <c r="F53">
        <v>3</v>
      </c>
      <c r="G53">
        <v>6</v>
      </c>
      <c r="H53">
        <v>2</v>
      </c>
      <c r="I53">
        <v>1</v>
      </c>
      <c r="J53">
        <v>18</v>
      </c>
      <c r="K53" s="10" t="s">
        <v>600</v>
      </c>
      <c r="L53" t="s">
        <v>1621</v>
      </c>
    </row>
    <row r="54" spans="2:12">
      <c r="B54" t="s">
        <v>1407</v>
      </c>
      <c r="E54">
        <v>6</v>
      </c>
      <c r="F54">
        <v>0</v>
      </c>
      <c r="G54">
        <v>23</v>
      </c>
      <c r="H54">
        <v>3</v>
      </c>
      <c r="I54">
        <v>2</v>
      </c>
      <c r="J54">
        <v>17</v>
      </c>
      <c r="K54" s="10" t="s">
        <v>601</v>
      </c>
      <c r="L54" t="s">
        <v>1619</v>
      </c>
    </row>
    <row r="55" spans="2:12">
      <c r="B55" t="s">
        <v>1408</v>
      </c>
      <c r="E55">
        <v>2</v>
      </c>
      <c r="F55">
        <v>7</v>
      </c>
      <c r="G55">
        <v>7</v>
      </c>
      <c r="H55">
        <v>10</v>
      </c>
      <c r="I55">
        <v>7</v>
      </c>
      <c r="J55" s="44" t="s">
        <v>584</v>
      </c>
      <c r="K55" s="10" t="s">
        <v>602</v>
      </c>
      <c r="L55" t="s">
        <v>1617</v>
      </c>
    </row>
    <row r="56" spans="2:12">
      <c r="B56" t="s">
        <v>1409</v>
      </c>
      <c r="E56" s="41" t="s">
        <v>584</v>
      </c>
      <c r="F56" s="41" t="s">
        <v>584</v>
      </c>
      <c r="G56" s="43" t="s">
        <v>584</v>
      </c>
      <c r="H56" s="41" t="s">
        <v>584</v>
      </c>
      <c r="I56" s="34" t="s">
        <v>584</v>
      </c>
      <c r="J56" s="44" t="s">
        <v>584</v>
      </c>
      <c r="K56" s="10" t="s">
        <v>604</v>
      </c>
      <c r="L56" t="s">
        <v>1618</v>
      </c>
    </row>
    <row r="57" spans="2:12" s="25" customFormat="1">
      <c r="B57" s="25" t="s">
        <v>1565</v>
      </c>
      <c r="E57" s="25">
        <f>AVERAGE(E52:E56)</f>
        <v>2.6666666666666665</v>
      </c>
      <c r="F57" s="25">
        <f t="shared" ref="F57:J57" si="5">AVERAGE(F52:F56)</f>
        <v>2.5</v>
      </c>
      <c r="G57" s="25">
        <f t="shared" si="5"/>
        <v>10</v>
      </c>
      <c r="H57" s="25">
        <f t="shared" si="5"/>
        <v>3.75</v>
      </c>
      <c r="I57" s="25">
        <f t="shared" si="5"/>
        <v>2.5</v>
      </c>
      <c r="J57" s="25">
        <f t="shared" si="5"/>
        <v>14.333333333333334</v>
      </c>
      <c r="K57" s="26"/>
    </row>
    <row r="58" spans="2:12" s="25" customFormat="1">
      <c r="B58" s="25" t="s">
        <v>1566</v>
      </c>
      <c r="E58" s="25">
        <f t="shared" ref="E58:J58" si="6">E57/E2</f>
        <v>0.17777777777777776</v>
      </c>
      <c r="F58" s="25">
        <f t="shared" si="6"/>
        <v>7.3529411764705885E-2</v>
      </c>
      <c r="G58" s="25">
        <f t="shared" si="6"/>
        <v>0.21276595744680851</v>
      </c>
      <c r="H58" s="25">
        <f t="shared" si="6"/>
        <v>0.10714285714285714</v>
      </c>
      <c r="I58" s="25">
        <f t="shared" si="6"/>
        <v>8.0645161290322578E-2</v>
      </c>
      <c r="J58" s="25">
        <f t="shared" si="6"/>
        <v>0.26060606060606062</v>
      </c>
      <c r="K58" s="26"/>
    </row>
    <row r="59" spans="2:12">
      <c r="B59" t="s">
        <v>1246</v>
      </c>
      <c r="C59">
        <v>2</v>
      </c>
      <c r="D59">
        <v>0</v>
      </c>
      <c r="K59" s="10" t="s">
        <v>478</v>
      </c>
      <c r="L59" t="s">
        <v>605</v>
      </c>
    </row>
    <row r="60" spans="2:12">
      <c r="B60" t="s">
        <v>1247</v>
      </c>
      <c r="C60">
        <v>1</v>
      </c>
      <c r="D60">
        <v>0</v>
      </c>
      <c r="K60" s="10" t="s">
        <v>176</v>
      </c>
      <c r="L60" t="s">
        <v>606</v>
      </c>
    </row>
    <row r="61" spans="2:12">
      <c r="B61" t="s">
        <v>1248</v>
      </c>
      <c r="C61">
        <v>1</v>
      </c>
      <c r="D61">
        <v>0</v>
      </c>
      <c r="K61" s="10" t="s">
        <v>73</v>
      </c>
      <c r="L61" t="s">
        <v>607</v>
      </c>
    </row>
    <row r="62" spans="2:12">
      <c r="B62" t="s">
        <v>1249</v>
      </c>
      <c r="C62">
        <v>3</v>
      </c>
      <c r="D62">
        <v>0</v>
      </c>
      <c r="K62" s="10" t="s">
        <v>264</v>
      </c>
      <c r="L62" t="s">
        <v>608</v>
      </c>
    </row>
    <row r="63" spans="2:12">
      <c r="B63" t="s">
        <v>1250</v>
      </c>
      <c r="C63">
        <v>2</v>
      </c>
      <c r="D63">
        <v>0</v>
      </c>
      <c r="K63" s="10" t="s">
        <v>375</v>
      </c>
      <c r="L63" t="s">
        <v>609</v>
      </c>
    </row>
    <row r="64" spans="2:12" s="25" customFormat="1">
      <c r="B64" s="25" t="s">
        <v>1565</v>
      </c>
      <c r="C64" s="25">
        <f>AVERAGE(C59:C63)</f>
        <v>1.8</v>
      </c>
      <c r="D64" s="25">
        <f>AVERAGE(D59:D63)</f>
        <v>0</v>
      </c>
      <c r="K64" s="26"/>
    </row>
    <row r="65" spans="2:14" s="25" customFormat="1">
      <c r="B65" s="25" t="s">
        <v>1566</v>
      </c>
      <c r="C65" s="25">
        <f>C64/C2</f>
        <v>3.6000000000000004E-2</v>
      </c>
      <c r="D65" s="25">
        <v>0</v>
      </c>
      <c r="K65" s="26"/>
    </row>
    <row r="66" spans="2:14">
      <c r="B66" t="s">
        <v>1410</v>
      </c>
      <c r="E66">
        <v>4</v>
      </c>
      <c r="F66">
        <v>0</v>
      </c>
      <c r="G66">
        <v>4</v>
      </c>
      <c r="H66">
        <v>7</v>
      </c>
      <c r="I66">
        <v>0</v>
      </c>
      <c r="J66">
        <v>4</v>
      </c>
      <c r="K66" s="10" t="s">
        <v>610</v>
      </c>
      <c r="L66" t="s">
        <v>1683</v>
      </c>
      <c r="M66" s="10"/>
    </row>
    <row r="67" spans="2:14">
      <c r="B67" t="s">
        <v>1411</v>
      </c>
      <c r="E67">
        <v>1</v>
      </c>
      <c r="F67">
        <v>1</v>
      </c>
      <c r="G67">
        <v>5</v>
      </c>
      <c r="H67">
        <v>0</v>
      </c>
      <c r="I67">
        <v>1</v>
      </c>
      <c r="J67">
        <v>8</v>
      </c>
      <c r="K67" s="10" t="s">
        <v>611</v>
      </c>
      <c r="L67" t="s">
        <v>1684</v>
      </c>
      <c r="M67" s="10"/>
    </row>
    <row r="68" spans="2:14">
      <c r="B68" t="s">
        <v>1412</v>
      </c>
      <c r="E68">
        <v>0</v>
      </c>
      <c r="F68">
        <v>2</v>
      </c>
      <c r="G68">
        <v>3</v>
      </c>
      <c r="H68">
        <v>11</v>
      </c>
      <c r="I68">
        <v>4</v>
      </c>
      <c r="J68">
        <v>15</v>
      </c>
      <c r="K68" s="10" t="s">
        <v>612</v>
      </c>
      <c r="L68" t="s">
        <v>1681</v>
      </c>
      <c r="M68" s="10"/>
    </row>
    <row r="69" spans="2:14">
      <c r="B69" t="s">
        <v>1413</v>
      </c>
      <c r="E69">
        <v>0</v>
      </c>
      <c r="F69">
        <v>0</v>
      </c>
      <c r="G69">
        <v>2</v>
      </c>
      <c r="H69">
        <v>6</v>
      </c>
      <c r="I69">
        <v>1</v>
      </c>
      <c r="J69">
        <v>6</v>
      </c>
      <c r="K69" s="10" t="s">
        <v>613</v>
      </c>
      <c r="L69" t="s">
        <v>1682</v>
      </c>
      <c r="M69" s="10"/>
    </row>
    <row r="70" spans="2:14">
      <c r="B70" t="s">
        <v>1414</v>
      </c>
      <c r="E70">
        <v>3</v>
      </c>
      <c r="F70">
        <v>0</v>
      </c>
      <c r="G70">
        <v>8</v>
      </c>
      <c r="H70">
        <v>5</v>
      </c>
      <c r="I70">
        <v>3</v>
      </c>
      <c r="J70">
        <v>0</v>
      </c>
      <c r="K70" s="10" t="s">
        <v>615</v>
      </c>
      <c r="L70" t="s">
        <v>1685</v>
      </c>
      <c r="M70" s="10"/>
    </row>
    <row r="71" spans="2:14" s="25" customFormat="1">
      <c r="B71" s="25" t="s">
        <v>1565</v>
      </c>
      <c r="E71" s="25">
        <f>AVERAGE(E66:E70)</f>
        <v>1.6</v>
      </c>
      <c r="F71" s="25">
        <f t="shared" ref="F71:J71" si="7">AVERAGE(F66:F70)</f>
        <v>0.6</v>
      </c>
      <c r="G71" s="25">
        <f t="shared" si="7"/>
        <v>4.4000000000000004</v>
      </c>
      <c r="H71" s="25">
        <f t="shared" si="7"/>
        <v>5.8</v>
      </c>
      <c r="I71" s="25">
        <f t="shared" si="7"/>
        <v>1.8</v>
      </c>
      <c r="J71" s="25">
        <f t="shared" si="7"/>
        <v>6.6</v>
      </c>
      <c r="K71" s="26"/>
      <c r="M71" s="10"/>
      <c r="N71"/>
    </row>
    <row r="72" spans="2:14" s="25" customFormat="1">
      <c r="B72" s="25" t="s">
        <v>1566</v>
      </c>
      <c r="E72" s="25">
        <f t="shared" ref="E72:J72" si="8">E71/E2</f>
        <v>0.10666666666666667</v>
      </c>
      <c r="F72" s="25">
        <f t="shared" si="8"/>
        <v>1.7647058823529412E-2</v>
      </c>
      <c r="G72" s="25">
        <f t="shared" si="8"/>
        <v>9.3617021276595755E-2</v>
      </c>
      <c r="H72" s="25">
        <f t="shared" si="8"/>
        <v>0.1657142857142857</v>
      </c>
      <c r="I72" s="25">
        <f t="shared" si="8"/>
        <v>5.8064516129032261E-2</v>
      </c>
      <c r="J72" s="25">
        <f t="shared" si="8"/>
        <v>0.12</v>
      </c>
      <c r="K72" s="26"/>
      <c r="M72" s="10"/>
      <c r="N72"/>
    </row>
    <row r="73" spans="2:14">
      <c r="B73" t="s">
        <v>1251</v>
      </c>
      <c r="C73">
        <v>0</v>
      </c>
      <c r="D73">
        <v>0</v>
      </c>
      <c r="K73" s="10" t="s">
        <v>617</v>
      </c>
      <c r="L73" t="s">
        <v>616</v>
      </c>
      <c r="M73" s="10"/>
    </row>
    <row r="74" spans="2:14">
      <c r="B74" t="s">
        <v>1252</v>
      </c>
      <c r="C74">
        <v>0</v>
      </c>
      <c r="D74">
        <v>0</v>
      </c>
      <c r="K74" s="10" t="s">
        <v>396</v>
      </c>
      <c r="L74" t="s">
        <v>618</v>
      </c>
      <c r="M74" s="10"/>
    </row>
    <row r="75" spans="2:14">
      <c r="B75" t="s">
        <v>1253</v>
      </c>
      <c r="C75">
        <v>3</v>
      </c>
      <c r="D75">
        <v>0</v>
      </c>
      <c r="K75" s="10" t="s">
        <v>249</v>
      </c>
      <c r="L75" t="s">
        <v>619</v>
      </c>
      <c r="M75" s="10"/>
    </row>
    <row r="76" spans="2:14">
      <c r="B76" t="s">
        <v>1254</v>
      </c>
      <c r="C76">
        <v>2</v>
      </c>
      <c r="D76">
        <v>0</v>
      </c>
      <c r="K76" s="10" t="s">
        <v>517</v>
      </c>
      <c r="L76" t="s">
        <v>620</v>
      </c>
    </row>
    <row r="77" spans="2:14">
      <c r="B77" t="s">
        <v>1255</v>
      </c>
      <c r="C77">
        <v>2</v>
      </c>
      <c r="D77">
        <v>0</v>
      </c>
      <c r="K77" s="10" t="s">
        <v>482</v>
      </c>
      <c r="L77" t="s">
        <v>621</v>
      </c>
    </row>
    <row r="78" spans="2:14" s="25" customFormat="1">
      <c r="B78" s="25" t="s">
        <v>1565</v>
      </c>
      <c r="C78" s="25">
        <f>AVERAGE(C73:C77)</f>
        <v>1.4</v>
      </c>
      <c r="D78" s="25">
        <f>AVERAGE(D73:D77)</f>
        <v>0</v>
      </c>
      <c r="K78" s="26"/>
    </row>
    <row r="79" spans="2:14" s="25" customFormat="1">
      <c r="B79" s="25" t="s">
        <v>1566</v>
      </c>
      <c r="C79" s="25">
        <f>C78/C2</f>
        <v>2.7999999999999997E-2</v>
      </c>
      <c r="D79" s="25">
        <v>0</v>
      </c>
      <c r="K79" s="26"/>
    </row>
    <row r="80" spans="2:14">
      <c r="B80" t="s">
        <v>1415</v>
      </c>
      <c r="E80">
        <v>0</v>
      </c>
      <c r="F80">
        <v>0</v>
      </c>
      <c r="G80">
        <v>10</v>
      </c>
      <c r="H80">
        <v>12</v>
      </c>
      <c r="I80">
        <v>9</v>
      </c>
      <c r="J80">
        <v>16</v>
      </c>
      <c r="K80" s="10" t="s">
        <v>622</v>
      </c>
      <c r="L80" t="s">
        <v>1680</v>
      </c>
    </row>
    <row r="81" spans="2:13">
      <c r="B81" t="s">
        <v>1416</v>
      </c>
      <c r="E81">
        <v>1</v>
      </c>
      <c r="F81">
        <v>0</v>
      </c>
      <c r="G81">
        <v>4</v>
      </c>
      <c r="H81">
        <v>13</v>
      </c>
      <c r="I81">
        <v>0</v>
      </c>
      <c r="J81">
        <v>7</v>
      </c>
      <c r="K81" s="10" t="s">
        <v>623</v>
      </c>
      <c r="L81" t="s">
        <v>1678</v>
      </c>
    </row>
    <row r="82" spans="2:13">
      <c r="B82" t="s">
        <v>1417</v>
      </c>
      <c r="E82">
        <v>0</v>
      </c>
      <c r="F82">
        <v>0</v>
      </c>
      <c r="G82">
        <v>13</v>
      </c>
      <c r="H82">
        <v>17</v>
      </c>
      <c r="I82">
        <v>4</v>
      </c>
      <c r="J82">
        <v>16</v>
      </c>
      <c r="K82" s="10" t="s">
        <v>624</v>
      </c>
      <c r="L82" t="s">
        <v>1677</v>
      </c>
    </row>
    <row r="83" spans="2:13">
      <c r="B83" t="s">
        <v>1418</v>
      </c>
      <c r="E83">
        <v>2</v>
      </c>
      <c r="F83">
        <v>0</v>
      </c>
      <c r="G83">
        <v>9</v>
      </c>
      <c r="H83">
        <v>18</v>
      </c>
      <c r="I83">
        <v>10</v>
      </c>
      <c r="J83">
        <v>20</v>
      </c>
      <c r="K83" s="10" t="s">
        <v>625</v>
      </c>
      <c r="L83" t="s">
        <v>1686</v>
      </c>
    </row>
    <row r="84" spans="2:13">
      <c r="B84" t="s">
        <v>1419</v>
      </c>
      <c r="E84">
        <v>0</v>
      </c>
      <c r="F84">
        <v>0</v>
      </c>
      <c r="G84">
        <v>9</v>
      </c>
      <c r="H84">
        <v>15</v>
      </c>
      <c r="I84">
        <v>2</v>
      </c>
      <c r="J84">
        <v>13</v>
      </c>
      <c r="K84" s="10" t="s">
        <v>626</v>
      </c>
      <c r="L84" t="s">
        <v>1679</v>
      </c>
    </row>
    <row r="85" spans="2:13" s="25" customFormat="1">
      <c r="B85" s="25" t="s">
        <v>1565</v>
      </c>
      <c r="E85" s="25">
        <f>AVERAGE(E80:E84)</f>
        <v>0.6</v>
      </c>
      <c r="F85" s="25">
        <f t="shared" ref="F85:J85" si="9">AVERAGE(F80:F84)</f>
        <v>0</v>
      </c>
      <c r="G85" s="25">
        <f t="shared" si="9"/>
        <v>9</v>
      </c>
      <c r="H85" s="25">
        <f t="shared" si="9"/>
        <v>15</v>
      </c>
      <c r="I85" s="25">
        <f t="shared" si="9"/>
        <v>5</v>
      </c>
      <c r="J85" s="25">
        <f t="shared" si="9"/>
        <v>14.4</v>
      </c>
      <c r="K85" s="26"/>
    </row>
    <row r="86" spans="2:13" s="25" customFormat="1">
      <c r="B86" s="25" t="s">
        <v>1566</v>
      </c>
      <c r="E86" s="25">
        <f t="shared" ref="E86:J86" si="10">E85/E2</f>
        <v>0.04</v>
      </c>
      <c r="F86" s="25">
        <f t="shared" si="10"/>
        <v>0</v>
      </c>
      <c r="G86" s="25">
        <f t="shared" si="10"/>
        <v>0.19148936170212766</v>
      </c>
      <c r="H86" s="25">
        <f t="shared" si="10"/>
        <v>0.42857142857142855</v>
      </c>
      <c r="I86" s="25">
        <f t="shared" si="10"/>
        <v>0.16129032258064516</v>
      </c>
      <c r="J86" s="25">
        <f t="shared" si="10"/>
        <v>0.26181818181818184</v>
      </c>
      <c r="K86" s="26"/>
    </row>
    <row r="87" spans="2:13">
      <c r="B87" t="s">
        <v>1256</v>
      </c>
      <c r="C87">
        <v>2</v>
      </c>
      <c r="D87" s="34" t="s">
        <v>584</v>
      </c>
      <c r="K87" s="10" t="s">
        <v>203</v>
      </c>
      <c r="L87" t="s">
        <v>627</v>
      </c>
    </row>
    <row r="88" spans="2:13">
      <c r="B88" t="s">
        <v>1257</v>
      </c>
      <c r="C88">
        <v>4</v>
      </c>
      <c r="D88">
        <v>11</v>
      </c>
      <c r="K88" s="10" t="s">
        <v>46</v>
      </c>
      <c r="L88" t="s">
        <v>628</v>
      </c>
    </row>
    <row r="89" spans="2:13">
      <c r="B89" t="s">
        <v>1258</v>
      </c>
      <c r="C89">
        <v>3</v>
      </c>
      <c r="D89">
        <v>16</v>
      </c>
      <c r="K89" s="10" t="s">
        <v>83</v>
      </c>
      <c r="L89" t="s">
        <v>629</v>
      </c>
    </row>
    <row r="90" spans="2:13">
      <c r="B90" t="s">
        <v>1259</v>
      </c>
      <c r="C90">
        <v>2</v>
      </c>
      <c r="D90">
        <v>10</v>
      </c>
      <c r="K90" s="10" t="s">
        <v>402</v>
      </c>
      <c r="L90" t="s">
        <v>630</v>
      </c>
    </row>
    <row r="91" spans="2:13">
      <c r="B91" t="s">
        <v>1260</v>
      </c>
      <c r="C91">
        <v>1</v>
      </c>
      <c r="D91">
        <v>15</v>
      </c>
      <c r="K91" s="10" t="s">
        <v>229</v>
      </c>
      <c r="L91" t="s">
        <v>631</v>
      </c>
    </row>
    <row r="92" spans="2:13" s="25" customFormat="1">
      <c r="B92" s="25" t="s">
        <v>1565</v>
      </c>
      <c r="C92" s="25">
        <v>2.4</v>
      </c>
      <c r="D92" s="25">
        <v>13</v>
      </c>
      <c r="K92" s="26"/>
    </row>
    <row r="93" spans="2:13" s="25" customFormat="1">
      <c r="B93" s="25" t="s">
        <v>1566</v>
      </c>
      <c r="C93" s="25">
        <f>C92/C2</f>
        <v>4.8000000000000001E-2</v>
      </c>
      <c r="D93" s="25">
        <f>D92/D2</f>
        <v>0.26</v>
      </c>
      <c r="K93" s="26"/>
    </row>
    <row r="94" spans="2:13">
      <c r="B94" t="s">
        <v>1420</v>
      </c>
      <c r="E94">
        <v>5</v>
      </c>
      <c r="F94">
        <v>0</v>
      </c>
      <c r="G94">
        <v>12</v>
      </c>
      <c r="H94">
        <v>1</v>
      </c>
      <c r="I94">
        <v>6</v>
      </c>
      <c r="J94">
        <v>8</v>
      </c>
      <c r="K94" s="10" t="s">
        <v>632</v>
      </c>
      <c r="L94" t="s">
        <v>1636</v>
      </c>
      <c r="M94" s="10"/>
    </row>
    <row r="95" spans="2:13">
      <c r="B95" t="s">
        <v>1421</v>
      </c>
      <c r="E95">
        <v>1</v>
      </c>
      <c r="F95">
        <v>0</v>
      </c>
      <c r="G95">
        <v>4</v>
      </c>
      <c r="H95">
        <v>0</v>
      </c>
      <c r="I95">
        <v>1</v>
      </c>
      <c r="J95" s="44" t="s">
        <v>584</v>
      </c>
      <c r="K95" s="10" t="s">
        <v>633</v>
      </c>
      <c r="L95" t="s">
        <v>1633</v>
      </c>
      <c r="M95" s="10"/>
    </row>
    <row r="96" spans="2:13">
      <c r="B96" t="s">
        <v>1422</v>
      </c>
      <c r="E96">
        <v>4</v>
      </c>
      <c r="F96">
        <v>0</v>
      </c>
      <c r="G96">
        <v>17</v>
      </c>
      <c r="H96">
        <v>4</v>
      </c>
      <c r="I96">
        <v>7</v>
      </c>
      <c r="J96">
        <v>12</v>
      </c>
      <c r="K96" s="10" t="s">
        <v>634</v>
      </c>
      <c r="L96" t="s">
        <v>1635</v>
      </c>
      <c r="M96" s="10"/>
    </row>
    <row r="97" spans="2:14">
      <c r="B97" t="s">
        <v>1423</v>
      </c>
      <c r="E97">
        <v>1</v>
      </c>
      <c r="F97">
        <v>0</v>
      </c>
      <c r="G97">
        <v>14</v>
      </c>
      <c r="H97">
        <v>3</v>
      </c>
      <c r="I97">
        <v>0</v>
      </c>
      <c r="J97">
        <v>11</v>
      </c>
      <c r="K97" s="10" t="s">
        <v>635</v>
      </c>
      <c r="L97" t="s">
        <v>1634</v>
      </c>
      <c r="M97" s="10"/>
    </row>
    <row r="98" spans="2:14">
      <c r="B98" t="s">
        <v>1424</v>
      </c>
      <c r="E98">
        <v>0</v>
      </c>
      <c r="F98">
        <v>0</v>
      </c>
      <c r="G98">
        <v>9</v>
      </c>
      <c r="H98">
        <v>2</v>
      </c>
      <c r="I98">
        <v>2</v>
      </c>
      <c r="J98">
        <v>3</v>
      </c>
      <c r="K98" s="10" t="s">
        <v>636</v>
      </c>
      <c r="L98" t="s">
        <v>1632</v>
      </c>
      <c r="M98" s="10"/>
    </row>
    <row r="99" spans="2:14" s="25" customFormat="1">
      <c r="B99" s="25" t="s">
        <v>1565</v>
      </c>
      <c r="E99" s="25">
        <f>AVERAGE(E94:E98)</f>
        <v>2.2000000000000002</v>
      </c>
      <c r="F99" s="25">
        <f t="shared" ref="F99:J99" si="11">AVERAGE(F94:F98)</f>
        <v>0</v>
      </c>
      <c r="G99" s="25">
        <f t="shared" si="11"/>
        <v>11.2</v>
      </c>
      <c r="H99" s="25">
        <f t="shared" si="11"/>
        <v>2</v>
      </c>
      <c r="I99" s="25">
        <f t="shared" si="11"/>
        <v>3.2</v>
      </c>
      <c r="J99" s="25">
        <f t="shared" si="11"/>
        <v>8.5</v>
      </c>
      <c r="K99" s="26"/>
      <c r="M99" s="10"/>
      <c r="N99"/>
    </row>
    <row r="100" spans="2:14" s="25" customFormat="1">
      <c r="B100" s="25" t="s">
        <v>1566</v>
      </c>
      <c r="E100" s="25">
        <f>E99/E2</f>
        <v>0.14666666666666667</v>
      </c>
      <c r="F100" s="25">
        <v>0</v>
      </c>
      <c r="G100" s="25">
        <f>G99/G2</f>
        <v>0.23829787234042552</v>
      </c>
      <c r="H100" s="25">
        <f>H99/H2</f>
        <v>5.7142857142857141E-2</v>
      </c>
      <c r="I100" s="25">
        <f>I99/I2</f>
        <v>0.1032258064516129</v>
      </c>
      <c r="J100" s="25">
        <f>J99/J2</f>
        <v>0.15454545454545454</v>
      </c>
      <c r="K100" s="26"/>
      <c r="M100" s="10"/>
      <c r="N100"/>
    </row>
    <row r="101" spans="2:14">
      <c r="B101" t="s">
        <v>1261</v>
      </c>
      <c r="C101">
        <v>1</v>
      </c>
      <c r="D101">
        <v>11</v>
      </c>
      <c r="K101" s="10" t="s">
        <v>343</v>
      </c>
      <c r="L101" t="s">
        <v>637</v>
      </c>
      <c r="M101" s="10"/>
    </row>
    <row r="102" spans="2:14">
      <c r="B102" t="s">
        <v>1262</v>
      </c>
      <c r="C102">
        <v>2</v>
      </c>
      <c r="D102">
        <v>14</v>
      </c>
      <c r="K102" s="10" t="s">
        <v>419</v>
      </c>
      <c r="L102" t="s">
        <v>638</v>
      </c>
      <c r="M102" s="10"/>
    </row>
    <row r="103" spans="2:14">
      <c r="B103" t="s">
        <v>1263</v>
      </c>
      <c r="C103">
        <v>2</v>
      </c>
      <c r="D103">
        <v>12</v>
      </c>
      <c r="K103" s="10" t="s">
        <v>640</v>
      </c>
      <c r="L103" t="s">
        <v>639</v>
      </c>
      <c r="M103" s="10"/>
    </row>
    <row r="104" spans="2:14">
      <c r="B104" t="s">
        <v>1264</v>
      </c>
      <c r="C104">
        <v>0</v>
      </c>
      <c r="D104">
        <v>10</v>
      </c>
      <c r="K104" s="10" t="s">
        <v>437</v>
      </c>
      <c r="L104" t="s">
        <v>641</v>
      </c>
    </row>
    <row r="105" spans="2:14">
      <c r="B105" t="s">
        <v>1265</v>
      </c>
      <c r="C105">
        <v>1</v>
      </c>
      <c r="D105">
        <v>5</v>
      </c>
      <c r="K105" s="10" t="s">
        <v>422</v>
      </c>
      <c r="L105" t="s">
        <v>642</v>
      </c>
    </row>
    <row r="106" spans="2:14" s="25" customFormat="1">
      <c r="B106" s="25" t="s">
        <v>1565</v>
      </c>
      <c r="C106" s="25">
        <f>AVERAGE(C101:C105)</f>
        <v>1.2</v>
      </c>
      <c r="D106" s="25">
        <f>AVERAGE(D101:D105)</f>
        <v>10.4</v>
      </c>
      <c r="K106" s="26"/>
    </row>
    <row r="107" spans="2:14" s="25" customFormat="1">
      <c r="B107" s="25" t="s">
        <v>1566</v>
      </c>
      <c r="C107" s="25">
        <f>C106/C2</f>
        <v>2.4E-2</v>
      </c>
      <c r="D107" s="25">
        <f>D106/D2</f>
        <v>0.20800000000000002</v>
      </c>
      <c r="K107" s="26"/>
    </row>
    <row r="108" spans="2:14">
      <c r="B108" t="s">
        <v>1425</v>
      </c>
      <c r="E108">
        <v>0</v>
      </c>
      <c r="F108">
        <v>0</v>
      </c>
      <c r="G108">
        <v>12</v>
      </c>
      <c r="H108">
        <v>0</v>
      </c>
      <c r="I108">
        <v>0</v>
      </c>
      <c r="J108" s="44" t="s">
        <v>584</v>
      </c>
      <c r="K108" s="10" t="s">
        <v>643</v>
      </c>
      <c r="L108" t="s">
        <v>1628</v>
      </c>
    </row>
    <row r="109" spans="2:14">
      <c r="B109" t="s">
        <v>1426</v>
      </c>
      <c r="E109">
        <v>0</v>
      </c>
      <c r="F109">
        <v>1</v>
      </c>
      <c r="G109">
        <v>14</v>
      </c>
      <c r="H109">
        <v>11</v>
      </c>
      <c r="I109">
        <v>6</v>
      </c>
      <c r="J109">
        <v>11</v>
      </c>
      <c r="K109" s="10" t="s">
        <v>644</v>
      </c>
      <c r="L109" t="s">
        <v>1631</v>
      </c>
    </row>
    <row r="110" spans="2:14">
      <c r="B110" t="s">
        <v>1427</v>
      </c>
      <c r="E110">
        <v>0</v>
      </c>
      <c r="F110">
        <v>1</v>
      </c>
      <c r="G110">
        <v>16</v>
      </c>
      <c r="H110">
        <v>1</v>
      </c>
      <c r="I110">
        <v>6</v>
      </c>
      <c r="J110">
        <v>13</v>
      </c>
      <c r="K110" s="10" t="s">
        <v>645</v>
      </c>
      <c r="L110" t="s">
        <v>1627</v>
      </c>
    </row>
    <row r="111" spans="2:14">
      <c r="B111" t="s">
        <v>1428</v>
      </c>
      <c r="E111">
        <v>1</v>
      </c>
      <c r="F111">
        <v>0</v>
      </c>
      <c r="G111">
        <v>9</v>
      </c>
      <c r="H111">
        <v>1</v>
      </c>
      <c r="I111">
        <v>1</v>
      </c>
      <c r="J111">
        <v>8</v>
      </c>
      <c r="K111" s="10" t="s">
        <v>647</v>
      </c>
      <c r="L111" t="s">
        <v>1629</v>
      </c>
    </row>
    <row r="112" spans="2:14">
      <c r="B112" t="s">
        <v>1429</v>
      </c>
      <c r="E112">
        <v>0</v>
      </c>
      <c r="F112">
        <v>0</v>
      </c>
      <c r="G112">
        <v>2</v>
      </c>
      <c r="H112">
        <v>2</v>
      </c>
      <c r="I112">
        <v>0</v>
      </c>
      <c r="J112">
        <v>9</v>
      </c>
      <c r="K112" s="10" t="s">
        <v>648</v>
      </c>
      <c r="L112" t="s">
        <v>1630</v>
      </c>
    </row>
    <row r="113" spans="2:15" s="25" customFormat="1">
      <c r="B113" s="25" t="s">
        <v>1565</v>
      </c>
      <c r="E113" s="25">
        <f>AVERAGE(E108:E112)</f>
        <v>0.2</v>
      </c>
      <c r="F113" s="25">
        <f t="shared" ref="F113:J113" si="12">AVERAGE(F108:F112)</f>
        <v>0.4</v>
      </c>
      <c r="G113" s="25">
        <f t="shared" si="12"/>
        <v>10.6</v>
      </c>
      <c r="H113" s="25">
        <f t="shared" si="12"/>
        <v>3</v>
      </c>
      <c r="I113" s="25">
        <f t="shared" si="12"/>
        <v>2.6</v>
      </c>
      <c r="J113" s="25">
        <f t="shared" si="12"/>
        <v>10.25</v>
      </c>
      <c r="K113" s="26"/>
    </row>
    <row r="114" spans="2:15" s="25" customFormat="1">
      <c r="B114" s="25" t="s">
        <v>1566</v>
      </c>
      <c r="E114" s="25">
        <f t="shared" ref="E114:J114" si="13">E113/E2</f>
        <v>1.3333333333333334E-2</v>
      </c>
      <c r="F114" s="25">
        <f t="shared" si="13"/>
        <v>1.1764705882352941E-2</v>
      </c>
      <c r="G114" s="25">
        <f t="shared" si="13"/>
        <v>0.22553191489361701</v>
      </c>
      <c r="H114" s="25">
        <f t="shared" si="13"/>
        <v>8.5714285714285715E-2</v>
      </c>
      <c r="I114" s="25">
        <f t="shared" si="13"/>
        <v>8.387096774193549E-2</v>
      </c>
      <c r="J114" s="25">
        <f t="shared" si="13"/>
        <v>0.18636363636363637</v>
      </c>
      <c r="K114" s="26"/>
    </row>
    <row r="115" spans="2:15">
      <c r="B115" t="s">
        <v>1266</v>
      </c>
      <c r="C115">
        <v>3</v>
      </c>
      <c r="D115">
        <v>1</v>
      </c>
      <c r="K115" s="10" t="s">
        <v>15</v>
      </c>
      <c r="L115" s="63" t="s">
        <v>1608</v>
      </c>
      <c r="M115" s="10"/>
      <c r="N115" s="63"/>
    </row>
    <row r="116" spans="2:15">
      <c r="B116" t="s">
        <v>1267</v>
      </c>
      <c r="C116">
        <v>0</v>
      </c>
      <c r="D116">
        <v>3</v>
      </c>
      <c r="K116" s="10" t="s">
        <v>406</v>
      </c>
      <c r="L116" s="63" t="s">
        <v>1607</v>
      </c>
      <c r="M116" s="10"/>
      <c r="N116" s="63"/>
    </row>
    <row r="117" spans="2:15">
      <c r="B117" t="s">
        <v>1268</v>
      </c>
      <c r="C117">
        <v>0</v>
      </c>
      <c r="D117">
        <v>0</v>
      </c>
      <c r="K117" s="10" t="s">
        <v>107</v>
      </c>
      <c r="L117" s="63" t="s">
        <v>1610</v>
      </c>
      <c r="M117" s="10"/>
      <c r="N117" s="63"/>
    </row>
    <row r="118" spans="2:15">
      <c r="B118" t="s">
        <v>1269</v>
      </c>
      <c r="C118">
        <v>7</v>
      </c>
      <c r="D118">
        <v>0</v>
      </c>
      <c r="K118" s="10" t="s">
        <v>327</v>
      </c>
      <c r="L118" s="63" t="s">
        <v>1609</v>
      </c>
      <c r="M118" s="10"/>
      <c r="N118" s="63"/>
    </row>
    <row r="119" spans="2:15">
      <c r="B119" t="s">
        <v>1270</v>
      </c>
      <c r="C119">
        <v>5</v>
      </c>
      <c r="D119">
        <v>1</v>
      </c>
      <c r="K119" s="10" t="s">
        <v>533</v>
      </c>
      <c r="L119" s="63" t="s">
        <v>1606</v>
      </c>
      <c r="M119" s="10"/>
      <c r="N119" s="63"/>
    </row>
    <row r="120" spans="2:15" s="25" customFormat="1">
      <c r="B120" s="25" t="s">
        <v>1565</v>
      </c>
      <c r="C120" s="25">
        <f>AVERAGE(C115:C119)</f>
        <v>3</v>
      </c>
      <c r="D120" s="25">
        <f>AVERAGE(D115:D119)</f>
        <v>1</v>
      </c>
      <c r="K120" s="26"/>
      <c r="M120" s="10"/>
      <c r="N120" s="63"/>
      <c r="O120"/>
    </row>
    <row r="121" spans="2:15" s="25" customFormat="1">
      <c r="B121" s="25" t="s">
        <v>1566</v>
      </c>
      <c r="C121" s="25">
        <f>C120/C2</f>
        <v>0.06</v>
      </c>
      <c r="D121" s="25">
        <f>D120/D2</f>
        <v>0.02</v>
      </c>
      <c r="K121" s="26"/>
      <c r="M121" s="10"/>
      <c r="N121" s="63"/>
      <c r="O121"/>
    </row>
    <row r="122" spans="2:15">
      <c r="B122" t="s">
        <v>1430</v>
      </c>
      <c r="E122">
        <v>2</v>
      </c>
      <c r="F122">
        <v>0</v>
      </c>
      <c r="G122">
        <v>8</v>
      </c>
      <c r="H122">
        <v>0</v>
      </c>
      <c r="I122">
        <v>3</v>
      </c>
      <c r="J122">
        <v>2</v>
      </c>
      <c r="K122" s="10" t="s">
        <v>654</v>
      </c>
      <c r="L122" t="s">
        <v>1663</v>
      </c>
      <c r="M122" s="10"/>
    </row>
    <row r="123" spans="2:15">
      <c r="B123" t="s">
        <v>1431</v>
      </c>
      <c r="E123">
        <v>6</v>
      </c>
      <c r="F123">
        <v>0</v>
      </c>
      <c r="G123">
        <v>6</v>
      </c>
      <c r="H123">
        <v>0</v>
      </c>
      <c r="I123">
        <v>1</v>
      </c>
      <c r="J123" s="44" t="s">
        <v>584</v>
      </c>
      <c r="K123" s="10" t="s">
        <v>655</v>
      </c>
      <c r="L123" t="s">
        <v>1665</v>
      </c>
      <c r="M123" s="10"/>
    </row>
    <row r="124" spans="2:15">
      <c r="B124" t="s">
        <v>1432</v>
      </c>
      <c r="E124">
        <v>3</v>
      </c>
      <c r="F124">
        <v>4</v>
      </c>
      <c r="G124">
        <v>15</v>
      </c>
      <c r="H124">
        <v>2</v>
      </c>
      <c r="I124">
        <v>3</v>
      </c>
      <c r="J124">
        <v>4</v>
      </c>
      <c r="K124" s="10" t="s">
        <v>657</v>
      </c>
      <c r="L124" t="s">
        <v>1662</v>
      </c>
      <c r="M124" s="10"/>
    </row>
    <row r="125" spans="2:15">
      <c r="B125" t="s">
        <v>1433</v>
      </c>
      <c r="E125">
        <v>3</v>
      </c>
      <c r="F125">
        <v>0</v>
      </c>
      <c r="G125">
        <v>6</v>
      </c>
      <c r="H125">
        <v>0</v>
      </c>
      <c r="I125">
        <v>0</v>
      </c>
      <c r="J125">
        <v>1</v>
      </c>
      <c r="K125" s="10" t="s">
        <v>658</v>
      </c>
      <c r="L125" t="s">
        <v>1664</v>
      </c>
      <c r="M125" s="10"/>
    </row>
    <row r="126" spans="2:15">
      <c r="B126" t="s">
        <v>1434</v>
      </c>
      <c r="E126">
        <v>5</v>
      </c>
      <c r="F126">
        <v>2</v>
      </c>
      <c r="G126">
        <v>3</v>
      </c>
      <c r="H126">
        <v>2</v>
      </c>
      <c r="I126">
        <v>1</v>
      </c>
      <c r="J126">
        <v>1</v>
      </c>
      <c r="K126" s="10" t="s">
        <v>659</v>
      </c>
      <c r="L126" t="s">
        <v>1666</v>
      </c>
      <c r="M126" s="10"/>
    </row>
    <row r="127" spans="2:15" s="25" customFormat="1">
      <c r="B127" s="25" t="s">
        <v>1565</v>
      </c>
      <c r="E127" s="25">
        <f>AVERAGE(E122:E126)</f>
        <v>3.8</v>
      </c>
      <c r="F127" s="25">
        <f>AVERAGE(F122:F126)</f>
        <v>1.2</v>
      </c>
      <c r="G127" s="25">
        <f>AVERAGE(G122:G126)</f>
        <v>7.6</v>
      </c>
      <c r="H127" s="25">
        <f t="shared" ref="H127:J127" si="14">AVERAGE(H122:H126)</f>
        <v>0.8</v>
      </c>
      <c r="I127" s="25">
        <f t="shared" si="14"/>
        <v>1.6</v>
      </c>
      <c r="J127" s="25">
        <f t="shared" si="14"/>
        <v>2</v>
      </c>
      <c r="K127" s="26"/>
      <c r="M127" s="10"/>
      <c r="N127"/>
    </row>
    <row r="128" spans="2:15" s="25" customFormat="1">
      <c r="B128" s="25" t="s">
        <v>1566</v>
      </c>
      <c r="E128" s="25">
        <f t="shared" ref="E128:J128" si="15">E127/E2</f>
        <v>0.2533333333333333</v>
      </c>
      <c r="F128" s="25">
        <f t="shared" si="15"/>
        <v>3.5294117647058823E-2</v>
      </c>
      <c r="G128" s="25">
        <f t="shared" si="15"/>
        <v>0.16170212765957445</v>
      </c>
      <c r="H128" s="25">
        <f t="shared" si="15"/>
        <v>2.2857142857142857E-2</v>
      </c>
      <c r="I128" s="25">
        <f t="shared" si="15"/>
        <v>5.1612903225806452E-2</v>
      </c>
      <c r="J128" s="25">
        <f t="shared" si="15"/>
        <v>3.6363636363636362E-2</v>
      </c>
      <c r="K128" s="26"/>
      <c r="M128" s="10"/>
      <c r="N128"/>
    </row>
    <row r="129" spans="2:14">
      <c r="B129" t="s">
        <v>1271</v>
      </c>
      <c r="C129">
        <v>21</v>
      </c>
      <c r="D129">
        <v>1</v>
      </c>
      <c r="K129" s="10" t="s">
        <v>33</v>
      </c>
      <c r="L129" s="63" t="s">
        <v>1613</v>
      </c>
      <c r="M129" s="10"/>
    </row>
    <row r="130" spans="2:14">
      <c r="B130" t="s">
        <v>1272</v>
      </c>
      <c r="C130">
        <v>19</v>
      </c>
      <c r="D130">
        <v>2</v>
      </c>
      <c r="K130" s="10" t="s">
        <v>30</v>
      </c>
      <c r="L130" s="63" t="s">
        <v>1611</v>
      </c>
      <c r="M130" s="10"/>
    </row>
    <row r="131" spans="2:14">
      <c r="B131" t="s">
        <v>1273</v>
      </c>
      <c r="C131">
        <v>12</v>
      </c>
      <c r="D131">
        <v>0</v>
      </c>
      <c r="K131" s="10" t="s">
        <v>66</v>
      </c>
      <c r="L131" s="63" t="s">
        <v>1615</v>
      </c>
      <c r="M131" s="10"/>
    </row>
    <row r="132" spans="2:14">
      <c r="B132" t="s">
        <v>1274</v>
      </c>
      <c r="C132">
        <v>18</v>
      </c>
      <c r="D132">
        <v>0</v>
      </c>
      <c r="K132" s="10" t="s">
        <v>459</v>
      </c>
      <c r="L132" s="63" t="s">
        <v>1612</v>
      </c>
    </row>
    <row r="133" spans="2:14">
      <c r="B133" t="s">
        <v>1275</v>
      </c>
      <c r="C133">
        <v>14</v>
      </c>
      <c r="D133">
        <v>0</v>
      </c>
      <c r="K133" s="10" t="s">
        <v>98</v>
      </c>
      <c r="L133" s="63" t="s">
        <v>1614</v>
      </c>
    </row>
    <row r="134" spans="2:14" s="25" customFormat="1">
      <c r="B134" s="25" t="s">
        <v>1565</v>
      </c>
      <c r="C134" s="25">
        <f>AVERAGE(C129:C133)</f>
        <v>16.8</v>
      </c>
      <c r="D134" s="25">
        <f>AVERAGE(D129:D133)</f>
        <v>0.6</v>
      </c>
      <c r="K134" s="26"/>
    </row>
    <row r="135" spans="2:14" s="25" customFormat="1">
      <c r="B135" s="25" t="s">
        <v>1566</v>
      </c>
      <c r="C135" s="25">
        <f>C134/C2</f>
        <v>0.33600000000000002</v>
      </c>
      <c r="D135" s="25">
        <f>D134/D2</f>
        <v>1.2E-2</v>
      </c>
      <c r="K135" s="26"/>
    </row>
    <row r="136" spans="2:14">
      <c r="B136" t="s">
        <v>1435</v>
      </c>
      <c r="E136">
        <v>5</v>
      </c>
      <c r="F136">
        <v>2</v>
      </c>
      <c r="G136">
        <v>10</v>
      </c>
      <c r="H136">
        <v>4</v>
      </c>
      <c r="I136">
        <v>1</v>
      </c>
      <c r="J136">
        <v>1</v>
      </c>
      <c r="K136" s="10" t="s">
        <v>665</v>
      </c>
      <c r="L136" t="s">
        <v>1658</v>
      </c>
    </row>
    <row r="137" spans="2:14">
      <c r="B137" t="s">
        <v>1436</v>
      </c>
      <c r="E137">
        <v>5</v>
      </c>
      <c r="F137">
        <v>2</v>
      </c>
      <c r="G137">
        <v>12</v>
      </c>
      <c r="H137">
        <v>4</v>
      </c>
      <c r="I137">
        <v>3</v>
      </c>
      <c r="J137">
        <v>2</v>
      </c>
      <c r="K137" s="10" t="s">
        <v>666</v>
      </c>
      <c r="L137" t="s">
        <v>1661</v>
      </c>
    </row>
    <row r="138" spans="2:14">
      <c r="B138" t="s">
        <v>1437</v>
      </c>
      <c r="E138">
        <v>4</v>
      </c>
      <c r="F138">
        <v>0</v>
      </c>
      <c r="G138">
        <v>20</v>
      </c>
      <c r="H138">
        <v>2</v>
      </c>
      <c r="I138">
        <v>4</v>
      </c>
      <c r="J138">
        <v>3</v>
      </c>
      <c r="K138" s="10" t="s">
        <v>667</v>
      </c>
      <c r="L138" t="s">
        <v>1660</v>
      </c>
    </row>
    <row r="139" spans="2:14">
      <c r="B139" t="s">
        <v>1438</v>
      </c>
      <c r="E139">
        <v>6</v>
      </c>
      <c r="F139">
        <v>0</v>
      </c>
      <c r="G139">
        <v>17</v>
      </c>
      <c r="H139">
        <v>9</v>
      </c>
      <c r="I139">
        <v>10</v>
      </c>
      <c r="J139">
        <v>3</v>
      </c>
      <c r="K139" s="10" t="s">
        <v>668</v>
      </c>
      <c r="L139" t="s">
        <v>1659</v>
      </c>
    </row>
    <row r="140" spans="2:14">
      <c r="B140" t="s">
        <v>1439</v>
      </c>
      <c r="E140">
        <v>4</v>
      </c>
      <c r="F140">
        <v>2</v>
      </c>
      <c r="G140">
        <v>13</v>
      </c>
      <c r="H140">
        <v>4</v>
      </c>
      <c r="I140">
        <v>6</v>
      </c>
      <c r="J140">
        <v>2</v>
      </c>
      <c r="K140" s="10" t="s">
        <v>669</v>
      </c>
      <c r="L140" t="s">
        <v>1657</v>
      </c>
    </row>
    <row r="141" spans="2:14" s="25" customFormat="1">
      <c r="B141" s="25" t="s">
        <v>1565</v>
      </c>
      <c r="E141" s="25">
        <f>AVERAGE(E136:E140)</f>
        <v>4.8</v>
      </c>
      <c r="F141" s="25">
        <f t="shared" ref="F141:J141" si="16">AVERAGE(F136:F140)</f>
        <v>1.2</v>
      </c>
      <c r="G141" s="25">
        <f t="shared" si="16"/>
        <v>14.4</v>
      </c>
      <c r="H141" s="25">
        <f t="shared" si="16"/>
        <v>4.5999999999999996</v>
      </c>
      <c r="I141" s="25">
        <f t="shared" si="16"/>
        <v>4.8</v>
      </c>
      <c r="J141" s="25">
        <f t="shared" si="16"/>
        <v>2.2000000000000002</v>
      </c>
      <c r="K141" s="26"/>
    </row>
    <row r="142" spans="2:14" s="25" customFormat="1">
      <c r="B142" s="25" t="s">
        <v>1566</v>
      </c>
      <c r="E142" s="25">
        <f t="shared" ref="E142:J142" si="17">E141/E2</f>
        <v>0.32</v>
      </c>
      <c r="F142" s="25">
        <f t="shared" si="17"/>
        <v>3.5294117647058823E-2</v>
      </c>
      <c r="G142" s="25">
        <f t="shared" si="17"/>
        <v>0.30638297872340425</v>
      </c>
      <c r="H142" s="25">
        <f t="shared" si="17"/>
        <v>0.13142857142857142</v>
      </c>
      <c r="I142" s="25">
        <f t="shared" si="17"/>
        <v>0.15483870967741936</v>
      </c>
      <c r="J142" s="25">
        <f t="shared" si="17"/>
        <v>0.04</v>
      </c>
      <c r="K142" s="26"/>
    </row>
    <row r="143" spans="2:14">
      <c r="B143" t="s">
        <v>1276</v>
      </c>
      <c r="C143">
        <v>14</v>
      </c>
      <c r="D143">
        <v>21</v>
      </c>
      <c r="K143" s="10" t="s">
        <v>336</v>
      </c>
      <c r="L143" s="62" t="s">
        <v>1600</v>
      </c>
      <c r="M143" s="10"/>
      <c r="N143" s="62"/>
    </row>
    <row r="144" spans="2:14">
      <c r="B144" t="s">
        <v>1277</v>
      </c>
      <c r="C144">
        <v>8</v>
      </c>
      <c r="D144">
        <v>12</v>
      </c>
      <c r="K144" s="10" t="s">
        <v>670</v>
      </c>
      <c r="L144" s="62" t="s">
        <v>1596</v>
      </c>
      <c r="M144" s="10"/>
      <c r="N144" s="62"/>
    </row>
    <row r="145" spans="2:15">
      <c r="B145" t="s">
        <v>1278</v>
      </c>
      <c r="C145">
        <v>6</v>
      </c>
      <c r="D145">
        <v>16</v>
      </c>
      <c r="K145" s="10" t="s">
        <v>495</v>
      </c>
      <c r="L145" s="62" t="s">
        <v>1597</v>
      </c>
      <c r="M145" s="10"/>
      <c r="N145" s="62"/>
    </row>
    <row r="146" spans="2:15">
      <c r="B146" t="s">
        <v>1279</v>
      </c>
      <c r="C146">
        <v>0</v>
      </c>
      <c r="D146">
        <v>15</v>
      </c>
      <c r="K146" s="10" t="s">
        <v>104</v>
      </c>
      <c r="L146" s="62" t="s">
        <v>1598</v>
      </c>
      <c r="M146" s="10"/>
      <c r="N146" s="62"/>
    </row>
    <row r="147" spans="2:15">
      <c r="B147" t="s">
        <v>1280</v>
      </c>
      <c r="C147">
        <v>5</v>
      </c>
      <c r="D147">
        <v>15</v>
      </c>
      <c r="K147" s="10" t="s">
        <v>167</v>
      </c>
      <c r="L147" s="62" t="s">
        <v>1599</v>
      </c>
      <c r="M147" s="10"/>
      <c r="N147" s="62"/>
    </row>
    <row r="148" spans="2:15" s="25" customFormat="1">
      <c r="B148" s="25" t="s">
        <v>1565</v>
      </c>
      <c r="C148" s="25">
        <f>AVERAGE(C143:C147)</f>
        <v>6.6</v>
      </c>
      <c r="D148" s="25">
        <f>AVERAGE(D143:D147)</f>
        <v>15.8</v>
      </c>
      <c r="K148" s="26"/>
      <c r="M148" s="10"/>
      <c r="N148" s="62"/>
      <c r="O148"/>
    </row>
    <row r="149" spans="2:15" s="25" customFormat="1">
      <c r="B149" s="25" t="s">
        <v>1566</v>
      </c>
      <c r="C149" s="25">
        <f>C148/C2</f>
        <v>0.13200000000000001</v>
      </c>
      <c r="D149" s="25">
        <f>D148/D2</f>
        <v>0.316</v>
      </c>
      <c r="K149" s="26"/>
      <c r="M149" s="10"/>
      <c r="N149" s="62"/>
      <c r="O149"/>
    </row>
    <row r="150" spans="2:15">
      <c r="B150" t="s">
        <v>1440</v>
      </c>
      <c r="E150">
        <v>0</v>
      </c>
      <c r="F150">
        <v>0</v>
      </c>
      <c r="G150">
        <v>0</v>
      </c>
      <c r="H150">
        <v>8</v>
      </c>
      <c r="I150">
        <v>3</v>
      </c>
      <c r="J150">
        <v>8</v>
      </c>
      <c r="K150" s="10" t="s">
        <v>672</v>
      </c>
      <c r="L150" t="s">
        <v>1675</v>
      </c>
      <c r="M150" s="10"/>
    </row>
    <row r="151" spans="2:15">
      <c r="B151" t="s">
        <v>1441</v>
      </c>
      <c r="E151">
        <v>3</v>
      </c>
      <c r="F151">
        <v>0</v>
      </c>
      <c r="G151">
        <v>3</v>
      </c>
      <c r="H151">
        <v>3</v>
      </c>
      <c r="I151">
        <v>5</v>
      </c>
      <c r="J151">
        <v>16</v>
      </c>
      <c r="K151" s="10" t="s">
        <v>673</v>
      </c>
      <c r="L151" t="s">
        <v>1673</v>
      </c>
      <c r="M151" s="10"/>
    </row>
    <row r="152" spans="2:15">
      <c r="B152" t="s">
        <v>1442</v>
      </c>
      <c r="E152">
        <v>5</v>
      </c>
      <c r="F152">
        <v>0</v>
      </c>
      <c r="G152">
        <v>10</v>
      </c>
      <c r="H152">
        <v>6</v>
      </c>
      <c r="I152">
        <v>5</v>
      </c>
      <c r="J152">
        <v>22</v>
      </c>
      <c r="K152" s="10" t="s">
        <v>674</v>
      </c>
      <c r="L152" t="s">
        <v>1674</v>
      </c>
      <c r="M152" s="10"/>
    </row>
    <row r="153" spans="2:15">
      <c r="B153" t="s">
        <v>1443</v>
      </c>
      <c r="E153">
        <v>8</v>
      </c>
      <c r="F153">
        <v>3</v>
      </c>
      <c r="G153">
        <v>5</v>
      </c>
      <c r="H153">
        <v>6</v>
      </c>
      <c r="I153">
        <v>15</v>
      </c>
      <c r="J153">
        <v>17</v>
      </c>
      <c r="K153" s="10" t="s">
        <v>675</v>
      </c>
      <c r="L153" t="s">
        <v>1672</v>
      </c>
      <c r="M153" s="10"/>
    </row>
    <row r="154" spans="2:15">
      <c r="B154" t="s">
        <v>1444</v>
      </c>
      <c r="E154">
        <v>9</v>
      </c>
      <c r="F154">
        <v>0</v>
      </c>
      <c r="G154">
        <v>6</v>
      </c>
      <c r="H154">
        <v>0</v>
      </c>
      <c r="I154">
        <v>5</v>
      </c>
      <c r="J154">
        <v>10</v>
      </c>
      <c r="K154" s="10" t="s">
        <v>676</v>
      </c>
      <c r="L154" t="s">
        <v>1676</v>
      </c>
      <c r="M154" s="10"/>
    </row>
    <row r="155" spans="2:15" s="25" customFormat="1">
      <c r="B155" s="25" t="s">
        <v>1565</v>
      </c>
      <c r="E155" s="25">
        <f>AVERAGE(E150:E154)</f>
        <v>5</v>
      </c>
      <c r="F155" s="25">
        <f t="shared" ref="F155:J155" si="18">AVERAGE(F150:F154)</f>
        <v>0.6</v>
      </c>
      <c r="G155" s="25">
        <f t="shared" si="18"/>
        <v>4.8</v>
      </c>
      <c r="H155" s="25">
        <f t="shared" si="18"/>
        <v>4.5999999999999996</v>
      </c>
      <c r="I155" s="25">
        <f t="shared" si="18"/>
        <v>6.6</v>
      </c>
      <c r="J155" s="25">
        <f t="shared" si="18"/>
        <v>14.6</v>
      </c>
      <c r="K155" s="26"/>
      <c r="M155" s="10"/>
      <c r="N155"/>
    </row>
    <row r="156" spans="2:15" s="25" customFormat="1">
      <c r="B156" s="25" t="s">
        <v>1566</v>
      </c>
      <c r="E156" s="25">
        <f t="shared" ref="E156:J156" si="19">E155/E2</f>
        <v>0.33333333333333331</v>
      </c>
      <c r="F156" s="25">
        <f t="shared" si="19"/>
        <v>1.7647058823529412E-2</v>
      </c>
      <c r="G156" s="25">
        <f t="shared" si="19"/>
        <v>0.10212765957446808</v>
      </c>
      <c r="H156" s="25">
        <f t="shared" si="19"/>
        <v>0.13142857142857142</v>
      </c>
      <c r="I156" s="25">
        <f t="shared" si="19"/>
        <v>0.2129032258064516</v>
      </c>
      <c r="J156" s="25">
        <f t="shared" si="19"/>
        <v>0.26545454545454544</v>
      </c>
      <c r="K156" s="26"/>
      <c r="M156" s="10"/>
      <c r="N156"/>
    </row>
    <row r="157" spans="2:15">
      <c r="B157" t="s">
        <v>1281</v>
      </c>
      <c r="C157">
        <v>5</v>
      </c>
      <c r="D157">
        <v>25</v>
      </c>
      <c r="K157" s="10" t="s">
        <v>110</v>
      </c>
      <c r="L157" s="62" t="s">
        <v>1602</v>
      </c>
      <c r="M157" s="10"/>
    </row>
    <row r="158" spans="2:15">
      <c r="B158" t="s">
        <v>1282</v>
      </c>
      <c r="C158">
        <v>15</v>
      </c>
      <c r="D158">
        <v>17</v>
      </c>
      <c r="K158" s="10" t="s">
        <v>187</v>
      </c>
      <c r="L158" s="62" t="s">
        <v>1603</v>
      </c>
      <c r="M158" s="10"/>
    </row>
    <row r="159" spans="2:15">
      <c r="B159" t="s">
        <v>1283</v>
      </c>
      <c r="C159">
        <v>24</v>
      </c>
      <c r="D159">
        <v>20</v>
      </c>
      <c r="K159" s="10" t="s">
        <v>170</v>
      </c>
      <c r="L159" s="62" t="s">
        <v>1605</v>
      </c>
      <c r="M159" s="10"/>
    </row>
    <row r="160" spans="2:15">
      <c r="B160" t="s">
        <v>1284</v>
      </c>
      <c r="C160">
        <v>32</v>
      </c>
      <c r="D160">
        <v>20</v>
      </c>
      <c r="K160" s="10" t="s">
        <v>399</v>
      </c>
      <c r="L160" s="62" t="s">
        <v>1601</v>
      </c>
    </row>
    <row r="161" spans="2:12">
      <c r="B161" t="s">
        <v>1285</v>
      </c>
      <c r="C161">
        <v>15</v>
      </c>
      <c r="D161">
        <v>16</v>
      </c>
      <c r="K161" s="10" t="s">
        <v>678</v>
      </c>
      <c r="L161" s="62" t="s">
        <v>1604</v>
      </c>
    </row>
    <row r="162" spans="2:12" s="25" customFormat="1">
      <c r="B162" s="25" t="s">
        <v>1565</v>
      </c>
      <c r="C162" s="25">
        <f>AVERAGE(C157:C161)</f>
        <v>18.2</v>
      </c>
      <c r="D162" s="25">
        <f>AVERAGE(D157:D161)</f>
        <v>19.600000000000001</v>
      </c>
      <c r="K162" s="26"/>
    </row>
    <row r="163" spans="2:12" s="25" customFormat="1">
      <c r="B163" s="25" t="s">
        <v>1566</v>
      </c>
      <c r="C163" s="25">
        <f>C162/C2</f>
        <v>0.36399999999999999</v>
      </c>
      <c r="D163" s="25">
        <f>D162/D2</f>
        <v>0.39200000000000002</v>
      </c>
      <c r="K163" s="26"/>
    </row>
    <row r="164" spans="2:12">
      <c r="B164" t="s">
        <v>1445</v>
      </c>
      <c r="E164">
        <v>6</v>
      </c>
      <c r="F164">
        <v>0</v>
      </c>
      <c r="G164">
        <v>2</v>
      </c>
      <c r="H164">
        <v>5</v>
      </c>
      <c r="I164">
        <v>1</v>
      </c>
      <c r="J164">
        <v>12</v>
      </c>
      <c r="K164" s="10" t="s">
        <v>680</v>
      </c>
      <c r="L164" t="s">
        <v>1667</v>
      </c>
    </row>
    <row r="165" spans="2:12">
      <c r="B165" t="s">
        <v>1446</v>
      </c>
      <c r="E165">
        <v>0</v>
      </c>
      <c r="F165">
        <v>1</v>
      </c>
      <c r="G165">
        <v>0</v>
      </c>
      <c r="H165">
        <v>5</v>
      </c>
      <c r="I165">
        <v>1</v>
      </c>
      <c r="J165">
        <v>11</v>
      </c>
      <c r="K165" s="10" t="s">
        <v>681</v>
      </c>
      <c r="L165" t="s">
        <v>1668</v>
      </c>
    </row>
    <row r="166" spans="2:12">
      <c r="B166" t="s">
        <v>1447</v>
      </c>
      <c r="E166">
        <v>4</v>
      </c>
      <c r="F166">
        <v>0</v>
      </c>
      <c r="G166">
        <v>2</v>
      </c>
      <c r="H166">
        <v>7</v>
      </c>
      <c r="I166">
        <v>4</v>
      </c>
      <c r="J166">
        <v>13</v>
      </c>
      <c r="K166" s="10" t="s">
        <v>682</v>
      </c>
      <c r="L166" t="s">
        <v>1669</v>
      </c>
    </row>
    <row r="167" spans="2:12">
      <c r="B167" t="s">
        <v>1448</v>
      </c>
      <c r="E167">
        <v>9</v>
      </c>
      <c r="F167">
        <v>0</v>
      </c>
      <c r="G167">
        <v>12</v>
      </c>
      <c r="H167">
        <v>3</v>
      </c>
      <c r="I167">
        <v>0</v>
      </c>
      <c r="J167">
        <v>17</v>
      </c>
      <c r="K167" s="10" t="s">
        <v>683</v>
      </c>
      <c r="L167" t="s">
        <v>1671</v>
      </c>
    </row>
    <row r="168" spans="2:12">
      <c r="B168" t="s">
        <v>1449</v>
      </c>
      <c r="E168" s="42" t="s">
        <v>584</v>
      </c>
      <c r="F168" s="41" t="s">
        <v>584</v>
      </c>
      <c r="G168" s="43" t="s">
        <v>584</v>
      </c>
      <c r="H168" s="41" t="s">
        <v>584</v>
      </c>
      <c r="I168" s="34" t="s">
        <v>584</v>
      </c>
      <c r="J168" s="44" t="s">
        <v>584</v>
      </c>
      <c r="K168" s="10" t="s">
        <v>684</v>
      </c>
      <c r="L168" t="s">
        <v>1670</v>
      </c>
    </row>
    <row r="169" spans="2:12" s="25" customFormat="1">
      <c r="B169" s="25" t="s">
        <v>1565</v>
      </c>
      <c r="E169" s="25">
        <f>AVERAGE(E164:E168)</f>
        <v>4.75</v>
      </c>
      <c r="F169" s="25">
        <f t="shared" ref="F169:J169" si="20">AVERAGE(F164:F168)</f>
        <v>0.25</v>
      </c>
      <c r="G169" s="25">
        <f t="shared" si="20"/>
        <v>4</v>
      </c>
      <c r="H169" s="25">
        <f t="shared" si="20"/>
        <v>5</v>
      </c>
      <c r="I169" s="25">
        <f t="shared" si="20"/>
        <v>1.5</v>
      </c>
      <c r="J169" s="25">
        <f t="shared" si="20"/>
        <v>13.25</v>
      </c>
      <c r="K169" s="26"/>
    </row>
    <row r="170" spans="2:12" s="25" customFormat="1">
      <c r="B170" s="25" t="s">
        <v>1566</v>
      </c>
      <c r="E170" s="25">
        <f t="shared" ref="E170:J170" si="21">E169/E2</f>
        <v>0.31666666666666665</v>
      </c>
      <c r="F170" s="25">
        <f t="shared" si="21"/>
        <v>7.3529411764705881E-3</v>
      </c>
      <c r="G170" s="25">
        <f t="shared" si="21"/>
        <v>8.5106382978723402E-2</v>
      </c>
      <c r="H170" s="25">
        <f t="shared" si="21"/>
        <v>0.14285714285714285</v>
      </c>
      <c r="I170" s="25">
        <f t="shared" si="21"/>
        <v>4.8387096774193547E-2</v>
      </c>
      <c r="J170" s="25">
        <f t="shared" si="21"/>
        <v>0.24090909090909091</v>
      </c>
      <c r="K170" s="26"/>
    </row>
    <row r="171" spans="2:12">
      <c r="B171" t="s">
        <v>1286</v>
      </c>
      <c r="C171">
        <v>16</v>
      </c>
      <c r="D171">
        <v>14</v>
      </c>
      <c r="K171" s="10" t="s">
        <v>330</v>
      </c>
      <c r="L171" t="s">
        <v>685</v>
      </c>
    </row>
    <row r="172" spans="2:12">
      <c r="B172" t="s">
        <v>1287</v>
      </c>
      <c r="C172">
        <v>7</v>
      </c>
      <c r="D172">
        <v>12</v>
      </c>
      <c r="K172" s="10" t="s">
        <v>217</v>
      </c>
      <c r="L172" t="s">
        <v>687</v>
      </c>
    </row>
    <row r="173" spans="2:12">
      <c r="B173" t="s">
        <v>1288</v>
      </c>
      <c r="C173">
        <v>16</v>
      </c>
      <c r="D173">
        <v>11</v>
      </c>
      <c r="K173" s="10" t="s">
        <v>95</v>
      </c>
      <c r="L173" t="s">
        <v>689</v>
      </c>
    </row>
    <row r="174" spans="2:12">
      <c r="B174" t="s">
        <v>1289</v>
      </c>
      <c r="C174">
        <v>20</v>
      </c>
      <c r="D174">
        <v>12</v>
      </c>
      <c r="K174" s="10" t="s">
        <v>539</v>
      </c>
      <c r="L174" t="s">
        <v>690</v>
      </c>
    </row>
    <row r="175" spans="2:12">
      <c r="B175" t="s">
        <v>1290</v>
      </c>
      <c r="C175">
        <v>4</v>
      </c>
      <c r="D175">
        <v>11</v>
      </c>
      <c r="K175" s="10" t="s">
        <v>333</v>
      </c>
      <c r="L175" t="s">
        <v>693</v>
      </c>
    </row>
    <row r="176" spans="2:12" s="25" customFormat="1">
      <c r="B176" s="25" t="s">
        <v>1565</v>
      </c>
      <c r="C176" s="25">
        <f>AVERAGE(C171:C175)</f>
        <v>12.6</v>
      </c>
      <c r="D176" s="25">
        <f>AVERAGE(D171:D175)</f>
        <v>12</v>
      </c>
      <c r="K176" s="26"/>
    </row>
    <row r="177" spans="2:14" s="25" customFormat="1">
      <c r="B177" s="25" t="s">
        <v>1566</v>
      </c>
      <c r="C177" s="25">
        <f>C176/C2</f>
        <v>0.252</v>
      </c>
      <c r="D177" s="25">
        <f>D176/D2</f>
        <v>0.24</v>
      </c>
      <c r="K177" s="26"/>
    </row>
    <row r="178" spans="2:14">
      <c r="B178" t="s">
        <v>1450</v>
      </c>
      <c r="E178">
        <v>5</v>
      </c>
      <c r="F178">
        <v>2</v>
      </c>
      <c r="G178">
        <v>10</v>
      </c>
      <c r="H178">
        <v>0</v>
      </c>
      <c r="I178">
        <v>0</v>
      </c>
      <c r="J178">
        <v>9</v>
      </c>
      <c r="K178" s="10" t="s">
        <v>694</v>
      </c>
      <c r="L178" t="s">
        <v>1642</v>
      </c>
      <c r="M178" s="10"/>
    </row>
    <row r="179" spans="2:14">
      <c r="B179" t="s">
        <v>1451</v>
      </c>
      <c r="E179">
        <v>0</v>
      </c>
      <c r="F179">
        <v>0</v>
      </c>
      <c r="G179">
        <v>10</v>
      </c>
      <c r="H179">
        <v>3</v>
      </c>
      <c r="I179">
        <v>8</v>
      </c>
      <c r="J179">
        <v>10</v>
      </c>
      <c r="K179" s="10" t="s">
        <v>695</v>
      </c>
      <c r="L179" t="s">
        <v>1646</v>
      </c>
      <c r="M179" s="10"/>
    </row>
    <row r="180" spans="2:14">
      <c r="B180" t="s">
        <v>1452</v>
      </c>
      <c r="E180">
        <v>2</v>
      </c>
      <c r="F180">
        <v>0</v>
      </c>
      <c r="G180">
        <v>10</v>
      </c>
      <c r="H180">
        <v>1</v>
      </c>
      <c r="I180">
        <v>3</v>
      </c>
      <c r="J180">
        <v>5</v>
      </c>
      <c r="K180" s="10" t="s">
        <v>696</v>
      </c>
      <c r="L180" t="s">
        <v>1644</v>
      </c>
      <c r="M180" s="10"/>
    </row>
    <row r="181" spans="2:14">
      <c r="B181" t="s">
        <v>1453</v>
      </c>
      <c r="E181">
        <v>2</v>
      </c>
      <c r="F181">
        <v>3</v>
      </c>
      <c r="G181">
        <v>10</v>
      </c>
      <c r="H181">
        <v>5</v>
      </c>
      <c r="I181">
        <v>0</v>
      </c>
      <c r="J181">
        <v>8</v>
      </c>
      <c r="K181" s="10" t="s">
        <v>697</v>
      </c>
      <c r="L181" t="s">
        <v>1645</v>
      </c>
      <c r="M181" s="10"/>
    </row>
    <row r="182" spans="2:14">
      <c r="B182" t="s">
        <v>1454</v>
      </c>
      <c r="E182">
        <v>3</v>
      </c>
      <c r="F182">
        <v>0</v>
      </c>
      <c r="G182">
        <v>9</v>
      </c>
      <c r="H182">
        <v>3</v>
      </c>
      <c r="I182">
        <v>4</v>
      </c>
      <c r="J182">
        <v>4</v>
      </c>
      <c r="K182" s="10" t="s">
        <v>698</v>
      </c>
      <c r="L182" t="s">
        <v>1643</v>
      </c>
      <c r="M182" s="10"/>
    </row>
    <row r="183" spans="2:14" s="25" customFormat="1">
      <c r="B183" s="25" t="s">
        <v>1565</v>
      </c>
      <c r="E183" s="25">
        <f>AVERAGE(E178:E182)</f>
        <v>2.4</v>
      </c>
      <c r="F183" s="25">
        <f t="shared" ref="F183:J183" si="22">AVERAGE(F178:F182)</f>
        <v>1</v>
      </c>
      <c r="G183" s="25">
        <f t="shared" si="22"/>
        <v>9.8000000000000007</v>
      </c>
      <c r="H183" s="25">
        <f t="shared" si="22"/>
        <v>2.4</v>
      </c>
      <c r="I183" s="25">
        <f t="shared" si="22"/>
        <v>3</v>
      </c>
      <c r="J183" s="25">
        <f t="shared" si="22"/>
        <v>7.2</v>
      </c>
      <c r="K183" s="26"/>
      <c r="M183" s="10"/>
      <c r="N183"/>
    </row>
    <row r="184" spans="2:14" s="25" customFormat="1">
      <c r="B184" s="25" t="s">
        <v>1566</v>
      </c>
      <c r="E184" s="25">
        <f t="shared" ref="E184:J184" si="23">E183/E2</f>
        <v>0.16</v>
      </c>
      <c r="F184" s="25">
        <f t="shared" si="23"/>
        <v>2.9411764705882353E-2</v>
      </c>
      <c r="G184" s="25">
        <f t="shared" si="23"/>
        <v>0.20851063829787236</v>
      </c>
      <c r="H184" s="25">
        <f t="shared" si="23"/>
        <v>6.8571428571428575E-2</v>
      </c>
      <c r="I184" s="25">
        <f t="shared" si="23"/>
        <v>9.6774193548387094E-2</v>
      </c>
      <c r="J184" s="25">
        <f t="shared" si="23"/>
        <v>0.13090909090909092</v>
      </c>
      <c r="K184" s="26"/>
      <c r="M184" s="10"/>
      <c r="N184"/>
    </row>
    <row r="185" spans="2:14">
      <c r="B185" t="s">
        <v>1291</v>
      </c>
      <c r="C185">
        <v>0</v>
      </c>
      <c r="D185" s="34" t="s">
        <v>584</v>
      </c>
      <c r="K185" s="10" t="s">
        <v>24</v>
      </c>
      <c r="L185" t="s">
        <v>699</v>
      </c>
      <c r="M185" s="10"/>
    </row>
    <row r="186" spans="2:14">
      <c r="B186" t="s">
        <v>1292</v>
      </c>
      <c r="C186">
        <v>10</v>
      </c>
      <c r="D186">
        <v>8</v>
      </c>
      <c r="K186" s="10" t="s">
        <v>372</v>
      </c>
      <c r="L186" t="s">
        <v>700</v>
      </c>
      <c r="M186" s="10"/>
    </row>
    <row r="187" spans="2:14">
      <c r="B187" t="s">
        <v>1293</v>
      </c>
      <c r="C187">
        <v>7</v>
      </c>
      <c r="D187">
        <v>14</v>
      </c>
      <c r="K187" s="10" t="s">
        <v>101</v>
      </c>
      <c r="L187" t="s">
        <v>703</v>
      </c>
      <c r="M187" s="10"/>
    </row>
    <row r="188" spans="2:14">
      <c r="B188" t="s">
        <v>1294</v>
      </c>
      <c r="C188">
        <v>6</v>
      </c>
      <c r="D188">
        <v>11</v>
      </c>
      <c r="K188" s="10" t="s">
        <v>199</v>
      </c>
      <c r="L188" t="s">
        <v>705</v>
      </c>
    </row>
    <row r="189" spans="2:14">
      <c r="B189" t="s">
        <v>1295</v>
      </c>
      <c r="C189">
        <v>10</v>
      </c>
      <c r="D189">
        <v>16</v>
      </c>
      <c r="K189" s="10" t="s">
        <v>164</v>
      </c>
      <c r="L189" t="s">
        <v>706</v>
      </c>
    </row>
    <row r="190" spans="2:14" s="25" customFormat="1">
      <c r="B190" s="25" t="s">
        <v>1565</v>
      </c>
      <c r="C190" s="25">
        <f>AVERAGE(C185:C189)</f>
        <v>6.6</v>
      </c>
      <c r="D190" s="25">
        <f>AVERAGE(D186:D189)</f>
        <v>12.25</v>
      </c>
      <c r="K190" s="26"/>
    </row>
    <row r="191" spans="2:14" s="25" customFormat="1">
      <c r="B191" s="25" t="s">
        <v>1566</v>
      </c>
      <c r="C191" s="25">
        <f>C190/C2</f>
        <v>0.13200000000000001</v>
      </c>
      <c r="D191" s="25">
        <f>D190/D2</f>
        <v>0.245</v>
      </c>
      <c r="K191" s="26"/>
    </row>
    <row r="192" spans="2:14">
      <c r="B192" t="s">
        <v>1455</v>
      </c>
      <c r="E192">
        <v>5</v>
      </c>
      <c r="F192">
        <v>4</v>
      </c>
      <c r="G192">
        <v>14</v>
      </c>
      <c r="H192">
        <v>13</v>
      </c>
      <c r="I192">
        <v>8</v>
      </c>
      <c r="J192">
        <v>18</v>
      </c>
      <c r="K192" s="10" t="s">
        <v>707</v>
      </c>
      <c r="L192" t="s">
        <v>1641</v>
      </c>
    </row>
    <row r="193" spans="2:12">
      <c r="B193" t="s">
        <v>1456</v>
      </c>
      <c r="E193">
        <v>2</v>
      </c>
      <c r="F193">
        <v>9</v>
      </c>
      <c r="G193">
        <v>4</v>
      </c>
      <c r="H193">
        <v>9</v>
      </c>
      <c r="I193">
        <v>0</v>
      </c>
      <c r="J193">
        <v>9</v>
      </c>
      <c r="K193" s="10" t="s">
        <v>708</v>
      </c>
      <c r="L193" t="s">
        <v>1637</v>
      </c>
    </row>
    <row r="194" spans="2:12">
      <c r="B194" t="s">
        <v>1457</v>
      </c>
      <c r="E194">
        <v>3</v>
      </c>
      <c r="F194">
        <v>8</v>
      </c>
      <c r="G194">
        <v>4</v>
      </c>
      <c r="H194">
        <v>7</v>
      </c>
      <c r="I194">
        <v>6</v>
      </c>
      <c r="J194">
        <v>13</v>
      </c>
      <c r="K194" s="10" t="s">
        <v>709</v>
      </c>
      <c r="L194" t="s">
        <v>1639</v>
      </c>
    </row>
    <row r="195" spans="2:12">
      <c r="B195" t="s">
        <v>1458</v>
      </c>
      <c r="E195">
        <v>2</v>
      </c>
      <c r="F195">
        <v>0</v>
      </c>
      <c r="G195">
        <v>13</v>
      </c>
      <c r="H195">
        <v>1</v>
      </c>
      <c r="I195">
        <v>6</v>
      </c>
      <c r="J195">
        <v>21</v>
      </c>
      <c r="K195" s="10" t="s">
        <v>710</v>
      </c>
      <c r="L195" t="s">
        <v>1640</v>
      </c>
    </row>
    <row r="196" spans="2:12">
      <c r="B196" t="s">
        <v>1459</v>
      </c>
      <c r="E196">
        <v>1</v>
      </c>
      <c r="F196">
        <v>0</v>
      </c>
      <c r="G196">
        <v>16</v>
      </c>
      <c r="H196">
        <v>6</v>
      </c>
      <c r="I196">
        <v>0</v>
      </c>
      <c r="J196">
        <v>20</v>
      </c>
      <c r="K196" s="10" t="s">
        <v>711</v>
      </c>
      <c r="L196" t="s">
        <v>1638</v>
      </c>
    </row>
    <row r="197" spans="2:12" s="25" customFormat="1">
      <c r="B197" s="25" t="s">
        <v>1565</v>
      </c>
      <c r="E197" s="25">
        <f>AVERAGE(E192:E196)</f>
        <v>2.6</v>
      </c>
      <c r="F197" s="25">
        <f t="shared" ref="F197:J197" si="24">AVERAGE(F192:F196)</f>
        <v>4.2</v>
      </c>
      <c r="G197" s="25">
        <f t="shared" si="24"/>
        <v>10.199999999999999</v>
      </c>
      <c r="H197" s="25">
        <f t="shared" si="24"/>
        <v>7.2</v>
      </c>
      <c r="I197" s="25">
        <f t="shared" si="24"/>
        <v>4</v>
      </c>
      <c r="J197" s="25">
        <f t="shared" si="24"/>
        <v>16.2</v>
      </c>
      <c r="K197" s="26"/>
    </row>
    <row r="198" spans="2:12" s="25" customFormat="1">
      <c r="B198" s="25" t="s">
        <v>1566</v>
      </c>
      <c r="E198" s="25">
        <f t="shared" ref="E198:J198" si="25">E197/E2</f>
        <v>0.17333333333333334</v>
      </c>
      <c r="F198" s="25">
        <f t="shared" si="25"/>
        <v>0.12352941176470589</v>
      </c>
      <c r="G198" s="25">
        <f t="shared" si="25"/>
        <v>0.21702127659574466</v>
      </c>
      <c r="H198" s="25">
        <f t="shared" si="25"/>
        <v>0.20571428571428571</v>
      </c>
      <c r="I198" s="25">
        <f t="shared" si="25"/>
        <v>0.12903225806451613</v>
      </c>
      <c r="J198" s="25">
        <f t="shared" si="25"/>
        <v>0.29454545454545455</v>
      </c>
      <c r="K198" s="26"/>
    </row>
    <row r="199" spans="2:12">
      <c r="B199" t="s">
        <v>1296</v>
      </c>
      <c r="C199">
        <v>7</v>
      </c>
      <c r="D199">
        <v>12</v>
      </c>
      <c r="K199" s="10" t="s">
        <v>713</v>
      </c>
      <c r="L199" t="s">
        <v>712</v>
      </c>
    </row>
    <row r="200" spans="2:12">
      <c r="B200" t="s">
        <v>1297</v>
      </c>
      <c r="C200">
        <v>3</v>
      </c>
      <c r="D200">
        <v>4</v>
      </c>
      <c r="K200" s="10" t="s">
        <v>347</v>
      </c>
      <c r="L200" t="s">
        <v>715</v>
      </c>
    </row>
    <row r="201" spans="2:12">
      <c r="B201" t="s">
        <v>1298</v>
      </c>
      <c r="C201">
        <v>3</v>
      </c>
      <c r="D201">
        <v>6</v>
      </c>
      <c r="K201" s="10" t="s">
        <v>291</v>
      </c>
      <c r="L201" t="s">
        <v>717</v>
      </c>
    </row>
    <row r="202" spans="2:12">
      <c r="B202" t="s">
        <v>1299</v>
      </c>
      <c r="C202">
        <v>3</v>
      </c>
      <c r="D202">
        <v>8</v>
      </c>
      <c r="K202" s="10" t="s">
        <v>179</v>
      </c>
      <c r="L202" t="s">
        <v>718</v>
      </c>
    </row>
    <row r="203" spans="2:12">
      <c r="B203" t="s">
        <v>1300</v>
      </c>
      <c r="C203">
        <v>4</v>
      </c>
      <c r="D203">
        <v>6</v>
      </c>
      <c r="K203" s="10" t="s">
        <v>447</v>
      </c>
      <c r="L203" t="s">
        <v>720</v>
      </c>
    </row>
    <row r="204" spans="2:12" s="25" customFormat="1">
      <c r="B204" s="25" t="s">
        <v>1565</v>
      </c>
      <c r="C204" s="25">
        <f>AVERAGE(C199:C203)</f>
        <v>4</v>
      </c>
      <c r="D204" s="25">
        <f>AVERAGE(D199:D203)</f>
        <v>7.2</v>
      </c>
      <c r="K204" s="26"/>
    </row>
    <row r="205" spans="2:12" s="25" customFormat="1">
      <c r="B205" s="25" t="s">
        <v>1566</v>
      </c>
      <c r="C205" s="25">
        <f>C204/C2</f>
        <v>0.08</v>
      </c>
      <c r="D205" s="25">
        <f>D204/D2</f>
        <v>0.14400000000000002</v>
      </c>
      <c r="K205" s="26"/>
    </row>
    <row r="206" spans="2:12">
      <c r="B206" t="s">
        <v>1460</v>
      </c>
      <c r="E206" s="42" t="s">
        <v>584</v>
      </c>
      <c r="F206" s="41" t="s">
        <v>584</v>
      </c>
      <c r="G206" s="43" t="s">
        <v>584</v>
      </c>
      <c r="H206" s="41" t="s">
        <v>584</v>
      </c>
      <c r="I206" s="34" t="s">
        <v>584</v>
      </c>
      <c r="J206" s="44" t="s">
        <v>584</v>
      </c>
      <c r="K206" s="10" t="s">
        <v>723</v>
      </c>
      <c r="L206" t="s">
        <v>722</v>
      </c>
    </row>
    <row r="207" spans="2:12">
      <c r="B207" t="s">
        <v>1461</v>
      </c>
      <c r="E207">
        <v>1</v>
      </c>
      <c r="F207">
        <v>0</v>
      </c>
      <c r="G207">
        <v>3</v>
      </c>
      <c r="H207">
        <v>0</v>
      </c>
      <c r="I207">
        <v>0</v>
      </c>
      <c r="J207">
        <v>3</v>
      </c>
      <c r="K207" s="10" t="s">
        <v>725</v>
      </c>
      <c r="L207" t="s">
        <v>724</v>
      </c>
    </row>
    <row r="208" spans="2:12">
      <c r="B208" t="s">
        <v>1462</v>
      </c>
      <c r="E208">
        <v>0</v>
      </c>
      <c r="F208">
        <v>0</v>
      </c>
      <c r="G208">
        <v>2</v>
      </c>
      <c r="H208">
        <v>2</v>
      </c>
      <c r="I208">
        <v>0</v>
      </c>
      <c r="J208">
        <v>4</v>
      </c>
      <c r="K208" s="10" t="s">
        <v>727</v>
      </c>
      <c r="L208" t="s">
        <v>726</v>
      </c>
    </row>
    <row r="209" spans="2:12">
      <c r="B209" t="s">
        <v>1463</v>
      </c>
      <c r="E209">
        <v>0</v>
      </c>
      <c r="F209">
        <v>0</v>
      </c>
      <c r="G209">
        <v>10</v>
      </c>
      <c r="H209">
        <v>0</v>
      </c>
      <c r="I209">
        <v>0</v>
      </c>
      <c r="J209">
        <v>9</v>
      </c>
      <c r="K209" s="10" t="s">
        <v>729</v>
      </c>
      <c r="L209" t="s">
        <v>728</v>
      </c>
    </row>
    <row r="210" spans="2:12">
      <c r="B210" t="s">
        <v>1464</v>
      </c>
      <c r="E210">
        <v>0</v>
      </c>
      <c r="F210">
        <v>0</v>
      </c>
      <c r="G210">
        <v>8</v>
      </c>
      <c r="H210">
        <v>3</v>
      </c>
      <c r="I210">
        <v>0</v>
      </c>
      <c r="J210">
        <v>4</v>
      </c>
      <c r="K210" s="10" t="s">
        <v>731</v>
      </c>
      <c r="L210" t="s">
        <v>730</v>
      </c>
    </row>
    <row r="211" spans="2:12" s="25" customFormat="1">
      <c r="B211" s="25" t="s">
        <v>1565</v>
      </c>
      <c r="E211" s="25">
        <f>AVERAGE(E207:E210)</f>
        <v>0.25</v>
      </c>
      <c r="F211" s="25">
        <f t="shared" ref="F211:J211" si="26">AVERAGE(F207:F210)</f>
        <v>0</v>
      </c>
      <c r="G211" s="25">
        <f t="shared" si="26"/>
        <v>5.75</v>
      </c>
      <c r="H211" s="25">
        <f t="shared" si="26"/>
        <v>1.25</v>
      </c>
      <c r="I211" s="25">
        <f t="shared" si="26"/>
        <v>0</v>
      </c>
      <c r="J211" s="25">
        <f t="shared" si="26"/>
        <v>5</v>
      </c>
      <c r="K211" s="26"/>
    </row>
    <row r="212" spans="2:12" s="25" customFormat="1">
      <c r="B212" s="25" t="s">
        <v>1566</v>
      </c>
      <c r="E212" s="25">
        <f>E211/E2</f>
        <v>1.6666666666666666E-2</v>
      </c>
      <c r="F212" s="25">
        <v>0</v>
      </c>
      <c r="G212" s="25">
        <f>G211/G2</f>
        <v>0.12234042553191489</v>
      </c>
      <c r="H212" s="25">
        <f>H211/H2</f>
        <v>3.5714285714285712E-2</v>
      </c>
      <c r="I212" s="25">
        <v>0</v>
      </c>
      <c r="J212" s="25">
        <f>J211/J2</f>
        <v>9.0909090909090912E-2</v>
      </c>
      <c r="K212" s="26"/>
    </row>
    <row r="213" spans="2:12">
      <c r="B213" t="s">
        <v>1301</v>
      </c>
      <c r="C213">
        <v>4</v>
      </c>
      <c r="D213" s="34" t="s">
        <v>584</v>
      </c>
      <c r="K213" s="10" t="s">
        <v>267</v>
      </c>
      <c r="L213" t="s">
        <v>732</v>
      </c>
    </row>
    <row r="214" spans="2:12">
      <c r="B214" t="s">
        <v>1302</v>
      </c>
      <c r="C214">
        <v>1</v>
      </c>
      <c r="D214">
        <v>2</v>
      </c>
      <c r="K214" s="10" t="s">
        <v>378</v>
      </c>
      <c r="L214" t="s">
        <v>733</v>
      </c>
    </row>
    <row r="215" spans="2:12">
      <c r="B215" t="s">
        <v>1303</v>
      </c>
      <c r="C215">
        <v>4</v>
      </c>
      <c r="D215">
        <v>2</v>
      </c>
      <c r="K215" s="10" t="s">
        <v>147</v>
      </c>
      <c r="L215" t="s">
        <v>735</v>
      </c>
    </row>
    <row r="216" spans="2:12">
      <c r="B216" t="s">
        <v>1304</v>
      </c>
      <c r="C216">
        <v>3</v>
      </c>
      <c r="D216" s="34" t="s">
        <v>584</v>
      </c>
      <c r="K216" s="10" t="s">
        <v>392</v>
      </c>
      <c r="L216" t="s">
        <v>736</v>
      </c>
    </row>
    <row r="217" spans="2:12">
      <c r="B217" t="s">
        <v>1305</v>
      </c>
      <c r="C217">
        <v>5</v>
      </c>
      <c r="D217">
        <v>5</v>
      </c>
      <c r="K217" s="10" t="s">
        <v>389</v>
      </c>
      <c r="L217" t="s">
        <v>737</v>
      </c>
    </row>
    <row r="218" spans="2:12" s="25" customFormat="1">
      <c r="B218" s="25" t="s">
        <v>1565</v>
      </c>
      <c r="C218" s="25">
        <f>AVERAGE(C213:C217)</f>
        <v>3.4</v>
      </c>
      <c r="D218" s="25">
        <v>3</v>
      </c>
      <c r="K218" s="26"/>
    </row>
    <row r="219" spans="2:12" s="25" customFormat="1">
      <c r="B219" s="25" t="s">
        <v>1566</v>
      </c>
      <c r="C219" s="25">
        <f>C218/C2</f>
        <v>6.8000000000000005E-2</v>
      </c>
      <c r="D219" s="25">
        <f>D218/D2</f>
        <v>0.06</v>
      </c>
      <c r="K219" s="26"/>
    </row>
    <row r="220" spans="2:12">
      <c r="B220" t="s">
        <v>1465</v>
      </c>
      <c r="E220">
        <v>0</v>
      </c>
      <c r="F220">
        <v>0</v>
      </c>
      <c r="G220">
        <v>0</v>
      </c>
      <c r="H220">
        <v>0</v>
      </c>
      <c r="I220">
        <v>0</v>
      </c>
      <c r="J220">
        <v>2</v>
      </c>
      <c r="K220" s="10" t="s">
        <v>739</v>
      </c>
      <c r="L220" t="s">
        <v>738</v>
      </c>
    </row>
    <row r="221" spans="2:12">
      <c r="B221" t="s">
        <v>1466</v>
      </c>
      <c r="E221">
        <v>0</v>
      </c>
      <c r="F221">
        <v>8</v>
      </c>
      <c r="G221">
        <v>0</v>
      </c>
      <c r="H221">
        <v>0</v>
      </c>
      <c r="I221">
        <v>0</v>
      </c>
      <c r="J221">
        <v>3</v>
      </c>
      <c r="K221" s="10" t="s">
        <v>742</v>
      </c>
      <c r="L221" t="s">
        <v>741</v>
      </c>
    </row>
    <row r="222" spans="2:12">
      <c r="B222" t="s">
        <v>1467</v>
      </c>
      <c r="E222">
        <v>2</v>
      </c>
      <c r="F222">
        <v>0</v>
      </c>
      <c r="G222">
        <v>3</v>
      </c>
      <c r="H222">
        <v>0</v>
      </c>
      <c r="I222">
        <v>0</v>
      </c>
      <c r="J222">
        <v>0</v>
      </c>
      <c r="K222" s="10" t="s">
        <v>744</v>
      </c>
      <c r="L222" t="s">
        <v>743</v>
      </c>
    </row>
    <row r="223" spans="2:12">
      <c r="B223" t="s">
        <v>1468</v>
      </c>
      <c r="E223">
        <v>3</v>
      </c>
      <c r="F223">
        <v>0</v>
      </c>
      <c r="G223">
        <v>4</v>
      </c>
      <c r="H223">
        <v>2</v>
      </c>
      <c r="I223">
        <v>5</v>
      </c>
      <c r="J223">
        <v>6</v>
      </c>
      <c r="K223" s="10" t="s">
        <v>746</v>
      </c>
      <c r="L223" t="s">
        <v>745</v>
      </c>
    </row>
    <row r="224" spans="2:12">
      <c r="B224" t="s">
        <v>1469</v>
      </c>
      <c r="E224">
        <v>0</v>
      </c>
      <c r="F224">
        <v>0</v>
      </c>
      <c r="G224">
        <v>9</v>
      </c>
      <c r="H224">
        <v>0</v>
      </c>
      <c r="I224">
        <v>0</v>
      </c>
      <c r="J224">
        <v>4</v>
      </c>
      <c r="K224" s="10" t="s">
        <v>748</v>
      </c>
      <c r="L224" t="s">
        <v>747</v>
      </c>
    </row>
    <row r="225" spans="2:12" s="25" customFormat="1">
      <c r="B225" s="25" t="s">
        <v>1565</v>
      </c>
      <c r="E225" s="25">
        <f>AVERAGE(E220:E224)</f>
        <v>1</v>
      </c>
      <c r="F225" s="25">
        <f t="shared" ref="F225:J225" si="27">AVERAGE(F220:F224)</f>
        <v>1.6</v>
      </c>
      <c r="G225" s="25">
        <f t="shared" si="27"/>
        <v>3.2</v>
      </c>
      <c r="H225" s="25">
        <f t="shared" si="27"/>
        <v>0.4</v>
      </c>
      <c r="I225" s="25">
        <f t="shared" si="27"/>
        <v>1</v>
      </c>
      <c r="J225" s="25">
        <f t="shared" si="27"/>
        <v>3</v>
      </c>
      <c r="K225" s="26"/>
    </row>
    <row r="226" spans="2:12" s="25" customFormat="1">
      <c r="B226" s="25" t="s">
        <v>1566</v>
      </c>
      <c r="E226" s="25">
        <f t="shared" ref="E226:J226" si="28">E225/E2</f>
        <v>6.6666666666666666E-2</v>
      </c>
      <c r="F226" s="25">
        <f t="shared" si="28"/>
        <v>4.7058823529411764E-2</v>
      </c>
      <c r="G226" s="25">
        <f t="shared" si="28"/>
        <v>6.8085106382978725E-2</v>
      </c>
      <c r="H226" s="25">
        <f t="shared" si="28"/>
        <v>1.1428571428571429E-2</v>
      </c>
      <c r="I226" s="25">
        <f t="shared" si="28"/>
        <v>3.2258064516129031E-2</v>
      </c>
      <c r="J226" s="25">
        <f t="shared" si="28"/>
        <v>5.4545454545454543E-2</v>
      </c>
      <c r="K226" s="26"/>
    </row>
    <row r="227" spans="2:12">
      <c r="B227" s="4" t="s">
        <v>9</v>
      </c>
      <c r="C227" s="3">
        <v>26</v>
      </c>
      <c r="D227" s="3">
        <v>26</v>
      </c>
      <c r="K227" s="3" t="s">
        <v>10</v>
      </c>
      <c r="L227" s="4" t="s">
        <v>11</v>
      </c>
    </row>
    <row r="228" spans="2:12">
      <c r="B228" s="4" t="s">
        <v>14</v>
      </c>
      <c r="C228" s="3">
        <v>17</v>
      </c>
      <c r="D228" s="3">
        <v>31</v>
      </c>
      <c r="K228" s="3" t="s">
        <v>15</v>
      </c>
      <c r="L228" s="4" t="s">
        <v>16</v>
      </c>
    </row>
    <row r="229" spans="2:12">
      <c r="B229" s="4" t="s">
        <v>19</v>
      </c>
      <c r="C229" s="3">
        <v>7</v>
      </c>
      <c r="D229" s="3">
        <v>3</v>
      </c>
      <c r="K229" s="3" t="s">
        <v>20</v>
      </c>
      <c r="L229" s="4" t="s">
        <v>21</v>
      </c>
    </row>
    <row r="230" spans="2:12">
      <c r="B230" s="4" t="s">
        <v>23</v>
      </c>
      <c r="C230" s="3">
        <v>11</v>
      </c>
      <c r="D230" s="3">
        <v>26</v>
      </c>
      <c r="K230" s="3" t="s">
        <v>24</v>
      </c>
      <c r="L230" s="4" t="s">
        <v>25</v>
      </c>
    </row>
    <row r="231" spans="2:12">
      <c r="B231" s="4" t="s">
        <v>26</v>
      </c>
      <c r="C231" s="3">
        <v>18</v>
      </c>
      <c r="D231" s="3">
        <v>22</v>
      </c>
      <c r="K231" s="3" t="s">
        <v>27</v>
      </c>
      <c r="L231" s="4" t="s">
        <v>28</v>
      </c>
    </row>
    <row r="232" spans="2:12" s="25" customFormat="1">
      <c r="B232" s="25" t="s">
        <v>1565</v>
      </c>
      <c r="C232" s="27">
        <f>AVERAGE(C227:C231)</f>
        <v>15.8</v>
      </c>
      <c r="D232" s="27">
        <f>AVERAGE(D227:D231)</f>
        <v>21.6</v>
      </c>
      <c r="K232" s="26"/>
    </row>
    <row r="233" spans="2:12" s="25" customFormat="1">
      <c r="B233" s="25" t="s">
        <v>1566</v>
      </c>
      <c r="C233" s="25">
        <f>C232/C2</f>
        <v>0.316</v>
      </c>
      <c r="D233" s="25">
        <f>D232/D2</f>
        <v>0.43200000000000005</v>
      </c>
      <c r="K233" s="26"/>
    </row>
    <row r="234" spans="2:12">
      <c r="B234" s="4" t="s">
        <v>29</v>
      </c>
      <c r="C234" s="3"/>
      <c r="D234" s="3"/>
      <c r="E234" s="3">
        <v>5</v>
      </c>
      <c r="F234" s="3">
        <v>0</v>
      </c>
      <c r="G234" s="3">
        <v>14</v>
      </c>
      <c r="H234" s="3">
        <v>9</v>
      </c>
      <c r="I234" s="3">
        <v>4</v>
      </c>
      <c r="J234" s="3">
        <v>10</v>
      </c>
      <c r="K234" s="3" t="s">
        <v>30</v>
      </c>
      <c r="L234" s="5" t="s">
        <v>31</v>
      </c>
    </row>
    <row r="235" spans="2:12">
      <c r="B235" s="4" t="s">
        <v>32</v>
      </c>
      <c r="C235" s="4"/>
      <c r="D235" s="4"/>
      <c r="E235" s="3">
        <v>3</v>
      </c>
      <c r="F235" s="3">
        <v>0</v>
      </c>
      <c r="G235" s="3">
        <v>15</v>
      </c>
      <c r="H235" s="3">
        <v>6</v>
      </c>
      <c r="I235" s="3">
        <v>6</v>
      </c>
      <c r="J235" s="3">
        <v>17</v>
      </c>
      <c r="K235" s="3" t="s">
        <v>33</v>
      </c>
      <c r="L235" s="5" t="s">
        <v>34</v>
      </c>
    </row>
    <row r="236" spans="2:12">
      <c r="B236" s="4" t="s">
        <v>35</v>
      </c>
      <c r="C236" s="7"/>
      <c r="D236" s="7"/>
      <c r="E236" s="3">
        <v>3</v>
      </c>
      <c r="F236" s="41" t="s">
        <v>584</v>
      </c>
      <c r="G236" s="3">
        <v>13</v>
      </c>
      <c r="H236" s="3">
        <v>19</v>
      </c>
      <c r="I236" s="3">
        <v>11</v>
      </c>
      <c r="J236" s="3">
        <v>20</v>
      </c>
      <c r="K236" s="3" t="s">
        <v>36</v>
      </c>
      <c r="L236" s="5" t="s">
        <v>37</v>
      </c>
    </row>
    <row r="237" spans="2:12">
      <c r="B237" s="4" t="s">
        <v>38</v>
      </c>
      <c r="C237" s="6"/>
      <c r="D237" s="4"/>
      <c r="E237" s="3">
        <v>0</v>
      </c>
      <c r="F237" s="3">
        <v>1</v>
      </c>
      <c r="G237" s="3">
        <v>17</v>
      </c>
      <c r="H237" s="3">
        <v>8</v>
      </c>
      <c r="I237" s="3">
        <v>14</v>
      </c>
      <c r="J237" s="3">
        <v>9</v>
      </c>
      <c r="K237" s="3" t="s">
        <v>39</v>
      </c>
      <c r="L237" s="5" t="s">
        <v>40</v>
      </c>
    </row>
    <row r="238" spans="2:12">
      <c r="B238" s="4" t="s">
        <v>42</v>
      </c>
      <c r="C238" s="6"/>
      <c r="D238" s="6"/>
      <c r="E238" s="6">
        <v>5</v>
      </c>
      <c r="F238" s="6">
        <v>2</v>
      </c>
      <c r="G238" s="6">
        <v>21</v>
      </c>
      <c r="H238" s="6">
        <v>9</v>
      </c>
      <c r="I238" s="6">
        <v>5</v>
      </c>
      <c r="J238" s="6">
        <v>11</v>
      </c>
      <c r="K238" s="3" t="s">
        <v>43</v>
      </c>
      <c r="L238" s="5" t="s">
        <v>44</v>
      </c>
    </row>
    <row r="239" spans="2:12" s="25" customFormat="1">
      <c r="B239" s="25" t="s">
        <v>1565</v>
      </c>
      <c r="E239" s="33">
        <f>AVERAGE(E234:E238)</f>
        <v>3.2</v>
      </c>
      <c r="F239" s="33">
        <f t="shared" ref="F239:J239" si="29">AVERAGE(F234:F238)</f>
        <v>0.75</v>
      </c>
      <c r="G239" s="33">
        <f t="shared" si="29"/>
        <v>16</v>
      </c>
      <c r="H239" s="33">
        <f t="shared" si="29"/>
        <v>10.199999999999999</v>
      </c>
      <c r="I239" s="33">
        <f t="shared" si="29"/>
        <v>8</v>
      </c>
      <c r="J239" s="33">
        <f t="shared" si="29"/>
        <v>13.4</v>
      </c>
      <c r="K239" s="26"/>
    </row>
    <row r="240" spans="2:12" s="25" customFormat="1">
      <c r="B240" s="25" t="s">
        <v>1566</v>
      </c>
      <c r="E240" s="25">
        <f t="shared" ref="E240:J240" si="30">E239/E2</f>
        <v>0.21333333333333335</v>
      </c>
      <c r="F240" s="25">
        <f t="shared" si="30"/>
        <v>2.2058823529411766E-2</v>
      </c>
      <c r="G240" s="25">
        <f t="shared" si="30"/>
        <v>0.34042553191489361</v>
      </c>
      <c r="H240" s="25">
        <f t="shared" si="30"/>
        <v>0.29142857142857143</v>
      </c>
      <c r="I240" s="25">
        <f t="shared" si="30"/>
        <v>0.25806451612903225</v>
      </c>
      <c r="J240" s="25">
        <f t="shared" si="30"/>
        <v>0.24363636363636365</v>
      </c>
      <c r="K240" s="26"/>
    </row>
    <row r="241" spans="2:12">
      <c r="B241" s="4" t="s">
        <v>45</v>
      </c>
      <c r="C241" s="3">
        <v>22</v>
      </c>
      <c r="D241" s="3">
        <v>34</v>
      </c>
      <c r="K241" s="3" t="s">
        <v>46</v>
      </c>
      <c r="L241" s="4" t="s">
        <v>47</v>
      </c>
    </row>
    <row r="242" spans="2:12">
      <c r="B242" s="4" t="s">
        <v>49</v>
      </c>
      <c r="C242" s="36" t="s">
        <v>584</v>
      </c>
      <c r="D242" s="35" t="s">
        <v>584</v>
      </c>
      <c r="K242" s="3" t="s">
        <v>50</v>
      </c>
      <c r="L242" s="4" t="s">
        <v>51</v>
      </c>
    </row>
    <row r="243" spans="2:12">
      <c r="B243" s="4" t="s">
        <v>52</v>
      </c>
      <c r="C243" s="36" t="s">
        <v>584</v>
      </c>
      <c r="D243" s="35" t="s">
        <v>584</v>
      </c>
      <c r="K243" s="3" t="s">
        <v>53</v>
      </c>
      <c r="L243" s="4" t="s">
        <v>54</v>
      </c>
    </row>
    <row r="244" spans="2:12">
      <c r="B244" s="4" t="s">
        <v>56</v>
      </c>
      <c r="C244" s="6">
        <v>20</v>
      </c>
      <c r="D244" s="4">
        <v>37</v>
      </c>
      <c r="K244" s="3" t="s">
        <v>57</v>
      </c>
      <c r="L244" s="4" t="s">
        <v>58</v>
      </c>
    </row>
    <row r="245" spans="2:12">
      <c r="B245" s="4" t="s">
        <v>61</v>
      </c>
      <c r="C245" s="6">
        <v>27</v>
      </c>
      <c r="D245" s="6">
        <v>32</v>
      </c>
      <c r="K245" s="3" t="s">
        <v>62</v>
      </c>
      <c r="L245" s="4" t="s">
        <v>63</v>
      </c>
    </row>
    <row r="246" spans="2:12" s="25" customFormat="1">
      <c r="B246" s="25" t="s">
        <v>1565</v>
      </c>
      <c r="C246" s="33">
        <f>AVERAGE(C241,C244,C245)</f>
        <v>23</v>
      </c>
      <c r="D246" s="25">
        <f>AVERAGE(D241:D245)</f>
        <v>34.333333333333336</v>
      </c>
      <c r="K246" s="26"/>
    </row>
    <row r="247" spans="2:12" s="25" customFormat="1">
      <c r="B247" s="25" t="s">
        <v>1566</v>
      </c>
      <c r="C247" s="25">
        <f>C246/C2</f>
        <v>0.46</v>
      </c>
      <c r="D247" s="25">
        <f>D246/D2</f>
        <v>0.68666666666666676</v>
      </c>
      <c r="K247" s="26"/>
    </row>
    <row r="248" spans="2:12">
      <c r="B248" s="4" t="s">
        <v>65</v>
      </c>
      <c r="E248" s="3">
        <v>4</v>
      </c>
      <c r="F248" s="3">
        <v>5</v>
      </c>
      <c r="G248" s="3">
        <v>27</v>
      </c>
      <c r="H248" s="3">
        <v>8</v>
      </c>
      <c r="I248" s="3">
        <v>12</v>
      </c>
      <c r="J248" s="3">
        <v>25</v>
      </c>
      <c r="K248" s="3" t="s">
        <v>66</v>
      </c>
      <c r="L248" s="5" t="s">
        <v>67</v>
      </c>
    </row>
    <row r="249" spans="2:12">
      <c r="B249" s="4" t="s">
        <v>68</v>
      </c>
      <c r="E249" s="3">
        <v>9</v>
      </c>
      <c r="F249" s="3">
        <v>1</v>
      </c>
      <c r="G249" s="3">
        <v>36</v>
      </c>
      <c r="H249" s="3">
        <v>15</v>
      </c>
      <c r="I249" s="3">
        <v>5</v>
      </c>
      <c r="J249" s="3">
        <v>42</v>
      </c>
      <c r="K249" s="3" t="s">
        <v>69</v>
      </c>
      <c r="L249" s="5" t="s">
        <v>70</v>
      </c>
    </row>
    <row r="250" spans="2:12">
      <c r="B250" s="4" t="s">
        <v>72</v>
      </c>
      <c r="E250" s="6" t="s">
        <v>584</v>
      </c>
      <c r="F250" s="6" t="s">
        <v>584</v>
      </c>
      <c r="G250" s="6" t="s">
        <v>584</v>
      </c>
      <c r="H250" s="6" t="s">
        <v>584</v>
      </c>
      <c r="I250" s="6" t="s">
        <v>584</v>
      </c>
      <c r="J250" s="6" t="s">
        <v>584</v>
      </c>
      <c r="K250" s="3" t="s">
        <v>73</v>
      </c>
      <c r="L250" s="5" t="s">
        <v>74</v>
      </c>
    </row>
    <row r="251" spans="2:12">
      <c r="B251" s="4" t="s">
        <v>75</v>
      </c>
      <c r="E251" s="3">
        <v>4</v>
      </c>
      <c r="F251" s="3">
        <v>2</v>
      </c>
      <c r="G251" s="6" t="s">
        <v>584</v>
      </c>
      <c r="H251" s="3">
        <v>4</v>
      </c>
      <c r="I251" s="3">
        <v>9</v>
      </c>
      <c r="J251" s="6" t="s">
        <v>584</v>
      </c>
      <c r="K251" s="3" t="s">
        <v>76</v>
      </c>
      <c r="L251" s="5" t="s">
        <v>77</v>
      </c>
    </row>
    <row r="252" spans="2:12">
      <c r="B252" s="4" t="s">
        <v>78</v>
      </c>
      <c r="E252" s="3">
        <v>3</v>
      </c>
      <c r="F252" s="3">
        <v>3</v>
      </c>
      <c r="G252" s="3">
        <v>19</v>
      </c>
      <c r="H252" s="3">
        <v>11</v>
      </c>
      <c r="I252" s="3">
        <v>11</v>
      </c>
      <c r="J252" s="3">
        <v>29</v>
      </c>
      <c r="K252" s="3" t="s">
        <v>79</v>
      </c>
      <c r="L252" s="5" t="s">
        <v>80</v>
      </c>
    </row>
    <row r="253" spans="2:12" s="25" customFormat="1">
      <c r="B253" s="25" t="s">
        <v>1565</v>
      </c>
      <c r="E253" s="27">
        <f>AVERAGE(E248:E252)</f>
        <v>5</v>
      </c>
      <c r="F253" s="27">
        <f t="shared" ref="F253:J253" si="31">AVERAGE(F248:F252)</f>
        <v>2.75</v>
      </c>
      <c r="G253" s="27">
        <f t="shared" si="31"/>
        <v>27.333333333333332</v>
      </c>
      <c r="H253" s="27">
        <f t="shared" si="31"/>
        <v>9.5</v>
      </c>
      <c r="I253" s="27">
        <f t="shared" si="31"/>
        <v>9.25</v>
      </c>
      <c r="J253" s="27">
        <f t="shared" si="31"/>
        <v>32</v>
      </c>
      <c r="K253" s="26"/>
    </row>
    <row r="254" spans="2:12" s="25" customFormat="1">
      <c r="B254" s="25" t="s">
        <v>1566</v>
      </c>
      <c r="E254" s="25">
        <f t="shared" ref="E254:J254" si="32">E253/E2</f>
        <v>0.33333333333333331</v>
      </c>
      <c r="F254" s="25">
        <f t="shared" si="32"/>
        <v>8.0882352941176475E-2</v>
      </c>
      <c r="G254" s="25">
        <f t="shared" si="32"/>
        <v>0.58156028368794321</v>
      </c>
      <c r="H254" s="25">
        <f t="shared" si="32"/>
        <v>0.27142857142857141</v>
      </c>
      <c r="I254" s="25">
        <f t="shared" si="32"/>
        <v>0.29838709677419356</v>
      </c>
      <c r="J254" s="25">
        <f t="shared" si="32"/>
        <v>0.58181818181818179</v>
      </c>
      <c r="K254" s="26"/>
    </row>
    <row r="255" spans="2:12">
      <c r="B255" t="s">
        <v>1336</v>
      </c>
      <c r="C255" s="12">
        <v>19</v>
      </c>
      <c r="D255" s="12">
        <v>37</v>
      </c>
      <c r="K255" s="12" t="s">
        <v>919</v>
      </c>
      <c r="L255" s="11" t="s">
        <v>918</v>
      </c>
    </row>
    <row r="256" spans="2:12">
      <c r="B256" t="s">
        <v>1337</v>
      </c>
      <c r="C256" s="12">
        <v>11</v>
      </c>
      <c r="D256" s="12">
        <v>9</v>
      </c>
      <c r="K256" s="12" t="s">
        <v>923</v>
      </c>
      <c r="L256" s="11" t="s">
        <v>922</v>
      </c>
    </row>
    <row r="257" spans="2:12">
      <c r="B257" t="s">
        <v>1338</v>
      </c>
      <c r="C257" s="12">
        <v>24</v>
      </c>
      <c r="D257" s="12">
        <v>23</v>
      </c>
      <c r="K257" s="12" t="s">
        <v>926</v>
      </c>
      <c r="L257" s="11" t="s">
        <v>925</v>
      </c>
    </row>
    <row r="258" spans="2:12">
      <c r="B258" t="s">
        <v>1339</v>
      </c>
      <c r="C258" s="12">
        <v>22</v>
      </c>
      <c r="D258" s="12">
        <v>25</v>
      </c>
      <c r="K258" s="12" t="s">
        <v>929</v>
      </c>
      <c r="L258" s="11" t="s">
        <v>928</v>
      </c>
    </row>
    <row r="259" spans="2:12">
      <c r="B259" t="s">
        <v>1340</v>
      </c>
      <c r="C259" s="12">
        <v>18</v>
      </c>
      <c r="D259" s="12">
        <v>32</v>
      </c>
      <c r="K259" s="12" t="s">
        <v>932</v>
      </c>
      <c r="L259" s="11" t="s">
        <v>931</v>
      </c>
    </row>
    <row r="260" spans="2:12" s="25" customFormat="1">
      <c r="B260" s="25" t="s">
        <v>1565</v>
      </c>
      <c r="C260" s="27">
        <f>AVERAGE(C255:C259)</f>
        <v>18.8</v>
      </c>
      <c r="D260" s="27">
        <f>AVERAGE(D255:D259)</f>
        <v>25.2</v>
      </c>
      <c r="K260" s="26"/>
    </row>
    <row r="261" spans="2:12" s="25" customFormat="1">
      <c r="B261" s="25" t="s">
        <v>1566</v>
      </c>
      <c r="C261" s="25">
        <f>C260/C2</f>
        <v>0.376</v>
      </c>
      <c r="D261" s="25">
        <f>D260/D2</f>
        <v>0.504</v>
      </c>
      <c r="K261" s="26"/>
    </row>
    <row r="262" spans="2:12">
      <c r="B262" t="s">
        <v>1470</v>
      </c>
      <c r="E262" s="12">
        <v>6</v>
      </c>
      <c r="F262" s="12">
        <v>7</v>
      </c>
      <c r="G262" s="12">
        <v>16</v>
      </c>
      <c r="H262" s="12">
        <v>9</v>
      </c>
      <c r="I262" s="12">
        <v>9</v>
      </c>
      <c r="J262" s="12">
        <v>17</v>
      </c>
      <c r="K262" s="12" t="s">
        <v>935</v>
      </c>
      <c r="L262" s="11" t="s">
        <v>934</v>
      </c>
    </row>
    <row r="263" spans="2:12">
      <c r="B263" t="s">
        <v>1471</v>
      </c>
      <c r="E263" s="12">
        <v>1</v>
      </c>
      <c r="F263" s="12">
        <v>4</v>
      </c>
      <c r="G263" s="12">
        <v>9</v>
      </c>
      <c r="H263" s="12">
        <v>6</v>
      </c>
      <c r="I263" s="12">
        <v>4</v>
      </c>
      <c r="J263" s="12">
        <v>17</v>
      </c>
      <c r="K263" s="12" t="s">
        <v>937</v>
      </c>
      <c r="L263" s="11" t="s">
        <v>936</v>
      </c>
    </row>
    <row r="264" spans="2:12">
      <c r="B264" t="s">
        <v>1472</v>
      </c>
      <c r="E264" s="12">
        <v>7</v>
      </c>
      <c r="F264" s="12">
        <v>6</v>
      </c>
      <c r="G264" s="12">
        <v>12</v>
      </c>
      <c r="H264" s="12">
        <v>12</v>
      </c>
      <c r="I264" s="12">
        <v>6</v>
      </c>
      <c r="J264" s="12">
        <v>23</v>
      </c>
      <c r="K264" s="12" t="s">
        <v>939</v>
      </c>
      <c r="L264" s="11" t="s">
        <v>938</v>
      </c>
    </row>
    <row r="265" spans="2:12">
      <c r="B265" t="s">
        <v>1473</v>
      </c>
      <c r="E265" s="12">
        <v>9</v>
      </c>
      <c r="F265" s="12">
        <v>2</v>
      </c>
      <c r="G265" s="12">
        <v>14</v>
      </c>
      <c r="H265" s="12">
        <v>7</v>
      </c>
      <c r="I265" s="12">
        <v>2</v>
      </c>
      <c r="J265" s="12">
        <v>15</v>
      </c>
      <c r="K265" s="12" t="s">
        <v>941</v>
      </c>
      <c r="L265" s="11" t="s">
        <v>940</v>
      </c>
    </row>
    <row r="266" spans="2:12">
      <c r="B266" t="s">
        <v>1474</v>
      </c>
      <c r="E266" s="12">
        <v>5</v>
      </c>
      <c r="F266" s="12">
        <v>1</v>
      </c>
      <c r="G266" s="12">
        <v>10</v>
      </c>
      <c r="H266" s="12">
        <v>6</v>
      </c>
      <c r="I266" s="12">
        <v>4</v>
      </c>
      <c r="J266" s="12">
        <v>13</v>
      </c>
      <c r="K266" s="12" t="s">
        <v>943</v>
      </c>
      <c r="L266" s="11" t="s">
        <v>942</v>
      </c>
    </row>
    <row r="267" spans="2:12" s="25" customFormat="1">
      <c r="B267" s="25" t="s">
        <v>1565</v>
      </c>
      <c r="E267" s="27">
        <f>AVERAGE(E262:E266)</f>
        <v>5.6</v>
      </c>
      <c r="F267" s="27">
        <f>AVERAGE(F262:F266)</f>
        <v>4</v>
      </c>
      <c r="G267" s="27">
        <f>AVERAGE(G262:G266)</f>
        <v>12.2</v>
      </c>
      <c r="H267" s="27">
        <f>AVERAGE(H262:H266)</f>
        <v>8</v>
      </c>
      <c r="I267" s="27">
        <f t="shared" ref="I267:J267" si="33">AVERAGE(I262:I266)</f>
        <v>5</v>
      </c>
      <c r="J267" s="27">
        <f t="shared" si="33"/>
        <v>17</v>
      </c>
      <c r="K267" s="26"/>
    </row>
    <row r="268" spans="2:12" s="25" customFormat="1">
      <c r="B268" s="25" t="s">
        <v>1566</v>
      </c>
      <c r="E268" s="25">
        <f t="shared" ref="E268:J268" si="34">E267/E2</f>
        <v>0.37333333333333329</v>
      </c>
      <c r="F268" s="25">
        <f t="shared" si="34"/>
        <v>0.11764705882352941</v>
      </c>
      <c r="G268" s="25">
        <f t="shared" si="34"/>
        <v>0.25957446808510637</v>
      </c>
      <c r="H268" s="25">
        <f t="shared" si="34"/>
        <v>0.22857142857142856</v>
      </c>
      <c r="I268" s="25">
        <f t="shared" si="34"/>
        <v>0.16129032258064516</v>
      </c>
      <c r="J268" s="25">
        <f t="shared" si="34"/>
        <v>0.30909090909090908</v>
      </c>
      <c r="K268" s="26"/>
    </row>
    <row r="269" spans="2:12">
      <c r="B269" t="s">
        <v>1341</v>
      </c>
      <c r="C269" s="12">
        <v>29</v>
      </c>
      <c r="D269" s="12">
        <v>33</v>
      </c>
      <c r="K269" s="12" t="s">
        <v>945</v>
      </c>
      <c r="L269" s="11" t="s">
        <v>944</v>
      </c>
    </row>
    <row r="270" spans="2:12">
      <c r="B270" t="s">
        <v>1342</v>
      </c>
      <c r="C270" s="12">
        <v>35</v>
      </c>
      <c r="D270" s="12">
        <v>45</v>
      </c>
      <c r="K270" s="12" t="s">
        <v>949</v>
      </c>
      <c r="L270" s="11" t="s">
        <v>948</v>
      </c>
    </row>
    <row r="271" spans="2:12">
      <c r="B271" t="s">
        <v>1343</v>
      </c>
      <c r="C271" s="12">
        <v>27</v>
      </c>
      <c r="D271" s="12">
        <v>34</v>
      </c>
      <c r="K271" s="12" t="s">
        <v>952</v>
      </c>
      <c r="L271" s="11" t="s">
        <v>951</v>
      </c>
    </row>
    <row r="272" spans="2:12">
      <c r="B272" t="s">
        <v>1344</v>
      </c>
      <c r="C272" s="12">
        <v>41</v>
      </c>
      <c r="D272" s="12">
        <v>50</v>
      </c>
      <c r="K272" s="12" t="s">
        <v>955</v>
      </c>
      <c r="L272" s="11" t="s">
        <v>954</v>
      </c>
    </row>
    <row r="273" spans="2:12">
      <c r="B273" t="s">
        <v>1345</v>
      </c>
      <c r="C273" s="12">
        <v>0</v>
      </c>
      <c r="D273" s="12">
        <v>45</v>
      </c>
      <c r="K273" s="12" t="s">
        <v>958</v>
      </c>
      <c r="L273" s="11" t="s">
        <v>957</v>
      </c>
    </row>
    <row r="274" spans="2:12" s="25" customFormat="1">
      <c r="B274" s="25" t="s">
        <v>1565</v>
      </c>
      <c r="C274" s="27">
        <f>AVERAGE(C269:C273)</f>
        <v>26.4</v>
      </c>
      <c r="D274" s="27">
        <f>AVERAGE(D269:D273)</f>
        <v>41.4</v>
      </c>
      <c r="K274" s="26"/>
    </row>
    <row r="275" spans="2:12" s="25" customFormat="1">
      <c r="B275" s="25" t="s">
        <v>1566</v>
      </c>
      <c r="C275" s="25">
        <f>C274/C2</f>
        <v>0.52800000000000002</v>
      </c>
      <c r="D275" s="25">
        <f>D274/D2</f>
        <v>0.82799999999999996</v>
      </c>
      <c r="K275" s="26"/>
    </row>
    <row r="276" spans="2:12">
      <c r="B276" t="s">
        <v>1475</v>
      </c>
      <c r="E276" s="12">
        <v>13</v>
      </c>
      <c r="F276" s="12">
        <v>10</v>
      </c>
      <c r="G276" s="12">
        <v>28</v>
      </c>
      <c r="H276" s="12">
        <v>29</v>
      </c>
      <c r="I276" s="12">
        <v>7</v>
      </c>
      <c r="J276" s="12">
        <v>37</v>
      </c>
      <c r="K276" s="12" t="s">
        <v>961</v>
      </c>
      <c r="L276" s="11" t="s">
        <v>960</v>
      </c>
    </row>
    <row r="277" spans="2:12">
      <c r="B277" t="s">
        <v>1476</v>
      </c>
      <c r="E277" s="12">
        <v>3</v>
      </c>
      <c r="F277" s="12">
        <v>5</v>
      </c>
      <c r="G277" s="12">
        <v>24</v>
      </c>
      <c r="H277" s="12">
        <v>24</v>
      </c>
      <c r="I277" s="12">
        <v>16</v>
      </c>
      <c r="J277" s="12">
        <v>35</v>
      </c>
      <c r="K277" s="12" t="s">
        <v>964</v>
      </c>
      <c r="L277" s="11" t="s">
        <v>963</v>
      </c>
    </row>
    <row r="278" spans="2:12">
      <c r="B278" t="s">
        <v>1477</v>
      </c>
      <c r="E278">
        <v>7</v>
      </c>
      <c r="F278" s="12">
        <v>17</v>
      </c>
      <c r="G278" s="12">
        <v>26</v>
      </c>
      <c r="H278" s="12">
        <v>26</v>
      </c>
      <c r="I278" s="12">
        <v>14</v>
      </c>
      <c r="J278" s="12">
        <v>30</v>
      </c>
      <c r="K278" s="12" t="s">
        <v>966</v>
      </c>
      <c r="L278" s="11" t="s">
        <v>965</v>
      </c>
    </row>
    <row r="279" spans="2:12">
      <c r="B279" t="s">
        <v>1478</v>
      </c>
      <c r="E279" s="12">
        <v>4</v>
      </c>
      <c r="F279" s="12">
        <v>12</v>
      </c>
      <c r="G279" s="12">
        <v>20</v>
      </c>
      <c r="H279" s="12">
        <v>24</v>
      </c>
      <c r="I279" s="12">
        <v>2</v>
      </c>
      <c r="J279" s="12">
        <v>27</v>
      </c>
      <c r="K279" s="12" t="s">
        <v>968</v>
      </c>
      <c r="L279" s="11" t="s">
        <v>967</v>
      </c>
    </row>
    <row r="280" spans="2:12">
      <c r="B280" t="s">
        <v>1479</v>
      </c>
      <c r="E280" s="12">
        <v>6</v>
      </c>
      <c r="F280" s="12">
        <v>12</v>
      </c>
      <c r="G280" s="12">
        <v>25</v>
      </c>
      <c r="H280" s="12">
        <v>19</v>
      </c>
      <c r="I280" s="12">
        <v>21</v>
      </c>
      <c r="J280" s="12">
        <v>34</v>
      </c>
      <c r="K280" s="12" t="s">
        <v>970</v>
      </c>
      <c r="L280" s="11" t="s">
        <v>969</v>
      </c>
    </row>
    <row r="281" spans="2:12" s="25" customFormat="1">
      <c r="B281" s="25" t="s">
        <v>1565</v>
      </c>
      <c r="E281" s="27">
        <f>AVERAGE(E276:E280)</f>
        <v>6.6</v>
      </c>
      <c r="F281" s="27">
        <f t="shared" ref="F281:J281" si="35">AVERAGE(F276:F280)</f>
        <v>11.2</v>
      </c>
      <c r="G281" s="27">
        <f t="shared" si="35"/>
        <v>24.6</v>
      </c>
      <c r="H281" s="27">
        <f t="shared" si="35"/>
        <v>24.4</v>
      </c>
      <c r="I281" s="27">
        <f t="shared" si="35"/>
        <v>12</v>
      </c>
      <c r="J281" s="27">
        <f t="shared" si="35"/>
        <v>32.6</v>
      </c>
      <c r="K281" s="26"/>
    </row>
    <row r="282" spans="2:12" s="25" customFormat="1">
      <c r="B282" s="25" t="s">
        <v>1566</v>
      </c>
      <c r="E282" s="25">
        <f t="shared" ref="E282:J282" si="36">E281/E2</f>
        <v>0.44</v>
      </c>
      <c r="F282" s="25">
        <f t="shared" si="36"/>
        <v>0.32941176470588235</v>
      </c>
      <c r="G282" s="25">
        <f t="shared" si="36"/>
        <v>0.52340425531914891</v>
      </c>
      <c r="H282" s="25">
        <f t="shared" si="36"/>
        <v>0.69714285714285706</v>
      </c>
      <c r="I282" s="25">
        <f t="shared" si="36"/>
        <v>0.38709677419354838</v>
      </c>
      <c r="J282" s="25">
        <f t="shared" si="36"/>
        <v>0.59272727272727277</v>
      </c>
      <c r="K282" s="26"/>
    </row>
    <row r="283" spans="2:12">
      <c r="B283" s="4" t="s">
        <v>411</v>
      </c>
      <c r="C283" s="3">
        <v>23</v>
      </c>
      <c r="D283" s="3">
        <v>21</v>
      </c>
      <c r="K283" s="3" t="s">
        <v>412</v>
      </c>
      <c r="L283" s="4" t="s">
        <v>413</v>
      </c>
    </row>
    <row r="284" spans="2:12">
      <c r="B284" s="4" t="s">
        <v>415</v>
      </c>
      <c r="C284" s="3">
        <v>15</v>
      </c>
      <c r="D284" s="3">
        <v>20</v>
      </c>
      <c r="K284" s="3" t="s">
        <v>416</v>
      </c>
      <c r="L284" s="4" t="s">
        <v>417</v>
      </c>
    </row>
    <row r="285" spans="2:12">
      <c r="B285" s="4" t="s">
        <v>418</v>
      </c>
      <c r="C285" s="36" t="s">
        <v>584</v>
      </c>
      <c r="D285" s="35" t="s">
        <v>584</v>
      </c>
      <c r="K285" s="3" t="s">
        <v>419</v>
      </c>
      <c r="L285" s="4" t="s">
        <v>420</v>
      </c>
    </row>
    <row r="286" spans="2:12">
      <c r="B286" s="4" t="s">
        <v>421</v>
      </c>
      <c r="C286" s="3">
        <v>22</v>
      </c>
      <c r="D286" s="3">
        <v>19</v>
      </c>
      <c r="K286" s="3" t="s">
        <v>422</v>
      </c>
      <c r="L286" s="4" t="s">
        <v>423</v>
      </c>
    </row>
    <row r="287" spans="2:12">
      <c r="B287" s="4" t="s">
        <v>424</v>
      </c>
      <c r="C287" s="6">
        <v>22</v>
      </c>
      <c r="D287" s="6">
        <v>22</v>
      </c>
      <c r="K287" s="3" t="s">
        <v>425</v>
      </c>
      <c r="L287" s="4" t="s">
        <v>426</v>
      </c>
    </row>
    <row r="288" spans="2:12" s="25" customFormat="1">
      <c r="B288" s="25" t="s">
        <v>1565</v>
      </c>
      <c r="C288" s="33">
        <v>20.5</v>
      </c>
      <c r="D288" s="33">
        <v>20.5</v>
      </c>
      <c r="K288" s="26"/>
    </row>
    <row r="289" spans="2:12" s="25" customFormat="1">
      <c r="B289" s="25" t="s">
        <v>1566</v>
      </c>
      <c r="C289" s="25">
        <f>C288/50</f>
        <v>0.41</v>
      </c>
      <c r="D289" s="25">
        <f>D288/50</f>
        <v>0.41</v>
      </c>
      <c r="K289" s="26"/>
    </row>
    <row r="290" spans="2:12">
      <c r="B290" s="4" t="s">
        <v>427</v>
      </c>
      <c r="E290" s="3">
        <v>6</v>
      </c>
      <c r="F290" s="3">
        <v>3</v>
      </c>
      <c r="G290" s="3">
        <v>12</v>
      </c>
      <c r="H290" s="3">
        <v>9</v>
      </c>
      <c r="I290" s="3">
        <v>6</v>
      </c>
      <c r="J290" s="3">
        <v>15</v>
      </c>
      <c r="K290" s="3" t="s">
        <v>428</v>
      </c>
      <c r="L290" s="5" t="s">
        <v>429</v>
      </c>
    </row>
    <row r="291" spans="2:12">
      <c r="B291" s="4" t="s">
        <v>430</v>
      </c>
      <c r="E291" s="3">
        <v>6</v>
      </c>
      <c r="F291" s="3">
        <v>0</v>
      </c>
      <c r="G291" s="3">
        <v>13</v>
      </c>
      <c r="H291" s="3">
        <v>5</v>
      </c>
      <c r="I291" s="3">
        <v>8</v>
      </c>
      <c r="J291" s="3">
        <v>16</v>
      </c>
      <c r="K291" s="3" t="s">
        <v>431</v>
      </c>
      <c r="L291" s="5" t="s">
        <v>432</v>
      </c>
    </row>
    <row r="292" spans="2:12">
      <c r="B292" s="4" t="s">
        <v>433</v>
      </c>
      <c r="E292" s="3">
        <v>7</v>
      </c>
      <c r="F292" s="3">
        <v>0</v>
      </c>
      <c r="G292" s="3">
        <v>17</v>
      </c>
      <c r="H292" s="3">
        <v>9</v>
      </c>
      <c r="I292" s="3">
        <v>14</v>
      </c>
      <c r="J292" s="3">
        <v>15</v>
      </c>
      <c r="K292" s="3" t="s">
        <v>434</v>
      </c>
      <c r="L292" s="5" t="s">
        <v>435</v>
      </c>
    </row>
    <row r="293" spans="2:12">
      <c r="B293" s="4" t="s">
        <v>436</v>
      </c>
      <c r="E293" s="3">
        <v>3</v>
      </c>
      <c r="F293" s="3">
        <v>6</v>
      </c>
      <c r="G293" s="3">
        <v>10</v>
      </c>
      <c r="H293" s="3">
        <v>3</v>
      </c>
      <c r="I293" s="3">
        <v>7</v>
      </c>
      <c r="J293" s="3">
        <v>14</v>
      </c>
      <c r="K293" s="3" t="s">
        <v>437</v>
      </c>
      <c r="L293" s="5" t="s">
        <v>438</v>
      </c>
    </row>
    <row r="294" spans="2:12">
      <c r="B294" s="4" t="s">
        <v>439</v>
      </c>
      <c r="E294" s="3">
        <v>15</v>
      </c>
      <c r="F294" s="3">
        <v>6</v>
      </c>
      <c r="G294" s="3">
        <v>7</v>
      </c>
      <c r="H294" s="3">
        <v>4</v>
      </c>
      <c r="I294" s="3">
        <v>6</v>
      </c>
      <c r="J294" s="3">
        <v>11</v>
      </c>
      <c r="K294" s="3" t="s">
        <v>440</v>
      </c>
      <c r="L294" s="5" t="s">
        <v>441</v>
      </c>
    </row>
    <row r="295" spans="2:12" s="25" customFormat="1">
      <c r="B295" s="25" t="s">
        <v>1565</v>
      </c>
      <c r="E295" s="27">
        <f>AVERAGE(E290:E294)</f>
        <v>7.4</v>
      </c>
      <c r="F295" s="27">
        <f t="shared" ref="F295:J295" si="37">AVERAGE(F290:F294)</f>
        <v>3</v>
      </c>
      <c r="G295" s="27">
        <f t="shared" si="37"/>
        <v>11.8</v>
      </c>
      <c r="H295" s="27">
        <f t="shared" si="37"/>
        <v>6</v>
      </c>
      <c r="I295" s="27">
        <f t="shared" si="37"/>
        <v>8.1999999999999993</v>
      </c>
      <c r="J295" s="27">
        <f t="shared" si="37"/>
        <v>14.2</v>
      </c>
      <c r="K295" s="26"/>
    </row>
    <row r="296" spans="2:12" s="25" customFormat="1">
      <c r="B296" s="25" t="s">
        <v>1566</v>
      </c>
      <c r="E296" s="25">
        <f t="shared" ref="E296:J296" si="38">E295/E2</f>
        <v>0.49333333333333335</v>
      </c>
      <c r="F296" s="25">
        <f t="shared" si="38"/>
        <v>8.8235294117647065E-2</v>
      </c>
      <c r="G296" s="25">
        <f t="shared" si="38"/>
        <v>0.25106382978723407</v>
      </c>
      <c r="H296" s="25">
        <f t="shared" si="38"/>
        <v>0.17142857142857143</v>
      </c>
      <c r="I296" s="25">
        <f t="shared" si="38"/>
        <v>0.26451612903225802</v>
      </c>
      <c r="J296" s="25">
        <f t="shared" si="38"/>
        <v>0.25818181818181818</v>
      </c>
      <c r="K296" s="26"/>
    </row>
    <row r="297" spans="2:12">
      <c r="B297" s="4" t="s">
        <v>442</v>
      </c>
      <c r="C297" s="6">
        <v>6</v>
      </c>
      <c r="D297" s="6">
        <v>13</v>
      </c>
      <c r="K297" s="3" t="s">
        <v>443</v>
      </c>
      <c r="L297" s="4" t="s">
        <v>444</v>
      </c>
    </row>
    <row r="298" spans="2:12">
      <c r="B298" s="4" t="s">
        <v>446</v>
      </c>
      <c r="C298" s="3">
        <v>13</v>
      </c>
      <c r="D298" s="3">
        <v>21</v>
      </c>
      <c r="K298" s="3" t="s">
        <v>447</v>
      </c>
      <c r="L298" s="4" t="s">
        <v>448</v>
      </c>
    </row>
    <row r="299" spans="2:12">
      <c r="B299" s="4" t="s">
        <v>450</v>
      </c>
      <c r="C299" s="4"/>
      <c r="D299" s="3">
        <v>16</v>
      </c>
      <c r="K299" s="3" t="s">
        <v>451</v>
      </c>
      <c r="L299" s="4" t="s">
        <v>452</v>
      </c>
    </row>
    <row r="300" spans="2:12">
      <c r="B300" s="4" t="s">
        <v>453</v>
      </c>
      <c r="C300" s="3">
        <v>17</v>
      </c>
      <c r="D300" s="3">
        <v>24</v>
      </c>
      <c r="K300" s="3" t="s">
        <v>454</v>
      </c>
      <c r="L300" s="4" t="s">
        <v>455</v>
      </c>
    </row>
    <row r="301" spans="2:12">
      <c r="B301" s="4" t="s">
        <v>458</v>
      </c>
      <c r="C301" s="3">
        <v>8</v>
      </c>
      <c r="D301" s="3">
        <v>14</v>
      </c>
      <c r="K301" s="3" t="s">
        <v>459</v>
      </c>
      <c r="L301" s="4" t="s">
        <v>460</v>
      </c>
    </row>
    <row r="302" spans="2:12" s="25" customFormat="1">
      <c r="B302" s="25" t="s">
        <v>1565</v>
      </c>
      <c r="C302" s="27">
        <v>11</v>
      </c>
      <c r="D302" s="27">
        <f>AVERAGE(D297:D301)</f>
        <v>17.600000000000001</v>
      </c>
      <c r="K302" s="26"/>
    </row>
    <row r="303" spans="2:12" s="25" customFormat="1">
      <c r="B303" s="25" t="s">
        <v>1566</v>
      </c>
      <c r="C303" s="25">
        <f>C302/C2</f>
        <v>0.22</v>
      </c>
      <c r="D303" s="25">
        <f>D302/D2</f>
        <v>0.35200000000000004</v>
      </c>
      <c r="K303" s="26"/>
    </row>
    <row r="304" spans="2:12">
      <c r="B304" s="4" t="s">
        <v>462</v>
      </c>
      <c r="E304" s="3">
        <v>5</v>
      </c>
      <c r="F304" s="3">
        <v>0</v>
      </c>
      <c r="G304" s="3">
        <v>17</v>
      </c>
      <c r="H304" s="3">
        <v>12</v>
      </c>
      <c r="I304" s="45" t="s">
        <v>584</v>
      </c>
      <c r="J304" s="48" t="s">
        <v>584</v>
      </c>
      <c r="K304" s="3" t="s">
        <v>463</v>
      </c>
      <c r="L304" s="5" t="s">
        <v>464</v>
      </c>
    </row>
    <row r="305" spans="2:12">
      <c r="B305" s="4" t="s">
        <v>465</v>
      </c>
      <c r="E305" s="3">
        <v>6</v>
      </c>
      <c r="F305" s="46" t="s">
        <v>584</v>
      </c>
      <c r="G305" s="47" t="s">
        <v>584</v>
      </c>
      <c r="H305" s="3">
        <v>13</v>
      </c>
      <c r="I305" s="3">
        <v>9</v>
      </c>
      <c r="J305" s="3">
        <v>15</v>
      </c>
      <c r="K305" s="3" t="s">
        <v>466</v>
      </c>
      <c r="L305" s="5" t="s">
        <v>467</v>
      </c>
    </row>
    <row r="306" spans="2:12">
      <c r="B306" s="4" t="s">
        <v>468</v>
      </c>
      <c r="E306" s="3">
        <v>13</v>
      </c>
      <c r="F306" s="3">
        <v>9</v>
      </c>
      <c r="G306" s="3">
        <v>18</v>
      </c>
      <c r="H306" s="3">
        <v>19</v>
      </c>
      <c r="I306" s="3">
        <v>16</v>
      </c>
      <c r="J306" s="3">
        <v>23</v>
      </c>
      <c r="K306" s="3" t="s">
        <v>469</v>
      </c>
      <c r="L306" s="5" t="s">
        <v>470</v>
      </c>
    </row>
    <row r="307" spans="2:12">
      <c r="B307" s="4" t="s">
        <v>471</v>
      </c>
      <c r="E307" s="3">
        <v>3</v>
      </c>
      <c r="F307" s="3">
        <v>8</v>
      </c>
      <c r="G307" s="3">
        <v>17</v>
      </c>
      <c r="H307" s="3">
        <v>12</v>
      </c>
      <c r="I307" s="3">
        <v>10</v>
      </c>
      <c r="J307" s="48" t="s">
        <v>584</v>
      </c>
      <c r="K307" s="3" t="s">
        <v>472</v>
      </c>
      <c r="L307" s="5" t="s">
        <v>473</v>
      </c>
    </row>
    <row r="308" spans="2:12">
      <c r="B308" s="4" t="s">
        <v>474</v>
      </c>
      <c r="E308" s="3">
        <v>5</v>
      </c>
      <c r="F308" s="3">
        <v>4</v>
      </c>
      <c r="G308" s="3">
        <v>11</v>
      </c>
      <c r="H308" s="3">
        <v>15</v>
      </c>
      <c r="I308" s="3">
        <v>7</v>
      </c>
      <c r="J308" s="3">
        <v>15</v>
      </c>
      <c r="K308" s="3" t="s">
        <v>475</v>
      </c>
      <c r="L308" s="5" t="s">
        <v>476</v>
      </c>
    </row>
    <row r="309" spans="2:12" s="25" customFormat="1">
      <c r="B309" s="25" t="s">
        <v>1565</v>
      </c>
      <c r="E309" s="27">
        <f>AVERAGE(E304:E308)</f>
        <v>6.4</v>
      </c>
      <c r="F309" s="27">
        <f t="shared" ref="F309:J309" si="39">AVERAGE(F304:F308)</f>
        <v>5.25</v>
      </c>
      <c r="G309" s="27">
        <f t="shared" si="39"/>
        <v>15.75</v>
      </c>
      <c r="H309" s="27">
        <f t="shared" si="39"/>
        <v>14.2</v>
      </c>
      <c r="I309" s="27">
        <f t="shared" si="39"/>
        <v>10.5</v>
      </c>
      <c r="J309" s="27">
        <f t="shared" si="39"/>
        <v>17.666666666666668</v>
      </c>
      <c r="K309" s="26"/>
    </row>
    <row r="310" spans="2:12" s="25" customFormat="1">
      <c r="B310" s="25" t="s">
        <v>1566</v>
      </c>
      <c r="E310" s="25">
        <f t="shared" ref="E310:J310" si="40">E309/E2</f>
        <v>0.42666666666666669</v>
      </c>
      <c r="F310" s="25">
        <f t="shared" si="40"/>
        <v>0.15441176470588236</v>
      </c>
      <c r="G310" s="25">
        <f t="shared" si="40"/>
        <v>0.33510638297872342</v>
      </c>
      <c r="H310" s="25">
        <f t="shared" si="40"/>
        <v>0.40571428571428569</v>
      </c>
      <c r="I310" s="25">
        <f t="shared" si="40"/>
        <v>0.33870967741935482</v>
      </c>
      <c r="J310" s="25">
        <f t="shared" si="40"/>
        <v>0.32121212121212123</v>
      </c>
      <c r="K310" s="26"/>
    </row>
    <row r="311" spans="2:12">
      <c r="B311" t="s">
        <v>1346</v>
      </c>
      <c r="C311" s="12">
        <v>17</v>
      </c>
      <c r="D311" s="12">
        <v>16</v>
      </c>
      <c r="K311" s="12" t="s">
        <v>982</v>
      </c>
      <c r="L311" s="11" t="s">
        <v>981</v>
      </c>
    </row>
    <row r="312" spans="2:12">
      <c r="B312" t="s">
        <v>1347</v>
      </c>
      <c r="C312" s="12">
        <v>8</v>
      </c>
      <c r="D312" s="12">
        <v>6</v>
      </c>
      <c r="K312" s="12" t="s">
        <v>984</v>
      </c>
      <c r="L312" s="11" t="s">
        <v>983</v>
      </c>
    </row>
    <row r="313" spans="2:12">
      <c r="B313" t="s">
        <v>1348</v>
      </c>
      <c r="C313" s="12">
        <v>8</v>
      </c>
      <c r="D313" s="12">
        <v>23</v>
      </c>
      <c r="K313" s="12" t="s">
        <v>988</v>
      </c>
      <c r="L313" s="11" t="s">
        <v>987</v>
      </c>
    </row>
    <row r="314" spans="2:12">
      <c r="B314" t="s">
        <v>1349</v>
      </c>
      <c r="C314" s="12">
        <v>13</v>
      </c>
      <c r="D314" s="12">
        <v>17</v>
      </c>
      <c r="K314" s="12" t="s">
        <v>992</v>
      </c>
      <c r="L314" s="11" t="s">
        <v>991</v>
      </c>
    </row>
    <row r="315" spans="2:12">
      <c r="B315" t="s">
        <v>1350</v>
      </c>
      <c r="C315" s="12">
        <v>13</v>
      </c>
      <c r="D315" s="12">
        <v>19</v>
      </c>
      <c r="K315" s="12" t="s">
        <v>996</v>
      </c>
      <c r="L315" s="11" t="s">
        <v>995</v>
      </c>
    </row>
    <row r="316" spans="2:12" s="25" customFormat="1">
      <c r="B316" s="25" t="s">
        <v>1565</v>
      </c>
      <c r="C316" s="27">
        <f>AVERAGE(C311:C315)</f>
        <v>11.8</v>
      </c>
      <c r="D316" s="27">
        <f>AVERAGE(D311:D315)</f>
        <v>16.2</v>
      </c>
      <c r="K316" s="26"/>
    </row>
    <row r="317" spans="2:12" s="25" customFormat="1">
      <c r="B317" s="25" t="s">
        <v>1566</v>
      </c>
      <c r="C317" s="25">
        <f>C316/C2</f>
        <v>0.23600000000000002</v>
      </c>
      <c r="D317" s="25">
        <f>D316/D2</f>
        <v>0.32400000000000001</v>
      </c>
      <c r="K317" s="26"/>
    </row>
    <row r="318" spans="2:12">
      <c r="B318" t="s">
        <v>1480</v>
      </c>
      <c r="E318" s="12">
        <v>5</v>
      </c>
      <c r="F318" s="12">
        <v>5</v>
      </c>
      <c r="G318" s="12">
        <v>20</v>
      </c>
      <c r="H318" s="12">
        <v>11</v>
      </c>
      <c r="I318" s="12">
        <v>13</v>
      </c>
      <c r="J318" s="12">
        <v>16</v>
      </c>
      <c r="K318" s="12" t="s">
        <v>972</v>
      </c>
      <c r="L318" s="11" t="s">
        <v>971</v>
      </c>
    </row>
    <row r="319" spans="2:12">
      <c r="B319" t="s">
        <v>1481</v>
      </c>
      <c r="E319" s="51" t="s">
        <v>584</v>
      </c>
      <c r="F319" s="50" t="s">
        <v>584</v>
      </c>
      <c r="G319" s="52" t="s">
        <v>584</v>
      </c>
      <c r="H319" s="50" t="s">
        <v>584</v>
      </c>
      <c r="I319" s="49" t="s">
        <v>584</v>
      </c>
      <c r="J319" s="53" t="s">
        <v>584</v>
      </c>
      <c r="K319" s="12" t="s">
        <v>974</v>
      </c>
      <c r="L319" s="11" t="s">
        <v>973</v>
      </c>
    </row>
    <row r="320" spans="2:12">
      <c r="B320" t="s">
        <v>1482</v>
      </c>
      <c r="E320" s="12">
        <v>2</v>
      </c>
      <c r="F320" s="12">
        <v>2</v>
      </c>
      <c r="G320" s="12">
        <v>15</v>
      </c>
      <c r="H320" s="12">
        <v>7</v>
      </c>
      <c r="I320" s="12">
        <v>5</v>
      </c>
      <c r="J320" s="12">
        <v>13</v>
      </c>
      <c r="K320" s="12" t="s">
        <v>976</v>
      </c>
      <c r="L320" s="11" t="s">
        <v>975</v>
      </c>
    </row>
    <row r="321" spans="2:12">
      <c r="B321" t="s">
        <v>1483</v>
      </c>
      <c r="E321" s="12">
        <v>6</v>
      </c>
      <c r="F321" s="12">
        <v>7</v>
      </c>
      <c r="G321" s="12">
        <v>13</v>
      </c>
      <c r="H321" s="12">
        <v>16</v>
      </c>
      <c r="I321" s="12">
        <v>9</v>
      </c>
      <c r="J321" s="12">
        <v>17</v>
      </c>
      <c r="K321" s="12" t="s">
        <v>978</v>
      </c>
      <c r="L321" s="11" t="s">
        <v>977</v>
      </c>
    </row>
    <row r="322" spans="2:12">
      <c r="B322" t="s">
        <v>1484</v>
      </c>
      <c r="E322" s="12">
        <v>5</v>
      </c>
      <c r="F322" s="12">
        <v>7</v>
      </c>
      <c r="G322" s="12">
        <v>9</v>
      </c>
      <c r="H322" s="12">
        <v>5</v>
      </c>
      <c r="I322" s="12">
        <v>11</v>
      </c>
      <c r="J322" s="12">
        <v>10</v>
      </c>
      <c r="K322" s="12" t="s">
        <v>980</v>
      </c>
      <c r="L322" s="11" t="s">
        <v>979</v>
      </c>
    </row>
    <row r="323" spans="2:12" s="25" customFormat="1">
      <c r="B323" s="25" t="s">
        <v>1565</v>
      </c>
      <c r="E323" s="27">
        <f>AVERAGE(E318:E322)</f>
        <v>4.5</v>
      </c>
      <c r="F323" s="27">
        <f t="shared" ref="F323:J323" si="41">AVERAGE(F318:F322)</f>
        <v>5.25</v>
      </c>
      <c r="G323" s="27">
        <f t="shared" si="41"/>
        <v>14.25</v>
      </c>
      <c r="H323" s="27">
        <f t="shared" si="41"/>
        <v>9.75</v>
      </c>
      <c r="I323" s="27">
        <f t="shared" si="41"/>
        <v>9.5</v>
      </c>
      <c r="J323" s="27">
        <f t="shared" si="41"/>
        <v>14</v>
      </c>
      <c r="K323" s="26"/>
    </row>
    <row r="324" spans="2:12" s="25" customFormat="1">
      <c r="B324" s="25" t="s">
        <v>1566</v>
      </c>
      <c r="E324" s="25">
        <f t="shared" ref="E324:J324" si="42">E323/E2</f>
        <v>0.3</v>
      </c>
      <c r="F324" s="25">
        <f t="shared" si="42"/>
        <v>0.15441176470588236</v>
      </c>
      <c r="G324" s="25">
        <f t="shared" si="42"/>
        <v>0.30319148936170215</v>
      </c>
      <c r="H324" s="25">
        <f t="shared" si="42"/>
        <v>0.27857142857142858</v>
      </c>
      <c r="I324" s="25">
        <f t="shared" si="42"/>
        <v>0.30645161290322581</v>
      </c>
      <c r="J324" s="25">
        <f t="shared" si="42"/>
        <v>0.25454545454545452</v>
      </c>
      <c r="K324" s="26"/>
    </row>
    <row r="325" spans="2:12">
      <c r="B325" s="18" t="s">
        <v>1351</v>
      </c>
      <c r="C325" s="12">
        <v>15</v>
      </c>
      <c r="D325" s="12">
        <v>9</v>
      </c>
      <c r="K325" s="12" t="s">
        <v>999</v>
      </c>
      <c r="L325" s="11" t="s">
        <v>998</v>
      </c>
    </row>
    <row r="326" spans="2:12">
      <c r="B326" s="18" t="s">
        <v>1352</v>
      </c>
      <c r="C326" s="12">
        <v>10</v>
      </c>
      <c r="D326" s="12">
        <v>16</v>
      </c>
      <c r="K326" s="12" t="s">
        <v>1003</v>
      </c>
      <c r="L326" s="11" t="s">
        <v>1002</v>
      </c>
    </row>
    <row r="327" spans="2:12">
      <c r="B327" s="18" t="s">
        <v>1353</v>
      </c>
      <c r="C327" s="12">
        <v>19</v>
      </c>
      <c r="D327" s="12">
        <v>19</v>
      </c>
      <c r="K327" s="12" t="s">
        <v>1006</v>
      </c>
      <c r="L327" s="11" t="s">
        <v>1005</v>
      </c>
    </row>
    <row r="328" spans="2:12">
      <c r="B328" s="18" t="s">
        <v>1354</v>
      </c>
      <c r="C328" s="12">
        <v>11</v>
      </c>
      <c r="D328" s="12">
        <v>22</v>
      </c>
      <c r="K328" s="12" t="s">
        <v>1008</v>
      </c>
      <c r="L328" s="11" t="s">
        <v>1007</v>
      </c>
    </row>
    <row r="329" spans="2:12">
      <c r="B329" s="18" t="s">
        <v>1355</v>
      </c>
      <c r="C329" s="12">
        <v>7</v>
      </c>
      <c r="D329" s="12">
        <v>29</v>
      </c>
      <c r="K329" s="12" t="s">
        <v>1012</v>
      </c>
      <c r="L329" s="11" t="s">
        <v>1011</v>
      </c>
    </row>
    <row r="330" spans="2:12" s="25" customFormat="1">
      <c r="B330" s="25" t="s">
        <v>1565</v>
      </c>
      <c r="C330" s="27">
        <f>AVERAGE(C325:C329)</f>
        <v>12.4</v>
      </c>
      <c r="D330" s="27">
        <f>AVERAGE(D325:D329)</f>
        <v>19</v>
      </c>
      <c r="K330" s="26"/>
    </row>
    <row r="331" spans="2:12" s="25" customFormat="1">
      <c r="B331" s="25" t="s">
        <v>1566</v>
      </c>
      <c r="C331" s="25">
        <f>C330/C2</f>
        <v>0.248</v>
      </c>
      <c r="D331" s="25">
        <f>D330/D2</f>
        <v>0.38</v>
      </c>
      <c r="K331" s="26"/>
    </row>
    <row r="332" spans="2:12">
      <c r="B332" t="s">
        <v>1485</v>
      </c>
      <c r="E332" s="12">
        <v>10</v>
      </c>
      <c r="F332" s="12">
        <v>5</v>
      </c>
      <c r="G332" s="12">
        <v>20</v>
      </c>
      <c r="H332" s="12">
        <v>2</v>
      </c>
      <c r="I332" s="12">
        <v>13</v>
      </c>
      <c r="J332" s="12">
        <v>18</v>
      </c>
      <c r="K332" s="12" t="s">
        <v>1014</v>
      </c>
      <c r="L332" s="11" t="s">
        <v>1013</v>
      </c>
    </row>
    <row r="333" spans="2:12">
      <c r="B333" t="s">
        <v>1486</v>
      </c>
      <c r="E333" s="12">
        <v>5</v>
      </c>
      <c r="F333" s="12">
        <v>12</v>
      </c>
      <c r="G333" s="12">
        <v>25</v>
      </c>
      <c r="H333" s="12">
        <v>16</v>
      </c>
      <c r="I333" s="12">
        <v>12</v>
      </c>
      <c r="J333" s="12">
        <v>21</v>
      </c>
      <c r="K333" s="12" t="s">
        <v>1016</v>
      </c>
      <c r="L333" s="11" t="s">
        <v>1015</v>
      </c>
    </row>
    <row r="334" spans="2:12">
      <c r="B334" t="s">
        <v>1487</v>
      </c>
      <c r="E334" s="12">
        <v>6</v>
      </c>
      <c r="F334" s="12">
        <v>20</v>
      </c>
      <c r="G334" s="12">
        <v>20</v>
      </c>
      <c r="H334" s="12">
        <v>13</v>
      </c>
      <c r="I334" s="12">
        <v>11</v>
      </c>
      <c r="J334" s="12">
        <v>19</v>
      </c>
      <c r="K334" s="12" t="s">
        <v>1018</v>
      </c>
      <c r="L334" s="11" t="s">
        <v>1017</v>
      </c>
    </row>
    <row r="335" spans="2:12">
      <c r="B335" t="s">
        <v>1488</v>
      </c>
      <c r="E335" s="12">
        <v>11</v>
      </c>
      <c r="F335" s="12">
        <v>15</v>
      </c>
      <c r="G335" s="12">
        <v>16</v>
      </c>
      <c r="H335" s="12">
        <v>7</v>
      </c>
      <c r="I335" s="12">
        <v>19</v>
      </c>
      <c r="J335" s="12">
        <v>26</v>
      </c>
      <c r="K335" s="12" t="s">
        <v>1021</v>
      </c>
      <c r="L335" s="11" t="s">
        <v>1020</v>
      </c>
    </row>
    <row r="336" spans="2:12">
      <c r="B336" t="s">
        <v>1489</v>
      </c>
      <c r="E336" s="12">
        <v>1</v>
      </c>
      <c r="F336" s="12">
        <v>3</v>
      </c>
      <c r="G336" s="12">
        <v>17</v>
      </c>
      <c r="H336" s="12">
        <v>13</v>
      </c>
      <c r="I336" s="12">
        <v>6</v>
      </c>
      <c r="J336" s="12">
        <v>16</v>
      </c>
      <c r="K336" s="12" t="s">
        <v>1023</v>
      </c>
      <c r="L336" s="11" t="s">
        <v>1022</v>
      </c>
    </row>
    <row r="337" spans="2:12" s="25" customFormat="1">
      <c r="B337" s="25" t="s">
        <v>1565</v>
      </c>
      <c r="E337" s="27">
        <f>AVERAGE(E332:E336)</f>
        <v>6.6</v>
      </c>
      <c r="F337" s="27">
        <f t="shared" ref="F337:J337" si="43">AVERAGE(F332:F336)</f>
        <v>11</v>
      </c>
      <c r="G337" s="27">
        <f t="shared" si="43"/>
        <v>19.600000000000001</v>
      </c>
      <c r="H337" s="27">
        <f t="shared" si="43"/>
        <v>10.199999999999999</v>
      </c>
      <c r="I337" s="27">
        <f t="shared" si="43"/>
        <v>12.2</v>
      </c>
      <c r="J337" s="27">
        <f t="shared" si="43"/>
        <v>20</v>
      </c>
      <c r="K337" s="26"/>
    </row>
    <row r="338" spans="2:12" s="25" customFormat="1">
      <c r="B338" s="25" t="s">
        <v>1566</v>
      </c>
      <c r="E338" s="25">
        <f t="shared" ref="E338:J338" si="44">E337/E2</f>
        <v>0.44</v>
      </c>
      <c r="F338" s="25">
        <f t="shared" si="44"/>
        <v>0.3235294117647059</v>
      </c>
      <c r="G338" s="25">
        <f t="shared" si="44"/>
        <v>0.41702127659574473</v>
      </c>
      <c r="H338" s="25">
        <f t="shared" si="44"/>
        <v>0.29142857142857143</v>
      </c>
      <c r="I338" s="25">
        <f t="shared" si="44"/>
        <v>0.39354838709677414</v>
      </c>
      <c r="J338" s="25">
        <f t="shared" si="44"/>
        <v>0.36363636363636365</v>
      </c>
      <c r="K338" s="26"/>
    </row>
    <row r="339" spans="2:12">
      <c r="B339" t="s">
        <v>1356</v>
      </c>
      <c r="C339" s="12">
        <v>24</v>
      </c>
      <c r="D339" s="12">
        <v>17</v>
      </c>
      <c r="K339" s="12" t="s">
        <v>1025</v>
      </c>
      <c r="L339" s="11" t="s">
        <v>1024</v>
      </c>
    </row>
    <row r="340" spans="2:12">
      <c r="B340" t="s">
        <v>1357</v>
      </c>
      <c r="C340" s="12">
        <v>17</v>
      </c>
      <c r="D340" s="12">
        <v>20</v>
      </c>
      <c r="K340" s="12" t="s">
        <v>1028</v>
      </c>
      <c r="L340" s="11" t="s">
        <v>1027</v>
      </c>
    </row>
    <row r="341" spans="2:12">
      <c r="B341" t="s">
        <v>1358</v>
      </c>
      <c r="C341" s="12">
        <v>21</v>
      </c>
      <c r="D341" s="12">
        <v>28</v>
      </c>
      <c r="K341" s="12" t="s">
        <v>1032</v>
      </c>
      <c r="L341" s="11" t="s">
        <v>1031</v>
      </c>
    </row>
    <row r="342" spans="2:12">
      <c r="B342" t="s">
        <v>1359</v>
      </c>
      <c r="C342" s="12">
        <v>12</v>
      </c>
      <c r="D342" s="12">
        <v>18</v>
      </c>
      <c r="K342" s="12" t="s">
        <v>1036</v>
      </c>
      <c r="L342" s="11" t="s">
        <v>1035</v>
      </c>
    </row>
    <row r="343" spans="2:12">
      <c r="B343" t="s">
        <v>1360</v>
      </c>
      <c r="C343" s="12">
        <v>11</v>
      </c>
      <c r="D343" s="12">
        <v>5</v>
      </c>
      <c r="K343" s="12" t="s">
        <v>1038</v>
      </c>
      <c r="L343" s="11" t="s">
        <v>1037</v>
      </c>
    </row>
    <row r="344" spans="2:12" s="25" customFormat="1">
      <c r="B344" s="25" t="s">
        <v>1565</v>
      </c>
      <c r="C344" s="27">
        <f>AVERAGE(C339:C343)</f>
        <v>17</v>
      </c>
      <c r="D344" s="27">
        <f>AVERAGE(D339:D343)</f>
        <v>17.600000000000001</v>
      </c>
      <c r="K344" s="26"/>
    </row>
    <row r="345" spans="2:12" s="25" customFormat="1">
      <c r="B345" s="25" t="s">
        <v>1566</v>
      </c>
      <c r="C345" s="25">
        <f>C344/C2</f>
        <v>0.34</v>
      </c>
      <c r="D345" s="25">
        <f>D344/D2</f>
        <v>0.35200000000000004</v>
      </c>
      <c r="K345" s="26"/>
    </row>
    <row r="346" spans="2:12">
      <c r="B346" t="s">
        <v>1490</v>
      </c>
      <c r="E346" s="12">
        <v>7</v>
      </c>
      <c r="F346" s="12">
        <v>0</v>
      </c>
      <c r="G346" s="12">
        <v>19</v>
      </c>
      <c r="H346" s="12">
        <v>5</v>
      </c>
      <c r="I346" s="12">
        <v>8</v>
      </c>
      <c r="J346" s="12">
        <v>16</v>
      </c>
      <c r="K346" s="12" t="s">
        <v>1042</v>
      </c>
      <c r="L346" s="11" t="s">
        <v>1041</v>
      </c>
    </row>
    <row r="347" spans="2:12">
      <c r="B347" t="s">
        <v>1491</v>
      </c>
      <c r="E347" s="12">
        <v>6</v>
      </c>
      <c r="F347" s="12">
        <v>10</v>
      </c>
      <c r="G347" s="12">
        <v>9</v>
      </c>
      <c r="H347" s="12">
        <v>10</v>
      </c>
      <c r="I347" s="12">
        <v>4</v>
      </c>
      <c r="J347" s="12">
        <v>13</v>
      </c>
      <c r="K347" s="12" t="s">
        <v>1044</v>
      </c>
      <c r="L347" s="11" t="s">
        <v>1043</v>
      </c>
    </row>
    <row r="348" spans="2:12">
      <c r="B348" t="s">
        <v>1492</v>
      </c>
      <c r="E348" s="12">
        <v>2</v>
      </c>
      <c r="F348" s="12">
        <v>5</v>
      </c>
      <c r="G348" s="12">
        <v>21</v>
      </c>
      <c r="H348" s="12">
        <v>14</v>
      </c>
      <c r="I348" s="12">
        <v>14</v>
      </c>
      <c r="J348" s="12">
        <v>27</v>
      </c>
      <c r="K348" s="12" t="s">
        <v>1046</v>
      </c>
      <c r="L348" s="11" t="s">
        <v>1045</v>
      </c>
    </row>
    <row r="349" spans="2:12">
      <c r="B349" t="s">
        <v>1493</v>
      </c>
      <c r="E349" s="12">
        <v>5</v>
      </c>
      <c r="F349" s="12">
        <v>2</v>
      </c>
      <c r="G349" s="12">
        <v>16</v>
      </c>
      <c r="H349" s="12">
        <v>5</v>
      </c>
      <c r="I349" s="12">
        <v>7</v>
      </c>
      <c r="J349" s="12">
        <v>18</v>
      </c>
      <c r="K349" s="12" t="s">
        <v>1048</v>
      </c>
      <c r="L349" s="11" t="s">
        <v>1047</v>
      </c>
    </row>
    <row r="350" spans="2:12">
      <c r="B350" t="s">
        <v>1494</v>
      </c>
      <c r="E350" s="12">
        <v>8</v>
      </c>
      <c r="F350" s="12">
        <v>10</v>
      </c>
      <c r="G350" s="12">
        <v>25</v>
      </c>
      <c r="H350" s="12">
        <v>9</v>
      </c>
      <c r="I350" s="12">
        <v>11</v>
      </c>
      <c r="J350" s="12">
        <v>24</v>
      </c>
      <c r="K350" s="12" t="s">
        <v>1050</v>
      </c>
      <c r="L350" s="11" t="s">
        <v>1049</v>
      </c>
    </row>
    <row r="351" spans="2:12" s="25" customFormat="1">
      <c r="B351" s="25" t="s">
        <v>1565</v>
      </c>
      <c r="E351" s="27">
        <f>AVERAGE(E346:E350)</f>
        <v>5.6</v>
      </c>
      <c r="F351" s="27">
        <f t="shared" ref="F351:J351" si="45">AVERAGE(F346:F350)</f>
        <v>5.4</v>
      </c>
      <c r="G351" s="27">
        <f t="shared" si="45"/>
        <v>18</v>
      </c>
      <c r="H351" s="27">
        <f t="shared" si="45"/>
        <v>8.6</v>
      </c>
      <c r="I351" s="27">
        <f t="shared" si="45"/>
        <v>8.8000000000000007</v>
      </c>
      <c r="J351" s="27">
        <f t="shared" si="45"/>
        <v>19.600000000000001</v>
      </c>
      <c r="K351" s="26"/>
    </row>
    <row r="352" spans="2:12" s="25" customFormat="1">
      <c r="B352" s="25" t="s">
        <v>1566</v>
      </c>
      <c r="E352" s="25">
        <f t="shared" ref="E352:J352" si="46">E351/E2</f>
        <v>0.37333333333333329</v>
      </c>
      <c r="F352" s="25">
        <f t="shared" si="46"/>
        <v>0.15882352941176472</v>
      </c>
      <c r="G352" s="25">
        <f t="shared" si="46"/>
        <v>0.38297872340425532</v>
      </c>
      <c r="H352" s="25">
        <f t="shared" si="46"/>
        <v>0.24571428571428569</v>
      </c>
      <c r="I352" s="25">
        <f t="shared" si="46"/>
        <v>0.28387096774193549</v>
      </c>
      <c r="J352" s="25">
        <f t="shared" si="46"/>
        <v>0.35636363636363638</v>
      </c>
      <c r="K352" s="26"/>
    </row>
    <row r="353" spans="2:12">
      <c r="B353" t="s">
        <v>1361</v>
      </c>
      <c r="C353" s="12">
        <v>23</v>
      </c>
      <c r="D353" s="12">
        <v>21</v>
      </c>
      <c r="K353" s="12" t="s">
        <v>1052</v>
      </c>
      <c r="L353" s="11" t="s">
        <v>1051</v>
      </c>
    </row>
    <row r="354" spans="2:12">
      <c r="B354" t="s">
        <v>1362</v>
      </c>
      <c r="C354" s="12">
        <v>11</v>
      </c>
      <c r="D354" s="12">
        <v>30</v>
      </c>
      <c r="K354" s="12" t="s">
        <v>1056</v>
      </c>
      <c r="L354" s="11" t="s">
        <v>1055</v>
      </c>
    </row>
    <row r="355" spans="2:12">
      <c r="B355" t="s">
        <v>1363</v>
      </c>
      <c r="C355" s="12">
        <v>8</v>
      </c>
      <c r="D355" s="12">
        <v>9</v>
      </c>
      <c r="K355" s="12" t="s">
        <v>1058</v>
      </c>
      <c r="L355" s="11" t="s">
        <v>1057</v>
      </c>
    </row>
    <row r="356" spans="2:12">
      <c r="B356" t="s">
        <v>1364</v>
      </c>
      <c r="C356" s="12">
        <v>23</v>
      </c>
      <c r="D356" s="12">
        <v>30</v>
      </c>
      <c r="K356" s="12" t="s">
        <v>1061</v>
      </c>
      <c r="L356" s="11" t="s">
        <v>1060</v>
      </c>
    </row>
    <row r="357" spans="2:12">
      <c r="B357" t="s">
        <v>1365</v>
      </c>
      <c r="C357" s="12">
        <v>20</v>
      </c>
      <c r="D357" s="12">
        <v>18</v>
      </c>
      <c r="K357" s="12" t="s">
        <v>1065</v>
      </c>
      <c r="L357" s="11" t="s">
        <v>1064</v>
      </c>
    </row>
    <row r="358" spans="2:12" s="25" customFormat="1">
      <c r="B358" s="25" t="s">
        <v>1565</v>
      </c>
      <c r="C358" s="27">
        <f>AVERAGE(C353:C357)</f>
        <v>17</v>
      </c>
      <c r="D358" s="27">
        <f>AVERAGE(D353:D357)</f>
        <v>21.6</v>
      </c>
      <c r="K358" s="26"/>
    </row>
    <row r="359" spans="2:12" s="25" customFormat="1">
      <c r="B359" s="25" t="s">
        <v>1566</v>
      </c>
      <c r="C359" s="25">
        <f>C358/C2</f>
        <v>0.34</v>
      </c>
      <c r="D359" s="25">
        <f>D358/D2</f>
        <v>0.43200000000000005</v>
      </c>
      <c r="K359" s="26"/>
    </row>
    <row r="360" spans="2:12">
      <c r="B360" t="s">
        <v>1495</v>
      </c>
      <c r="E360" s="12">
        <v>7</v>
      </c>
      <c r="F360" s="12">
        <v>19</v>
      </c>
      <c r="G360" s="12">
        <v>17</v>
      </c>
      <c r="H360" s="12">
        <v>28</v>
      </c>
      <c r="I360" s="12">
        <v>6</v>
      </c>
      <c r="J360" s="12">
        <v>38</v>
      </c>
      <c r="K360" s="12" t="s">
        <v>1069</v>
      </c>
      <c r="L360" s="12" t="s">
        <v>1068</v>
      </c>
    </row>
    <row r="361" spans="2:12">
      <c r="B361" t="s">
        <v>1496</v>
      </c>
      <c r="E361" s="12">
        <v>4</v>
      </c>
      <c r="F361" s="12">
        <v>18</v>
      </c>
      <c r="G361" s="12">
        <v>27</v>
      </c>
      <c r="H361" s="12">
        <v>23</v>
      </c>
      <c r="I361" s="12">
        <v>6</v>
      </c>
      <c r="J361" s="12">
        <v>34</v>
      </c>
      <c r="K361" s="12" t="s">
        <v>1071</v>
      </c>
      <c r="L361" s="11" t="s">
        <v>1070</v>
      </c>
    </row>
    <row r="362" spans="2:12">
      <c r="B362" t="s">
        <v>1497</v>
      </c>
      <c r="E362" s="12">
        <v>0</v>
      </c>
      <c r="F362" s="12">
        <v>16</v>
      </c>
      <c r="G362" s="12">
        <v>30</v>
      </c>
      <c r="H362" s="12">
        <v>33</v>
      </c>
      <c r="I362" s="12">
        <v>7</v>
      </c>
      <c r="J362" s="12">
        <v>29</v>
      </c>
      <c r="K362" s="12" t="s">
        <v>1073</v>
      </c>
      <c r="L362" s="11" t="s">
        <v>1072</v>
      </c>
    </row>
    <row r="363" spans="2:12">
      <c r="B363" t="s">
        <v>1498</v>
      </c>
      <c r="E363" s="12">
        <v>8</v>
      </c>
      <c r="F363" s="12">
        <v>5</v>
      </c>
      <c r="G363" s="12">
        <v>21</v>
      </c>
      <c r="H363" s="12">
        <v>24</v>
      </c>
      <c r="I363" s="12">
        <v>31</v>
      </c>
      <c r="J363" s="12">
        <v>21</v>
      </c>
      <c r="K363" s="12" t="s">
        <v>1075</v>
      </c>
      <c r="L363" s="11" t="s">
        <v>1074</v>
      </c>
    </row>
    <row r="364" spans="2:12">
      <c r="B364" t="s">
        <v>1499</v>
      </c>
      <c r="E364" s="12">
        <v>4</v>
      </c>
      <c r="F364" s="12">
        <v>18</v>
      </c>
      <c r="G364" s="12">
        <v>31</v>
      </c>
      <c r="H364" s="12">
        <v>23</v>
      </c>
      <c r="I364" s="12">
        <v>15</v>
      </c>
      <c r="J364" s="12">
        <v>45</v>
      </c>
      <c r="K364" s="12" t="s">
        <v>1077</v>
      </c>
      <c r="L364" s="11" t="s">
        <v>1076</v>
      </c>
    </row>
    <row r="365" spans="2:12" s="25" customFormat="1">
      <c r="B365" s="25" t="s">
        <v>1565</v>
      </c>
      <c r="E365" s="27">
        <f>AVERAGE(E360:E364)</f>
        <v>4.5999999999999996</v>
      </c>
      <c r="F365" s="27">
        <f t="shared" ref="F365:J365" si="47">AVERAGE(F360:F364)</f>
        <v>15.2</v>
      </c>
      <c r="G365" s="27">
        <f t="shared" si="47"/>
        <v>25.2</v>
      </c>
      <c r="H365" s="27">
        <f t="shared" si="47"/>
        <v>26.2</v>
      </c>
      <c r="I365" s="27">
        <f t="shared" si="47"/>
        <v>13</v>
      </c>
      <c r="J365" s="27">
        <f t="shared" si="47"/>
        <v>33.4</v>
      </c>
      <c r="K365" s="26"/>
    </row>
    <row r="366" spans="2:12" s="25" customFormat="1">
      <c r="B366" s="25" t="s">
        <v>1566</v>
      </c>
      <c r="E366" s="25">
        <f t="shared" ref="E366:J366" si="48">E365/E2</f>
        <v>0.30666666666666664</v>
      </c>
      <c r="F366" s="25">
        <f t="shared" si="48"/>
        <v>0.44705882352941173</v>
      </c>
      <c r="G366" s="25">
        <f t="shared" si="48"/>
        <v>0.53617021276595744</v>
      </c>
      <c r="H366" s="25">
        <f t="shared" si="48"/>
        <v>0.74857142857142855</v>
      </c>
      <c r="I366" s="25">
        <f t="shared" si="48"/>
        <v>0.41935483870967744</v>
      </c>
      <c r="J366" s="25">
        <f t="shared" si="48"/>
        <v>0.6072727272727273</v>
      </c>
      <c r="K366" s="26"/>
    </row>
    <row r="367" spans="2:12">
      <c r="B367" t="s">
        <v>1366</v>
      </c>
      <c r="C367" s="12">
        <v>18</v>
      </c>
      <c r="D367" s="12">
        <v>11</v>
      </c>
      <c r="K367" s="12" t="s">
        <v>1079</v>
      </c>
      <c r="L367" s="11" t="s">
        <v>1078</v>
      </c>
    </row>
    <row r="368" spans="2:12">
      <c r="B368" t="s">
        <v>1367</v>
      </c>
      <c r="C368" s="12">
        <v>20</v>
      </c>
      <c r="D368" s="12">
        <v>14</v>
      </c>
      <c r="K368" s="12" t="s">
        <v>1081</v>
      </c>
      <c r="L368" s="11" t="s">
        <v>1080</v>
      </c>
    </row>
    <row r="369" spans="2:12">
      <c r="B369" t="s">
        <v>1368</v>
      </c>
      <c r="C369" s="12">
        <v>4</v>
      </c>
      <c r="D369" s="12">
        <v>4</v>
      </c>
      <c r="K369" s="12" t="s">
        <v>1083</v>
      </c>
      <c r="L369" s="11" t="s">
        <v>1082</v>
      </c>
    </row>
    <row r="370" spans="2:12">
      <c r="B370" t="s">
        <v>1369</v>
      </c>
      <c r="C370" s="12">
        <v>15</v>
      </c>
      <c r="D370" s="12">
        <v>13</v>
      </c>
      <c r="K370" s="12" t="s">
        <v>1085</v>
      </c>
      <c r="L370" s="11" t="s">
        <v>1084</v>
      </c>
    </row>
    <row r="371" spans="2:12">
      <c r="B371" t="s">
        <v>1370</v>
      </c>
      <c r="C371" s="12">
        <v>7</v>
      </c>
      <c r="D371" s="12">
        <v>14</v>
      </c>
      <c r="K371" s="12" t="s">
        <v>1088</v>
      </c>
      <c r="L371" s="11" t="s">
        <v>1087</v>
      </c>
    </row>
    <row r="372" spans="2:12" s="25" customFormat="1">
      <c r="B372" s="25" t="s">
        <v>1565</v>
      </c>
      <c r="C372" s="27">
        <f>AVERAGE(C367:C371)</f>
        <v>12.8</v>
      </c>
      <c r="D372" s="27">
        <f>AVERAGE(D367:D371)</f>
        <v>11.2</v>
      </c>
      <c r="K372" s="26"/>
    </row>
    <row r="373" spans="2:12" s="25" customFormat="1">
      <c r="B373" s="25" t="s">
        <v>1566</v>
      </c>
      <c r="C373" s="25">
        <f>C372/C2</f>
        <v>0.25600000000000001</v>
      </c>
      <c r="D373" s="25">
        <f>D372/D2</f>
        <v>0.22399999999999998</v>
      </c>
      <c r="K373" s="26"/>
    </row>
    <row r="374" spans="2:12">
      <c r="B374" t="s">
        <v>1500</v>
      </c>
      <c r="E374" s="12">
        <v>10</v>
      </c>
      <c r="F374" s="12">
        <v>18</v>
      </c>
      <c r="G374" s="12">
        <v>8</v>
      </c>
      <c r="H374" s="12">
        <v>6</v>
      </c>
      <c r="I374" s="12">
        <v>7</v>
      </c>
      <c r="J374" s="12">
        <v>13</v>
      </c>
      <c r="K374" s="12" t="s">
        <v>1091</v>
      </c>
      <c r="L374" s="11" t="s">
        <v>1090</v>
      </c>
    </row>
    <row r="375" spans="2:12">
      <c r="B375" t="s">
        <v>1501</v>
      </c>
      <c r="E375" s="12">
        <v>5</v>
      </c>
      <c r="F375" s="12">
        <v>8</v>
      </c>
      <c r="G375" s="12">
        <v>12</v>
      </c>
      <c r="H375" s="12">
        <v>9</v>
      </c>
      <c r="I375" s="12">
        <v>4</v>
      </c>
      <c r="J375" s="12">
        <v>15</v>
      </c>
      <c r="K375" s="12" t="s">
        <v>1093</v>
      </c>
      <c r="L375" s="11" t="s">
        <v>1092</v>
      </c>
    </row>
    <row r="376" spans="2:12">
      <c r="B376" t="s">
        <v>1502</v>
      </c>
      <c r="E376" s="12">
        <v>7</v>
      </c>
      <c r="F376" s="12">
        <v>13</v>
      </c>
      <c r="G376" s="12">
        <v>13</v>
      </c>
      <c r="H376" s="12">
        <v>8</v>
      </c>
      <c r="I376" s="12">
        <v>6</v>
      </c>
      <c r="J376" s="12">
        <v>24</v>
      </c>
      <c r="K376" s="12" t="s">
        <v>1095</v>
      </c>
      <c r="L376" s="11" t="s">
        <v>1094</v>
      </c>
    </row>
    <row r="377" spans="2:12">
      <c r="B377" t="s">
        <v>1503</v>
      </c>
      <c r="E377" s="12">
        <v>4</v>
      </c>
      <c r="F377" s="12">
        <v>4</v>
      </c>
      <c r="G377" s="12">
        <v>20</v>
      </c>
      <c r="H377" s="12">
        <v>11</v>
      </c>
      <c r="I377" s="12">
        <v>0</v>
      </c>
      <c r="J377" s="53" t="s">
        <v>584</v>
      </c>
      <c r="K377" s="12" t="s">
        <v>1097</v>
      </c>
      <c r="L377" s="11" t="s">
        <v>1096</v>
      </c>
    </row>
    <row r="378" spans="2:12">
      <c r="B378" t="s">
        <v>1504</v>
      </c>
      <c r="E378" s="12">
        <v>2</v>
      </c>
      <c r="F378" s="12">
        <v>5</v>
      </c>
      <c r="G378" s="12">
        <v>15</v>
      </c>
      <c r="H378" s="12">
        <v>9</v>
      </c>
      <c r="I378" s="12">
        <v>7</v>
      </c>
      <c r="J378" s="12">
        <v>15</v>
      </c>
      <c r="K378" s="12" t="s">
        <v>1099</v>
      </c>
      <c r="L378" s="11" t="s">
        <v>1098</v>
      </c>
    </row>
    <row r="379" spans="2:12" s="25" customFormat="1">
      <c r="B379" s="25" t="s">
        <v>1565</v>
      </c>
      <c r="E379" s="27">
        <f>AVERAGE(E374:E378)</f>
        <v>5.6</v>
      </c>
      <c r="F379" s="27">
        <f t="shared" ref="F379:J379" si="49">AVERAGE(F374:F378)</f>
        <v>9.6</v>
      </c>
      <c r="G379" s="27">
        <f t="shared" si="49"/>
        <v>13.6</v>
      </c>
      <c r="H379" s="27">
        <f t="shared" si="49"/>
        <v>8.6</v>
      </c>
      <c r="I379" s="27">
        <f t="shared" si="49"/>
        <v>4.8</v>
      </c>
      <c r="J379" s="27">
        <f t="shared" si="49"/>
        <v>16.75</v>
      </c>
      <c r="K379" s="26"/>
    </row>
    <row r="380" spans="2:12" s="25" customFormat="1">
      <c r="B380" s="25" t="s">
        <v>1566</v>
      </c>
      <c r="E380" s="25">
        <f t="shared" ref="E380:J380" si="50">E379/E2</f>
        <v>0.37333333333333329</v>
      </c>
      <c r="F380" s="25">
        <f t="shared" si="50"/>
        <v>0.28235294117647058</v>
      </c>
      <c r="G380" s="25">
        <f t="shared" si="50"/>
        <v>0.28936170212765955</v>
      </c>
      <c r="H380" s="25">
        <f t="shared" si="50"/>
        <v>0.24571428571428569</v>
      </c>
      <c r="I380" s="25">
        <f t="shared" si="50"/>
        <v>0.15483870967741936</v>
      </c>
      <c r="J380" s="25">
        <f t="shared" si="50"/>
        <v>0.30454545454545456</v>
      </c>
      <c r="K380" s="26"/>
    </row>
    <row r="381" spans="2:12">
      <c r="B381" t="s">
        <v>1371</v>
      </c>
      <c r="C381" s="12">
        <v>27</v>
      </c>
      <c r="D381" s="12">
        <v>27</v>
      </c>
      <c r="K381" s="12" t="s">
        <v>1101</v>
      </c>
      <c r="L381" s="11" t="s">
        <v>1100</v>
      </c>
    </row>
    <row r="382" spans="2:12">
      <c r="B382" t="s">
        <v>1372</v>
      </c>
      <c r="C382" s="12">
        <v>39</v>
      </c>
      <c r="D382" s="12">
        <v>18</v>
      </c>
      <c r="K382" s="12" t="s">
        <v>1104</v>
      </c>
      <c r="L382" s="11" t="s">
        <v>1103</v>
      </c>
    </row>
    <row r="383" spans="2:12">
      <c r="B383" t="s">
        <v>1373</v>
      </c>
      <c r="C383" s="12">
        <v>32</v>
      </c>
      <c r="D383" s="12">
        <v>27</v>
      </c>
      <c r="K383" s="12" t="s">
        <v>1106</v>
      </c>
      <c r="L383" s="11" t="s">
        <v>1105</v>
      </c>
    </row>
    <row r="384" spans="2:12">
      <c r="B384" t="s">
        <v>1374</v>
      </c>
      <c r="C384" s="12">
        <v>34</v>
      </c>
      <c r="D384" s="12">
        <v>22</v>
      </c>
      <c r="K384" s="12" t="s">
        <v>1109</v>
      </c>
      <c r="L384" s="11" t="s">
        <v>1108</v>
      </c>
    </row>
    <row r="385" spans="2:12">
      <c r="B385" t="s">
        <v>1375</v>
      </c>
      <c r="C385" s="12">
        <v>32</v>
      </c>
      <c r="D385" s="12">
        <v>25</v>
      </c>
      <c r="K385" s="12" t="s">
        <v>1111</v>
      </c>
      <c r="L385" s="11" t="s">
        <v>1110</v>
      </c>
    </row>
    <row r="386" spans="2:12" s="25" customFormat="1">
      <c r="B386" s="25" t="s">
        <v>1565</v>
      </c>
      <c r="C386" s="27">
        <f>AVERAGE(C381:C385)</f>
        <v>32.799999999999997</v>
      </c>
      <c r="D386" s="27">
        <f>AVERAGE(D381:D385)</f>
        <v>23.8</v>
      </c>
      <c r="K386" s="26"/>
    </row>
    <row r="387" spans="2:12" s="25" customFormat="1">
      <c r="B387" s="25" t="s">
        <v>1566</v>
      </c>
      <c r="C387" s="25">
        <f>C386/C2</f>
        <v>0.65599999999999992</v>
      </c>
      <c r="D387" s="25">
        <f>D386/D2</f>
        <v>0.47600000000000003</v>
      </c>
      <c r="K387" s="26"/>
    </row>
    <row r="388" spans="2:12">
      <c r="B388" t="s">
        <v>1505</v>
      </c>
      <c r="E388" s="12">
        <v>10</v>
      </c>
      <c r="F388" s="12">
        <v>6</v>
      </c>
      <c r="G388" s="12">
        <v>19</v>
      </c>
      <c r="H388" s="12">
        <v>11</v>
      </c>
      <c r="I388" s="12">
        <v>11</v>
      </c>
      <c r="J388" s="12">
        <v>23</v>
      </c>
      <c r="K388" s="12" t="s">
        <v>1113</v>
      </c>
      <c r="L388" s="11" t="s">
        <v>1112</v>
      </c>
    </row>
    <row r="389" spans="2:12">
      <c r="B389" t="s">
        <v>1506</v>
      </c>
      <c r="E389" s="12">
        <v>6</v>
      </c>
      <c r="F389" s="12">
        <v>11</v>
      </c>
      <c r="G389" s="12">
        <v>26</v>
      </c>
      <c r="H389" s="12">
        <v>16</v>
      </c>
      <c r="I389" s="12">
        <v>8</v>
      </c>
      <c r="J389" s="12">
        <v>33</v>
      </c>
      <c r="K389" s="12" t="s">
        <v>1115</v>
      </c>
      <c r="L389" s="11" t="s">
        <v>1114</v>
      </c>
    </row>
    <row r="390" spans="2:12">
      <c r="B390" t="s">
        <v>1507</v>
      </c>
      <c r="E390" s="12">
        <v>4</v>
      </c>
      <c r="F390" s="12">
        <v>17</v>
      </c>
      <c r="G390" s="12">
        <v>2</v>
      </c>
      <c r="H390" s="12">
        <v>15</v>
      </c>
      <c r="I390" s="12">
        <v>5</v>
      </c>
      <c r="J390" s="12">
        <v>19</v>
      </c>
      <c r="K390" s="12" t="s">
        <v>1117</v>
      </c>
      <c r="L390" s="11" t="s">
        <v>1116</v>
      </c>
    </row>
    <row r="391" spans="2:12">
      <c r="B391" t="s">
        <v>1508</v>
      </c>
      <c r="E391" s="12">
        <v>3</v>
      </c>
      <c r="F391" s="12">
        <v>6</v>
      </c>
      <c r="G391" s="12">
        <v>7</v>
      </c>
      <c r="H391" s="12">
        <v>24</v>
      </c>
      <c r="I391" s="12">
        <v>9</v>
      </c>
      <c r="J391" s="12">
        <v>21</v>
      </c>
      <c r="K391" s="12" t="s">
        <v>1119</v>
      </c>
      <c r="L391" s="11" t="s">
        <v>1118</v>
      </c>
    </row>
    <row r="392" spans="2:12">
      <c r="B392" t="s">
        <v>1509</v>
      </c>
      <c r="E392" s="12">
        <v>7</v>
      </c>
      <c r="F392" s="12">
        <v>13</v>
      </c>
      <c r="G392" s="12">
        <v>19</v>
      </c>
      <c r="H392" s="12">
        <v>21</v>
      </c>
      <c r="I392" s="12">
        <v>10</v>
      </c>
      <c r="J392" s="12">
        <v>27</v>
      </c>
      <c r="K392" s="12" t="s">
        <v>1121</v>
      </c>
      <c r="L392" s="11" t="s">
        <v>1120</v>
      </c>
    </row>
    <row r="393" spans="2:12" s="25" customFormat="1">
      <c r="B393" s="25" t="s">
        <v>1565</v>
      </c>
      <c r="E393" s="27">
        <f>AVERAGE(E388:E392)</f>
        <v>6</v>
      </c>
      <c r="F393" s="27">
        <f t="shared" ref="F393:J393" si="51">AVERAGE(F388:F392)</f>
        <v>10.6</v>
      </c>
      <c r="G393" s="27">
        <f t="shared" si="51"/>
        <v>14.6</v>
      </c>
      <c r="H393" s="27">
        <f t="shared" si="51"/>
        <v>17.399999999999999</v>
      </c>
      <c r="I393" s="27">
        <f t="shared" si="51"/>
        <v>8.6</v>
      </c>
      <c r="J393" s="27">
        <f t="shared" si="51"/>
        <v>24.6</v>
      </c>
      <c r="K393" s="26"/>
    </row>
    <row r="394" spans="2:12" s="25" customFormat="1">
      <c r="B394" s="25" t="s">
        <v>1566</v>
      </c>
      <c r="E394" s="25">
        <f t="shared" ref="E394:J394" si="52">E393/E2</f>
        <v>0.4</v>
      </c>
      <c r="F394" s="25">
        <f t="shared" si="52"/>
        <v>0.31176470588235294</v>
      </c>
      <c r="G394" s="25">
        <f t="shared" si="52"/>
        <v>0.31063829787234043</v>
      </c>
      <c r="H394" s="25">
        <f t="shared" si="52"/>
        <v>0.49714285714285711</v>
      </c>
      <c r="I394" s="25">
        <f t="shared" si="52"/>
        <v>0.27741935483870966</v>
      </c>
      <c r="J394" s="25">
        <f t="shared" si="52"/>
        <v>0.44727272727272732</v>
      </c>
      <c r="K394" s="26"/>
    </row>
    <row r="395" spans="2:12">
      <c r="B395" s="4" t="s">
        <v>477</v>
      </c>
      <c r="C395" s="3">
        <v>21</v>
      </c>
      <c r="D395" s="3">
        <v>33</v>
      </c>
      <c r="K395" s="3" t="s">
        <v>478</v>
      </c>
      <c r="L395" s="4" t="s">
        <v>479</v>
      </c>
    </row>
    <row r="396" spans="2:12">
      <c r="B396" s="4" t="s">
        <v>481</v>
      </c>
      <c r="C396" s="3">
        <v>22</v>
      </c>
      <c r="D396" s="3">
        <v>32</v>
      </c>
      <c r="K396" s="3" t="s">
        <v>482</v>
      </c>
      <c r="L396" s="4" t="s">
        <v>483</v>
      </c>
    </row>
    <row r="397" spans="2:12">
      <c r="B397" s="4" t="s">
        <v>485</v>
      </c>
      <c r="C397" s="3">
        <v>14</v>
      </c>
      <c r="D397" s="3">
        <v>13</v>
      </c>
      <c r="K397" s="3" t="s">
        <v>486</v>
      </c>
      <c r="L397" s="4" t="s">
        <v>487</v>
      </c>
    </row>
    <row r="398" spans="2:12">
      <c r="B398" s="4" t="s">
        <v>488</v>
      </c>
      <c r="C398" s="6">
        <v>9</v>
      </c>
      <c r="D398" s="6">
        <v>14</v>
      </c>
      <c r="K398" s="3" t="s">
        <v>489</v>
      </c>
      <c r="L398" s="4" t="s">
        <v>490</v>
      </c>
    </row>
    <row r="399" spans="2:12">
      <c r="B399" s="4" t="s">
        <v>491</v>
      </c>
      <c r="C399" s="6">
        <v>10</v>
      </c>
      <c r="D399" s="6">
        <v>19</v>
      </c>
      <c r="K399" s="3" t="s">
        <v>492</v>
      </c>
      <c r="L399" s="4" t="s">
        <v>493</v>
      </c>
    </row>
    <row r="400" spans="2:12" s="25" customFormat="1">
      <c r="B400" s="25" t="s">
        <v>1565</v>
      </c>
      <c r="C400" s="33">
        <f>AVERAGE(C395:C399)</f>
        <v>15.2</v>
      </c>
      <c r="D400" s="33">
        <f>AVERAGE(D395:D399)</f>
        <v>22.2</v>
      </c>
      <c r="K400" s="26"/>
    </row>
    <row r="401" spans="2:12" s="25" customFormat="1">
      <c r="B401" s="25" t="s">
        <v>1566</v>
      </c>
      <c r="C401" s="25">
        <f>C400/C2</f>
        <v>0.30399999999999999</v>
      </c>
      <c r="D401" s="25">
        <f>D400/D2</f>
        <v>0.44400000000000001</v>
      </c>
      <c r="K401" s="26"/>
    </row>
    <row r="402" spans="2:12">
      <c r="B402" s="4" t="s">
        <v>494</v>
      </c>
      <c r="E402" s="3">
        <v>5</v>
      </c>
      <c r="F402" s="3">
        <v>7</v>
      </c>
      <c r="G402" s="3">
        <v>30</v>
      </c>
      <c r="H402" s="3">
        <v>11</v>
      </c>
      <c r="I402" s="3">
        <v>4</v>
      </c>
      <c r="J402" s="53" t="s">
        <v>584</v>
      </c>
      <c r="K402" s="3" t="s">
        <v>495</v>
      </c>
      <c r="L402" s="5" t="s">
        <v>496</v>
      </c>
    </row>
    <row r="403" spans="2:12">
      <c r="B403" s="4" t="s">
        <v>497</v>
      </c>
      <c r="E403" s="6">
        <v>5</v>
      </c>
      <c r="F403" s="6">
        <v>6</v>
      </c>
      <c r="G403" s="6">
        <v>26</v>
      </c>
      <c r="H403" s="6">
        <v>4</v>
      </c>
      <c r="I403" s="6">
        <v>10</v>
      </c>
      <c r="J403" s="6">
        <v>16</v>
      </c>
      <c r="K403" s="3" t="s">
        <v>498</v>
      </c>
      <c r="L403" s="5" t="s">
        <v>499</v>
      </c>
    </row>
    <row r="404" spans="2:12">
      <c r="B404" s="4" t="s">
        <v>500</v>
      </c>
      <c r="E404" s="3">
        <v>6</v>
      </c>
      <c r="F404" s="3">
        <v>1</v>
      </c>
      <c r="G404" s="3">
        <v>20</v>
      </c>
      <c r="H404" s="3">
        <v>11</v>
      </c>
      <c r="I404" s="3">
        <v>10</v>
      </c>
      <c r="J404" s="3">
        <v>17</v>
      </c>
      <c r="K404" s="3" t="s">
        <v>501</v>
      </c>
      <c r="L404" s="5" t="s">
        <v>502</v>
      </c>
    </row>
    <row r="405" spans="2:12">
      <c r="B405" s="4" t="s">
        <v>503</v>
      </c>
      <c r="E405" s="3">
        <v>0</v>
      </c>
      <c r="F405" s="3">
        <v>5</v>
      </c>
      <c r="G405" s="3">
        <v>22</v>
      </c>
      <c r="H405" s="3">
        <v>9</v>
      </c>
      <c r="I405" s="3">
        <v>14</v>
      </c>
      <c r="J405" s="3">
        <v>14</v>
      </c>
      <c r="K405" s="3" t="s">
        <v>504</v>
      </c>
      <c r="L405" s="5" t="s">
        <v>505</v>
      </c>
    </row>
    <row r="406" spans="2:12">
      <c r="B406" s="4" t="s">
        <v>507</v>
      </c>
      <c r="E406" s="3">
        <v>9</v>
      </c>
      <c r="F406" s="3">
        <v>3</v>
      </c>
      <c r="G406" s="3">
        <v>24</v>
      </c>
      <c r="H406" s="3">
        <v>5</v>
      </c>
      <c r="I406" s="3">
        <v>17</v>
      </c>
      <c r="J406" s="3">
        <v>16</v>
      </c>
      <c r="K406" s="3" t="s">
        <v>508</v>
      </c>
      <c r="L406" s="5" t="s">
        <v>509</v>
      </c>
    </row>
    <row r="407" spans="2:12" s="25" customFormat="1">
      <c r="B407" s="25" t="s">
        <v>1565</v>
      </c>
      <c r="E407" s="27">
        <f>AVERAGE(E402:E406)</f>
        <v>5</v>
      </c>
      <c r="F407" s="27">
        <f t="shared" ref="F407:J407" si="53">AVERAGE(F402:F406)</f>
        <v>4.4000000000000004</v>
      </c>
      <c r="G407" s="27">
        <f t="shared" si="53"/>
        <v>24.4</v>
      </c>
      <c r="H407" s="27">
        <f t="shared" si="53"/>
        <v>8</v>
      </c>
      <c r="I407" s="27">
        <f t="shared" si="53"/>
        <v>11</v>
      </c>
      <c r="J407" s="27">
        <f t="shared" si="53"/>
        <v>15.75</v>
      </c>
      <c r="K407" s="26"/>
    </row>
    <row r="408" spans="2:12" s="25" customFormat="1">
      <c r="B408" s="25" t="s">
        <v>1566</v>
      </c>
      <c r="E408" s="25">
        <f t="shared" ref="E408:J408" si="54">E407/E2</f>
        <v>0.33333333333333331</v>
      </c>
      <c r="F408" s="25">
        <f t="shared" si="54"/>
        <v>0.12941176470588237</v>
      </c>
      <c r="G408" s="25">
        <f t="shared" si="54"/>
        <v>0.51914893617021274</v>
      </c>
      <c r="H408" s="25">
        <f t="shared" si="54"/>
        <v>0.22857142857142856</v>
      </c>
      <c r="I408" s="25">
        <f t="shared" si="54"/>
        <v>0.35483870967741937</v>
      </c>
      <c r="J408" s="25">
        <f t="shared" si="54"/>
        <v>0.28636363636363638</v>
      </c>
      <c r="K408" s="26"/>
    </row>
    <row r="409" spans="2:12">
      <c r="B409" s="4" t="s">
        <v>510</v>
      </c>
      <c r="C409" s="6">
        <v>6</v>
      </c>
      <c r="D409" s="6">
        <v>17</v>
      </c>
      <c r="K409" s="3" t="s">
        <v>511</v>
      </c>
      <c r="L409" s="4" t="s">
        <v>512</v>
      </c>
    </row>
    <row r="410" spans="2:12">
      <c r="B410" s="4" t="s">
        <v>513</v>
      </c>
      <c r="C410" s="6">
        <v>21</v>
      </c>
      <c r="D410" s="6">
        <v>16</v>
      </c>
      <c r="K410" s="3" t="s">
        <v>514</v>
      </c>
      <c r="L410" s="4" t="s">
        <v>515</v>
      </c>
    </row>
    <row r="411" spans="2:12">
      <c r="B411" s="4" t="s">
        <v>516</v>
      </c>
      <c r="C411" s="3">
        <v>12</v>
      </c>
      <c r="D411" s="3">
        <v>19</v>
      </c>
      <c r="K411" s="3" t="s">
        <v>517</v>
      </c>
      <c r="L411" s="4" t="s">
        <v>518</v>
      </c>
    </row>
    <row r="412" spans="2:12">
      <c r="B412" s="4" t="s">
        <v>519</v>
      </c>
      <c r="C412" s="6">
        <v>9</v>
      </c>
      <c r="D412" s="6">
        <v>14</v>
      </c>
      <c r="K412" s="3" t="s">
        <v>520</v>
      </c>
      <c r="L412" s="4" t="s">
        <v>521</v>
      </c>
    </row>
    <row r="413" spans="2:12">
      <c r="B413" s="4" t="s">
        <v>523</v>
      </c>
      <c r="C413" s="3">
        <v>16</v>
      </c>
      <c r="D413" s="3">
        <v>18</v>
      </c>
      <c r="K413" s="3" t="s">
        <v>524</v>
      </c>
      <c r="L413" s="4" t="s">
        <v>525</v>
      </c>
    </row>
    <row r="414" spans="2:12" s="25" customFormat="1">
      <c r="B414" s="25" t="s">
        <v>1565</v>
      </c>
      <c r="C414" s="27">
        <f>AVERAGE(C409:C413)</f>
        <v>12.8</v>
      </c>
      <c r="D414" s="27">
        <f>AVERAGE(D409:D413)</f>
        <v>16.8</v>
      </c>
      <c r="K414" s="26"/>
    </row>
    <row r="415" spans="2:12" s="25" customFormat="1">
      <c r="B415" s="25" t="s">
        <v>1566</v>
      </c>
      <c r="C415" s="25">
        <f>C414/C2</f>
        <v>0.25600000000000001</v>
      </c>
      <c r="D415" s="25">
        <f>D414/D2</f>
        <v>0.33600000000000002</v>
      </c>
      <c r="K415" s="26"/>
    </row>
    <row r="416" spans="2:12">
      <c r="B416" s="4" t="s">
        <v>526</v>
      </c>
      <c r="E416" s="3">
        <v>3</v>
      </c>
      <c r="F416" s="3">
        <v>4</v>
      </c>
      <c r="G416" s="3">
        <v>34</v>
      </c>
      <c r="H416" s="3">
        <v>19</v>
      </c>
      <c r="I416" s="3">
        <v>16</v>
      </c>
      <c r="J416" s="3">
        <v>20</v>
      </c>
      <c r="K416" s="3" t="s">
        <v>527</v>
      </c>
      <c r="L416" s="5" t="s">
        <v>528</v>
      </c>
    </row>
    <row r="417" spans="2:12">
      <c r="B417" s="4" t="s">
        <v>529</v>
      </c>
      <c r="E417" s="3">
        <v>0</v>
      </c>
      <c r="F417" s="3">
        <v>8</v>
      </c>
      <c r="G417" s="3">
        <v>21</v>
      </c>
      <c r="H417" s="3">
        <v>10</v>
      </c>
      <c r="I417" s="3">
        <v>12</v>
      </c>
      <c r="J417" s="3">
        <v>19</v>
      </c>
      <c r="K417" s="3" t="s">
        <v>530</v>
      </c>
      <c r="L417" s="5" t="s">
        <v>531</v>
      </c>
    </row>
    <row r="418" spans="2:12">
      <c r="B418" s="4" t="s">
        <v>532</v>
      </c>
      <c r="E418" s="3">
        <v>3</v>
      </c>
      <c r="F418" s="3">
        <v>7</v>
      </c>
      <c r="G418" s="3">
        <v>16</v>
      </c>
      <c r="H418" s="3">
        <v>22</v>
      </c>
      <c r="I418" s="3">
        <v>12</v>
      </c>
      <c r="J418" s="3">
        <v>26</v>
      </c>
      <c r="K418" s="3" t="s">
        <v>533</v>
      </c>
      <c r="L418" s="5" t="s">
        <v>534</v>
      </c>
    </row>
    <row r="419" spans="2:12">
      <c r="B419" s="4" t="s">
        <v>535</v>
      </c>
      <c r="E419" s="3">
        <v>5</v>
      </c>
      <c r="F419" s="3">
        <v>5</v>
      </c>
      <c r="G419" s="3">
        <v>29</v>
      </c>
      <c r="H419" s="3">
        <v>4</v>
      </c>
      <c r="I419" s="3">
        <v>5</v>
      </c>
      <c r="J419" s="3">
        <v>17</v>
      </c>
      <c r="K419" s="3" t="s">
        <v>536</v>
      </c>
      <c r="L419" s="5" t="s">
        <v>537</v>
      </c>
    </row>
    <row r="420" spans="2:12">
      <c r="B420" s="4" t="s">
        <v>538</v>
      </c>
      <c r="E420" s="3">
        <v>0</v>
      </c>
      <c r="F420" s="3">
        <v>10</v>
      </c>
      <c r="G420" s="3">
        <v>27</v>
      </c>
      <c r="H420" s="3">
        <v>20</v>
      </c>
      <c r="I420" s="3">
        <v>10</v>
      </c>
      <c r="J420" s="3">
        <v>30</v>
      </c>
      <c r="K420" s="3" t="s">
        <v>539</v>
      </c>
      <c r="L420" s="5" t="s">
        <v>540</v>
      </c>
    </row>
    <row r="421" spans="2:12" s="25" customFormat="1">
      <c r="B421" s="25" t="s">
        <v>1565</v>
      </c>
      <c r="E421" s="27">
        <f>AVERAGE(E416:E420)</f>
        <v>2.2000000000000002</v>
      </c>
      <c r="F421" s="27">
        <f t="shared" ref="F421:J421" si="55">AVERAGE(F416:F420)</f>
        <v>6.8</v>
      </c>
      <c r="G421" s="27">
        <f t="shared" si="55"/>
        <v>25.4</v>
      </c>
      <c r="H421" s="27">
        <f t="shared" si="55"/>
        <v>15</v>
      </c>
      <c r="I421" s="27">
        <f t="shared" si="55"/>
        <v>11</v>
      </c>
      <c r="J421" s="27">
        <f t="shared" si="55"/>
        <v>22.4</v>
      </c>
      <c r="K421" s="26"/>
    </row>
    <row r="422" spans="2:12" s="25" customFormat="1">
      <c r="B422" s="25" t="s">
        <v>1566</v>
      </c>
      <c r="E422" s="25">
        <f t="shared" ref="E422:J422" si="56">E421/E2</f>
        <v>0.14666666666666667</v>
      </c>
      <c r="F422" s="25">
        <f t="shared" si="56"/>
        <v>0.19999999999999998</v>
      </c>
      <c r="G422" s="25">
        <f t="shared" si="56"/>
        <v>0.54042553191489362</v>
      </c>
      <c r="H422" s="25">
        <f t="shared" si="56"/>
        <v>0.42857142857142855</v>
      </c>
      <c r="I422" s="25">
        <f t="shared" si="56"/>
        <v>0.35483870967741937</v>
      </c>
      <c r="J422" s="25">
        <f t="shared" si="56"/>
        <v>0.40727272727272723</v>
      </c>
      <c r="K422" s="26"/>
    </row>
    <row r="423" spans="2:12">
      <c r="B423" t="s">
        <v>1376</v>
      </c>
      <c r="C423" s="12">
        <v>29</v>
      </c>
      <c r="D423" s="12">
        <v>34</v>
      </c>
      <c r="K423" s="12" t="s">
        <v>1123</v>
      </c>
      <c r="L423" s="11" t="s">
        <v>1122</v>
      </c>
    </row>
    <row r="424" spans="2:12">
      <c r="B424" t="s">
        <v>1377</v>
      </c>
      <c r="C424" s="12">
        <v>25</v>
      </c>
      <c r="D424" s="12">
        <v>36</v>
      </c>
      <c r="K424" s="12" t="s">
        <v>1127</v>
      </c>
      <c r="L424" s="11" t="s">
        <v>1126</v>
      </c>
    </row>
    <row r="425" spans="2:12">
      <c r="B425" t="s">
        <v>1378</v>
      </c>
      <c r="C425" s="12">
        <v>29</v>
      </c>
      <c r="D425" s="12">
        <v>31</v>
      </c>
      <c r="K425" s="12" t="s">
        <v>1130</v>
      </c>
      <c r="L425" s="11" t="s">
        <v>1129</v>
      </c>
    </row>
    <row r="426" spans="2:12">
      <c r="B426" t="s">
        <v>1379</v>
      </c>
      <c r="C426" s="12">
        <v>21</v>
      </c>
      <c r="D426" s="12">
        <v>43</v>
      </c>
      <c r="K426" s="12" t="s">
        <v>1134</v>
      </c>
      <c r="L426" s="11" t="s">
        <v>1133</v>
      </c>
    </row>
    <row r="427" spans="2:12">
      <c r="B427" t="s">
        <v>1380</v>
      </c>
      <c r="C427" s="12">
        <v>26</v>
      </c>
      <c r="D427" s="12">
        <v>27</v>
      </c>
      <c r="K427" s="12" t="s">
        <v>1138</v>
      </c>
      <c r="L427" s="11" t="s">
        <v>1137</v>
      </c>
    </row>
    <row r="428" spans="2:12" s="25" customFormat="1">
      <c r="B428" s="25" t="s">
        <v>1565</v>
      </c>
      <c r="C428" s="27">
        <f>AVERAGE(C423:C427)</f>
        <v>26</v>
      </c>
      <c r="D428" s="27">
        <f>AVERAGE(D423:D427)</f>
        <v>34.200000000000003</v>
      </c>
      <c r="K428" s="26"/>
    </row>
    <row r="429" spans="2:12" s="25" customFormat="1">
      <c r="B429" s="25" t="s">
        <v>1566</v>
      </c>
      <c r="C429" s="25">
        <f>C428/C2</f>
        <v>0.52</v>
      </c>
      <c r="D429" s="25">
        <f>D428/D2</f>
        <v>0.68400000000000005</v>
      </c>
      <c r="K429" s="26"/>
    </row>
    <row r="430" spans="2:12">
      <c r="B430" t="s">
        <v>1510</v>
      </c>
      <c r="E430" s="12">
        <v>7</v>
      </c>
      <c r="F430" s="12">
        <v>5</v>
      </c>
      <c r="G430" s="12">
        <v>22</v>
      </c>
      <c r="H430" s="12">
        <v>6</v>
      </c>
      <c r="I430" s="12">
        <v>6</v>
      </c>
      <c r="J430" s="12">
        <v>22</v>
      </c>
      <c r="K430" s="12" t="s">
        <v>1141</v>
      </c>
      <c r="L430" s="11" t="s">
        <v>1140</v>
      </c>
    </row>
    <row r="431" spans="2:12">
      <c r="B431" t="s">
        <v>1511</v>
      </c>
      <c r="E431" s="12">
        <v>9</v>
      </c>
      <c r="F431" s="12">
        <v>5</v>
      </c>
      <c r="G431" s="12">
        <v>16</v>
      </c>
      <c r="H431" s="12">
        <v>13</v>
      </c>
      <c r="I431" s="12">
        <v>2</v>
      </c>
      <c r="J431" s="12">
        <v>21</v>
      </c>
      <c r="K431" s="12" t="s">
        <v>1143</v>
      </c>
      <c r="L431" s="11" t="s">
        <v>1142</v>
      </c>
    </row>
    <row r="432" spans="2:12">
      <c r="B432" t="s">
        <v>1512</v>
      </c>
      <c r="E432" s="12">
        <v>8</v>
      </c>
      <c r="F432" s="12">
        <v>8</v>
      </c>
      <c r="G432" s="12">
        <v>16</v>
      </c>
      <c r="H432" s="12">
        <v>4</v>
      </c>
      <c r="I432" s="12">
        <v>7</v>
      </c>
      <c r="J432" s="12">
        <v>14</v>
      </c>
      <c r="K432" s="12" t="s">
        <v>1145</v>
      </c>
      <c r="L432" s="11" t="s">
        <v>1144</v>
      </c>
    </row>
    <row r="433" spans="2:12">
      <c r="B433" t="s">
        <v>1513</v>
      </c>
      <c r="E433" s="12">
        <v>5</v>
      </c>
      <c r="F433" s="12">
        <v>7</v>
      </c>
      <c r="G433" s="12">
        <v>15</v>
      </c>
      <c r="H433" s="12">
        <v>6</v>
      </c>
      <c r="I433" s="12">
        <v>8</v>
      </c>
      <c r="J433" s="12">
        <v>21</v>
      </c>
      <c r="K433" s="12" t="s">
        <v>1147</v>
      </c>
      <c r="L433" s="11" t="s">
        <v>1146</v>
      </c>
    </row>
    <row r="434" spans="2:12">
      <c r="B434" t="s">
        <v>1514</v>
      </c>
      <c r="E434" s="12">
        <v>6</v>
      </c>
      <c r="F434" s="12">
        <v>7</v>
      </c>
      <c r="G434" s="12">
        <v>25</v>
      </c>
      <c r="H434" s="12">
        <v>16</v>
      </c>
      <c r="I434" s="12">
        <v>16</v>
      </c>
      <c r="J434" s="12">
        <v>18</v>
      </c>
      <c r="K434" s="12" t="s">
        <v>1149</v>
      </c>
      <c r="L434" s="11" t="s">
        <v>1148</v>
      </c>
    </row>
    <row r="435" spans="2:12" s="25" customFormat="1">
      <c r="B435" s="25" t="s">
        <v>1565</v>
      </c>
      <c r="E435" s="27">
        <f>AVERAGE(E430:E434)</f>
        <v>7</v>
      </c>
      <c r="F435" s="27">
        <f t="shared" ref="F435:J435" si="57">AVERAGE(F430:F434)</f>
        <v>6.4</v>
      </c>
      <c r="G435" s="27">
        <f t="shared" si="57"/>
        <v>18.8</v>
      </c>
      <c r="H435" s="27">
        <f t="shared" si="57"/>
        <v>9</v>
      </c>
      <c r="I435" s="27">
        <f t="shared" si="57"/>
        <v>7.8</v>
      </c>
      <c r="J435" s="27">
        <f t="shared" si="57"/>
        <v>19.2</v>
      </c>
      <c r="K435" s="26"/>
    </row>
    <row r="436" spans="2:12" s="25" customFormat="1">
      <c r="B436" s="25" t="s">
        <v>1566</v>
      </c>
      <c r="E436" s="25">
        <f t="shared" ref="E436:J436" si="58">E435/E2</f>
        <v>0.46666666666666667</v>
      </c>
      <c r="F436" s="25">
        <f t="shared" si="58"/>
        <v>0.18823529411764706</v>
      </c>
      <c r="G436" s="25">
        <f t="shared" si="58"/>
        <v>0.4</v>
      </c>
      <c r="H436" s="25">
        <f t="shared" si="58"/>
        <v>0.25714285714285712</v>
      </c>
      <c r="I436" s="25">
        <f t="shared" si="58"/>
        <v>0.25161290322580643</v>
      </c>
      <c r="J436" s="25">
        <f t="shared" si="58"/>
        <v>0.34909090909090906</v>
      </c>
      <c r="K436" s="26"/>
    </row>
    <row r="437" spans="2:12">
      <c r="B437" t="s">
        <v>1381</v>
      </c>
      <c r="C437" s="12">
        <v>17</v>
      </c>
      <c r="D437" s="12">
        <v>12</v>
      </c>
      <c r="K437" s="12" t="s">
        <v>1151</v>
      </c>
      <c r="L437" s="11" t="s">
        <v>1150</v>
      </c>
    </row>
    <row r="438" spans="2:12">
      <c r="B438" t="s">
        <v>1382</v>
      </c>
      <c r="C438" s="12">
        <v>22</v>
      </c>
      <c r="D438" s="12">
        <v>9</v>
      </c>
      <c r="K438" s="12" t="s">
        <v>1154</v>
      </c>
      <c r="L438" s="11" t="s">
        <v>1153</v>
      </c>
    </row>
    <row r="439" spans="2:12">
      <c r="B439" t="s">
        <v>1383</v>
      </c>
      <c r="C439" s="12">
        <v>42</v>
      </c>
      <c r="D439" s="12">
        <v>43</v>
      </c>
      <c r="K439" s="12" t="s">
        <v>1157</v>
      </c>
      <c r="L439" s="11" t="s">
        <v>1156</v>
      </c>
    </row>
    <row r="440" spans="2:12">
      <c r="B440" t="s">
        <v>1384</v>
      </c>
      <c r="C440" s="12">
        <v>26</v>
      </c>
      <c r="D440" s="12">
        <v>39</v>
      </c>
      <c r="K440" s="12" t="s">
        <v>1160</v>
      </c>
      <c r="L440" s="11" t="s">
        <v>1159</v>
      </c>
    </row>
    <row r="441" spans="2:12">
      <c r="B441" t="s">
        <v>1385</v>
      </c>
      <c r="C441" s="12">
        <v>31</v>
      </c>
      <c r="D441" s="12">
        <v>23</v>
      </c>
      <c r="K441" s="12" t="s">
        <v>1162</v>
      </c>
      <c r="L441" s="11" t="s">
        <v>1161</v>
      </c>
    </row>
    <row r="442" spans="2:12" s="25" customFormat="1">
      <c r="B442" s="25" t="s">
        <v>1565</v>
      </c>
      <c r="C442" s="27">
        <f>AVERAGE(C437:C441)</f>
        <v>27.6</v>
      </c>
      <c r="D442" s="27">
        <f>AVERAGE(D437:D441)</f>
        <v>25.2</v>
      </c>
      <c r="K442" s="26"/>
    </row>
    <row r="443" spans="2:12" s="25" customFormat="1">
      <c r="B443" s="25" t="s">
        <v>1566</v>
      </c>
      <c r="C443" s="25">
        <f>C442/C2</f>
        <v>0.55200000000000005</v>
      </c>
      <c r="D443" s="25">
        <f>D442/D2</f>
        <v>0.504</v>
      </c>
      <c r="K443" s="26"/>
    </row>
    <row r="444" spans="2:12">
      <c r="B444" t="s">
        <v>1515</v>
      </c>
      <c r="E444" s="12">
        <v>6</v>
      </c>
      <c r="F444" s="12">
        <v>11</v>
      </c>
      <c r="G444" s="12">
        <v>18</v>
      </c>
      <c r="H444" s="12">
        <v>4</v>
      </c>
      <c r="I444" s="12">
        <v>10</v>
      </c>
      <c r="J444" s="12">
        <v>29</v>
      </c>
      <c r="K444" s="12" t="s">
        <v>1164</v>
      </c>
      <c r="L444" s="11" t="s">
        <v>1163</v>
      </c>
    </row>
    <row r="445" spans="2:12">
      <c r="B445" t="s">
        <v>1516</v>
      </c>
      <c r="E445" s="12">
        <v>3</v>
      </c>
      <c r="F445" s="12">
        <v>6</v>
      </c>
      <c r="G445" s="12">
        <v>9</v>
      </c>
      <c r="H445" s="12">
        <v>4</v>
      </c>
      <c r="I445" s="12">
        <v>8</v>
      </c>
      <c r="J445" s="12">
        <v>26</v>
      </c>
      <c r="K445" s="12" t="s">
        <v>1166</v>
      </c>
      <c r="L445" s="11" t="s">
        <v>1165</v>
      </c>
    </row>
    <row r="446" spans="2:12">
      <c r="B446" t="s">
        <v>1517</v>
      </c>
      <c r="E446" s="12">
        <v>4</v>
      </c>
      <c r="F446" s="12">
        <v>9</v>
      </c>
      <c r="G446" s="12">
        <v>21</v>
      </c>
      <c r="H446" s="12">
        <v>10</v>
      </c>
      <c r="I446" s="12">
        <v>6</v>
      </c>
      <c r="J446" s="12">
        <v>24</v>
      </c>
      <c r="K446" s="12" t="s">
        <v>1169</v>
      </c>
      <c r="L446" s="11" t="s">
        <v>1168</v>
      </c>
    </row>
    <row r="447" spans="2:12">
      <c r="B447" t="s">
        <v>1518</v>
      </c>
      <c r="E447" s="12">
        <v>4</v>
      </c>
      <c r="F447" s="12">
        <v>4</v>
      </c>
      <c r="G447" s="12">
        <v>10</v>
      </c>
      <c r="H447" s="12">
        <v>6</v>
      </c>
      <c r="I447" s="12">
        <v>8</v>
      </c>
      <c r="J447" s="12">
        <v>23</v>
      </c>
      <c r="K447" s="12" t="s">
        <v>1171</v>
      </c>
      <c r="L447" s="11" t="s">
        <v>1170</v>
      </c>
    </row>
    <row r="448" spans="2:12">
      <c r="B448" t="s">
        <v>1519</v>
      </c>
      <c r="E448" s="12">
        <v>13</v>
      </c>
      <c r="F448" s="12">
        <v>10</v>
      </c>
      <c r="G448" s="12">
        <v>33</v>
      </c>
      <c r="H448" s="12">
        <v>20</v>
      </c>
      <c r="I448" s="12">
        <v>18</v>
      </c>
      <c r="J448" s="12">
        <v>36</v>
      </c>
      <c r="K448" s="12" t="s">
        <v>1173</v>
      </c>
      <c r="L448" s="11" t="s">
        <v>1172</v>
      </c>
    </row>
    <row r="449" spans="2:12" s="25" customFormat="1">
      <c r="B449" s="25" t="s">
        <v>1565</v>
      </c>
      <c r="E449" s="27">
        <f>AVERAGE(E444:E448)</f>
        <v>6</v>
      </c>
      <c r="F449" s="27">
        <f t="shared" ref="F449:J449" si="59">AVERAGE(F444:F448)</f>
        <v>8</v>
      </c>
      <c r="G449" s="27">
        <f t="shared" si="59"/>
        <v>18.2</v>
      </c>
      <c r="H449" s="27">
        <f t="shared" si="59"/>
        <v>8.8000000000000007</v>
      </c>
      <c r="I449" s="27">
        <f t="shared" si="59"/>
        <v>10</v>
      </c>
      <c r="J449" s="27">
        <f t="shared" si="59"/>
        <v>27.6</v>
      </c>
      <c r="K449" s="26"/>
    </row>
    <row r="450" spans="2:12" s="25" customFormat="1">
      <c r="B450" s="25" t="s">
        <v>1566</v>
      </c>
      <c r="E450" s="25">
        <f t="shared" ref="E450:J450" si="60">E449/E2</f>
        <v>0.4</v>
      </c>
      <c r="F450" s="25">
        <f t="shared" si="60"/>
        <v>0.23529411764705882</v>
      </c>
      <c r="G450" s="25">
        <f t="shared" si="60"/>
        <v>0.38723404255319149</v>
      </c>
      <c r="H450" s="25">
        <f t="shared" si="60"/>
        <v>0.25142857142857145</v>
      </c>
      <c r="I450" s="25">
        <f t="shared" si="60"/>
        <v>0.32258064516129031</v>
      </c>
      <c r="J450" s="25">
        <f t="shared" si="60"/>
        <v>0.50181818181818183</v>
      </c>
      <c r="K450" s="26"/>
    </row>
    <row r="451" spans="2:12">
      <c r="B451" s="4" t="s">
        <v>82</v>
      </c>
      <c r="C451" s="3">
        <v>13</v>
      </c>
      <c r="D451" s="3">
        <v>14</v>
      </c>
      <c r="K451" s="3" t="s">
        <v>83</v>
      </c>
      <c r="L451" s="4" t="s">
        <v>84</v>
      </c>
    </row>
    <row r="452" spans="2:12">
      <c r="B452" s="4" t="s">
        <v>85</v>
      </c>
      <c r="C452" s="3">
        <v>11</v>
      </c>
      <c r="D452" s="3">
        <v>10</v>
      </c>
      <c r="K452" s="3" t="s">
        <v>86</v>
      </c>
      <c r="L452" s="4" t="s">
        <v>87</v>
      </c>
    </row>
    <row r="453" spans="2:12">
      <c r="B453" s="4" t="s">
        <v>90</v>
      </c>
      <c r="C453" s="3">
        <v>2</v>
      </c>
      <c r="D453" s="3">
        <v>14</v>
      </c>
      <c r="K453" s="3" t="s">
        <v>91</v>
      </c>
      <c r="L453" s="4" t="s">
        <v>92</v>
      </c>
    </row>
    <row r="454" spans="2:12">
      <c r="B454" s="4" t="s">
        <v>94</v>
      </c>
      <c r="C454" s="4"/>
      <c r="D454" s="3">
        <v>9</v>
      </c>
      <c r="K454" s="3" t="s">
        <v>95</v>
      </c>
      <c r="L454" s="4" t="s">
        <v>96</v>
      </c>
    </row>
    <row r="455" spans="2:12">
      <c r="B455" s="4" t="s">
        <v>97</v>
      </c>
      <c r="C455" s="3">
        <v>2</v>
      </c>
      <c r="D455" s="3">
        <v>10</v>
      </c>
      <c r="K455" s="3" t="s">
        <v>98</v>
      </c>
      <c r="L455" s="4" t="s">
        <v>99</v>
      </c>
    </row>
    <row r="456" spans="2:12" s="25" customFormat="1">
      <c r="B456" s="25" t="s">
        <v>1565</v>
      </c>
      <c r="C456" s="27">
        <v>7</v>
      </c>
      <c r="D456" s="27">
        <f>AVERAGE(D451:D455)</f>
        <v>11.4</v>
      </c>
      <c r="K456" s="26"/>
    </row>
    <row r="457" spans="2:12" s="25" customFormat="1">
      <c r="B457" s="25" t="s">
        <v>1566</v>
      </c>
      <c r="C457" s="25">
        <f>C456/C2</f>
        <v>0.14000000000000001</v>
      </c>
      <c r="D457" s="25">
        <f>D456/D2</f>
        <v>0.22800000000000001</v>
      </c>
      <c r="K457" s="26"/>
    </row>
    <row r="458" spans="2:12">
      <c r="B458" s="4" t="s">
        <v>100</v>
      </c>
      <c r="E458" s="6">
        <v>6</v>
      </c>
      <c r="F458" s="6">
        <v>6</v>
      </c>
      <c r="G458" s="6">
        <v>21</v>
      </c>
      <c r="H458" s="6">
        <v>4</v>
      </c>
      <c r="I458" s="6">
        <v>9</v>
      </c>
      <c r="J458" s="6">
        <v>22</v>
      </c>
      <c r="K458" s="3" t="s">
        <v>101</v>
      </c>
      <c r="L458" s="5" t="s">
        <v>102</v>
      </c>
    </row>
    <row r="459" spans="2:12">
      <c r="B459" s="4" t="s">
        <v>103</v>
      </c>
      <c r="E459" s="3">
        <v>4</v>
      </c>
      <c r="F459" s="3">
        <v>15</v>
      </c>
      <c r="G459" s="3">
        <v>19</v>
      </c>
      <c r="H459" s="3">
        <v>5</v>
      </c>
      <c r="I459" s="35" t="s">
        <v>584</v>
      </c>
      <c r="J459" s="56" t="s">
        <v>584</v>
      </c>
      <c r="K459" s="3" t="s">
        <v>104</v>
      </c>
      <c r="L459" s="5" t="s">
        <v>105</v>
      </c>
    </row>
    <row r="460" spans="2:12">
      <c r="B460" s="4" t="s">
        <v>106</v>
      </c>
      <c r="E460" s="3">
        <v>3</v>
      </c>
      <c r="F460" s="3">
        <v>7</v>
      </c>
      <c r="G460" s="3">
        <v>13</v>
      </c>
      <c r="H460" s="3">
        <v>13</v>
      </c>
      <c r="I460" s="3">
        <v>16</v>
      </c>
      <c r="J460" s="3">
        <v>22</v>
      </c>
      <c r="K460" s="3" t="s">
        <v>107</v>
      </c>
      <c r="L460" s="5" t="s">
        <v>108</v>
      </c>
    </row>
    <row r="461" spans="2:12">
      <c r="B461" s="4" t="s">
        <v>109</v>
      </c>
      <c r="E461" s="3">
        <v>4</v>
      </c>
      <c r="F461" s="3">
        <v>2</v>
      </c>
      <c r="G461" s="3">
        <v>19</v>
      </c>
      <c r="H461" s="3">
        <v>11</v>
      </c>
      <c r="I461" s="3">
        <v>14</v>
      </c>
      <c r="J461" s="3">
        <v>18</v>
      </c>
      <c r="K461" s="3" t="s">
        <v>110</v>
      </c>
      <c r="L461" s="5" t="s">
        <v>111</v>
      </c>
    </row>
    <row r="462" spans="2:12">
      <c r="B462" s="4" t="s">
        <v>112</v>
      </c>
      <c r="E462" s="3">
        <v>5</v>
      </c>
      <c r="F462" s="3">
        <v>2</v>
      </c>
      <c r="G462" s="3">
        <v>14</v>
      </c>
      <c r="H462" s="3">
        <v>12</v>
      </c>
      <c r="I462" s="3">
        <v>7</v>
      </c>
      <c r="J462" s="3">
        <v>25</v>
      </c>
      <c r="K462" s="3" t="s">
        <v>113</v>
      </c>
      <c r="L462" s="5" t="s">
        <v>114</v>
      </c>
    </row>
    <row r="463" spans="2:12" s="25" customFormat="1">
      <c r="B463" s="25" t="s">
        <v>1565</v>
      </c>
      <c r="E463" s="27">
        <f>AVERAGE(E458:E462)</f>
        <v>4.4000000000000004</v>
      </c>
      <c r="F463" s="27">
        <f t="shared" ref="F463:J463" si="61">AVERAGE(F458:F462)</f>
        <v>6.4</v>
      </c>
      <c r="G463" s="27">
        <f t="shared" si="61"/>
        <v>17.2</v>
      </c>
      <c r="H463" s="27">
        <f t="shared" si="61"/>
        <v>9</v>
      </c>
      <c r="I463" s="27">
        <f t="shared" si="61"/>
        <v>11.5</v>
      </c>
      <c r="J463" s="27">
        <f t="shared" si="61"/>
        <v>21.75</v>
      </c>
      <c r="K463" s="26"/>
    </row>
    <row r="464" spans="2:12" s="25" customFormat="1">
      <c r="B464" s="25" t="s">
        <v>1566</v>
      </c>
      <c r="E464" s="25">
        <f t="shared" ref="E464:J464" si="62">E463/E2</f>
        <v>0.29333333333333333</v>
      </c>
      <c r="F464" s="25">
        <f t="shared" si="62"/>
        <v>0.18823529411764706</v>
      </c>
      <c r="G464" s="25">
        <f t="shared" si="62"/>
        <v>0.36595744680851061</v>
      </c>
      <c r="H464" s="25">
        <f t="shared" si="62"/>
        <v>0.25714285714285712</v>
      </c>
      <c r="I464" s="25">
        <f t="shared" si="62"/>
        <v>0.37096774193548387</v>
      </c>
      <c r="J464" s="25">
        <f t="shared" si="62"/>
        <v>0.39545454545454545</v>
      </c>
      <c r="K464" s="26"/>
    </row>
    <row r="465" spans="2:12">
      <c r="B465" s="4" t="s">
        <v>115</v>
      </c>
      <c r="C465" s="6">
        <v>10</v>
      </c>
      <c r="D465" s="6">
        <v>12</v>
      </c>
      <c r="K465" s="3" t="s">
        <v>116</v>
      </c>
      <c r="L465" s="4" t="s">
        <v>117</v>
      </c>
    </row>
    <row r="466" spans="2:12">
      <c r="B466" s="4" t="s">
        <v>120</v>
      </c>
      <c r="C466" s="3">
        <v>8</v>
      </c>
      <c r="D466" s="3">
        <v>10</v>
      </c>
      <c r="K466" s="3" t="s">
        <v>121</v>
      </c>
      <c r="L466" s="4" t="s">
        <v>122</v>
      </c>
    </row>
    <row r="467" spans="2:12">
      <c r="B467" s="4" t="s">
        <v>123</v>
      </c>
      <c r="C467" s="3">
        <v>25</v>
      </c>
      <c r="D467" s="3">
        <v>8</v>
      </c>
      <c r="K467" s="3" t="s">
        <v>124</v>
      </c>
      <c r="L467" s="4" t="s">
        <v>125</v>
      </c>
    </row>
    <row r="468" spans="2:12">
      <c r="B468" s="4" t="s">
        <v>126</v>
      </c>
      <c r="C468" s="6">
        <v>15</v>
      </c>
      <c r="D468" s="6">
        <v>10</v>
      </c>
      <c r="K468" s="3" t="s">
        <v>127</v>
      </c>
      <c r="L468" s="4" t="s">
        <v>128</v>
      </c>
    </row>
    <row r="469" spans="2:12">
      <c r="B469" s="4" t="s">
        <v>130</v>
      </c>
      <c r="C469" s="3">
        <v>20</v>
      </c>
      <c r="D469" s="3">
        <v>8</v>
      </c>
      <c r="K469" s="3" t="s">
        <v>131</v>
      </c>
      <c r="L469" s="4" t="s">
        <v>132</v>
      </c>
    </row>
    <row r="470" spans="2:12" s="25" customFormat="1">
      <c r="B470" s="25" t="s">
        <v>1565</v>
      </c>
      <c r="C470" s="27">
        <f>AVERAGE(C465:C469)</f>
        <v>15.6</v>
      </c>
      <c r="D470" s="27">
        <f>AVERAGE(D465:D469)</f>
        <v>9.6</v>
      </c>
      <c r="K470" s="26"/>
    </row>
    <row r="471" spans="2:12" s="25" customFormat="1">
      <c r="B471" s="25" t="s">
        <v>1566</v>
      </c>
      <c r="C471" s="25">
        <f>C470/C2</f>
        <v>0.312</v>
      </c>
      <c r="D471" s="25">
        <f>D470/D2</f>
        <v>0.192</v>
      </c>
      <c r="K471" s="26"/>
    </row>
    <row r="472" spans="2:12">
      <c r="B472" s="4" t="s">
        <v>134</v>
      </c>
      <c r="E472" s="3">
        <v>7</v>
      </c>
      <c r="F472" s="3">
        <v>5</v>
      </c>
      <c r="G472" s="3">
        <v>17</v>
      </c>
      <c r="H472" s="3">
        <v>21</v>
      </c>
      <c r="I472" s="3">
        <v>20</v>
      </c>
      <c r="J472" s="3">
        <v>29</v>
      </c>
      <c r="K472" s="3" t="s">
        <v>135</v>
      </c>
      <c r="L472" s="5" t="s">
        <v>136</v>
      </c>
    </row>
    <row r="473" spans="2:12">
      <c r="B473" s="4" t="s">
        <v>137</v>
      </c>
      <c r="E473" s="3"/>
      <c r="F473" s="3"/>
      <c r="G473" s="3"/>
      <c r="H473" s="3"/>
      <c r="I473" s="3"/>
      <c r="J473" s="3"/>
      <c r="K473" s="3" t="s">
        <v>138</v>
      </c>
      <c r="L473" s="5" t="s">
        <v>139</v>
      </c>
    </row>
    <row r="474" spans="2:12">
      <c r="B474" s="4" t="s">
        <v>140</v>
      </c>
      <c r="E474" s="3">
        <v>6</v>
      </c>
      <c r="F474" s="3">
        <v>0</v>
      </c>
      <c r="G474" s="3">
        <v>11</v>
      </c>
      <c r="H474" s="3">
        <v>14</v>
      </c>
      <c r="I474" s="4"/>
      <c r="J474" s="4"/>
      <c r="K474" s="3" t="s">
        <v>141</v>
      </c>
      <c r="L474" s="5" t="s">
        <v>142</v>
      </c>
    </row>
    <row r="475" spans="2:12">
      <c r="B475" s="4" t="s">
        <v>143</v>
      </c>
      <c r="E475" s="3">
        <v>6</v>
      </c>
      <c r="F475" s="3">
        <v>11</v>
      </c>
      <c r="G475" s="3">
        <v>15</v>
      </c>
      <c r="H475" s="3">
        <v>27</v>
      </c>
      <c r="I475" s="3">
        <v>11</v>
      </c>
      <c r="J475" s="3">
        <v>26</v>
      </c>
      <c r="K475" s="3" t="s">
        <v>144</v>
      </c>
      <c r="L475" s="5" t="s">
        <v>145</v>
      </c>
    </row>
    <row r="476" spans="2:12">
      <c r="B476" s="4" t="s">
        <v>146</v>
      </c>
      <c r="E476" s="3">
        <v>5</v>
      </c>
      <c r="F476" s="3">
        <v>2</v>
      </c>
      <c r="G476" s="3">
        <v>23</v>
      </c>
      <c r="H476" s="3">
        <v>17</v>
      </c>
      <c r="I476" s="3">
        <v>6</v>
      </c>
      <c r="J476" s="3">
        <v>17</v>
      </c>
      <c r="K476" s="3" t="s">
        <v>147</v>
      </c>
      <c r="L476" s="5" t="s">
        <v>148</v>
      </c>
    </row>
    <row r="477" spans="2:12" s="25" customFormat="1">
      <c r="B477" s="25" t="s">
        <v>1565</v>
      </c>
      <c r="E477" s="27">
        <f>AVERAGE(E472:E476)</f>
        <v>6</v>
      </c>
      <c r="F477" s="27">
        <f t="shared" ref="F477:J477" si="63">AVERAGE(F472:F476)</f>
        <v>4.5</v>
      </c>
      <c r="G477" s="27">
        <f t="shared" si="63"/>
        <v>16.5</v>
      </c>
      <c r="H477" s="27">
        <f t="shared" si="63"/>
        <v>19.75</v>
      </c>
      <c r="I477" s="27">
        <f t="shared" si="63"/>
        <v>12.333333333333334</v>
      </c>
      <c r="J477" s="27">
        <f t="shared" si="63"/>
        <v>24</v>
      </c>
      <c r="K477" s="26"/>
    </row>
    <row r="478" spans="2:12" s="25" customFormat="1">
      <c r="B478" s="25" t="s">
        <v>1566</v>
      </c>
      <c r="E478" s="25">
        <f t="shared" ref="E478:J478" si="64">E477/E2</f>
        <v>0.4</v>
      </c>
      <c r="F478" s="25">
        <f t="shared" si="64"/>
        <v>0.13235294117647059</v>
      </c>
      <c r="G478" s="25">
        <f t="shared" si="64"/>
        <v>0.35106382978723405</v>
      </c>
      <c r="H478" s="25">
        <f t="shared" si="64"/>
        <v>0.56428571428571428</v>
      </c>
      <c r="I478" s="25">
        <f t="shared" si="64"/>
        <v>0.39784946236559143</v>
      </c>
      <c r="J478" s="25">
        <f t="shared" si="64"/>
        <v>0.43636363636363634</v>
      </c>
      <c r="K478" s="26"/>
    </row>
    <row r="479" spans="2:12">
      <c r="B479" s="4" t="s">
        <v>149</v>
      </c>
      <c r="C479" s="4"/>
      <c r="D479" s="4"/>
      <c r="K479" s="3" t="s">
        <v>150</v>
      </c>
      <c r="L479" s="4" t="s">
        <v>151</v>
      </c>
    </row>
    <row r="480" spans="2:12">
      <c r="B480" s="4" t="s">
        <v>152</v>
      </c>
      <c r="C480" s="4"/>
      <c r="D480" s="4"/>
      <c r="K480" s="3" t="s">
        <v>153</v>
      </c>
      <c r="L480" s="4" t="s">
        <v>154</v>
      </c>
    </row>
    <row r="481" spans="2:12">
      <c r="B481" s="4" t="s">
        <v>156</v>
      </c>
      <c r="C481" s="3">
        <v>32</v>
      </c>
      <c r="D481" s="3">
        <v>27</v>
      </c>
      <c r="K481" s="3" t="s">
        <v>157</v>
      </c>
      <c r="L481" s="4" t="s">
        <v>158</v>
      </c>
    </row>
    <row r="482" spans="2:12">
      <c r="B482" s="4" t="s">
        <v>160</v>
      </c>
      <c r="C482" s="3">
        <v>32</v>
      </c>
      <c r="D482" s="3">
        <v>15</v>
      </c>
      <c r="K482" s="3" t="s">
        <v>161</v>
      </c>
      <c r="L482" s="4" t="s">
        <v>162</v>
      </c>
    </row>
    <row r="483" spans="2:12">
      <c r="B483" s="4" t="s">
        <v>163</v>
      </c>
      <c r="C483" s="3">
        <v>23</v>
      </c>
      <c r="D483" s="3">
        <v>16</v>
      </c>
      <c r="K483" s="3" t="s">
        <v>164</v>
      </c>
      <c r="L483" s="4" t="s">
        <v>165</v>
      </c>
    </row>
    <row r="484" spans="2:12" s="25" customFormat="1">
      <c r="B484" s="25" t="s">
        <v>1565</v>
      </c>
      <c r="C484" s="27">
        <f>AVERAGE(C479:C483)</f>
        <v>29</v>
      </c>
      <c r="D484" s="27">
        <f>AVERAGE(D479:D483)</f>
        <v>19.333333333333332</v>
      </c>
      <c r="K484" s="26"/>
    </row>
    <row r="485" spans="2:12" s="25" customFormat="1">
      <c r="B485" s="25" t="s">
        <v>1566</v>
      </c>
      <c r="C485" s="25">
        <f>C484/C2</f>
        <v>0.57999999999999996</v>
      </c>
      <c r="D485" s="25">
        <f>D484/D2</f>
        <v>0.38666666666666666</v>
      </c>
      <c r="K485" s="26"/>
    </row>
    <row r="486" spans="2:12">
      <c r="B486" s="4" t="s">
        <v>166</v>
      </c>
      <c r="E486" s="3">
        <v>5</v>
      </c>
      <c r="F486" s="3">
        <v>1</v>
      </c>
      <c r="G486" s="3">
        <v>24</v>
      </c>
      <c r="H486" s="3">
        <v>8</v>
      </c>
      <c r="I486" s="3">
        <v>11</v>
      </c>
      <c r="J486" s="3">
        <v>13</v>
      </c>
      <c r="K486" s="3" t="s">
        <v>167</v>
      </c>
      <c r="L486" s="5" t="s">
        <v>168</v>
      </c>
    </row>
    <row r="487" spans="2:12">
      <c r="B487" s="4" t="s">
        <v>169</v>
      </c>
      <c r="E487" s="3">
        <v>5</v>
      </c>
      <c r="F487" s="3">
        <v>2</v>
      </c>
      <c r="G487" s="3">
        <v>6</v>
      </c>
      <c r="H487" s="3">
        <v>8</v>
      </c>
      <c r="I487" s="3">
        <v>6</v>
      </c>
      <c r="J487" s="3">
        <v>8</v>
      </c>
      <c r="K487" s="3" t="s">
        <v>170</v>
      </c>
      <c r="L487" s="5" t="s">
        <v>171</v>
      </c>
    </row>
    <row r="488" spans="2:12">
      <c r="B488" s="4" t="s">
        <v>172</v>
      </c>
      <c r="E488" s="6">
        <v>7</v>
      </c>
      <c r="F488" s="6">
        <v>3</v>
      </c>
      <c r="G488" s="6">
        <v>15</v>
      </c>
      <c r="H488" s="6">
        <v>11</v>
      </c>
      <c r="I488" s="6">
        <v>6</v>
      </c>
      <c r="J488" s="6">
        <v>15</v>
      </c>
      <c r="K488" s="3" t="s">
        <v>173</v>
      </c>
      <c r="L488" s="5" t="s">
        <v>174</v>
      </c>
    </row>
    <row r="489" spans="2:12">
      <c r="B489" s="4" t="s">
        <v>175</v>
      </c>
      <c r="E489" s="3">
        <v>8</v>
      </c>
      <c r="F489" s="3">
        <v>5</v>
      </c>
      <c r="G489" s="3">
        <v>23</v>
      </c>
      <c r="H489" s="3">
        <v>14</v>
      </c>
      <c r="I489" s="3">
        <v>13</v>
      </c>
      <c r="J489" s="3">
        <v>15</v>
      </c>
      <c r="K489" s="3" t="s">
        <v>176</v>
      </c>
      <c r="L489" s="5" t="s">
        <v>177</v>
      </c>
    </row>
    <row r="490" spans="2:12">
      <c r="B490" s="4" t="s">
        <v>178</v>
      </c>
      <c r="E490" s="3">
        <v>1</v>
      </c>
      <c r="F490" s="3">
        <v>0</v>
      </c>
      <c r="G490" s="3">
        <v>16</v>
      </c>
      <c r="H490" s="3">
        <v>9</v>
      </c>
      <c r="I490" s="3">
        <v>7</v>
      </c>
      <c r="J490" s="3">
        <v>17</v>
      </c>
      <c r="K490" s="3" t="s">
        <v>179</v>
      </c>
      <c r="L490" s="5" t="s">
        <v>180</v>
      </c>
    </row>
    <row r="491" spans="2:12" s="25" customFormat="1">
      <c r="B491" s="25" t="s">
        <v>1565</v>
      </c>
      <c r="E491" s="27">
        <f>AVERAGE(E486:E490)</f>
        <v>5.2</v>
      </c>
      <c r="F491" s="27">
        <f t="shared" ref="F491:J491" si="65">AVERAGE(F486:F490)</f>
        <v>2.2000000000000002</v>
      </c>
      <c r="G491" s="27">
        <f t="shared" si="65"/>
        <v>16.8</v>
      </c>
      <c r="H491" s="27">
        <f t="shared" si="65"/>
        <v>10</v>
      </c>
      <c r="I491" s="27">
        <f t="shared" si="65"/>
        <v>8.6</v>
      </c>
      <c r="J491" s="27">
        <f t="shared" si="65"/>
        <v>13.6</v>
      </c>
      <c r="K491" s="26"/>
    </row>
    <row r="492" spans="2:12" s="25" customFormat="1">
      <c r="B492" s="25" t="s">
        <v>1566</v>
      </c>
      <c r="E492" s="25">
        <f t="shared" ref="E492:J492" si="66">E491/E2</f>
        <v>0.34666666666666668</v>
      </c>
      <c r="F492" s="25">
        <f t="shared" si="66"/>
        <v>6.4705882352941183E-2</v>
      </c>
      <c r="G492" s="25">
        <f t="shared" si="66"/>
        <v>0.35744680851063831</v>
      </c>
      <c r="H492" s="25">
        <f t="shared" si="66"/>
        <v>0.2857142857142857</v>
      </c>
      <c r="I492" s="25">
        <f t="shared" si="66"/>
        <v>0.27741935483870966</v>
      </c>
      <c r="J492" s="25">
        <f t="shared" si="66"/>
        <v>0.24727272727272726</v>
      </c>
      <c r="K492" s="26"/>
    </row>
    <row r="493" spans="2:12">
      <c r="B493" s="4" t="s">
        <v>181</v>
      </c>
      <c r="C493" s="3">
        <v>32</v>
      </c>
      <c r="D493" s="3">
        <v>22</v>
      </c>
      <c r="K493" s="3" t="s">
        <v>1550</v>
      </c>
      <c r="L493" s="4" t="s">
        <v>1551</v>
      </c>
    </row>
    <row r="494" spans="2:12">
      <c r="B494" s="4" t="s">
        <v>183</v>
      </c>
      <c r="C494" s="3">
        <v>37</v>
      </c>
      <c r="D494" s="3">
        <v>29</v>
      </c>
      <c r="K494" s="3" t="s">
        <v>184</v>
      </c>
      <c r="L494" s="4" t="s">
        <v>1552</v>
      </c>
    </row>
    <row r="495" spans="2:12">
      <c r="B495" s="4" t="s">
        <v>186</v>
      </c>
      <c r="C495" s="3">
        <v>34</v>
      </c>
      <c r="D495" s="3">
        <v>35</v>
      </c>
      <c r="K495" s="3" t="s">
        <v>187</v>
      </c>
      <c r="L495" s="4" t="s">
        <v>1553</v>
      </c>
    </row>
    <row r="496" spans="2:12">
      <c r="B496" s="4" t="s">
        <v>189</v>
      </c>
      <c r="C496" s="36" t="s">
        <v>584</v>
      </c>
      <c r="D496" s="35" t="s">
        <v>584</v>
      </c>
      <c r="K496" s="3" t="s">
        <v>1554</v>
      </c>
      <c r="L496" s="4" t="s">
        <v>1555</v>
      </c>
    </row>
    <row r="497" spans="2:12">
      <c r="B497" s="4" t="s">
        <v>191</v>
      </c>
      <c r="C497" s="3">
        <v>35</v>
      </c>
      <c r="D497" s="3">
        <v>22</v>
      </c>
      <c r="K497" s="3" t="s">
        <v>1556</v>
      </c>
      <c r="L497" s="4" t="s">
        <v>1557</v>
      </c>
    </row>
    <row r="498" spans="2:12" s="25" customFormat="1">
      <c r="B498" s="25" t="s">
        <v>1565</v>
      </c>
      <c r="C498" s="27">
        <v>34.5</v>
      </c>
      <c r="D498" s="27">
        <v>27</v>
      </c>
      <c r="K498" s="26"/>
    </row>
    <row r="499" spans="2:12" s="25" customFormat="1">
      <c r="B499" s="25" t="s">
        <v>1566</v>
      </c>
      <c r="C499" s="25">
        <f>C498/C2</f>
        <v>0.69</v>
      </c>
      <c r="D499" s="25">
        <f>D498/D2</f>
        <v>0.54</v>
      </c>
      <c r="K499" s="26"/>
    </row>
    <row r="500" spans="2:12">
      <c r="B500" s="4" t="s">
        <v>192</v>
      </c>
      <c r="E500" s="3">
        <v>8</v>
      </c>
      <c r="F500" s="3">
        <v>5</v>
      </c>
      <c r="G500" s="3">
        <v>47</v>
      </c>
      <c r="H500" s="3">
        <v>26</v>
      </c>
      <c r="I500" s="3">
        <v>11</v>
      </c>
      <c r="J500" s="3">
        <v>29</v>
      </c>
      <c r="K500" s="3" t="s">
        <v>193</v>
      </c>
      <c r="L500" s="5" t="s">
        <v>194</v>
      </c>
    </row>
    <row r="501" spans="2:12">
      <c r="B501" s="4" t="s">
        <v>195</v>
      </c>
      <c r="E501" s="3">
        <v>9</v>
      </c>
      <c r="F501" s="3">
        <v>2</v>
      </c>
      <c r="G501" s="3">
        <v>25</v>
      </c>
      <c r="H501" s="3">
        <v>14</v>
      </c>
      <c r="I501" s="3">
        <v>23</v>
      </c>
      <c r="J501" s="3">
        <v>13</v>
      </c>
      <c r="K501" s="3" t="s">
        <v>196</v>
      </c>
      <c r="L501" s="5" t="s">
        <v>197</v>
      </c>
    </row>
    <row r="502" spans="2:12">
      <c r="B502" s="4" t="s">
        <v>198</v>
      </c>
      <c r="E502" s="3">
        <v>4</v>
      </c>
      <c r="F502" s="3">
        <v>10</v>
      </c>
      <c r="G502" s="3">
        <v>28</v>
      </c>
      <c r="H502" s="3">
        <v>16</v>
      </c>
      <c r="I502" s="3">
        <v>21</v>
      </c>
      <c r="J502" s="3">
        <v>28</v>
      </c>
      <c r="K502" s="3" t="s">
        <v>199</v>
      </c>
      <c r="L502" s="5" t="s">
        <v>200</v>
      </c>
    </row>
    <row r="503" spans="2:12">
      <c r="B503" s="4" t="s">
        <v>202</v>
      </c>
      <c r="E503" s="55" t="s">
        <v>584</v>
      </c>
      <c r="F503" s="54" t="s">
        <v>584</v>
      </c>
      <c r="G503" s="3">
        <v>34</v>
      </c>
      <c r="H503" s="3">
        <v>15</v>
      </c>
      <c r="I503" s="3">
        <v>22</v>
      </c>
      <c r="J503" s="3">
        <v>25</v>
      </c>
      <c r="K503" s="3" t="s">
        <v>203</v>
      </c>
      <c r="L503" s="5" t="s">
        <v>204</v>
      </c>
    </row>
    <row r="504" spans="2:12">
      <c r="B504" s="4" t="s">
        <v>205</v>
      </c>
      <c r="E504" s="3">
        <v>3</v>
      </c>
      <c r="F504" s="3">
        <v>2</v>
      </c>
      <c r="G504" s="3">
        <v>19</v>
      </c>
      <c r="H504" s="3">
        <v>1</v>
      </c>
      <c r="I504" s="3">
        <v>5</v>
      </c>
      <c r="J504" s="3">
        <v>19</v>
      </c>
      <c r="K504" s="3" t="s">
        <v>206</v>
      </c>
      <c r="L504" s="5" t="s">
        <v>207</v>
      </c>
    </row>
    <row r="505" spans="2:12" s="25" customFormat="1">
      <c r="B505" s="25" t="s">
        <v>1565</v>
      </c>
      <c r="E505" s="27">
        <f>AVERAGE(E500:E504)</f>
        <v>6</v>
      </c>
      <c r="F505" s="27">
        <f t="shared" ref="F505:J505" si="67">AVERAGE(F500:F504)</f>
        <v>4.75</v>
      </c>
      <c r="G505" s="27">
        <f t="shared" si="67"/>
        <v>30.6</v>
      </c>
      <c r="H505" s="27">
        <f t="shared" si="67"/>
        <v>14.4</v>
      </c>
      <c r="I505" s="27">
        <f t="shared" si="67"/>
        <v>16.399999999999999</v>
      </c>
      <c r="J505" s="27">
        <f t="shared" si="67"/>
        <v>22.8</v>
      </c>
      <c r="K505" s="26"/>
    </row>
    <row r="506" spans="2:12" s="25" customFormat="1">
      <c r="B506" s="25" t="s">
        <v>1566</v>
      </c>
      <c r="E506" s="25">
        <f t="shared" ref="E506:J506" si="68">E505/E2</f>
        <v>0.4</v>
      </c>
      <c r="F506" s="25">
        <f t="shared" si="68"/>
        <v>0.13970588235294118</v>
      </c>
      <c r="G506" s="25">
        <f t="shared" si="68"/>
        <v>0.65106382978723409</v>
      </c>
      <c r="H506" s="25">
        <f t="shared" si="68"/>
        <v>0.41142857142857142</v>
      </c>
      <c r="I506" s="25">
        <f t="shared" si="68"/>
        <v>0.52903225806451604</v>
      </c>
      <c r="J506" s="25">
        <f t="shared" si="68"/>
        <v>0.41454545454545455</v>
      </c>
      <c r="K506" s="26"/>
    </row>
    <row r="507" spans="2:12">
      <c r="B507" t="s">
        <v>1306</v>
      </c>
      <c r="C507" s="12">
        <v>23</v>
      </c>
      <c r="D507" s="12">
        <v>34</v>
      </c>
      <c r="K507" s="12" t="s">
        <v>750</v>
      </c>
      <c r="L507" s="11" t="s">
        <v>749</v>
      </c>
    </row>
    <row r="508" spans="2:12">
      <c r="B508" t="s">
        <v>1307</v>
      </c>
      <c r="C508" s="12">
        <v>20</v>
      </c>
      <c r="D508" s="12">
        <v>25</v>
      </c>
      <c r="K508" s="12" t="s">
        <v>756</v>
      </c>
      <c r="L508" s="11" t="s">
        <v>755</v>
      </c>
    </row>
    <row r="509" spans="2:12">
      <c r="B509" t="s">
        <v>1308</v>
      </c>
      <c r="C509" s="12">
        <v>21</v>
      </c>
      <c r="D509" s="12">
        <v>31</v>
      </c>
      <c r="K509" s="12" t="s">
        <v>760</v>
      </c>
      <c r="L509" s="11" t="s">
        <v>759</v>
      </c>
    </row>
    <row r="510" spans="2:12">
      <c r="B510" t="s">
        <v>1309</v>
      </c>
      <c r="C510" s="12">
        <v>14</v>
      </c>
      <c r="D510" s="12">
        <v>27</v>
      </c>
      <c r="K510" s="12" t="s">
        <v>762</v>
      </c>
      <c r="L510" s="11" t="s">
        <v>761</v>
      </c>
    </row>
    <row r="511" spans="2:12">
      <c r="B511" t="s">
        <v>1310</v>
      </c>
      <c r="C511" s="12">
        <v>23</v>
      </c>
      <c r="D511" s="12">
        <v>22</v>
      </c>
      <c r="K511" s="12" t="s">
        <v>765</v>
      </c>
      <c r="L511" s="11" t="s">
        <v>764</v>
      </c>
    </row>
    <row r="512" spans="2:12" s="25" customFormat="1">
      <c r="B512" s="25" t="s">
        <v>1565</v>
      </c>
      <c r="C512" s="27">
        <f>AVERAGE(C507:C511)</f>
        <v>20.2</v>
      </c>
      <c r="D512" s="27">
        <f>AVERAGE(D507:D511)</f>
        <v>27.8</v>
      </c>
      <c r="K512" s="26"/>
    </row>
    <row r="513" spans="2:12" s="25" customFormat="1">
      <c r="B513" s="25" t="s">
        <v>1566</v>
      </c>
      <c r="C513" s="25">
        <f>C512/C2</f>
        <v>0.40399999999999997</v>
      </c>
      <c r="D513" s="25">
        <f>D512/D2</f>
        <v>0.55600000000000005</v>
      </c>
      <c r="K513" s="26"/>
    </row>
    <row r="514" spans="2:12">
      <c r="B514" t="s">
        <v>1520</v>
      </c>
      <c r="E514" s="12">
        <v>0</v>
      </c>
      <c r="F514" s="12">
        <v>2</v>
      </c>
      <c r="G514" s="12">
        <v>28</v>
      </c>
      <c r="H514" s="12">
        <v>20</v>
      </c>
      <c r="I514" s="12">
        <v>7</v>
      </c>
      <c r="J514" s="12">
        <v>28</v>
      </c>
      <c r="K514" s="12" t="s">
        <v>769</v>
      </c>
      <c r="L514" s="11" t="s">
        <v>768</v>
      </c>
    </row>
    <row r="515" spans="2:12">
      <c r="B515" t="s">
        <v>1521</v>
      </c>
      <c r="E515" s="12">
        <v>9</v>
      </c>
      <c r="F515" s="12">
        <v>5</v>
      </c>
      <c r="G515" s="12">
        <v>16</v>
      </c>
      <c r="H515" s="12">
        <v>11</v>
      </c>
      <c r="I515" s="12">
        <v>7</v>
      </c>
      <c r="J515" s="12">
        <v>19</v>
      </c>
      <c r="K515" s="12" t="s">
        <v>771</v>
      </c>
      <c r="L515" s="11" t="s">
        <v>770</v>
      </c>
    </row>
    <row r="516" spans="2:12">
      <c r="B516" t="s">
        <v>1522</v>
      </c>
      <c r="E516" s="12">
        <v>14</v>
      </c>
      <c r="F516" s="12">
        <v>16</v>
      </c>
      <c r="G516" s="12">
        <v>20</v>
      </c>
      <c r="H516" s="12">
        <v>13</v>
      </c>
      <c r="I516" s="12">
        <v>6</v>
      </c>
      <c r="J516" s="12">
        <v>29</v>
      </c>
      <c r="K516" s="12" t="s">
        <v>774</v>
      </c>
      <c r="L516" s="11" t="s">
        <v>773</v>
      </c>
    </row>
    <row r="517" spans="2:12">
      <c r="B517" t="s">
        <v>1523</v>
      </c>
      <c r="E517" s="12">
        <v>4</v>
      </c>
      <c r="F517" s="12">
        <v>4</v>
      </c>
      <c r="G517" s="12">
        <v>16</v>
      </c>
      <c r="H517" s="12">
        <v>7</v>
      </c>
      <c r="I517" s="12">
        <v>6</v>
      </c>
      <c r="J517" s="12">
        <v>9</v>
      </c>
      <c r="K517" s="12" t="s">
        <v>776</v>
      </c>
      <c r="L517" s="11" t="s">
        <v>775</v>
      </c>
    </row>
    <row r="518" spans="2:12">
      <c r="B518" t="s">
        <v>1524</v>
      </c>
      <c r="E518" s="12">
        <v>9</v>
      </c>
      <c r="F518" s="12">
        <v>11</v>
      </c>
      <c r="G518" s="12">
        <v>18</v>
      </c>
      <c r="H518" s="12">
        <v>11</v>
      </c>
      <c r="I518" s="12">
        <v>11</v>
      </c>
      <c r="J518" s="12">
        <v>27</v>
      </c>
      <c r="K518" s="12" t="s">
        <v>778</v>
      </c>
      <c r="L518" s="11" t="s">
        <v>777</v>
      </c>
    </row>
    <row r="519" spans="2:12" s="25" customFormat="1">
      <c r="B519" s="25" t="s">
        <v>1565</v>
      </c>
      <c r="E519" s="27">
        <f>AVERAGE(E514:E518)</f>
        <v>7.2</v>
      </c>
      <c r="F519" s="27">
        <f t="shared" ref="F519:J519" si="69">AVERAGE(F514:F518)</f>
        <v>7.6</v>
      </c>
      <c r="G519" s="27">
        <f t="shared" si="69"/>
        <v>19.600000000000001</v>
      </c>
      <c r="H519" s="27">
        <f t="shared" si="69"/>
        <v>12.4</v>
      </c>
      <c r="I519" s="27">
        <f t="shared" si="69"/>
        <v>7.4</v>
      </c>
      <c r="J519" s="27">
        <f t="shared" si="69"/>
        <v>22.4</v>
      </c>
      <c r="K519" s="26"/>
    </row>
    <row r="520" spans="2:12" s="25" customFormat="1">
      <c r="B520" s="25" t="s">
        <v>1566</v>
      </c>
      <c r="E520" s="25">
        <f t="shared" ref="E520:J520" si="70">E519/E2</f>
        <v>0.48000000000000004</v>
      </c>
      <c r="F520" s="25">
        <f t="shared" si="70"/>
        <v>0.22352941176470587</v>
      </c>
      <c r="G520" s="25">
        <f t="shared" si="70"/>
        <v>0.41702127659574473</v>
      </c>
      <c r="H520" s="25">
        <f t="shared" si="70"/>
        <v>0.35428571428571431</v>
      </c>
      <c r="I520" s="25">
        <f t="shared" si="70"/>
        <v>0.23870967741935484</v>
      </c>
      <c r="J520" s="25">
        <f t="shared" si="70"/>
        <v>0.40727272727272723</v>
      </c>
      <c r="K520" s="26"/>
    </row>
    <row r="521" spans="2:12">
      <c r="B521" t="s">
        <v>1311</v>
      </c>
      <c r="C521" s="12">
        <v>21</v>
      </c>
      <c r="D521" s="12">
        <v>27</v>
      </c>
      <c r="K521" s="12" t="s">
        <v>780</v>
      </c>
      <c r="L521" s="11" t="s">
        <v>779</v>
      </c>
    </row>
    <row r="522" spans="2:12">
      <c r="B522" t="s">
        <v>1312</v>
      </c>
      <c r="C522" s="12">
        <v>50</v>
      </c>
      <c r="D522" s="12">
        <v>39</v>
      </c>
      <c r="K522" s="12" t="s">
        <v>784</v>
      </c>
      <c r="L522" s="11" t="s">
        <v>783</v>
      </c>
    </row>
    <row r="523" spans="2:12">
      <c r="B523" t="s">
        <v>1313</v>
      </c>
      <c r="C523" s="12">
        <v>39</v>
      </c>
      <c r="D523" s="12">
        <v>27</v>
      </c>
      <c r="K523" s="12" t="s">
        <v>788</v>
      </c>
      <c r="L523" s="11" t="s">
        <v>787</v>
      </c>
    </row>
    <row r="524" spans="2:12">
      <c r="B524" t="s">
        <v>1314</v>
      </c>
      <c r="C524" s="12">
        <v>26</v>
      </c>
      <c r="D524" s="12">
        <v>32</v>
      </c>
      <c r="K524" s="12" t="s">
        <v>790</v>
      </c>
      <c r="L524" s="11" t="s">
        <v>789</v>
      </c>
    </row>
    <row r="525" spans="2:12">
      <c r="B525" t="s">
        <v>1315</v>
      </c>
      <c r="C525" s="12">
        <v>36</v>
      </c>
      <c r="D525" s="12">
        <v>35</v>
      </c>
      <c r="K525" s="12" t="s">
        <v>793</v>
      </c>
      <c r="L525" s="11" t="s">
        <v>792</v>
      </c>
    </row>
    <row r="526" spans="2:12" s="25" customFormat="1">
      <c r="B526" s="25" t="s">
        <v>1565</v>
      </c>
      <c r="C526" s="27">
        <f>AVERAGE(C521:C525)</f>
        <v>34.4</v>
      </c>
      <c r="D526" s="27">
        <f>AVERAGE(D521:D525)</f>
        <v>32</v>
      </c>
      <c r="K526" s="26"/>
    </row>
    <row r="527" spans="2:12" s="25" customFormat="1">
      <c r="B527" s="25" t="s">
        <v>1566</v>
      </c>
      <c r="C527" s="25">
        <f>C526/C2</f>
        <v>0.68799999999999994</v>
      </c>
      <c r="D527" s="25">
        <f>D526/D2</f>
        <v>0.64</v>
      </c>
      <c r="K527" s="26"/>
    </row>
    <row r="528" spans="2:12">
      <c r="B528" t="s">
        <v>1525</v>
      </c>
      <c r="E528" s="12">
        <v>9</v>
      </c>
      <c r="F528" s="12">
        <v>12</v>
      </c>
      <c r="G528" s="12">
        <v>12</v>
      </c>
      <c r="H528" s="12">
        <v>15</v>
      </c>
      <c r="I528" s="12">
        <v>16</v>
      </c>
      <c r="J528" s="12">
        <v>29</v>
      </c>
      <c r="K528" s="12" t="s">
        <v>796</v>
      </c>
      <c r="L528" s="11" t="s">
        <v>795</v>
      </c>
    </row>
    <row r="529" spans="2:12">
      <c r="B529" t="s">
        <v>1526</v>
      </c>
      <c r="E529" s="12">
        <v>12</v>
      </c>
      <c r="F529" s="12">
        <v>24</v>
      </c>
      <c r="G529" s="12">
        <v>19</v>
      </c>
      <c r="H529" s="12">
        <v>29</v>
      </c>
      <c r="I529" s="12">
        <v>14</v>
      </c>
      <c r="J529" s="12">
        <v>55</v>
      </c>
      <c r="K529" s="12" t="s">
        <v>798</v>
      </c>
      <c r="L529" s="11" t="s">
        <v>797</v>
      </c>
    </row>
    <row r="530" spans="2:12">
      <c r="B530" t="s">
        <v>1527</v>
      </c>
      <c r="E530" s="12">
        <v>7</v>
      </c>
      <c r="F530" s="12">
        <v>13</v>
      </c>
      <c r="G530" s="12">
        <v>26</v>
      </c>
      <c r="H530" s="12">
        <v>28</v>
      </c>
      <c r="I530" s="12">
        <v>17</v>
      </c>
      <c r="J530" s="12">
        <v>35</v>
      </c>
      <c r="K530" s="12" t="s">
        <v>800</v>
      </c>
      <c r="L530" s="11" t="s">
        <v>799</v>
      </c>
    </row>
    <row r="531" spans="2:12">
      <c r="B531" t="s">
        <v>1528</v>
      </c>
      <c r="E531" s="51" t="s">
        <v>584</v>
      </c>
      <c r="F531" s="50" t="s">
        <v>584</v>
      </c>
      <c r="G531" s="52" t="s">
        <v>584</v>
      </c>
      <c r="H531" s="50" t="s">
        <v>584</v>
      </c>
      <c r="I531" s="49" t="s">
        <v>584</v>
      </c>
      <c r="J531" s="53" t="s">
        <v>584</v>
      </c>
      <c r="K531" s="12" t="s">
        <v>802</v>
      </c>
      <c r="L531" s="11" t="s">
        <v>801</v>
      </c>
    </row>
    <row r="532" spans="2:12">
      <c r="B532" t="s">
        <v>1529</v>
      </c>
      <c r="E532" s="12">
        <v>12</v>
      </c>
      <c r="F532" s="12">
        <v>34</v>
      </c>
      <c r="G532" s="12">
        <v>30</v>
      </c>
      <c r="H532" s="12">
        <v>35</v>
      </c>
      <c r="I532" s="12">
        <v>25</v>
      </c>
      <c r="J532" s="12">
        <v>46</v>
      </c>
      <c r="K532" s="12" t="s">
        <v>804</v>
      </c>
      <c r="L532" s="11" t="s">
        <v>803</v>
      </c>
    </row>
    <row r="533" spans="2:12" s="25" customFormat="1">
      <c r="B533" s="25" t="s">
        <v>1565</v>
      </c>
      <c r="E533" s="27">
        <f>AVERAGE(E528:E532)</f>
        <v>10</v>
      </c>
      <c r="F533" s="27">
        <f t="shared" ref="F533:J533" si="71">AVERAGE(F528:F532)</f>
        <v>20.75</v>
      </c>
      <c r="G533" s="27">
        <f t="shared" si="71"/>
        <v>21.75</v>
      </c>
      <c r="H533" s="27">
        <f t="shared" si="71"/>
        <v>26.75</v>
      </c>
      <c r="I533" s="27">
        <f t="shared" si="71"/>
        <v>18</v>
      </c>
      <c r="J533" s="27">
        <f t="shared" si="71"/>
        <v>41.25</v>
      </c>
      <c r="K533" s="26"/>
    </row>
    <row r="534" spans="2:12" s="25" customFormat="1">
      <c r="B534" s="25" t="s">
        <v>1566</v>
      </c>
      <c r="E534" s="25">
        <f t="shared" ref="E534:J534" si="72">E533/E2</f>
        <v>0.66666666666666663</v>
      </c>
      <c r="F534" s="25">
        <f t="shared" si="72"/>
        <v>0.61029411764705888</v>
      </c>
      <c r="G534" s="25">
        <f t="shared" si="72"/>
        <v>0.46276595744680848</v>
      </c>
      <c r="H534" s="25">
        <f t="shared" si="72"/>
        <v>0.76428571428571423</v>
      </c>
      <c r="I534" s="25">
        <f t="shared" si="72"/>
        <v>0.58064516129032262</v>
      </c>
      <c r="J534" s="25">
        <f t="shared" si="72"/>
        <v>0.75</v>
      </c>
      <c r="K534" s="26"/>
    </row>
    <row r="535" spans="2:12">
      <c r="B535" s="4" t="s">
        <v>209</v>
      </c>
      <c r="C535" s="6">
        <v>4</v>
      </c>
      <c r="D535" s="35" t="s">
        <v>584</v>
      </c>
      <c r="K535" s="3" t="s">
        <v>210</v>
      </c>
      <c r="L535" s="4" t="s">
        <v>211</v>
      </c>
    </row>
    <row r="536" spans="2:12">
      <c r="B536" s="4" t="s">
        <v>212</v>
      </c>
      <c r="C536" s="6">
        <v>3</v>
      </c>
      <c r="D536" s="6">
        <v>15</v>
      </c>
      <c r="K536" s="3" t="s">
        <v>213</v>
      </c>
      <c r="L536" s="4" t="s">
        <v>214</v>
      </c>
    </row>
    <row r="537" spans="2:12">
      <c r="B537" s="4" t="s">
        <v>216</v>
      </c>
      <c r="C537" s="3">
        <v>1</v>
      </c>
      <c r="D537" s="3">
        <v>5</v>
      </c>
      <c r="K537" s="3" t="s">
        <v>217</v>
      </c>
      <c r="L537" s="4" t="s">
        <v>218</v>
      </c>
    </row>
    <row r="538" spans="2:12">
      <c r="B538" s="4" t="s">
        <v>219</v>
      </c>
      <c r="C538" s="3">
        <v>1</v>
      </c>
      <c r="D538" s="3">
        <v>4</v>
      </c>
      <c r="K538" s="3" t="s">
        <v>220</v>
      </c>
      <c r="L538" s="4" t="s">
        <v>221</v>
      </c>
    </row>
    <row r="539" spans="2:12">
      <c r="B539" s="4" t="s">
        <v>222</v>
      </c>
      <c r="C539" s="6">
        <v>1</v>
      </c>
      <c r="D539" s="6">
        <v>7</v>
      </c>
      <c r="K539" s="3" t="s">
        <v>223</v>
      </c>
      <c r="L539" s="4" t="s">
        <v>224</v>
      </c>
    </row>
    <row r="540" spans="2:12" s="25" customFormat="1">
      <c r="B540" s="25" t="s">
        <v>1565</v>
      </c>
      <c r="C540" s="33">
        <f>AVERAGE(C535:C539)</f>
        <v>2</v>
      </c>
      <c r="D540" s="33">
        <v>7.75</v>
      </c>
      <c r="K540" s="26"/>
    </row>
    <row r="541" spans="2:12" s="25" customFormat="1">
      <c r="B541" s="25" t="s">
        <v>1566</v>
      </c>
      <c r="C541" s="25">
        <f>C540/C2</f>
        <v>0.04</v>
      </c>
      <c r="D541" s="25">
        <f>D540/D2</f>
        <v>0.155</v>
      </c>
      <c r="K541" s="26"/>
    </row>
    <row r="542" spans="2:12">
      <c r="B542" s="4" t="s">
        <v>225</v>
      </c>
      <c r="E542" s="3">
        <v>0</v>
      </c>
      <c r="F542" s="3">
        <v>7</v>
      </c>
      <c r="G542" s="3">
        <v>9</v>
      </c>
      <c r="H542" s="3">
        <v>1</v>
      </c>
      <c r="I542" s="3">
        <v>3</v>
      </c>
      <c r="J542" s="53" t="s">
        <v>584</v>
      </c>
      <c r="K542" s="3" t="s">
        <v>226</v>
      </c>
      <c r="L542" s="5" t="s">
        <v>227</v>
      </c>
    </row>
    <row r="543" spans="2:12">
      <c r="B543" s="4" t="s">
        <v>228</v>
      </c>
      <c r="E543" s="3">
        <v>4</v>
      </c>
      <c r="F543" s="3">
        <v>3</v>
      </c>
      <c r="G543" s="3">
        <v>7</v>
      </c>
      <c r="H543" s="3">
        <v>4</v>
      </c>
      <c r="I543" s="3">
        <v>2</v>
      </c>
      <c r="J543" s="3">
        <v>5</v>
      </c>
      <c r="K543" s="3" t="s">
        <v>229</v>
      </c>
      <c r="L543" s="5" t="s">
        <v>230</v>
      </c>
    </row>
    <row r="544" spans="2:12">
      <c r="B544" s="4" t="s">
        <v>231</v>
      </c>
      <c r="E544" s="3">
        <v>3</v>
      </c>
      <c r="F544" s="3">
        <v>4</v>
      </c>
      <c r="G544" s="3">
        <v>14</v>
      </c>
      <c r="H544" s="3">
        <v>6</v>
      </c>
      <c r="I544" s="3">
        <v>6</v>
      </c>
      <c r="J544" s="3">
        <v>6</v>
      </c>
      <c r="K544" s="3" t="s">
        <v>232</v>
      </c>
      <c r="L544" s="5" t="s">
        <v>233</v>
      </c>
    </row>
    <row r="545" spans="2:12">
      <c r="B545" s="4" t="s">
        <v>234</v>
      </c>
      <c r="E545" s="3">
        <v>4</v>
      </c>
      <c r="F545" s="3">
        <v>3</v>
      </c>
      <c r="G545" s="3">
        <v>9</v>
      </c>
      <c r="H545" s="3">
        <v>7</v>
      </c>
      <c r="I545" s="3">
        <v>5</v>
      </c>
      <c r="J545" s="3">
        <v>11</v>
      </c>
      <c r="K545" s="3" t="s">
        <v>235</v>
      </c>
      <c r="L545" s="5" t="s">
        <v>236</v>
      </c>
    </row>
    <row r="546" spans="2:12">
      <c r="B546" s="4" t="s">
        <v>237</v>
      </c>
      <c r="E546" s="3">
        <v>4</v>
      </c>
      <c r="F546" s="3">
        <v>0</v>
      </c>
      <c r="G546" s="3">
        <v>10</v>
      </c>
      <c r="H546" s="3">
        <v>4</v>
      </c>
      <c r="I546" s="3">
        <v>6</v>
      </c>
      <c r="J546" s="3">
        <v>3</v>
      </c>
      <c r="K546" s="3" t="s">
        <v>238</v>
      </c>
      <c r="L546" s="5" t="s">
        <v>239</v>
      </c>
    </row>
    <row r="547" spans="2:12" s="25" customFormat="1">
      <c r="B547" s="25" t="s">
        <v>1565</v>
      </c>
      <c r="E547" s="27">
        <f>AVERAGE(E542:E546)</f>
        <v>3</v>
      </c>
      <c r="F547" s="27">
        <f t="shared" ref="F547:J547" si="73">AVERAGE(F542:F546)</f>
        <v>3.4</v>
      </c>
      <c r="G547" s="27">
        <f t="shared" si="73"/>
        <v>9.8000000000000007</v>
      </c>
      <c r="H547" s="27">
        <f t="shared" si="73"/>
        <v>4.4000000000000004</v>
      </c>
      <c r="I547" s="27">
        <f t="shared" si="73"/>
        <v>4.4000000000000004</v>
      </c>
      <c r="J547" s="27">
        <f t="shared" si="73"/>
        <v>6.25</v>
      </c>
      <c r="K547" s="26"/>
    </row>
    <row r="548" spans="2:12" s="25" customFormat="1">
      <c r="B548" s="25" t="s">
        <v>1566</v>
      </c>
      <c r="E548" s="25">
        <f t="shared" ref="E548:J548" si="74">E547/E2</f>
        <v>0.2</v>
      </c>
      <c r="F548" s="25">
        <f t="shared" si="74"/>
        <v>9.9999999999999992E-2</v>
      </c>
      <c r="G548" s="25">
        <f t="shared" si="74"/>
        <v>0.20851063829787236</v>
      </c>
      <c r="H548" s="25">
        <f t="shared" si="74"/>
        <v>0.12571428571428572</v>
      </c>
      <c r="I548" s="25">
        <f t="shared" si="74"/>
        <v>0.14193548387096774</v>
      </c>
      <c r="J548" s="25">
        <f t="shared" si="74"/>
        <v>0.11363636363636363</v>
      </c>
      <c r="K548" s="26"/>
    </row>
    <row r="549" spans="2:12">
      <c r="B549" s="4" t="s">
        <v>240</v>
      </c>
      <c r="C549" s="3">
        <v>13</v>
      </c>
      <c r="D549" s="3">
        <v>18</v>
      </c>
      <c r="K549" s="3" t="s">
        <v>241</v>
      </c>
      <c r="L549" s="4" t="s">
        <v>242</v>
      </c>
    </row>
    <row r="550" spans="2:12">
      <c r="B550" s="4" t="s">
        <v>244</v>
      </c>
      <c r="C550" s="3">
        <v>5</v>
      </c>
      <c r="D550" s="3">
        <v>19</v>
      </c>
      <c r="K550" s="3" t="s">
        <v>245</v>
      </c>
      <c r="L550" s="4" t="s">
        <v>246</v>
      </c>
    </row>
    <row r="551" spans="2:12">
      <c r="B551" s="4" t="s">
        <v>248</v>
      </c>
      <c r="C551" s="3">
        <v>11</v>
      </c>
      <c r="D551" s="3">
        <v>17</v>
      </c>
      <c r="K551" s="3" t="s">
        <v>249</v>
      </c>
      <c r="L551" s="4" t="s">
        <v>250</v>
      </c>
    </row>
    <row r="552" spans="2:12">
      <c r="B552" s="4" t="s">
        <v>252</v>
      </c>
      <c r="C552" s="6">
        <v>5</v>
      </c>
      <c r="D552" s="6">
        <v>4</v>
      </c>
      <c r="K552" s="3" t="s">
        <v>253</v>
      </c>
      <c r="L552" s="4" t="s">
        <v>254</v>
      </c>
    </row>
    <row r="553" spans="2:12">
      <c r="B553" s="4" t="s">
        <v>255</v>
      </c>
      <c r="C553" s="3">
        <v>3</v>
      </c>
      <c r="D553" s="3">
        <v>3</v>
      </c>
      <c r="K553" s="3" t="s">
        <v>256</v>
      </c>
      <c r="L553" s="4" t="s">
        <v>257</v>
      </c>
    </row>
    <row r="554" spans="2:12" s="25" customFormat="1">
      <c r="B554" s="25" t="s">
        <v>1565</v>
      </c>
      <c r="C554" s="27">
        <f>AVERAGE(C549:C553)</f>
        <v>7.4</v>
      </c>
      <c r="D554" s="27">
        <f>AVERAGE(D549:D553)</f>
        <v>12.2</v>
      </c>
      <c r="K554" s="26"/>
    </row>
    <row r="555" spans="2:12" s="25" customFormat="1">
      <c r="B555" s="25" t="s">
        <v>1566</v>
      </c>
      <c r="C555" s="25">
        <f>C554/C2</f>
        <v>0.14800000000000002</v>
      </c>
      <c r="D555" s="25">
        <f>D554/D2</f>
        <v>0.24399999999999999</v>
      </c>
      <c r="K555" s="26"/>
    </row>
    <row r="556" spans="2:12">
      <c r="B556" s="4" t="s">
        <v>260</v>
      </c>
      <c r="E556" s="3">
        <v>1</v>
      </c>
      <c r="F556" s="3">
        <v>3</v>
      </c>
      <c r="G556" s="3">
        <v>21</v>
      </c>
      <c r="H556" s="3">
        <v>4</v>
      </c>
      <c r="I556" s="3">
        <v>1</v>
      </c>
      <c r="J556" s="3">
        <v>6</v>
      </c>
      <c r="K556" s="3" t="s">
        <v>261</v>
      </c>
      <c r="L556" s="5" t="s">
        <v>262</v>
      </c>
    </row>
    <row r="557" spans="2:12">
      <c r="B557" s="4" t="s">
        <v>263</v>
      </c>
      <c r="E557" s="6">
        <v>1</v>
      </c>
      <c r="F557" s="6">
        <v>4</v>
      </c>
      <c r="G557" s="6">
        <v>15</v>
      </c>
      <c r="H557" s="6">
        <v>12</v>
      </c>
      <c r="I557" s="6">
        <v>1</v>
      </c>
      <c r="J557" s="6">
        <v>11</v>
      </c>
      <c r="K557" s="3" t="s">
        <v>264</v>
      </c>
      <c r="L557" s="5" t="s">
        <v>265</v>
      </c>
    </row>
    <row r="558" spans="2:12">
      <c r="B558" s="4" t="s">
        <v>266</v>
      </c>
      <c r="E558" s="3">
        <v>5</v>
      </c>
      <c r="F558" s="3">
        <v>0</v>
      </c>
      <c r="G558" s="3">
        <v>26</v>
      </c>
      <c r="H558" s="3">
        <v>11</v>
      </c>
      <c r="I558" s="3">
        <v>10</v>
      </c>
      <c r="J558" s="3">
        <v>14</v>
      </c>
      <c r="K558" s="3" t="s">
        <v>267</v>
      </c>
      <c r="L558" s="5" t="s">
        <v>268</v>
      </c>
    </row>
    <row r="559" spans="2:12">
      <c r="B559" s="4" t="s">
        <v>269</v>
      </c>
      <c r="E559" s="3">
        <v>1</v>
      </c>
      <c r="F559" s="3">
        <v>4</v>
      </c>
      <c r="G559" s="3">
        <v>19</v>
      </c>
      <c r="H559" s="3">
        <v>11</v>
      </c>
      <c r="I559" s="3">
        <v>5</v>
      </c>
      <c r="J559" s="3">
        <v>19</v>
      </c>
      <c r="K559" s="3" t="s">
        <v>270</v>
      </c>
      <c r="L559" s="5" t="s">
        <v>271</v>
      </c>
    </row>
    <row r="560" spans="2:12">
      <c r="B560" s="4" t="s">
        <v>272</v>
      </c>
      <c r="E560" s="3">
        <v>3</v>
      </c>
      <c r="F560" s="3">
        <v>1</v>
      </c>
      <c r="G560" s="3">
        <v>13</v>
      </c>
      <c r="H560" s="3">
        <v>0</v>
      </c>
      <c r="I560" s="3">
        <v>12</v>
      </c>
      <c r="J560" s="3">
        <v>16</v>
      </c>
      <c r="K560" s="3" t="s">
        <v>273</v>
      </c>
      <c r="L560" s="5" t="s">
        <v>274</v>
      </c>
    </row>
    <row r="561" spans="2:12" s="25" customFormat="1">
      <c r="B561" s="25" t="s">
        <v>1565</v>
      </c>
      <c r="E561" s="27">
        <f>AVERAGE(E556:E560)</f>
        <v>2.2000000000000002</v>
      </c>
      <c r="F561" s="27">
        <f t="shared" ref="F561:J561" si="75">AVERAGE(F556:F560)</f>
        <v>2.4</v>
      </c>
      <c r="G561" s="27">
        <f t="shared" si="75"/>
        <v>18.8</v>
      </c>
      <c r="H561" s="27">
        <f t="shared" si="75"/>
        <v>7.6</v>
      </c>
      <c r="I561" s="27">
        <f t="shared" si="75"/>
        <v>5.8</v>
      </c>
      <c r="J561" s="27">
        <f t="shared" si="75"/>
        <v>13.2</v>
      </c>
      <c r="K561" s="26"/>
    </row>
    <row r="562" spans="2:12" s="25" customFormat="1">
      <c r="B562" s="25" t="s">
        <v>1566</v>
      </c>
      <c r="E562" s="25">
        <f t="shared" ref="E562:J562" si="76">E561/E2</f>
        <v>0.14666666666666667</v>
      </c>
      <c r="F562" s="25">
        <f t="shared" si="76"/>
        <v>7.0588235294117646E-2</v>
      </c>
      <c r="G562" s="25">
        <f t="shared" si="76"/>
        <v>0.4</v>
      </c>
      <c r="H562" s="25">
        <f t="shared" si="76"/>
        <v>0.21714285714285714</v>
      </c>
      <c r="I562" s="25">
        <f t="shared" si="76"/>
        <v>0.18709677419354839</v>
      </c>
      <c r="J562" s="25">
        <f t="shared" si="76"/>
        <v>0.24</v>
      </c>
      <c r="K562" s="26"/>
    </row>
    <row r="563" spans="2:12">
      <c r="B563" s="4" t="s">
        <v>275</v>
      </c>
      <c r="C563" s="36" t="s">
        <v>584</v>
      </c>
      <c r="D563" s="35" t="s">
        <v>584</v>
      </c>
      <c r="K563" s="3" t="s">
        <v>276</v>
      </c>
      <c r="L563" s="4" t="s">
        <v>277</v>
      </c>
    </row>
    <row r="564" spans="2:12">
      <c r="B564" s="4" t="s">
        <v>278</v>
      </c>
      <c r="C564" s="36" t="s">
        <v>584</v>
      </c>
      <c r="D564" s="3">
        <v>4</v>
      </c>
      <c r="K564" s="3" t="s">
        <v>279</v>
      </c>
      <c r="L564" s="4" t="s">
        <v>280</v>
      </c>
    </row>
    <row r="565" spans="2:12">
      <c r="B565" s="4" t="s">
        <v>282</v>
      </c>
      <c r="C565" s="3">
        <v>9</v>
      </c>
      <c r="D565" s="3">
        <v>15</v>
      </c>
      <c r="K565" s="3" t="s">
        <v>283</v>
      </c>
      <c r="L565" s="4" t="s">
        <v>284</v>
      </c>
    </row>
    <row r="566" spans="2:12">
      <c r="B566" s="4" t="s">
        <v>286</v>
      </c>
      <c r="C566" s="6">
        <v>3</v>
      </c>
      <c r="D566" s="6">
        <v>5</v>
      </c>
      <c r="K566" s="3" t="s">
        <v>287</v>
      </c>
      <c r="L566" s="4" t="s">
        <v>288</v>
      </c>
    </row>
    <row r="567" spans="2:12">
      <c r="B567" s="4" t="s">
        <v>290</v>
      </c>
      <c r="C567" s="3">
        <v>11</v>
      </c>
      <c r="D567" s="3">
        <v>14</v>
      </c>
      <c r="K567" s="3" t="s">
        <v>291</v>
      </c>
      <c r="L567" s="4" t="s">
        <v>292</v>
      </c>
    </row>
    <row r="568" spans="2:12" s="25" customFormat="1">
      <c r="B568" s="25" t="s">
        <v>1565</v>
      </c>
      <c r="C568" s="27">
        <f>AVERAGE(C563:C567)</f>
        <v>7.666666666666667</v>
      </c>
      <c r="D568" s="27">
        <f>AVERAGE(D563:D567)</f>
        <v>9.5</v>
      </c>
      <c r="K568" s="26"/>
    </row>
    <row r="569" spans="2:12" s="25" customFormat="1">
      <c r="B569" s="25" t="s">
        <v>1566</v>
      </c>
      <c r="C569" s="25">
        <f>C568/C2</f>
        <v>0.15333333333333335</v>
      </c>
      <c r="D569" s="25">
        <f>D568/D2</f>
        <v>0.19</v>
      </c>
      <c r="K569" s="26"/>
    </row>
    <row r="570" spans="2:12">
      <c r="B570" s="4" t="s">
        <v>294</v>
      </c>
      <c r="E570" s="3">
        <v>7</v>
      </c>
      <c r="F570" s="3">
        <v>8</v>
      </c>
      <c r="G570" s="3">
        <v>26</v>
      </c>
      <c r="H570" s="3">
        <v>5</v>
      </c>
      <c r="I570" s="3">
        <v>9</v>
      </c>
      <c r="J570" s="3">
        <v>17</v>
      </c>
      <c r="K570" s="3" t="s">
        <v>295</v>
      </c>
      <c r="L570" s="5" t="s">
        <v>296</v>
      </c>
    </row>
    <row r="571" spans="2:12">
      <c r="B571" s="4" t="s">
        <v>297</v>
      </c>
      <c r="E571" s="3">
        <v>3</v>
      </c>
      <c r="F571" s="3">
        <v>7</v>
      </c>
      <c r="G571" s="3">
        <v>15</v>
      </c>
      <c r="H571" s="3">
        <v>2</v>
      </c>
      <c r="I571" s="3">
        <v>11</v>
      </c>
      <c r="J571" s="3">
        <v>12</v>
      </c>
      <c r="K571" s="3" t="s">
        <v>298</v>
      </c>
      <c r="L571" s="5" t="s">
        <v>299</v>
      </c>
    </row>
    <row r="572" spans="2:12">
      <c r="B572" s="4" t="s">
        <v>300</v>
      </c>
      <c r="E572" s="3">
        <v>2</v>
      </c>
      <c r="F572" s="3">
        <v>5</v>
      </c>
      <c r="G572" s="3">
        <v>17</v>
      </c>
      <c r="H572" s="3">
        <v>13</v>
      </c>
      <c r="I572" s="3">
        <v>7</v>
      </c>
      <c r="J572" s="3">
        <v>13</v>
      </c>
      <c r="K572" s="3" t="s">
        <v>301</v>
      </c>
      <c r="L572" s="5" t="s">
        <v>302</v>
      </c>
    </row>
    <row r="573" spans="2:12">
      <c r="B573" s="4" t="s">
        <v>303</v>
      </c>
      <c r="E573" s="3">
        <v>3</v>
      </c>
      <c r="F573" s="3">
        <v>2</v>
      </c>
      <c r="G573" s="3">
        <v>21</v>
      </c>
      <c r="H573" s="3">
        <v>7</v>
      </c>
      <c r="I573" s="3">
        <v>9</v>
      </c>
      <c r="J573" s="3">
        <v>23</v>
      </c>
      <c r="K573" s="3" t="s">
        <v>304</v>
      </c>
      <c r="L573" s="5" t="s">
        <v>305</v>
      </c>
    </row>
    <row r="574" spans="2:12">
      <c r="B574" s="4" t="s">
        <v>306</v>
      </c>
      <c r="E574" s="3">
        <v>6</v>
      </c>
      <c r="F574" s="3">
        <v>3</v>
      </c>
      <c r="G574" s="3">
        <v>16</v>
      </c>
      <c r="H574" s="3">
        <v>11</v>
      </c>
      <c r="I574" s="3">
        <v>8</v>
      </c>
      <c r="J574" s="3">
        <v>21</v>
      </c>
      <c r="K574" s="3" t="s">
        <v>307</v>
      </c>
      <c r="L574" s="5" t="s">
        <v>308</v>
      </c>
    </row>
    <row r="575" spans="2:12" s="25" customFormat="1">
      <c r="B575" s="25" t="s">
        <v>1565</v>
      </c>
      <c r="E575" s="27">
        <f>AVERAGE(E570:E574)</f>
        <v>4.2</v>
      </c>
      <c r="F575" s="27">
        <f t="shared" ref="F575:J575" si="77">AVERAGE(F570:F574)</f>
        <v>5</v>
      </c>
      <c r="G575" s="27">
        <f t="shared" si="77"/>
        <v>19</v>
      </c>
      <c r="H575" s="27">
        <f t="shared" si="77"/>
        <v>7.6</v>
      </c>
      <c r="I575" s="27">
        <f t="shared" si="77"/>
        <v>8.8000000000000007</v>
      </c>
      <c r="J575" s="27">
        <f t="shared" si="77"/>
        <v>17.2</v>
      </c>
      <c r="K575" s="26"/>
    </row>
    <row r="576" spans="2:12" s="25" customFormat="1">
      <c r="B576" s="25" t="s">
        <v>1566</v>
      </c>
      <c r="E576" s="25">
        <f t="shared" ref="E576:J576" si="78">E575/E2</f>
        <v>0.28000000000000003</v>
      </c>
      <c r="F576" s="25">
        <f t="shared" si="78"/>
        <v>0.14705882352941177</v>
      </c>
      <c r="G576" s="25">
        <f t="shared" si="78"/>
        <v>0.40425531914893614</v>
      </c>
      <c r="H576" s="25">
        <f t="shared" si="78"/>
        <v>0.21714285714285714</v>
      </c>
      <c r="I576" s="25">
        <f t="shared" si="78"/>
        <v>0.28387096774193549</v>
      </c>
      <c r="J576" s="25">
        <f t="shared" si="78"/>
        <v>0.31272727272727269</v>
      </c>
      <c r="K576" s="26"/>
    </row>
    <row r="577" spans="2:12">
      <c r="B577" s="4" t="s">
        <v>309</v>
      </c>
      <c r="C577" s="3">
        <v>27</v>
      </c>
      <c r="D577" s="3">
        <v>20</v>
      </c>
      <c r="K577" s="3" t="s">
        <v>310</v>
      </c>
      <c r="L577" s="4" t="s">
        <v>311</v>
      </c>
    </row>
    <row r="578" spans="2:12">
      <c r="B578" s="4" t="s">
        <v>312</v>
      </c>
      <c r="C578" s="3">
        <v>16</v>
      </c>
      <c r="D578" s="3">
        <v>11</v>
      </c>
      <c r="K578" s="3" t="s">
        <v>313</v>
      </c>
      <c r="L578" s="4" t="s">
        <v>314</v>
      </c>
    </row>
    <row r="579" spans="2:12">
      <c r="B579" s="4" t="s">
        <v>315</v>
      </c>
      <c r="C579" s="3">
        <v>18</v>
      </c>
      <c r="D579" s="3">
        <v>19</v>
      </c>
      <c r="K579" s="3" t="s">
        <v>316</v>
      </c>
      <c r="L579" s="4" t="s">
        <v>317</v>
      </c>
    </row>
    <row r="580" spans="2:12">
      <c r="B580" s="4" t="s">
        <v>319</v>
      </c>
      <c r="C580" s="6">
        <v>26</v>
      </c>
      <c r="D580" s="6">
        <v>19</v>
      </c>
      <c r="K580" s="3" t="s">
        <v>320</v>
      </c>
      <c r="L580" s="4" t="s">
        <v>321</v>
      </c>
    </row>
    <row r="581" spans="2:12">
      <c r="B581" s="4" t="s">
        <v>322</v>
      </c>
      <c r="C581" s="6">
        <v>14</v>
      </c>
      <c r="D581" s="6">
        <v>18</v>
      </c>
      <c r="K581" s="3" t="s">
        <v>323</v>
      </c>
      <c r="L581" s="4" t="s">
        <v>324</v>
      </c>
    </row>
    <row r="582" spans="2:12" s="25" customFormat="1">
      <c r="B582" s="25" t="s">
        <v>1565</v>
      </c>
      <c r="C582" s="33">
        <f>AVERAGE(C577:C581)</f>
        <v>20.2</v>
      </c>
      <c r="D582" s="33">
        <f>AVERAGE(D577:D581)</f>
        <v>17.399999999999999</v>
      </c>
      <c r="K582" s="26"/>
    </row>
    <row r="583" spans="2:12" s="25" customFormat="1">
      <c r="B583" s="25" t="s">
        <v>1566</v>
      </c>
      <c r="C583" s="25">
        <f>C582/C2</f>
        <v>0.40399999999999997</v>
      </c>
      <c r="D583" s="25">
        <f>D582/D2</f>
        <v>0.34799999999999998</v>
      </c>
      <c r="K583" s="26"/>
    </row>
    <row r="584" spans="2:12">
      <c r="B584" s="4" t="s">
        <v>326</v>
      </c>
      <c r="E584" s="3"/>
      <c r="F584" s="3"/>
      <c r="G584" s="3"/>
      <c r="H584" s="3"/>
      <c r="I584" s="3"/>
      <c r="J584" s="4"/>
      <c r="K584" s="3" t="s">
        <v>327</v>
      </c>
      <c r="L584" s="5" t="s">
        <v>328</v>
      </c>
    </row>
    <row r="585" spans="2:12">
      <c r="B585" s="4" t="s">
        <v>329</v>
      </c>
      <c r="E585" s="3">
        <v>2</v>
      </c>
      <c r="F585" s="3">
        <v>2</v>
      </c>
      <c r="G585" s="3">
        <v>26</v>
      </c>
      <c r="H585" s="3">
        <v>13</v>
      </c>
      <c r="I585" s="3">
        <v>24</v>
      </c>
      <c r="J585" s="3">
        <v>22</v>
      </c>
      <c r="K585" s="3" t="s">
        <v>330</v>
      </c>
      <c r="L585" s="5" t="s">
        <v>331</v>
      </c>
    </row>
    <row r="586" spans="2:12">
      <c r="B586" s="4" t="s">
        <v>332</v>
      </c>
      <c r="E586" s="6">
        <v>2</v>
      </c>
      <c r="F586" s="6">
        <v>15</v>
      </c>
      <c r="G586" s="6">
        <v>29</v>
      </c>
      <c r="H586" s="6">
        <v>11</v>
      </c>
      <c r="I586" s="6">
        <v>16</v>
      </c>
      <c r="J586" s="6">
        <v>31</v>
      </c>
      <c r="K586" s="3" t="s">
        <v>333</v>
      </c>
      <c r="L586" s="5" t="s">
        <v>334</v>
      </c>
    </row>
    <row r="587" spans="2:12">
      <c r="B587" s="4" t="s">
        <v>335</v>
      </c>
      <c r="E587" s="3">
        <v>1</v>
      </c>
      <c r="F587" s="3">
        <v>16</v>
      </c>
      <c r="G587" s="3">
        <v>22</v>
      </c>
      <c r="H587" s="3">
        <v>9</v>
      </c>
      <c r="I587" s="3">
        <v>16</v>
      </c>
      <c r="J587" s="3">
        <v>25</v>
      </c>
      <c r="K587" s="3" t="s">
        <v>336</v>
      </c>
      <c r="L587" s="5" t="s">
        <v>337</v>
      </c>
    </row>
    <row r="588" spans="2:12">
      <c r="B588" s="4" t="s">
        <v>339</v>
      </c>
      <c r="E588" s="6">
        <v>0</v>
      </c>
      <c r="F588" s="6">
        <v>0</v>
      </c>
      <c r="G588" s="6">
        <v>29</v>
      </c>
      <c r="H588" s="6">
        <v>21</v>
      </c>
      <c r="I588" s="6">
        <v>6</v>
      </c>
      <c r="J588" s="6">
        <v>23</v>
      </c>
      <c r="K588" s="3" t="s">
        <v>340</v>
      </c>
      <c r="L588" s="5" t="s">
        <v>341</v>
      </c>
    </row>
    <row r="589" spans="2:12" s="25" customFormat="1">
      <c r="B589" s="25" t="s">
        <v>1565</v>
      </c>
      <c r="E589" s="33">
        <f>AVERAGE(E584:E588)</f>
        <v>1.25</v>
      </c>
      <c r="F589" s="33">
        <f t="shared" ref="F589:J589" si="79">AVERAGE(F584:F588)</f>
        <v>8.25</v>
      </c>
      <c r="G589" s="33">
        <f t="shared" si="79"/>
        <v>26.5</v>
      </c>
      <c r="H589" s="33">
        <f t="shared" si="79"/>
        <v>13.5</v>
      </c>
      <c r="I589" s="33">
        <f t="shared" si="79"/>
        <v>15.5</v>
      </c>
      <c r="J589" s="33">
        <f t="shared" si="79"/>
        <v>25.25</v>
      </c>
      <c r="K589" s="26"/>
    </row>
    <row r="590" spans="2:12" s="25" customFormat="1">
      <c r="B590" s="25" t="s">
        <v>1566</v>
      </c>
      <c r="E590" s="25">
        <f t="shared" ref="E590:J590" si="80">E589/E2</f>
        <v>8.3333333333333329E-2</v>
      </c>
      <c r="F590" s="25">
        <f t="shared" si="80"/>
        <v>0.24264705882352941</v>
      </c>
      <c r="G590" s="25">
        <f t="shared" si="80"/>
        <v>0.56382978723404253</v>
      </c>
      <c r="H590" s="25">
        <f t="shared" si="80"/>
        <v>0.38571428571428573</v>
      </c>
      <c r="I590" s="25">
        <f t="shared" si="80"/>
        <v>0.5</v>
      </c>
      <c r="J590" s="25">
        <f t="shared" si="80"/>
        <v>0.45909090909090911</v>
      </c>
      <c r="K590" s="26"/>
    </row>
    <row r="591" spans="2:12">
      <c r="B591" t="s">
        <v>1316</v>
      </c>
      <c r="C591" s="12">
        <v>28</v>
      </c>
      <c r="D591" s="12">
        <v>29</v>
      </c>
      <c r="K591" s="12" t="s">
        <v>806</v>
      </c>
      <c r="L591" s="11" t="s">
        <v>805</v>
      </c>
    </row>
    <row r="592" spans="2:12">
      <c r="B592" t="s">
        <v>1317</v>
      </c>
      <c r="C592" s="12">
        <v>18</v>
      </c>
      <c r="D592" s="12">
        <v>28</v>
      </c>
      <c r="K592" s="12" t="s">
        <v>810</v>
      </c>
      <c r="L592" s="11" t="s">
        <v>809</v>
      </c>
    </row>
    <row r="593" spans="2:12">
      <c r="B593" t="s">
        <v>1318</v>
      </c>
      <c r="C593" s="12">
        <v>13</v>
      </c>
      <c r="D593" s="12">
        <v>20</v>
      </c>
      <c r="K593" s="12" t="s">
        <v>814</v>
      </c>
      <c r="L593" s="11" t="s">
        <v>813</v>
      </c>
    </row>
    <row r="594" spans="2:12">
      <c r="B594" t="s">
        <v>1319</v>
      </c>
      <c r="C594" s="12">
        <v>13</v>
      </c>
      <c r="D594" s="12">
        <v>30</v>
      </c>
      <c r="K594" s="12" t="s">
        <v>816</v>
      </c>
      <c r="L594" s="11" t="s">
        <v>815</v>
      </c>
    </row>
    <row r="595" spans="2:12">
      <c r="B595" t="s">
        <v>1320</v>
      </c>
      <c r="C595" s="12">
        <v>24</v>
      </c>
      <c r="D595" s="12">
        <v>40</v>
      </c>
      <c r="K595" s="12" t="s">
        <v>819</v>
      </c>
      <c r="L595" s="11" t="s">
        <v>818</v>
      </c>
    </row>
    <row r="596" spans="2:12" s="25" customFormat="1">
      <c r="B596" s="25" t="s">
        <v>1565</v>
      </c>
      <c r="C596" s="27">
        <f>AVERAGE(C591:C595)</f>
        <v>19.2</v>
      </c>
      <c r="D596" s="27">
        <f>AVERAGE(D591:D595)</f>
        <v>29.4</v>
      </c>
      <c r="K596" s="26"/>
    </row>
    <row r="597" spans="2:12" s="25" customFormat="1">
      <c r="B597" s="25" t="s">
        <v>1566</v>
      </c>
      <c r="C597" s="25">
        <f>C596/C2</f>
        <v>0.38400000000000001</v>
      </c>
      <c r="D597" s="25">
        <f>D596/D2</f>
        <v>0.58799999999999997</v>
      </c>
      <c r="K597" s="26"/>
    </row>
    <row r="598" spans="2:12">
      <c r="B598" t="s">
        <v>1530</v>
      </c>
      <c r="E598" s="12">
        <v>6</v>
      </c>
      <c r="F598" s="12">
        <v>2</v>
      </c>
      <c r="G598" s="12">
        <v>17</v>
      </c>
      <c r="H598" s="12">
        <v>9</v>
      </c>
      <c r="I598" s="12">
        <v>8</v>
      </c>
      <c r="J598" s="12">
        <v>22</v>
      </c>
      <c r="K598" s="12" t="s">
        <v>823</v>
      </c>
      <c r="L598" s="11" t="s">
        <v>822</v>
      </c>
    </row>
    <row r="599" spans="2:12">
      <c r="B599" t="s">
        <v>1531</v>
      </c>
      <c r="E599" s="12">
        <v>0</v>
      </c>
      <c r="F599" s="12">
        <v>9</v>
      </c>
      <c r="G599" s="12">
        <v>15</v>
      </c>
      <c r="H599" s="12">
        <v>8</v>
      </c>
      <c r="I599" s="12">
        <v>6</v>
      </c>
      <c r="J599" s="12">
        <v>22</v>
      </c>
      <c r="K599" s="12" t="s">
        <v>826</v>
      </c>
      <c r="L599" s="11" t="s">
        <v>825</v>
      </c>
    </row>
    <row r="600" spans="2:12">
      <c r="B600" t="s">
        <v>1532</v>
      </c>
      <c r="E600" s="12">
        <v>7</v>
      </c>
      <c r="F600" s="12">
        <v>11</v>
      </c>
      <c r="G600" s="12">
        <v>18</v>
      </c>
      <c r="H600" s="12">
        <v>5</v>
      </c>
      <c r="I600" s="12">
        <v>10</v>
      </c>
      <c r="J600" s="12">
        <v>16</v>
      </c>
      <c r="K600" s="12" t="s">
        <v>828</v>
      </c>
      <c r="L600" s="11" t="s">
        <v>827</v>
      </c>
    </row>
    <row r="601" spans="2:12">
      <c r="B601" t="s">
        <v>1533</v>
      </c>
      <c r="E601" s="12">
        <v>6</v>
      </c>
      <c r="F601" s="12">
        <v>5</v>
      </c>
      <c r="G601" s="12">
        <v>15</v>
      </c>
      <c r="H601" s="12">
        <v>13</v>
      </c>
      <c r="I601" s="12">
        <v>6</v>
      </c>
      <c r="J601" s="12">
        <v>15</v>
      </c>
      <c r="K601" s="12" t="s">
        <v>830</v>
      </c>
      <c r="L601" s="11" t="s">
        <v>829</v>
      </c>
    </row>
    <row r="602" spans="2:12">
      <c r="B602" t="s">
        <v>1534</v>
      </c>
      <c r="E602" s="12">
        <v>5</v>
      </c>
      <c r="F602" s="12">
        <v>3</v>
      </c>
      <c r="G602" s="12">
        <v>5</v>
      </c>
      <c r="H602" s="12">
        <v>2</v>
      </c>
      <c r="I602" s="12">
        <v>6</v>
      </c>
      <c r="J602" s="12">
        <v>21</v>
      </c>
      <c r="K602" s="12" t="s">
        <v>832</v>
      </c>
      <c r="L602" s="11" t="s">
        <v>831</v>
      </c>
    </row>
    <row r="603" spans="2:12" s="25" customFormat="1">
      <c r="B603" s="25" t="s">
        <v>1565</v>
      </c>
      <c r="E603" s="27">
        <f>AVERAGE(E598:E602)</f>
        <v>4.8</v>
      </c>
      <c r="F603" s="27">
        <f t="shared" ref="F603:J603" si="81">AVERAGE(F598:F602)</f>
        <v>6</v>
      </c>
      <c r="G603" s="27">
        <f t="shared" si="81"/>
        <v>14</v>
      </c>
      <c r="H603" s="27">
        <f t="shared" si="81"/>
        <v>7.4</v>
      </c>
      <c r="I603" s="27">
        <f t="shared" si="81"/>
        <v>7.2</v>
      </c>
      <c r="J603" s="27">
        <f t="shared" si="81"/>
        <v>19.2</v>
      </c>
      <c r="K603" s="26"/>
    </row>
    <row r="604" spans="2:12" s="25" customFormat="1">
      <c r="B604" s="25" t="s">
        <v>1566</v>
      </c>
      <c r="E604" s="25">
        <f t="shared" ref="E604:J604" si="82">E603/E2</f>
        <v>0.32</v>
      </c>
      <c r="F604" s="25">
        <f t="shared" si="82"/>
        <v>0.17647058823529413</v>
      </c>
      <c r="G604" s="25">
        <f t="shared" si="82"/>
        <v>0.2978723404255319</v>
      </c>
      <c r="H604" s="25">
        <f t="shared" si="82"/>
        <v>0.21142857142857144</v>
      </c>
      <c r="I604" s="25">
        <f t="shared" si="82"/>
        <v>0.23225806451612904</v>
      </c>
      <c r="J604" s="25">
        <f t="shared" si="82"/>
        <v>0.34909090909090906</v>
      </c>
      <c r="K604" s="26"/>
    </row>
    <row r="605" spans="2:12">
      <c r="B605" t="s">
        <v>1321</v>
      </c>
      <c r="C605" s="12">
        <v>21</v>
      </c>
      <c r="D605" s="12">
        <v>30</v>
      </c>
      <c r="K605" s="12" t="s">
        <v>834</v>
      </c>
      <c r="L605" s="11" t="s">
        <v>833</v>
      </c>
    </row>
    <row r="606" spans="2:12">
      <c r="B606" t="s">
        <v>1322</v>
      </c>
      <c r="C606" s="37" t="s">
        <v>584</v>
      </c>
      <c r="D606" s="38" t="s">
        <v>584</v>
      </c>
      <c r="K606" s="12" t="s">
        <v>838</v>
      </c>
      <c r="L606" s="11" t="s">
        <v>837</v>
      </c>
    </row>
    <row r="607" spans="2:12">
      <c r="B607" t="s">
        <v>1323</v>
      </c>
      <c r="C607" s="12">
        <v>26</v>
      </c>
      <c r="D607" s="12">
        <v>5</v>
      </c>
      <c r="K607" s="12" t="s">
        <v>843</v>
      </c>
      <c r="L607" s="11" t="s">
        <v>842</v>
      </c>
    </row>
    <row r="608" spans="2:12">
      <c r="B608" t="s">
        <v>1324</v>
      </c>
      <c r="C608" s="12">
        <v>38</v>
      </c>
      <c r="D608" s="12">
        <v>15</v>
      </c>
      <c r="K608" s="12" t="s">
        <v>848</v>
      </c>
      <c r="L608" s="11" t="s">
        <v>847</v>
      </c>
    </row>
    <row r="609" spans="2:12">
      <c r="B609" t="s">
        <v>1325</v>
      </c>
      <c r="C609" s="12">
        <v>13</v>
      </c>
      <c r="D609" s="12">
        <v>26</v>
      </c>
      <c r="K609" s="12" t="s">
        <v>852</v>
      </c>
      <c r="L609" s="11" t="s">
        <v>851</v>
      </c>
    </row>
    <row r="610" spans="2:12" s="25" customFormat="1">
      <c r="B610" s="25" t="s">
        <v>1565</v>
      </c>
      <c r="C610" s="27">
        <v>24.5</v>
      </c>
      <c r="D610" s="27">
        <v>19</v>
      </c>
      <c r="K610" s="26"/>
    </row>
    <row r="611" spans="2:12" s="25" customFormat="1">
      <c r="B611" s="25" t="s">
        <v>1566</v>
      </c>
      <c r="C611" s="25">
        <f>C610/C2</f>
        <v>0.49</v>
      </c>
      <c r="D611" s="25">
        <f>D610/D2</f>
        <v>0.38</v>
      </c>
      <c r="K611" s="26"/>
    </row>
    <row r="612" spans="2:12">
      <c r="B612" t="s">
        <v>1535</v>
      </c>
      <c r="E612" s="12">
        <v>9</v>
      </c>
      <c r="F612" s="12">
        <v>24</v>
      </c>
      <c r="G612" s="12">
        <v>23</v>
      </c>
      <c r="H612" s="12">
        <v>17</v>
      </c>
      <c r="I612" s="12">
        <v>7</v>
      </c>
      <c r="J612" s="12">
        <v>31</v>
      </c>
      <c r="K612" s="12" t="s">
        <v>855</v>
      </c>
      <c r="L612" s="11" t="s">
        <v>854</v>
      </c>
    </row>
    <row r="613" spans="2:12">
      <c r="B613" t="s">
        <v>1536</v>
      </c>
      <c r="E613" s="12">
        <v>7</v>
      </c>
      <c r="F613" s="12">
        <v>16</v>
      </c>
      <c r="G613" s="12">
        <v>15</v>
      </c>
      <c r="H613" s="12">
        <v>11</v>
      </c>
      <c r="I613" s="12">
        <v>11</v>
      </c>
      <c r="J613" s="12">
        <v>17</v>
      </c>
      <c r="K613" s="12" t="s">
        <v>857</v>
      </c>
      <c r="L613" s="11" t="s">
        <v>856</v>
      </c>
    </row>
    <row r="614" spans="2:12">
      <c r="B614" t="s">
        <v>1537</v>
      </c>
      <c r="E614" s="12">
        <v>9</v>
      </c>
      <c r="F614" s="12">
        <v>14</v>
      </c>
      <c r="G614" s="12">
        <v>18</v>
      </c>
      <c r="H614" s="12">
        <v>19</v>
      </c>
      <c r="I614" s="12">
        <v>10</v>
      </c>
      <c r="J614" s="12">
        <v>24</v>
      </c>
      <c r="K614" s="12" t="s">
        <v>859</v>
      </c>
      <c r="L614" s="11" t="s">
        <v>858</v>
      </c>
    </row>
    <row r="615" spans="2:12">
      <c r="B615" t="s">
        <v>1538</v>
      </c>
      <c r="E615" s="12">
        <v>0</v>
      </c>
      <c r="F615" s="12">
        <v>12</v>
      </c>
      <c r="G615" s="12">
        <v>20</v>
      </c>
      <c r="H615" s="12">
        <v>18</v>
      </c>
      <c r="I615" s="12">
        <v>13</v>
      </c>
      <c r="J615" s="12">
        <v>33</v>
      </c>
      <c r="K615" s="12" t="s">
        <v>861</v>
      </c>
      <c r="L615" s="11" t="s">
        <v>860</v>
      </c>
    </row>
    <row r="616" spans="2:12">
      <c r="B616" t="s">
        <v>1539</v>
      </c>
      <c r="E616" s="12">
        <v>11</v>
      </c>
      <c r="F616" s="12">
        <v>17</v>
      </c>
      <c r="G616" s="12">
        <v>17</v>
      </c>
      <c r="H616" s="12">
        <v>24</v>
      </c>
      <c r="I616" s="12">
        <v>7</v>
      </c>
      <c r="J616" s="12">
        <v>31</v>
      </c>
      <c r="K616" s="12" t="s">
        <v>863</v>
      </c>
      <c r="L616" s="11" t="s">
        <v>862</v>
      </c>
    </row>
    <row r="617" spans="2:12" s="25" customFormat="1">
      <c r="B617" s="25" t="s">
        <v>1565</v>
      </c>
      <c r="E617" s="27">
        <f>AVERAGE(E612:E616)</f>
        <v>7.2</v>
      </c>
      <c r="F617" s="27">
        <f t="shared" ref="F617:J617" si="83">AVERAGE(F612:F616)</f>
        <v>16.600000000000001</v>
      </c>
      <c r="G617" s="27">
        <f t="shared" si="83"/>
        <v>18.600000000000001</v>
      </c>
      <c r="H617" s="27">
        <f t="shared" si="83"/>
        <v>17.8</v>
      </c>
      <c r="I617" s="27">
        <f t="shared" si="83"/>
        <v>9.6</v>
      </c>
      <c r="J617" s="27">
        <f t="shared" si="83"/>
        <v>27.2</v>
      </c>
      <c r="K617" s="26"/>
    </row>
    <row r="618" spans="2:12" s="25" customFormat="1">
      <c r="B618" s="25" t="s">
        <v>1566</v>
      </c>
      <c r="E618" s="25">
        <f t="shared" ref="E618:J618" si="84">E617/E2</f>
        <v>0.48000000000000004</v>
      </c>
      <c r="F618" s="25">
        <f t="shared" si="84"/>
        <v>0.4882352941176471</v>
      </c>
      <c r="G618" s="25">
        <f t="shared" si="84"/>
        <v>0.39574468085106385</v>
      </c>
      <c r="H618" s="25">
        <f t="shared" si="84"/>
        <v>0.50857142857142856</v>
      </c>
      <c r="I618" s="25">
        <f t="shared" si="84"/>
        <v>0.30967741935483872</v>
      </c>
      <c r="J618" s="25">
        <f t="shared" si="84"/>
        <v>0.49454545454545451</v>
      </c>
      <c r="K618" s="26"/>
    </row>
    <row r="619" spans="2:12">
      <c r="B619" s="4" t="s">
        <v>342</v>
      </c>
      <c r="C619" s="3">
        <v>18</v>
      </c>
      <c r="D619" s="3">
        <v>30</v>
      </c>
      <c r="K619" s="3" t="s">
        <v>343</v>
      </c>
      <c r="L619" s="4" t="s">
        <v>344</v>
      </c>
    </row>
    <row r="620" spans="2:12">
      <c r="B620" s="4" t="s">
        <v>346</v>
      </c>
      <c r="C620" s="3">
        <v>5</v>
      </c>
      <c r="D620" s="3">
        <v>24</v>
      </c>
      <c r="K620" s="3" t="s">
        <v>347</v>
      </c>
      <c r="L620" s="4" t="s">
        <v>348</v>
      </c>
    </row>
    <row r="621" spans="2:12">
      <c r="B621" s="4" t="s">
        <v>350</v>
      </c>
      <c r="C621" s="3">
        <v>10</v>
      </c>
      <c r="D621" s="3">
        <v>23</v>
      </c>
      <c r="K621" s="3" t="s">
        <v>351</v>
      </c>
      <c r="L621" s="4" t="s">
        <v>352</v>
      </c>
    </row>
    <row r="622" spans="2:12">
      <c r="B622" s="4" t="s">
        <v>354</v>
      </c>
      <c r="C622" s="3">
        <v>10</v>
      </c>
      <c r="D622" s="3">
        <v>25</v>
      </c>
      <c r="K622" s="3" t="s">
        <v>355</v>
      </c>
      <c r="L622" s="4" t="s">
        <v>356</v>
      </c>
    </row>
    <row r="623" spans="2:12">
      <c r="B623" s="4" t="s">
        <v>357</v>
      </c>
      <c r="C623" s="36" t="s">
        <v>584</v>
      </c>
      <c r="D623" s="6">
        <v>17</v>
      </c>
      <c r="K623" s="3" t="s">
        <v>358</v>
      </c>
      <c r="L623" s="4" t="s">
        <v>359</v>
      </c>
    </row>
    <row r="624" spans="2:12" s="25" customFormat="1">
      <c r="B624" s="25" t="s">
        <v>1565</v>
      </c>
      <c r="C624" s="39">
        <f>AVERAGE(C619:C623)</f>
        <v>10.75</v>
      </c>
      <c r="D624" s="39">
        <f>AVERAGE(D619:D623)</f>
        <v>23.8</v>
      </c>
      <c r="K624" s="26"/>
    </row>
    <row r="625" spans="2:12" s="25" customFormat="1">
      <c r="B625" s="25" t="s">
        <v>1566</v>
      </c>
      <c r="C625" s="25">
        <f>C624/C2</f>
        <v>0.215</v>
      </c>
      <c r="D625" s="25">
        <f>D624/D2</f>
        <v>0.47600000000000003</v>
      </c>
      <c r="K625" s="26"/>
    </row>
    <row r="626" spans="2:12">
      <c r="B626" s="4" t="s">
        <v>362</v>
      </c>
      <c r="E626" s="3">
        <v>3</v>
      </c>
      <c r="F626" s="3">
        <v>4</v>
      </c>
      <c r="G626" s="3">
        <v>18</v>
      </c>
      <c r="H626" s="3">
        <v>9</v>
      </c>
      <c r="I626" s="3">
        <v>4</v>
      </c>
      <c r="J626" s="3">
        <v>12</v>
      </c>
      <c r="K626" s="3" t="s">
        <v>363</v>
      </c>
      <c r="L626" s="5" t="s">
        <v>364</v>
      </c>
    </row>
    <row r="627" spans="2:12">
      <c r="B627" s="4" t="s">
        <v>365</v>
      </c>
      <c r="E627" s="3">
        <v>5</v>
      </c>
      <c r="F627" s="3">
        <v>5</v>
      </c>
      <c r="G627" s="3">
        <v>12</v>
      </c>
      <c r="H627" s="3">
        <v>6</v>
      </c>
      <c r="I627" s="3">
        <v>10</v>
      </c>
      <c r="J627" s="3">
        <v>11</v>
      </c>
      <c r="K627" s="3" t="s">
        <v>366</v>
      </c>
      <c r="L627" s="5" t="s">
        <v>367</v>
      </c>
    </row>
    <row r="628" spans="2:12">
      <c r="B628" s="4" t="s">
        <v>368</v>
      </c>
      <c r="E628" s="3">
        <v>6</v>
      </c>
      <c r="F628" s="3">
        <v>2</v>
      </c>
      <c r="G628" s="3">
        <v>19</v>
      </c>
      <c r="H628" s="3">
        <v>7</v>
      </c>
      <c r="I628" s="3">
        <v>7</v>
      </c>
      <c r="J628" s="3">
        <v>11</v>
      </c>
      <c r="K628" s="3" t="s">
        <v>369</v>
      </c>
      <c r="L628" s="5" t="s">
        <v>370</v>
      </c>
    </row>
    <row r="629" spans="2:12">
      <c r="B629" s="4" t="s">
        <v>371</v>
      </c>
      <c r="E629" s="3">
        <v>4</v>
      </c>
      <c r="F629" s="3">
        <v>5</v>
      </c>
      <c r="G629" s="3">
        <v>20</v>
      </c>
      <c r="H629" s="3">
        <v>9</v>
      </c>
      <c r="I629" s="3">
        <v>14</v>
      </c>
      <c r="J629" s="3">
        <v>14</v>
      </c>
      <c r="K629" s="3" t="s">
        <v>372</v>
      </c>
      <c r="L629" s="5" t="s">
        <v>373</v>
      </c>
    </row>
    <row r="630" spans="2:12">
      <c r="B630" s="4" t="s">
        <v>374</v>
      </c>
      <c r="E630" s="6">
        <v>7</v>
      </c>
      <c r="F630" s="6">
        <v>10</v>
      </c>
      <c r="G630" s="6">
        <v>33</v>
      </c>
      <c r="H630" s="6">
        <v>16</v>
      </c>
      <c r="I630" s="6">
        <v>14</v>
      </c>
      <c r="J630" s="6">
        <v>14</v>
      </c>
      <c r="K630" s="3" t="s">
        <v>375</v>
      </c>
      <c r="L630" s="5" t="s">
        <v>376</v>
      </c>
    </row>
    <row r="631" spans="2:12" s="25" customFormat="1">
      <c r="B631" s="25" t="s">
        <v>1565</v>
      </c>
      <c r="E631" s="33">
        <f>AVERAGE(E626:E630)</f>
        <v>5</v>
      </c>
      <c r="F631" s="33">
        <f t="shared" ref="F631:J631" si="85">AVERAGE(F626:F630)</f>
        <v>5.2</v>
      </c>
      <c r="G631" s="33">
        <f t="shared" si="85"/>
        <v>20.399999999999999</v>
      </c>
      <c r="H631" s="33">
        <f t="shared" si="85"/>
        <v>9.4</v>
      </c>
      <c r="I631" s="33">
        <f t="shared" si="85"/>
        <v>9.8000000000000007</v>
      </c>
      <c r="J631" s="33">
        <f t="shared" si="85"/>
        <v>12.4</v>
      </c>
      <c r="K631" s="26"/>
    </row>
    <row r="632" spans="2:12" s="25" customFormat="1">
      <c r="B632" s="25" t="s">
        <v>1566</v>
      </c>
      <c r="E632" s="25">
        <f t="shared" ref="E632:J632" si="86">E631/E2</f>
        <v>0.33333333333333331</v>
      </c>
      <c r="F632" s="25">
        <f t="shared" si="86"/>
        <v>0.15294117647058825</v>
      </c>
      <c r="G632" s="25">
        <f t="shared" si="86"/>
        <v>0.43404255319148932</v>
      </c>
      <c r="H632" s="25">
        <f t="shared" si="86"/>
        <v>0.26857142857142857</v>
      </c>
      <c r="I632" s="25">
        <f t="shared" si="86"/>
        <v>0.31612903225806455</v>
      </c>
      <c r="J632" s="25">
        <f t="shared" si="86"/>
        <v>0.22545454545454546</v>
      </c>
      <c r="K632" s="26"/>
    </row>
    <row r="633" spans="2:12">
      <c r="B633" s="4" t="s">
        <v>377</v>
      </c>
      <c r="C633" s="36" t="s">
        <v>584</v>
      </c>
      <c r="D633" s="35" t="s">
        <v>584</v>
      </c>
      <c r="K633" s="3" t="s">
        <v>378</v>
      </c>
      <c r="L633" s="4" t="s">
        <v>379</v>
      </c>
    </row>
    <row r="634" spans="2:12">
      <c r="B634" s="4" t="s">
        <v>381</v>
      </c>
      <c r="C634" s="3">
        <v>3</v>
      </c>
      <c r="D634" s="3">
        <v>18</v>
      </c>
      <c r="K634" s="3" t="s">
        <v>382</v>
      </c>
      <c r="L634" s="4" t="s">
        <v>383</v>
      </c>
    </row>
    <row r="635" spans="2:12">
      <c r="B635" s="4" t="s">
        <v>385</v>
      </c>
      <c r="C635" s="6">
        <v>6</v>
      </c>
      <c r="D635" s="6">
        <v>20</v>
      </c>
      <c r="K635" s="3" t="s">
        <v>386</v>
      </c>
      <c r="L635" s="4" t="s">
        <v>387</v>
      </c>
    </row>
    <row r="636" spans="2:12">
      <c r="B636" s="4" t="s">
        <v>388</v>
      </c>
      <c r="C636" s="3">
        <v>15</v>
      </c>
      <c r="D636" s="3">
        <v>2</v>
      </c>
      <c r="K636" s="3" t="s">
        <v>389</v>
      </c>
      <c r="L636" s="4" t="s">
        <v>390</v>
      </c>
    </row>
    <row r="637" spans="2:12">
      <c r="B637" s="4" t="s">
        <v>391</v>
      </c>
      <c r="C637" s="3">
        <v>6</v>
      </c>
      <c r="D637" s="3">
        <v>20</v>
      </c>
      <c r="K637" s="3" t="s">
        <v>392</v>
      </c>
      <c r="L637" s="4" t="s">
        <v>393</v>
      </c>
    </row>
    <row r="638" spans="2:12" s="25" customFormat="1">
      <c r="B638" s="25" t="s">
        <v>1565</v>
      </c>
      <c r="C638" s="27">
        <f>AVERAGE(C633:C637)</f>
        <v>7.5</v>
      </c>
      <c r="D638" s="27">
        <f>AVERAGE(D633:D637)</f>
        <v>15</v>
      </c>
      <c r="K638" s="26"/>
    </row>
    <row r="639" spans="2:12" s="25" customFormat="1">
      <c r="B639" s="25" t="s">
        <v>1566</v>
      </c>
      <c r="C639" s="25">
        <f>C638/C2</f>
        <v>0.15</v>
      </c>
      <c r="D639" s="25">
        <f>D638/D2</f>
        <v>0.3</v>
      </c>
      <c r="K639" s="26"/>
    </row>
    <row r="640" spans="2:12">
      <c r="B640" s="4" t="s">
        <v>395</v>
      </c>
      <c r="E640" s="3">
        <v>6</v>
      </c>
      <c r="F640" s="3">
        <v>1</v>
      </c>
      <c r="G640" s="3">
        <v>5</v>
      </c>
      <c r="H640" s="3">
        <v>3</v>
      </c>
      <c r="I640" s="3">
        <v>5</v>
      </c>
      <c r="J640" s="3">
        <v>8</v>
      </c>
      <c r="K640" s="3" t="s">
        <v>396</v>
      </c>
      <c r="L640" s="5" t="s">
        <v>397</v>
      </c>
    </row>
    <row r="641" spans="2:12">
      <c r="B641" s="4" t="s">
        <v>398</v>
      </c>
      <c r="E641" s="3"/>
      <c r="F641" s="3"/>
      <c r="G641" s="3"/>
      <c r="H641" s="3"/>
      <c r="I641" s="3"/>
      <c r="J641" s="3"/>
      <c r="K641" s="3" t="s">
        <v>399</v>
      </c>
      <c r="L641" s="5" t="s">
        <v>400</v>
      </c>
    </row>
    <row r="642" spans="2:12">
      <c r="B642" s="4" t="s">
        <v>401</v>
      </c>
      <c r="E642" s="3">
        <v>7</v>
      </c>
      <c r="F642" s="3">
        <v>7</v>
      </c>
      <c r="G642" s="3">
        <v>15</v>
      </c>
      <c r="H642" s="3">
        <v>12</v>
      </c>
      <c r="I642" s="3">
        <v>7</v>
      </c>
      <c r="J642" s="3">
        <v>21</v>
      </c>
      <c r="K642" s="3" t="s">
        <v>402</v>
      </c>
      <c r="L642" s="5" t="s">
        <v>403</v>
      </c>
    </row>
    <row r="643" spans="2:12">
      <c r="B643" s="4" t="s">
        <v>405</v>
      </c>
      <c r="E643" s="3">
        <v>4</v>
      </c>
      <c r="F643" s="3">
        <v>8</v>
      </c>
      <c r="G643" s="3">
        <v>7</v>
      </c>
      <c r="H643" s="3">
        <v>7</v>
      </c>
      <c r="I643" s="3">
        <v>9</v>
      </c>
      <c r="J643" s="3">
        <v>13</v>
      </c>
      <c r="K643" s="3" t="s">
        <v>406</v>
      </c>
      <c r="L643" s="5" t="s">
        <v>407</v>
      </c>
    </row>
    <row r="644" spans="2:12">
      <c r="B644" s="4" t="s">
        <v>408</v>
      </c>
      <c r="E644" s="3">
        <v>3</v>
      </c>
      <c r="F644" s="3">
        <v>6</v>
      </c>
      <c r="G644" s="3">
        <v>19</v>
      </c>
      <c r="H644" s="3">
        <v>6</v>
      </c>
      <c r="I644" s="3">
        <v>8</v>
      </c>
      <c r="J644" s="3">
        <v>15</v>
      </c>
      <c r="K644" s="3" t="s">
        <v>409</v>
      </c>
      <c r="L644" s="5" t="s">
        <v>410</v>
      </c>
    </row>
    <row r="645" spans="2:12" s="25" customFormat="1">
      <c r="B645" s="25" t="s">
        <v>1565</v>
      </c>
      <c r="E645" s="27">
        <f>AVERAGE(E640:E644)</f>
        <v>5</v>
      </c>
      <c r="F645" s="27">
        <f t="shared" ref="F645:J645" si="87">AVERAGE(F640:F644)</f>
        <v>5.5</v>
      </c>
      <c r="G645" s="27">
        <f t="shared" si="87"/>
        <v>11.5</v>
      </c>
      <c r="H645" s="27">
        <f t="shared" si="87"/>
        <v>7</v>
      </c>
      <c r="I645" s="27">
        <f t="shared" si="87"/>
        <v>7.25</v>
      </c>
      <c r="J645" s="27">
        <f t="shared" si="87"/>
        <v>14.25</v>
      </c>
      <c r="K645" s="26"/>
    </row>
    <row r="646" spans="2:12" s="25" customFormat="1">
      <c r="B646" s="25" t="s">
        <v>1566</v>
      </c>
      <c r="E646" s="25">
        <f t="shared" ref="E646:J646" si="88">E645/E2</f>
        <v>0.33333333333333331</v>
      </c>
      <c r="F646" s="25">
        <f t="shared" si="88"/>
        <v>0.16176470588235295</v>
      </c>
      <c r="G646" s="25">
        <f t="shared" si="88"/>
        <v>0.24468085106382978</v>
      </c>
      <c r="H646" s="25">
        <f t="shared" si="88"/>
        <v>0.2</v>
      </c>
      <c r="I646" s="25">
        <f t="shared" si="88"/>
        <v>0.23387096774193547</v>
      </c>
      <c r="J646" s="25">
        <f t="shared" si="88"/>
        <v>0.25909090909090909</v>
      </c>
      <c r="K646" s="26"/>
    </row>
    <row r="647" spans="2:12">
      <c r="B647" t="s">
        <v>1326</v>
      </c>
      <c r="C647" s="12">
        <v>16</v>
      </c>
      <c r="D647" s="12">
        <v>21</v>
      </c>
      <c r="K647" s="12" t="s">
        <v>865</v>
      </c>
      <c r="L647" s="11" t="s">
        <v>864</v>
      </c>
    </row>
    <row r="648" spans="2:12">
      <c r="B648" t="s">
        <v>1327</v>
      </c>
      <c r="C648" s="12">
        <v>13</v>
      </c>
      <c r="D648" s="12">
        <v>14</v>
      </c>
      <c r="K648" s="12" t="s">
        <v>868</v>
      </c>
      <c r="L648" s="11" t="s">
        <v>867</v>
      </c>
    </row>
    <row r="649" spans="2:12">
      <c r="B649" t="s">
        <v>1328</v>
      </c>
      <c r="C649" s="12">
        <v>13</v>
      </c>
      <c r="D649" s="12">
        <v>9</v>
      </c>
      <c r="K649" s="12" t="s">
        <v>873</v>
      </c>
      <c r="L649" s="11" t="s">
        <v>872</v>
      </c>
    </row>
    <row r="650" spans="2:12">
      <c r="B650" t="s">
        <v>1329</v>
      </c>
      <c r="C650" s="12">
        <v>17</v>
      </c>
      <c r="D650" s="12">
        <v>9</v>
      </c>
      <c r="K650" s="12" t="s">
        <v>877</v>
      </c>
      <c r="L650" s="11" t="s">
        <v>876</v>
      </c>
    </row>
    <row r="651" spans="2:12">
      <c r="B651" t="s">
        <v>1330</v>
      </c>
      <c r="C651" s="12">
        <v>16</v>
      </c>
      <c r="D651" s="12">
        <v>13</v>
      </c>
      <c r="K651" s="12" t="s">
        <v>880</v>
      </c>
      <c r="L651" s="11" t="s">
        <v>879</v>
      </c>
    </row>
    <row r="652" spans="2:12" s="25" customFormat="1">
      <c r="B652" s="25" t="s">
        <v>1565</v>
      </c>
      <c r="C652" s="27">
        <f>AVERAGE(C647:C651)</f>
        <v>15</v>
      </c>
      <c r="D652" s="27">
        <f>AVERAGE(D647:D651)</f>
        <v>13.2</v>
      </c>
      <c r="K652" s="26"/>
    </row>
    <row r="653" spans="2:12" s="25" customFormat="1">
      <c r="B653" s="25" t="s">
        <v>1566</v>
      </c>
      <c r="C653" s="25">
        <f>C652/C2</f>
        <v>0.3</v>
      </c>
      <c r="D653" s="25">
        <f>D652/D2</f>
        <v>0.26400000000000001</v>
      </c>
      <c r="K653" s="26"/>
    </row>
    <row r="654" spans="2:12">
      <c r="B654" t="s">
        <v>1540</v>
      </c>
      <c r="E654" s="12">
        <v>0</v>
      </c>
      <c r="F654" s="12">
        <v>2</v>
      </c>
      <c r="G654" s="12">
        <v>9</v>
      </c>
      <c r="H654" s="12">
        <v>6</v>
      </c>
      <c r="I654" s="12">
        <v>3</v>
      </c>
      <c r="J654" s="12">
        <v>11</v>
      </c>
      <c r="K654" s="12" t="s">
        <v>883</v>
      </c>
      <c r="L654" s="11" t="s">
        <v>882</v>
      </c>
    </row>
    <row r="655" spans="2:12">
      <c r="B655" t="s">
        <v>1541</v>
      </c>
      <c r="E655" s="12">
        <v>6</v>
      </c>
      <c r="F655" s="12">
        <v>9</v>
      </c>
      <c r="G655" s="12">
        <v>11</v>
      </c>
      <c r="H655" s="12">
        <v>5</v>
      </c>
      <c r="I655" s="12">
        <v>6</v>
      </c>
      <c r="J655" s="12">
        <v>14</v>
      </c>
      <c r="K655" s="12" t="s">
        <v>885</v>
      </c>
      <c r="L655" s="11" t="s">
        <v>884</v>
      </c>
    </row>
    <row r="656" spans="2:12">
      <c r="B656" t="s">
        <v>1542</v>
      </c>
      <c r="E656" s="12">
        <v>7</v>
      </c>
      <c r="F656" s="12">
        <v>2</v>
      </c>
      <c r="G656" s="12">
        <v>9</v>
      </c>
      <c r="H656" s="12">
        <v>7</v>
      </c>
      <c r="I656" s="12">
        <v>13</v>
      </c>
      <c r="J656" s="12">
        <v>16</v>
      </c>
      <c r="K656" s="12" t="s">
        <v>887</v>
      </c>
      <c r="L656" s="11" t="s">
        <v>886</v>
      </c>
    </row>
    <row r="657" spans="2:12">
      <c r="B657" t="s">
        <v>1543</v>
      </c>
      <c r="E657" s="12">
        <v>5</v>
      </c>
      <c r="F657" s="12">
        <v>6</v>
      </c>
      <c r="G657" s="12">
        <v>12</v>
      </c>
      <c r="H657" s="12">
        <v>8</v>
      </c>
      <c r="I657" s="12">
        <v>12</v>
      </c>
      <c r="J657" s="12">
        <v>14</v>
      </c>
      <c r="K657" s="12" t="s">
        <v>889</v>
      </c>
      <c r="L657" s="11" t="s">
        <v>888</v>
      </c>
    </row>
    <row r="658" spans="2:12">
      <c r="B658" t="s">
        <v>1544</v>
      </c>
      <c r="E658" s="12">
        <v>6</v>
      </c>
      <c r="F658" s="12">
        <v>3</v>
      </c>
      <c r="G658" s="12">
        <v>15</v>
      </c>
      <c r="H658" s="12">
        <v>10</v>
      </c>
      <c r="I658" s="12">
        <v>7</v>
      </c>
      <c r="J658" s="12">
        <v>14</v>
      </c>
      <c r="K658" s="12" t="s">
        <v>891</v>
      </c>
      <c r="L658" s="11" t="s">
        <v>890</v>
      </c>
    </row>
    <row r="659" spans="2:12" s="25" customFormat="1">
      <c r="B659" s="25" t="s">
        <v>1565</v>
      </c>
      <c r="E659" s="27">
        <f>AVERAGE(E654:E658)</f>
        <v>4.8</v>
      </c>
      <c r="F659" s="27">
        <f t="shared" ref="F659:J659" si="89">AVERAGE(F654:F658)</f>
        <v>4.4000000000000004</v>
      </c>
      <c r="G659" s="27">
        <f t="shared" si="89"/>
        <v>11.2</v>
      </c>
      <c r="H659" s="27">
        <f t="shared" si="89"/>
        <v>7.2</v>
      </c>
      <c r="I659" s="27">
        <f t="shared" si="89"/>
        <v>8.1999999999999993</v>
      </c>
      <c r="J659" s="27">
        <f t="shared" si="89"/>
        <v>13.8</v>
      </c>
      <c r="K659" s="26"/>
    </row>
    <row r="660" spans="2:12" s="25" customFormat="1">
      <c r="B660" s="25" t="s">
        <v>1566</v>
      </c>
      <c r="E660" s="25">
        <f t="shared" ref="E660:J660" si="90">E659/E2</f>
        <v>0.32</v>
      </c>
      <c r="F660" s="25">
        <f t="shared" si="90"/>
        <v>0.12941176470588237</v>
      </c>
      <c r="G660" s="25">
        <f t="shared" si="90"/>
        <v>0.23829787234042552</v>
      </c>
      <c r="H660" s="25">
        <f t="shared" si="90"/>
        <v>0.20571428571428571</v>
      </c>
      <c r="I660" s="25">
        <f t="shared" si="90"/>
        <v>0.26451612903225802</v>
      </c>
      <c r="J660" s="25">
        <f t="shared" si="90"/>
        <v>0.25090909090909091</v>
      </c>
      <c r="K660" s="26"/>
    </row>
    <row r="661" spans="2:12">
      <c r="B661" s="18" t="s">
        <v>1331</v>
      </c>
      <c r="C661" s="12">
        <v>18</v>
      </c>
      <c r="D661" s="12">
        <v>21</v>
      </c>
      <c r="K661" s="12" t="s">
        <v>893</v>
      </c>
      <c r="L661" s="11" t="s">
        <v>892</v>
      </c>
    </row>
    <row r="662" spans="2:12">
      <c r="B662" s="18" t="s">
        <v>1332</v>
      </c>
      <c r="C662" s="12">
        <v>16</v>
      </c>
      <c r="D662" s="12">
        <v>20</v>
      </c>
      <c r="K662" s="12" t="s">
        <v>897</v>
      </c>
      <c r="L662" s="11" t="s">
        <v>896</v>
      </c>
    </row>
    <row r="663" spans="2:12">
      <c r="B663" s="18" t="s">
        <v>1333</v>
      </c>
      <c r="C663" s="12">
        <v>24</v>
      </c>
      <c r="D663" s="12">
        <v>25</v>
      </c>
      <c r="K663" s="12" t="s">
        <v>901</v>
      </c>
      <c r="L663" s="11" t="s">
        <v>900</v>
      </c>
    </row>
    <row r="664" spans="2:12">
      <c r="B664" s="18" t="s">
        <v>1334</v>
      </c>
      <c r="C664" s="12">
        <v>24</v>
      </c>
      <c r="D664" s="12">
        <v>29</v>
      </c>
      <c r="K664" s="12" t="s">
        <v>903</v>
      </c>
      <c r="L664" s="11" t="s">
        <v>902</v>
      </c>
    </row>
    <row r="665" spans="2:12">
      <c r="B665" s="18" t="s">
        <v>1335</v>
      </c>
      <c r="C665" s="12">
        <v>4</v>
      </c>
      <c r="D665" s="12">
        <v>32</v>
      </c>
      <c r="K665" s="12" t="s">
        <v>907</v>
      </c>
      <c r="L665" s="11" t="s">
        <v>906</v>
      </c>
    </row>
    <row r="666" spans="2:12" s="25" customFormat="1">
      <c r="B666" s="25" t="s">
        <v>1565</v>
      </c>
      <c r="C666" s="27">
        <f>AVERAGE(C661:C665)</f>
        <v>17.2</v>
      </c>
      <c r="D666" s="27">
        <f>AVERAGE(D661:D665)</f>
        <v>25.4</v>
      </c>
      <c r="K666" s="26"/>
    </row>
    <row r="667" spans="2:12" s="25" customFormat="1">
      <c r="B667" s="25" t="s">
        <v>1566</v>
      </c>
      <c r="C667" s="25">
        <f>C666/C2</f>
        <v>0.34399999999999997</v>
      </c>
      <c r="D667" s="25">
        <f>D666/D2</f>
        <v>0.50800000000000001</v>
      </c>
      <c r="K667" s="26"/>
    </row>
    <row r="668" spans="2:12">
      <c r="B668" t="s">
        <v>1545</v>
      </c>
      <c r="E668" s="12">
        <v>6</v>
      </c>
      <c r="F668" s="12">
        <v>16</v>
      </c>
      <c r="G668" s="12">
        <v>21</v>
      </c>
      <c r="H668" s="12">
        <v>12</v>
      </c>
      <c r="I668" s="12">
        <v>8</v>
      </c>
      <c r="J668" s="12">
        <v>23</v>
      </c>
      <c r="K668" s="12" t="s">
        <v>909</v>
      </c>
      <c r="L668" s="11" t="s">
        <v>908</v>
      </c>
    </row>
    <row r="669" spans="2:12">
      <c r="B669" t="s">
        <v>1546</v>
      </c>
      <c r="E669" s="12">
        <v>4</v>
      </c>
      <c r="F669" s="12">
        <v>17</v>
      </c>
      <c r="G669" s="12">
        <v>18</v>
      </c>
      <c r="H669" s="12">
        <v>12</v>
      </c>
      <c r="I669" s="12">
        <v>6</v>
      </c>
      <c r="J669" s="12">
        <v>16</v>
      </c>
      <c r="K669" s="12" t="s">
        <v>911</v>
      </c>
      <c r="L669" s="11" t="s">
        <v>910</v>
      </c>
    </row>
    <row r="670" spans="2:12">
      <c r="B670" t="s">
        <v>1547</v>
      </c>
      <c r="E670" s="12">
        <v>8</v>
      </c>
      <c r="F670" s="12">
        <v>11</v>
      </c>
      <c r="G670" s="12">
        <v>10</v>
      </c>
      <c r="H670" s="12">
        <v>12</v>
      </c>
      <c r="I670" s="12">
        <v>16</v>
      </c>
      <c r="J670" s="12">
        <v>12</v>
      </c>
      <c r="K670" s="12" t="s">
        <v>913</v>
      </c>
      <c r="L670" s="11" t="s">
        <v>912</v>
      </c>
    </row>
    <row r="671" spans="2:12">
      <c r="B671" t="s">
        <v>1548</v>
      </c>
      <c r="E671" s="12">
        <v>8</v>
      </c>
      <c r="F671" s="12">
        <v>4</v>
      </c>
      <c r="G671" s="12">
        <v>11</v>
      </c>
      <c r="H671" s="12">
        <v>7</v>
      </c>
      <c r="I671" s="12">
        <v>7</v>
      </c>
      <c r="J671" s="12">
        <v>18</v>
      </c>
      <c r="K671" s="12" t="s">
        <v>915</v>
      </c>
      <c r="L671" s="11" t="s">
        <v>914</v>
      </c>
    </row>
    <row r="672" spans="2:12">
      <c r="B672" t="s">
        <v>1549</v>
      </c>
      <c r="E672" s="12">
        <v>5</v>
      </c>
      <c r="F672" s="12">
        <v>13</v>
      </c>
      <c r="G672" s="12">
        <v>24</v>
      </c>
      <c r="H672" s="12">
        <v>12</v>
      </c>
      <c r="I672" s="12">
        <v>12</v>
      </c>
      <c r="J672" s="12">
        <v>31</v>
      </c>
      <c r="K672" s="12" t="s">
        <v>917</v>
      </c>
      <c r="L672" s="11" t="s">
        <v>916</v>
      </c>
    </row>
    <row r="673" spans="2:11" s="25" customFormat="1">
      <c r="B673" s="25" t="s">
        <v>1565</v>
      </c>
      <c r="E673" s="25">
        <f>AVERAGE(E668:E672)</f>
        <v>6.2</v>
      </c>
      <c r="F673" s="25">
        <f t="shared" ref="F673:J673" si="91">AVERAGE(F668:F672)</f>
        <v>12.2</v>
      </c>
      <c r="G673" s="25">
        <f t="shared" si="91"/>
        <v>16.8</v>
      </c>
      <c r="H673" s="25">
        <f t="shared" si="91"/>
        <v>11</v>
      </c>
      <c r="I673" s="25">
        <f t="shared" si="91"/>
        <v>9.8000000000000007</v>
      </c>
      <c r="J673" s="25">
        <f t="shared" si="91"/>
        <v>20</v>
      </c>
      <c r="K673" s="26"/>
    </row>
    <row r="674" spans="2:11" s="25" customFormat="1">
      <c r="B674" s="25" t="s">
        <v>1566</v>
      </c>
      <c r="E674" s="25">
        <f t="shared" ref="E674:J674" si="92">E673/E2</f>
        <v>0.41333333333333333</v>
      </c>
      <c r="F674" s="25">
        <f t="shared" si="92"/>
        <v>0.35882352941176471</v>
      </c>
      <c r="G674" s="25">
        <f t="shared" si="92"/>
        <v>0.35744680851063831</v>
      </c>
      <c r="H674" s="25">
        <f t="shared" si="92"/>
        <v>0.31428571428571428</v>
      </c>
      <c r="I674" s="25">
        <f t="shared" si="92"/>
        <v>0.31612903225806455</v>
      </c>
      <c r="J674" s="25">
        <f t="shared" si="92"/>
        <v>0.36363636363636365</v>
      </c>
      <c r="K674" s="26"/>
    </row>
  </sheetData>
  <pageMargins left="0.7" right="0.7" top="0.75" bottom="0.75" header="0.3" footer="0.3"/>
  <pageSetup orientation="portrait" horizontalDpi="300" verticalDpi="300" r:id="rId1"/>
  <ignoredErrors>
    <ignoredError sqref="C8:D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9A500-70E6-4E21-8838-13503A0B7A8F}">
  <dimension ref="B1:U49"/>
  <sheetViews>
    <sheetView topLeftCell="B1" zoomScale="90" zoomScaleNormal="90" workbookViewId="0">
      <selection activeCell="B53" sqref="B53"/>
    </sheetView>
  </sheetViews>
  <sheetFormatPr baseColWidth="10" defaultColWidth="8.83203125" defaultRowHeight="15"/>
  <cols>
    <col min="1" max="1" width="27.33203125" customWidth="1"/>
    <col min="2" max="2" width="18.33203125" bestFit="1" customWidth="1"/>
    <col min="20" max="20" width="11" customWidth="1"/>
  </cols>
  <sheetData>
    <row r="1" spans="2:21" ht="116.25" customHeight="1">
      <c r="B1" s="1" t="s">
        <v>1174</v>
      </c>
      <c r="C1" s="2" t="s">
        <v>1223</v>
      </c>
      <c r="D1" s="2" t="s">
        <v>0</v>
      </c>
      <c r="E1" s="2" t="s">
        <v>1847</v>
      </c>
      <c r="F1" s="2" t="s">
        <v>1579</v>
      </c>
      <c r="G1" s="2" t="s">
        <v>1576</v>
      </c>
      <c r="H1" s="2" t="s">
        <v>1577</v>
      </c>
      <c r="I1" s="2" t="s">
        <v>1578</v>
      </c>
      <c r="J1" s="2" t="s">
        <v>1844</v>
      </c>
      <c r="K1" s="2" t="s">
        <v>1846</v>
      </c>
      <c r="L1" s="2" t="s">
        <v>1845</v>
      </c>
      <c r="M1" s="2" t="s">
        <v>1387</v>
      </c>
      <c r="N1" s="2" t="s">
        <v>2</v>
      </c>
      <c r="O1" s="2" t="s">
        <v>3</v>
      </c>
      <c r="P1" s="2" t="s">
        <v>4</v>
      </c>
      <c r="Q1" s="2" t="s">
        <v>5</v>
      </c>
      <c r="R1" s="2" t="s">
        <v>6</v>
      </c>
      <c r="S1" s="2" t="s">
        <v>7</v>
      </c>
      <c r="T1" s="2" t="s">
        <v>1562</v>
      </c>
      <c r="U1" s="2" t="s">
        <v>1389</v>
      </c>
    </row>
    <row r="2" spans="2:21">
      <c r="B2" t="s">
        <v>1175</v>
      </c>
      <c r="C2" s="21">
        <f>6.4/50</f>
        <v>0.128</v>
      </c>
      <c r="D2">
        <f>11/50</f>
        <v>0.22</v>
      </c>
      <c r="E2">
        <v>0</v>
      </c>
      <c r="F2">
        <v>0.4</v>
      </c>
      <c r="G2">
        <v>0.8</v>
      </c>
      <c r="H2">
        <v>0</v>
      </c>
      <c r="I2">
        <v>0</v>
      </c>
      <c r="J2">
        <v>0</v>
      </c>
      <c r="K2">
        <v>0</v>
      </c>
      <c r="L2">
        <v>0</v>
      </c>
      <c r="M2">
        <v>0</v>
      </c>
      <c r="N2" s="21">
        <f>0.4/15</f>
        <v>2.6666666666666668E-2</v>
      </c>
      <c r="O2" s="21">
        <f>0.2/34</f>
        <v>5.8823529411764705E-3</v>
      </c>
      <c r="P2" s="21">
        <f>2.8/47</f>
        <v>5.9574468085106379E-2</v>
      </c>
      <c r="Q2">
        <f>2.8/35</f>
        <v>0.08</v>
      </c>
      <c r="R2" s="21">
        <f>2.8/31</f>
        <v>9.0322580645161285E-2</v>
      </c>
      <c r="S2" s="21">
        <f>2.8/55</f>
        <v>5.0909090909090904E-2</v>
      </c>
      <c r="T2">
        <v>0.4</v>
      </c>
      <c r="U2">
        <v>0.2</v>
      </c>
    </row>
    <row r="3" spans="2:21">
      <c r="B3" t="s">
        <v>1176</v>
      </c>
      <c r="C3" s="21">
        <f>0.2/50</f>
        <v>4.0000000000000001E-3</v>
      </c>
      <c r="D3" s="21">
        <f>13.2/50</f>
        <v>0.26400000000000001</v>
      </c>
      <c r="E3">
        <v>0</v>
      </c>
      <c r="F3">
        <v>0.2</v>
      </c>
      <c r="G3">
        <v>0.2</v>
      </c>
      <c r="H3">
        <v>0</v>
      </c>
      <c r="I3">
        <v>0</v>
      </c>
      <c r="J3">
        <v>0</v>
      </c>
      <c r="K3">
        <v>0</v>
      </c>
      <c r="L3">
        <v>0</v>
      </c>
      <c r="M3">
        <v>0</v>
      </c>
      <c r="N3">
        <v>0</v>
      </c>
      <c r="O3" s="21">
        <f>1.2/34</f>
        <v>3.5294117647058823E-2</v>
      </c>
      <c r="P3" s="21">
        <f>2.4/47</f>
        <v>5.106382978723404E-2</v>
      </c>
      <c r="Q3">
        <f>1.4/35</f>
        <v>0.04</v>
      </c>
      <c r="R3" s="21">
        <f>1.4/31</f>
        <v>4.5161290322580643E-2</v>
      </c>
      <c r="S3" s="21">
        <f>4/55</f>
        <v>7.2727272727272724E-2</v>
      </c>
      <c r="T3">
        <v>0</v>
      </c>
      <c r="U3">
        <v>0</v>
      </c>
    </row>
    <row r="4" spans="2:21">
      <c r="B4" t="s">
        <v>1177</v>
      </c>
      <c r="C4" s="21">
        <f>7.6/50</f>
        <v>0.152</v>
      </c>
      <c r="D4" s="21">
        <f>12.4/50</f>
        <v>0.248</v>
      </c>
      <c r="E4">
        <v>0</v>
      </c>
      <c r="F4">
        <v>0</v>
      </c>
      <c r="G4">
        <v>1</v>
      </c>
      <c r="H4">
        <v>1</v>
      </c>
      <c r="I4">
        <v>1</v>
      </c>
      <c r="J4">
        <v>0.6</v>
      </c>
      <c r="K4">
        <v>0</v>
      </c>
      <c r="L4">
        <v>0</v>
      </c>
      <c r="M4">
        <v>0</v>
      </c>
      <c r="N4" s="21">
        <f>1.6/15</f>
        <v>0.10666666666666667</v>
      </c>
      <c r="O4" s="21">
        <f>0.6/34</f>
        <v>1.7647058823529412E-2</v>
      </c>
      <c r="P4" s="21">
        <f>11.4/47</f>
        <v>0.24255319148936172</v>
      </c>
      <c r="Q4" s="21">
        <f>1.2/35</f>
        <v>3.4285714285714287E-2</v>
      </c>
      <c r="R4" s="21">
        <f>0.6/31</f>
        <v>1.935483870967742E-2</v>
      </c>
      <c r="S4" s="21">
        <f>10.2/55</f>
        <v>0.18545454545454546</v>
      </c>
      <c r="T4">
        <v>0</v>
      </c>
      <c r="U4">
        <v>0</v>
      </c>
    </row>
    <row r="5" spans="2:21">
      <c r="B5" t="s">
        <v>1178</v>
      </c>
      <c r="C5" s="21">
        <f>6.4/50</f>
        <v>0.128</v>
      </c>
      <c r="D5" s="21">
        <f>7.8/50</f>
        <v>0.156</v>
      </c>
      <c r="E5">
        <v>0</v>
      </c>
      <c r="F5">
        <v>0.6</v>
      </c>
      <c r="G5">
        <v>1</v>
      </c>
      <c r="H5">
        <v>1</v>
      </c>
      <c r="I5">
        <v>1</v>
      </c>
      <c r="J5">
        <v>0.8</v>
      </c>
      <c r="K5">
        <v>0</v>
      </c>
      <c r="L5">
        <v>0</v>
      </c>
      <c r="M5">
        <v>0</v>
      </c>
      <c r="N5" s="21">
        <f>2.667/15</f>
        <v>0.17779999999999999</v>
      </c>
      <c r="O5" s="21">
        <f>2.5/34</f>
        <v>7.3529411764705885E-2</v>
      </c>
      <c r="P5" s="21">
        <f>10/47</f>
        <v>0.21276595744680851</v>
      </c>
      <c r="Q5" s="21">
        <f>3.75/35</f>
        <v>0.10714285714285714</v>
      </c>
      <c r="R5" s="21">
        <f>2.5/31</f>
        <v>8.0645161290322578E-2</v>
      </c>
      <c r="S5" s="21">
        <f>14.33/55</f>
        <v>0.26054545454545452</v>
      </c>
      <c r="T5">
        <v>0.75</v>
      </c>
      <c r="U5">
        <v>0.5</v>
      </c>
    </row>
    <row r="6" spans="2:21">
      <c r="B6" t="s">
        <v>1179</v>
      </c>
      <c r="C6" s="21">
        <f>1.8/50</f>
        <v>3.6000000000000004E-2</v>
      </c>
      <c r="D6" s="21">
        <v>0</v>
      </c>
      <c r="E6">
        <v>0</v>
      </c>
      <c r="F6">
        <v>0</v>
      </c>
      <c r="G6">
        <v>0</v>
      </c>
      <c r="H6">
        <v>0</v>
      </c>
      <c r="I6">
        <v>0</v>
      </c>
      <c r="J6">
        <v>0</v>
      </c>
      <c r="K6">
        <v>0</v>
      </c>
      <c r="L6">
        <v>0</v>
      </c>
      <c r="M6">
        <v>0</v>
      </c>
      <c r="N6" s="21">
        <f>1.6/15</f>
        <v>0.10666666666666667</v>
      </c>
      <c r="O6" s="21">
        <f>0.6/34</f>
        <v>1.7647058823529412E-2</v>
      </c>
      <c r="P6" s="21">
        <f>4.4/47</f>
        <v>9.3617021276595755E-2</v>
      </c>
      <c r="Q6" s="21">
        <f>5.8/35</f>
        <v>0.1657142857142857</v>
      </c>
      <c r="R6" s="21">
        <f>1.8/31</f>
        <v>5.8064516129032261E-2</v>
      </c>
      <c r="S6">
        <f>6.6/55</f>
        <v>0.12</v>
      </c>
      <c r="T6">
        <v>0.25</v>
      </c>
      <c r="U6">
        <v>0.4</v>
      </c>
    </row>
    <row r="7" spans="2:21">
      <c r="B7" t="s">
        <v>1180</v>
      </c>
      <c r="C7" s="21">
        <f>1.4/50</f>
        <v>2.7999999999999997E-2</v>
      </c>
      <c r="D7" s="21">
        <v>0</v>
      </c>
      <c r="E7">
        <v>0</v>
      </c>
      <c r="F7">
        <v>0</v>
      </c>
      <c r="G7">
        <v>0</v>
      </c>
      <c r="H7">
        <v>0</v>
      </c>
      <c r="I7">
        <v>0</v>
      </c>
      <c r="J7">
        <v>0</v>
      </c>
      <c r="K7">
        <v>0</v>
      </c>
      <c r="L7">
        <v>0</v>
      </c>
      <c r="M7">
        <v>0</v>
      </c>
      <c r="N7">
        <f>0.6/15</f>
        <v>0.04</v>
      </c>
      <c r="O7" s="21">
        <v>0</v>
      </c>
      <c r="P7" s="21">
        <f>9/47</f>
        <v>0.19148936170212766</v>
      </c>
      <c r="Q7" s="21">
        <f>15/35</f>
        <v>0.42857142857142855</v>
      </c>
      <c r="R7" s="21">
        <f>5/31</f>
        <v>0.16129032258064516</v>
      </c>
      <c r="S7" s="21">
        <f>14.4/55</f>
        <v>0.26181818181818184</v>
      </c>
      <c r="T7">
        <v>0.8</v>
      </c>
      <c r="U7">
        <v>0.2</v>
      </c>
    </row>
    <row r="8" spans="2:21">
      <c r="B8" t="s">
        <v>1181</v>
      </c>
      <c r="C8" s="21">
        <f>2.4/50</f>
        <v>4.8000000000000001E-2</v>
      </c>
      <c r="D8">
        <f>13/50</f>
        <v>0.26</v>
      </c>
      <c r="E8">
        <v>0</v>
      </c>
      <c r="F8">
        <v>0</v>
      </c>
      <c r="G8">
        <v>1</v>
      </c>
      <c r="H8">
        <v>1</v>
      </c>
      <c r="I8">
        <v>1</v>
      </c>
      <c r="J8">
        <v>0.2</v>
      </c>
      <c r="K8">
        <v>0</v>
      </c>
      <c r="L8">
        <v>0</v>
      </c>
      <c r="M8">
        <v>0</v>
      </c>
      <c r="N8" s="21">
        <f>2.2/15</f>
        <v>0.14666666666666667</v>
      </c>
      <c r="O8" s="21">
        <v>0</v>
      </c>
      <c r="P8" s="21">
        <f>11.2/47</f>
        <v>0.23829787234042552</v>
      </c>
      <c r="Q8" s="21">
        <f>2/35</f>
        <v>5.7142857142857141E-2</v>
      </c>
      <c r="R8" s="21">
        <f>3.2/31</f>
        <v>0.1032258064516129</v>
      </c>
      <c r="S8" s="21">
        <f>8.5/55</f>
        <v>0.15454545454545454</v>
      </c>
      <c r="T8">
        <v>0.5</v>
      </c>
      <c r="U8">
        <v>0.5</v>
      </c>
    </row>
    <row r="9" spans="2:21">
      <c r="B9" t="s">
        <v>1182</v>
      </c>
      <c r="C9" s="21">
        <f>1.2/50</f>
        <v>2.4E-2</v>
      </c>
      <c r="D9" s="21">
        <f>10.4/50</f>
        <v>0.20800000000000002</v>
      </c>
      <c r="E9">
        <v>0</v>
      </c>
      <c r="F9">
        <v>0.2</v>
      </c>
      <c r="G9">
        <v>1</v>
      </c>
      <c r="H9">
        <v>1</v>
      </c>
      <c r="I9">
        <v>1</v>
      </c>
      <c r="J9">
        <v>1</v>
      </c>
      <c r="K9">
        <v>0.2</v>
      </c>
      <c r="L9">
        <v>0</v>
      </c>
      <c r="M9">
        <v>0</v>
      </c>
      <c r="N9" s="21">
        <f>0.2/15</f>
        <v>1.3333333333333334E-2</v>
      </c>
      <c r="O9" s="21">
        <f>0.4/34</f>
        <v>1.1764705882352941E-2</v>
      </c>
      <c r="P9" s="21">
        <f>10.6/47</f>
        <v>0.22553191489361701</v>
      </c>
      <c r="Q9" s="21">
        <f>3/35</f>
        <v>8.5714285714285715E-2</v>
      </c>
      <c r="R9" s="21">
        <f>2.6/31</f>
        <v>8.387096774193549E-2</v>
      </c>
      <c r="S9" s="21">
        <f>10.25/55</f>
        <v>0.18636363636363637</v>
      </c>
      <c r="T9">
        <v>0.25</v>
      </c>
      <c r="U9">
        <v>0</v>
      </c>
    </row>
    <row r="10" spans="2:21">
      <c r="B10" t="s">
        <v>1183</v>
      </c>
      <c r="C10">
        <f>3/50</f>
        <v>0.06</v>
      </c>
      <c r="D10">
        <f>1/50</f>
        <v>0.02</v>
      </c>
      <c r="E10">
        <v>0.2</v>
      </c>
      <c r="F10">
        <v>0</v>
      </c>
      <c r="G10">
        <v>1</v>
      </c>
      <c r="H10">
        <v>0.8</v>
      </c>
      <c r="I10">
        <v>0.8</v>
      </c>
      <c r="J10">
        <v>0.6</v>
      </c>
      <c r="K10">
        <v>1</v>
      </c>
      <c r="L10">
        <v>1</v>
      </c>
      <c r="M10">
        <v>0</v>
      </c>
      <c r="N10" s="21">
        <f>3.8/15</f>
        <v>0.2533333333333333</v>
      </c>
      <c r="O10" s="21">
        <f>1.2/34</f>
        <v>3.5294117647058823E-2</v>
      </c>
      <c r="P10" s="21">
        <f>7.6/47</f>
        <v>0.16170212765957445</v>
      </c>
      <c r="Q10" s="21">
        <f>0.8/35</f>
        <v>2.2857142857142857E-2</v>
      </c>
      <c r="R10" s="21">
        <f>1.6/31</f>
        <v>5.1612903225806452E-2</v>
      </c>
      <c r="S10" s="21">
        <f>2/55</f>
        <v>3.6363636363636362E-2</v>
      </c>
      <c r="T10">
        <v>0.6</v>
      </c>
      <c r="U10">
        <v>0.4</v>
      </c>
    </row>
    <row r="11" spans="2:21">
      <c r="B11" t="s">
        <v>1184</v>
      </c>
      <c r="C11" s="21">
        <f>16.8/50</f>
        <v>0.33600000000000002</v>
      </c>
      <c r="D11" s="21">
        <f>0.6/50</f>
        <v>1.2E-2</v>
      </c>
      <c r="E11">
        <v>0.8</v>
      </c>
      <c r="F11">
        <v>1</v>
      </c>
      <c r="G11">
        <v>1</v>
      </c>
      <c r="H11">
        <v>1</v>
      </c>
      <c r="I11">
        <v>1</v>
      </c>
      <c r="J11">
        <v>1</v>
      </c>
      <c r="K11">
        <v>1</v>
      </c>
      <c r="L11">
        <v>1</v>
      </c>
      <c r="M11">
        <v>0</v>
      </c>
      <c r="N11">
        <f>4.8/15</f>
        <v>0.32</v>
      </c>
      <c r="O11" s="21">
        <f>1.2/34</f>
        <v>3.5294117647058823E-2</v>
      </c>
      <c r="P11" s="21">
        <f>14.4/47</f>
        <v>0.30638297872340425</v>
      </c>
      <c r="Q11" s="21">
        <f>4.6/35</f>
        <v>0.13142857142857142</v>
      </c>
      <c r="R11" s="21">
        <f>4.8/31</f>
        <v>0.15483870967741936</v>
      </c>
      <c r="S11">
        <f>2.2/55</f>
        <v>0.04</v>
      </c>
      <c r="T11">
        <v>0.8</v>
      </c>
      <c r="U11">
        <v>0.8</v>
      </c>
    </row>
    <row r="12" spans="2:21">
      <c r="B12" t="s">
        <v>1185</v>
      </c>
      <c r="C12" s="21">
        <f>6.6/50</f>
        <v>0.13200000000000001</v>
      </c>
      <c r="D12" s="21">
        <f>15.8/50</f>
        <v>0.316</v>
      </c>
      <c r="E12">
        <v>0</v>
      </c>
      <c r="F12">
        <v>0</v>
      </c>
      <c r="G12">
        <v>1</v>
      </c>
      <c r="H12">
        <v>1</v>
      </c>
      <c r="I12">
        <v>0.8</v>
      </c>
      <c r="J12">
        <v>0.8</v>
      </c>
      <c r="K12">
        <v>0</v>
      </c>
      <c r="L12">
        <v>0</v>
      </c>
      <c r="M12">
        <v>1</v>
      </c>
      <c r="N12" s="21">
        <f>5/15</f>
        <v>0.33333333333333331</v>
      </c>
      <c r="O12" s="21">
        <f>0.6/34</f>
        <v>1.7647058823529412E-2</v>
      </c>
      <c r="P12" s="21">
        <f>4.8/47</f>
        <v>0.10212765957446808</v>
      </c>
      <c r="Q12" s="21">
        <f>4.6/35</f>
        <v>0.13142857142857142</v>
      </c>
      <c r="R12" s="21">
        <f>6.6/31</f>
        <v>0.2129032258064516</v>
      </c>
      <c r="S12" s="21">
        <f>14.6/55</f>
        <v>0.26545454545454544</v>
      </c>
      <c r="T12" s="21">
        <v>0.66666666666666696</v>
      </c>
      <c r="U12">
        <v>0.75</v>
      </c>
    </row>
    <row r="13" spans="2:21">
      <c r="B13" t="s">
        <v>1186</v>
      </c>
      <c r="C13" s="21">
        <f>18.2/50</f>
        <v>0.36399999999999999</v>
      </c>
      <c r="D13" s="21">
        <f>19.6/50</f>
        <v>0.39200000000000002</v>
      </c>
      <c r="E13">
        <v>0.2</v>
      </c>
      <c r="F13">
        <v>1</v>
      </c>
      <c r="G13">
        <v>1</v>
      </c>
      <c r="H13">
        <v>1</v>
      </c>
      <c r="I13">
        <v>1</v>
      </c>
      <c r="J13">
        <v>0.8</v>
      </c>
      <c r="K13">
        <v>0</v>
      </c>
      <c r="L13">
        <v>0</v>
      </c>
      <c r="M13">
        <v>1</v>
      </c>
      <c r="N13" s="21">
        <f>4.75/15</f>
        <v>0.31666666666666665</v>
      </c>
      <c r="O13" s="21">
        <f>0.25/34</f>
        <v>7.3529411764705881E-3</v>
      </c>
      <c r="P13" s="21">
        <f>4/47</f>
        <v>8.5106382978723402E-2</v>
      </c>
      <c r="Q13" s="21">
        <f>5/35</f>
        <v>0.14285714285714285</v>
      </c>
      <c r="R13" s="21">
        <f>1.5/31</f>
        <v>4.8387096774193547E-2</v>
      </c>
      <c r="S13" s="21">
        <f>13.25/55</f>
        <v>0.24090909090909091</v>
      </c>
      <c r="T13">
        <v>0.33</v>
      </c>
      <c r="U13">
        <v>0.5</v>
      </c>
    </row>
    <row r="14" spans="2:21">
      <c r="B14" t="s">
        <v>1187</v>
      </c>
      <c r="C14" s="21">
        <f>12.6/50</f>
        <v>0.252</v>
      </c>
      <c r="D14">
        <f>12/50</f>
        <v>0.24</v>
      </c>
      <c r="E14">
        <v>0.2</v>
      </c>
      <c r="F14">
        <v>0</v>
      </c>
      <c r="G14">
        <v>1</v>
      </c>
      <c r="H14">
        <v>1</v>
      </c>
      <c r="I14">
        <v>1</v>
      </c>
      <c r="J14">
        <v>1</v>
      </c>
      <c r="K14">
        <v>1</v>
      </c>
      <c r="L14">
        <v>0</v>
      </c>
      <c r="M14">
        <v>0</v>
      </c>
      <c r="N14">
        <f>2.4/15</f>
        <v>0.16</v>
      </c>
      <c r="O14" s="21">
        <f>1/34</f>
        <v>2.9411764705882353E-2</v>
      </c>
      <c r="P14" s="21">
        <f>9.8/47</f>
        <v>0.20851063829787236</v>
      </c>
      <c r="Q14" s="21">
        <f>2.4/35</f>
        <v>6.8571428571428575E-2</v>
      </c>
      <c r="R14" s="21">
        <f>3/31</f>
        <v>9.6774193548387094E-2</v>
      </c>
      <c r="S14" s="21">
        <f>7.2/55</f>
        <v>0.13090909090909092</v>
      </c>
      <c r="T14">
        <v>0</v>
      </c>
      <c r="U14">
        <v>0</v>
      </c>
    </row>
    <row r="15" spans="2:21">
      <c r="B15" t="s">
        <v>1188</v>
      </c>
      <c r="C15" s="21">
        <f>6.6/50</f>
        <v>0.13200000000000001</v>
      </c>
      <c r="D15" s="21">
        <f>12.25/50</f>
        <v>0.245</v>
      </c>
      <c r="E15">
        <v>1</v>
      </c>
      <c r="F15">
        <v>1</v>
      </c>
      <c r="G15">
        <v>1</v>
      </c>
      <c r="H15">
        <v>1</v>
      </c>
      <c r="I15">
        <v>1</v>
      </c>
      <c r="J15">
        <v>1</v>
      </c>
      <c r="K15">
        <v>0</v>
      </c>
      <c r="L15">
        <v>0</v>
      </c>
      <c r="M15">
        <v>0</v>
      </c>
      <c r="N15" s="21">
        <f>2.6/15</f>
        <v>0.17333333333333334</v>
      </c>
      <c r="O15" s="21">
        <f>4.2/34</f>
        <v>0.12352941176470589</v>
      </c>
      <c r="P15" s="21">
        <f>10.2/47</f>
        <v>0.21702127659574466</v>
      </c>
      <c r="Q15" s="21">
        <f>7.2/35</f>
        <v>0.20571428571428571</v>
      </c>
      <c r="R15" s="21">
        <f>4/31</f>
        <v>0.12903225806451613</v>
      </c>
      <c r="S15" s="21">
        <f>16.2/55</f>
        <v>0.29454545454545455</v>
      </c>
      <c r="T15">
        <v>1</v>
      </c>
      <c r="U15">
        <v>1</v>
      </c>
    </row>
    <row r="16" spans="2:21">
      <c r="B16" t="s">
        <v>1189</v>
      </c>
      <c r="C16">
        <f>4/50</f>
        <v>0.08</v>
      </c>
      <c r="D16" s="21">
        <f>7.2/50</f>
        <v>0.14400000000000002</v>
      </c>
      <c r="E16">
        <v>0</v>
      </c>
      <c r="F16">
        <v>0.2</v>
      </c>
      <c r="G16">
        <v>1</v>
      </c>
      <c r="H16">
        <v>1</v>
      </c>
      <c r="I16">
        <v>1</v>
      </c>
      <c r="J16">
        <v>0.6</v>
      </c>
      <c r="K16">
        <v>0.2</v>
      </c>
      <c r="L16">
        <v>0</v>
      </c>
      <c r="M16">
        <v>0</v>
      </c>
      <c r="N16" s="21">
        <f>0.25/15</f>
        <v>1.6666666666666666E-2</v>
      </c>
      <c r="O16" s="21">
        <v>0</v>
      </c>
      <c r="P16" s="21">
        <f>5.75/47</f>
        <v>0.12234042553191489</v>
      </c>
      <c r="Q16" s="21">
        <f>1.25/35</f>
        <v>3.5714285714285712E-2</v>
      </c>
      <c r="R16" s="21">
        <v>0</v>
      </c>
      <c r="S16" s="21">
        <f>5/55</f>
        <v>9.0909090909090912E-2</v>
      </c>
      <c r="T16">
        <v>0.33</v>
      </c>
      <c r="U16">
        <v>0</v>
      </c>
    </row>
    <row r="17" spans="2:21">
      <c r="B17" t="s">
        <v>1190</v>
      </c>
      <c r="C17" s="21">
        <f>3.4/50</f>
        <v>6.8000000000000005E-2</v>
      </c>
      <c r="D17">
        <f>3/50</f>
        <v>0.06</v>
      </c>
      <c r="E17">
        <v>0.2</v>
      </c>
      <c r="F17">
        <v>0.8</v>
      </c>
      <c r="G17">
        <v>1</v>
      </c>
      <c r="H17">
        <v>1</v>
      </c>
      <c r="I17">
        <v>1</v>
      </c>
      <c r="J17">
        <v>0.25</v>
      </c>
      <c r="K17">
        <v>0</v>
      </c>
      <c r="L17">
        <v>0</v>
      </c>
      <c r="M17">
        <v>0</v>
      </c>
      <c r="N17" s="21">
        <f>1/15</f>
        <v>6.6666666666666666E-2</v>
      </c>
      <c r="O17" s="21">
        <f>1.6/34</f>
        <v>4.7058823529411764E-2</v>
      </c>
      <c r="P17" s="21">
        <f>3.2/47</f>
        <v>6.8085106382978725E-2</v>
      </c>
      <c r="Q17" s="21">
        <f>0.4/35</f>
        <v>1.1428571428571429E-2</v>
      </c>
      <c r="R17" s="21">
        <f>1/31</f>
        <v>3.2258064516129031E-2</v>
      </c>
      <c r="S17" s="21">
        <f>3/55</f>
        <v>5.4545454545454543E-2</v>
      </c>
      <c r="T17">
        <v>0.5</v>
      </c>
      <c r="U17">
        <v>0.25</v>
      </c>
    </row>
    <row r="18" spans="2:21">
      <c r="B18" t="s">
        <v>1191</v>
      </c>
      <c r="C18" s="21">
        <f>15.8/50</f>
        <v>0.316</v>
      </c>
      <c r="D18" s="21">
        <f>21.6/50</f>
        <v>0.43200000000000005</v>
      </c>
      <c r="E18">
        <v>0</v>
      </c>
      <c r="F18">
        <v>0.2</v>
      </c>
      <c r="G18">
        <v>1</v>
      </c>
      <c r="H18">
        <v>1</v>
      </c>
      <c r="I18">
        <v>1</v>
      </c>
      <c r="J18">
        <v>0.8</v>
      </c>
      <c r="K18">
        <v>1</v>
      </c>
      <c r="L18">
        <v>1</v>
      </c>
      <c r="M18">
        <v>0</v>
      </c>
      <c r="N18" s="21">
        <f>3.2/15</f>
        <v>0.21333333333333335</v>
      </c>
      <c r="O18" s="21">
        <f>0.75/34</f>
        <v>2.2058823529411766E-2</v>
      </c>
      <c r="P18" s="21">
        <f>16/47</f>
        <v>0.34042553191489361</v>
      </c>
      <c r="Q18" s="21">
        <f>10.2/35</f>
        <v>0.29142857142857143</v>
      </c>
      <c r="R18" s="21">
        <f>8/31</f>
        <v>0.25806451612903225</v>
      </c>
      <c r="S18" s="21">
        <f>13.4/55</f>
        <v>0.24363636363636365</v>
      </c>
      <c r="T18">
        <v>0</v>
      </c>
      <c r="U18">
        <v>0</v>
      </c>
    </row>
    <row r="19" spans="2:21">
      <c r="B19" t="s">
        <v>1192</v>
      </c>
      <c r="C19">
        <f>23/50</f>
        <v>0.46</v>
      </c>
      <c r="D19" s="21">
        <f>34.3/50</f>
        <v>0.68599999999999994</v>
      </c>
      <c r="E19">
        <v>0</v>
      </c>
      <c r="F19">
        <v>1</v>
      </c>
      <c r="G19">
        <v>1</v>
      </c>
      <c r="H19">
        <v>1</v>
      </c>
      <c r="I19">
        <v>1</v>
      </c>
      <c r="J19">
        <v>1</v>
      </c>
      <c r="K19">
        <v>1</v>
      </c>
      <c r="L19">
        <v>1</v>
      </c>
      <c r="M19">
        <v>0</v>
      </c>
      <c r="N19" s="21">
        <f>5/15</f>
        <v>0.33333333333333331</v>
      </c>
      <c r="O19" s="21">
        <f>2.75/34</f>
        <v>8.0882352941176475E-2</v>
      </c>
      <c r="P19" s="21">
        <f>27.3/47</f>
        <v>0.58085106382978724</v>
      </c>
      <c r="Q19" s="21">
        <f>9.5/35</f>
        <v>0.27142857142857141</v>
      </c>
      <c r="R19" s="21">
        <f>9.25/31</f>
        <v>0.29838709677419356</v>
      </c>
      <c r="S19" s="21">
        <f>32/55</f>
        <v>0.58181818181818179</v>
      </c>
      <c r="T19">
        <v>1</v>
      </c>
      <c r="U19">
        <v>1</v>
      </c>
    </row>
    <row r="20" spans="2:21">
      <c r="B20" t="s">
        <v>1193</v>
      </c>
      <c r="C20" s="21">
        <f>18.8/50</f>
        <v>0.376</v>
      </c>
      <c r="D20" s="21">
        <f>25.2/50</f>
        <v>0.504</v>
      </c>
      <c r="E20">
        <v>0.4</v>
      </c>
      <c r="F20">
        <v>0.6</v>
      </c>
      <c r="G20">
        <v>1</v>
      </c>
      <c r="H20">
        <v>1</v>
      </c>
      <c r="I20">
        <v>1</v>
      </c>
      <c r="J20">
        <v>1</v>
      </c>
      <c r="K20">
        <v>1</v>
      </c>
      <c r="L20">
        <v>1</v>
      </c>
      <c r="M20">
        <v>0</v>
      </c>
      <c r="N20" s="21">
        <f>5.6/15</f>
        <v>0.37333333333333329</v>
      </c>
      <c r="O20" s="21">
        <f>4/34</f>
        <v>0.11764705882352941</v>
      </c>
      <c r="P20" s="21">
        <f>12.2/47</f>
        <v>0.25957446808510637</v>
      </c>
      <c r="Q20" s="21">
        <f>8/35</f>
        <v>0.22857142857142856</v>
      </c>
      <c r="R20" s="21">
        <f>5/31</f>
        <v>0.16129032258064516</v>
      </c>
      <c r="S20" s="21">
        <f>17/55</f>
        <v>0.30909090909090908</v>
      </c>
      <c r="T20">
        <v>0</v>
      </c>
      <c r="U20">
        <v>0</v>
      </c>
    </row>
    <row r="21" spans="2:21">
      <c r="B21" t="s">
        <v>1194</v>
      </c>
      <c r="C21" s="21">
        <f>26.4/50</f>
        <v>0.52800000000000002</v>
      </c>
      <c r="D21" s="21">
        <f>41.4/50</f>
        <v>0.82799999999999996</v>
      </c>
      <c r="E21">
        <v>0.2</v>
      </c>
      <c r="F21">
        <v>1</v>
      </c>
      <c r="G21">
        <v>1</v>
      </c>
      <c r="H21">
        <v>1</v>
      </c>
      <c r="I21">
        <v>1</v>
      </c>
      <c r="J21">
        <v>1</v>
      </c>
      <c r="K21">
        <v>1</v>
      </c>
      <c r="L21">
        <v>1</v>
      </c>
      <c r="M21">
        <v>0</v>
      </c>
      <c r="N21">
        <f>6.6/15</f>
        <v>0.44</v>
      </c>
      <c r="O21" s="21">
        <f>11.2/34</f>
        <v>0.32941176470588235</v>
      </c>
      <c r="P21" s="21">
        <f>24.6/47</f>
        <v>0.52340425531914891</v>
      </c>
      <c r="Q21" s="21">
        <f>24.4/35</f>
        <v>0.69714285714285706</v>
      </c>
      <c r="R21" s="21">
        <f>12/31</f>
        <v>0.38709677419354838</v>
      </c>
      <c r="S21" s="21">
        <f>32.6/55</f>
        <v>0.59272727272727277</v>
      </c>
      <c r="T21">
        <v>0.8</v>
      </c>
      <c r="U21">
        <v>0.8</v>
      </c>
    </row>
    <row r="22" spans="2:21">
      <c r="B22" t="s">
        <v>1195</v>
      </c>
      <c r="C22">
        <f>20.5/50</f>
        <v>0.41</v>
      </c>
      <c r="D22">
        <f>20.5/50</f>
        <v>0.41</v>
      </c>
      <c r="E22">
        <v>0</v>
      </c>
      <c r="F22">
        <v>0</v>
      </c>
      <c r="G22">
        <v>1</v>
      </c>
      <c r="H22">
        <v>1</v>
      </c>
      <c r="I22">
        <v>1</v>
      </c>
      <c r="J22">
        <v>0.8</v>
      </c>
      <c r="K22">
        <v>1</v>
      </c>
      <c r="L22">
        <v>1</v>
      </c>
      <c r="M22">
        <v>0</v>
      </c>
      <c r="N22" s="21">
        <f>7.4/15</f>
        <v>0.49333333333333335</v>
      </c>
      <c r="O22" s="21">
        <f>3/34</f>
        <v>8.8235294117647065E-2</v>
      </c>
      <c r="P22" s="21">
        <f>11.8/47</f>
        <v>0.25106382978723407</v>
      </c>
      <c r="Q22" s="21">
        <f>6/35</f>
        <v>0.17142857142857143</v>
      </c>
      <c r="R22" s="21">
        <f>8.2/31</f>
        <v>0.26451612903225802</v>
      </c>
      <c r="S22" s="21">
        <f>14.2/55</f>
        <v>0.25818181818181818</v>
      </c>
      <c r="T22">
        <v>0</v>
      </c>
      <c r="U22">
        <v>0</v>
      </c>
    </row>
    <row r="23" spans="2:21">
      <c r="B23" t="s">
        <v>1196</v>
      </c>
      <c r="C23">
        <f>11/50</f>
        <v>0.22</v>
      </c>
      <c r="D23" s="21">
        <f>17.6/50</f>
        <v>0.35200000000000004</v>
      </c>
      <c r="E23">
        <v>0</v>
      </c>
      <c r="F23">
        <v>0.8</v>
      </c>
      <c r="G23">
        <v>1</v>
      </c>
      <c r="H23">
        <v>1</v>
      </c>
      <c r="I23">
        <v>1</v>
      </c>
      <c r="J23">
        <v>1</v>
      </c>
      <c r="K23">
        <v>0.2</v>
      </c>
      <c r="L23">
        <v>0.2</v>
      </c>
      <c r="M23">
        <v>0</v>
      </c>
      <c r="N23" s="21">
        <f>6.4/15</f>
        <v>0.42666666666666669</v>
      </c>
      <c r="O23" s="21">
        <f>5.25/34</f>
        <v>0.15441176470588236</v>
      </c>
      <c r="P23" s="21">
        <f>15.75/47</f>
        <v>0.33510638297872342</v>
      </c>
      <c r="Q23" s="21">
        <f>14.2/35</f>
        <v>0.40571428571428569</v>
      </c>
      <c r="R23" s="21">
        <f>10.5/31</f>
        <v>0.33870967741935482</v>
      </c>
      <c r="S23" s="21">
        <f>17.6666666666667/55</f>
        <v>0.32121212121212184</v>
      </c>
      <c r="T23">
        <v>1</v>
      </c>
      <c r="U23">
        <v>0.4</v>
      </c>
    </row>
    <row r="24" spans="2:21">
      <c r="B24" t="s">
        <v>1197</v>
      </c>
      <c r="C24" s="21">
        <f>11.8/50</f>
        <v>0.23600000000000002</v>
      </c>
      <c r="D24" s="21">
        <f>16.2/50</f>
        <v>0.32400000000000001</v>
      </c>
      <c r="E24">
        <v>0</v>
      </c>
      <c r="F24">
        <v>0.6</v>
      </c>
      <c r="G24">
        <v>1</v>
      </c>
      <c r="H24">
        <v>0.6</v>
      </c>
      <c r="I24">
        <v>0.4</v>
      </c>
      <c r="J24">
        <v>0.4</v>
      </c>
      <c r="K24">
        <v>1</v>
      </c>
      <c r="L24">
        <v>1</v>
      </c>
      <c r="M24">
        <v>1</v>
      </c>
      <c r="N24">
        <f>4.5/15</f>
        <v>0.3</v>
      </c>
      <c r="O24" s="21">
        <f>5.3/34</f>
        <v>0.15588235294117647</v>
      </c>
      <c r="P24" s="21">
        <f>14.25/47</f>
        <v>0.30319148936170215</v>
      </c>
      <c r="Q24" s="21">
        <f>9.75/35</f>
        <v>0.27857142857142858</v>
      </c>
      <c r="R24" s="21">
        <f>9.5/31</f>
        <v>0.30645161290322581</v>
      </c>
      <c r="S24" s="21">
        <f>14/55</f>
        <v>0.25454545454545452</v>
      </c>
      <c r="T24">
        <v>0.4</v>
      </c>
      <c r="U24">
        <v>0.2</v>
      </c>
    </row>
    <row r="25" spans="2:21">
      <c r="B25" t="s">
        <v>1198</v>
      </c>
      <c r="C25" s="21">
        <f>12.4/50</f>
        <v>0.248</v>
      </c>
      <c r="D25">
        <f>19/50</f>
        <v>0.38</v>
      </c>
      <c r="E25">
        <v>0.4</v>
      </c>
      <c r="F25">
        <v>1</v>
      </c>
      <c r="G25">
        <v>1</v>
      </c>
      <c r="H25">
        <v>1</v>
      </c>
      <c r="I25">
        <v>1</v>
      </c>
      <c r="J25">
        <v>1</v>
      </c>
      <c r="K25">
        <v>0.8</v>
      </c>
      <c r="L25">
        <v>0.8</v>
      </c>
      <c r="M25">
        <v>1</v>
      </c>
      <c r="N25">
        <f>6.6/15</f>
        <v>0.44</v>
      </c>
      <c r="O25" s="21">
        <f>11/34</f>
        <v>0.3235294117647059</v>
      </c>
      <c r="P25" s="21">
        <f>19.6/47</f>
        <v>0.41702127659574473</v>
      </c>
      <c r="Q25" s="21">
        <f>10.2/35</f>
        <v>0.29142857142857143</v>
      </c>
      <c r="R25" s="21">
        <f>12.2/31</f>
        <v>0.39354838709677414</v>
      </c>
      <c r="S25" s="21">
        <f>20/55</f>
        <v>0.36363636363636365</v>
      </c>
      <c r="T25">
        <v>0.8</v>
      </c>
      <c r="U25">
        <v>1</v>
      </c>
    </row>
    <row r="26" spans="2:21">
      <c r="B26" t="s">
        <v>1199</v>
      </c>
      <c r="C26">
        <f>17/50</f>
        <v>0.34</v>
      </c>
      <c r="D26" s="21">
        <f>17.6/50</f>
        <v>0.35200000000000004</v>
      </c>
      <c r="E26">
        <v>0</v>
      </c>
      <c r="F26">
        <v>0.4</v>
      </c>
      <c r="G26">
        <v>1</v>
      </c>
      <c r="H26">
        <v>0.8</v>
      </c>
      <c r="I26">
        <v>1</v>
      </c>
      <c r="J26">
        <v>0.8</v>
      </c>
      <c r="K26">
        <v>1</v>
      </c>
      <c r="L26">
        <v>0</v>
      </c>
      <c r="M26">
        <v>1</v>
      </c>
      <c r="N26" s="21">
        <f>5.6/15</f>
        <v>0.37333333333333329</v>
      </c>
      <c r="O26" s="21">
        <f>5.4/34</f>
        <v>0.15882352941176472</v>
      </c>
      <c r="P26" s="21">
        <f>18/47</f>
        <v>0.38297872340425532</v>
      </c>
      <c r="Q26" s="21">
        <f>8.6/35</f>
        <v>0.24571428571428569</v>
      </c>
      <c r="R26" s="21">
        <f>8.8/31</f>
        <v>0.28387096774193549</v>
      </c>
      <c r="S26" s="21">
        <f>19.6/55</f>
        <v>0.35636363636363638</v>
      </c>
      <c r="T26">
        <v>0</v>
      </c>
      <c r="U26">
        <v>0</v>
      </c>
    </row>
    <row r="27" spans="2:21">
      <c r="B27" t="s">
        <v>1200</v>
      </c>
      <c r="C27">
        <f>17/50</f>
        <v>0.34</v>
      </c>
      <c r="D27" s="21">
        <f>21.6/50</f>
        <v>0.43200000000000005</v>
      </c>
      <c r="E27">
        <v>0.2</v>
      </c>
      <c r="F27">
        <v>0.8</v>
      </c>
      <c r="G27">
        <v>1</v>
      </c>
      <c r="H27">
        <v>1</v>
      </c>
      <c r="I27">
        <v>1</v>
      </c>
      <c r="J27">
        <v>1</v>
      </c>
      <c r="K27">
        <v>1</v>
      </c>
      <c r="L27">
        <v>0</v>
      </c>
      <c r="M27">
        <v>1</v>
      </c>
      <c r="N27" s="21">
        <f>4.6/15</f>
        <v>0.30666666666666664</v>
      </c>
      <c r="O27" s="21">
        <f>15.2/34</f>
        <v>0.44705882352941173</v>
      </c>
      <c r="P27" s="21">
        <f>25.2/47</f>
        <v>0.53617021276595744</v>
      </c>
      <c r="Q27" s="21">
        <f>26.2/35</f>
        <v>0.74857142857142855</v>
      </c>
      <c r="R27" s="21">
        <f>13/31</f>
        <v>0.41935483870967744</v>
      </c>
      <c r="S27" s="21">
        <f>33.4/55</f>
        <v>0.6072727272727273</v>
      </c>
      <c r="T27">
        <v>1</v>
      </c>
      <c r="U27">
        <v>1</v>
      </c>
    </row>
    <row r="28" spans="2:21">
      <c r="B28" t="s">
        <v>1201</v>
      </c>
      <c r="C28" s="21">
        <f>12.8/50</f>
        <v>0.25600000000000001</v>
      </c>
      <c r="D28" s="21">
        <f>11.2/50</f>
        <v>0.22399999999999998</v>
      </c>
      <c r="E28">
        <v>0</v>
      </c>
      <c r="F28">
        <v>1</v>
      </c>
      <c r="G28">
        <v>1</v>
      </c>
      <c r="H28">
        <v>1</v>
      </c>
      <c r="I28">
        <v>1</v>
      </c>
      <c r="J28">
        <v>1</v>
      </c>
      <c r="K28">
        <v>0</v>
      </c>
      <c r="L28">
        <v>0</v>
      </c>
      <c r="M28">
        <v>0</v>
      </c>
      <c r="N28" s="21">
        <f>5.6/15</f>
        <v>0.37333333333333329</v>
      </c>
      <c r="O28" s="21">
        <f>9.6/34</f>
        <v>0.28235294117647058</v>
      </c>
      <c r="P28" s="21">
        <f>13.6/47</f>
        <v>0.28936170212765955</v>
      </c>
      <c r="Q28" s="21">
        <f>8.6/35</f>
        <v>0.24571428571428569</v>
      </c>
      <c r="R28" s="21">
        <f>4.8/31</f>
        <v>0.15483870967741936</v>
      </c>
      <c r="S28" s="21">
        <f>16.75/55</f>
        <v>0.30454545454545456</v>
      </c>
      <c r="T28">
        <v>0</v>
      </c>
      <c r="U28">
        <v>0</v>
      </c>
    </row>
    <row r="29" spans="2:21">
      <c r="B29" t="s">
        <v>1202</v>
      </c>
      <c r="C29" s="21">
        <f>32.8/50</f>
        <v>0.65599999999999992</v>
      </c>
      <c r="D29" s="21">
        <f>23.8/50</f>
        <v>0.47600000000000003</v>
      </c>
      <c r="E29">
        <v>1</v>
      </c>
      <c r="F29">
        <v>1</v>
      </c>
      <c r="G29">
        <v>1</v>
      </c>
      <c r="H29">
        <v>1</v>
      </c>
      <c r="I29">
        <v>1</v>
      </c>
      <c r="J29">
        <v>1</v>
      </c>
      <c r="K29">
        <v>0</v>
      </c>
      <c r="L29">
        <v>0</v>
      </c>
      <c r="M29">
        <v>0</v>
      </c>
      <c r="N29">
        <f>6/15</f>
        <v>0.4</v>
      </c>
      <c r="O29" s="21">
        <f>10.6/34</f>
        <v>0.31176470588235294</v>
      </c>
      <c r="P29" s="21">
        <f>14.6/47</f>
        <v>0.31063829787234043</v>
      </c>
      <c r="Q29" s="21">
        <f>17.4/35</f>
        <v>0.49714285714285711</v>
      </c>
      <c r="R29" s="21">
        <f>8.6/31</f>
        <v>0.27741935483870966</v>
      </c>
      <c r="S29" s="21">
        <f>24.6/55</f>
        <v>0.44727272727272732</v>
      </c>
      <c r="T29">
        <v>0.6</v>
      </c>
      <c r="U29">
        <v>0.8</v>
      </c>
    </row>
    <row r="30" spans="2:21">
      <c r="B30" t="s">
        <v>1203</v>
      </c>
      <c r="C30" s="21">
        <f>15.2/50</f>
        <v>0.30399999999999999</v>
      </c>
      <c r="D30" s="21">
        <f>22.2/50</f>
        <v>0.44400000000000001</v>
      </c>
      <c r="E30">
        <v>0</v>
      </c>
      <c r="F30">
        <v>0</v>
      </c>
      <c r="G30">
        <v>1</v>
      </c>
      <c r="H30">
        <v>1</v>
      </c>
      <c r="I30">
        <v>1</v>
      </c>
      <c r="J30">
        <v>0.6</v>
      </c>
      <c r="K30">
        <v>1</v>
      </c>
      <c r="L30">
        <v>1</v>
      </c>
      <c r="M30">
        <v>1</v>
      </c>
      <c r="N30" s="21">
        <f>5/15</f>
        <v>0.33333333333333331</v>
      </c>
      <c r="O30" s="21">
        <f>4.4/34</f>
        <v>0.12941176470588237</v>
      </c>
      <c r="P30" s="21">
        <f>24.4/47</f>
        <v>0.51914893617021274</v>
      </c>
      <c r="Q30" s="21">
        <f>8/35</f>
        <v>0.22857142857142856</v>
      </c>
      <c r="R30" s="21">
        <f>11/31</f>
        <v>0.35483870967741937</v>
      </c>
      <c r="S30" s="21">
        <f>15.75/55</f>
        <v>0.28636363636363638</v>
      </c>
      <c r="T30">
        <v>0</v>
      </c>
      <c r="U30">
        <v>0.2</v>
      </c>
    </row>
    <row r="31" spans="2:21">
      <c r="B31" t="s">
        <v>1204</v>
      </c>
      <c r="C31" s="21">
        <f>12.8/50</f>
        <v>0.25600000000000001</v>
      </c>
      <c r="D31" s="21">
        <f>16.8/50</f>
        <v>0.33600000000000002</v>
      </c>
      <c r="E31">
        <v>0.2</v>
      </c>
      <c r="F31">
        <v>1</v>
      </c>
      <c r="G31">
        <v>1</v>
      </c>
      <c r="H31">
        <v>1</v>
      </c>
      <c r="I31">
        <v>1</v>
      </c>
      <c r="J31">
        <v>1</v>
      </c>
      <c r="K31">
        <v>0.2</v>
      </c>
      <c r="L31">
        <v>0</v>
      </c>
      <c r="M31">
        <v>1</v>
      </c>
      <c r="N31" s="21">
        <f>2.2/15</f>
        <v>0.14666666666666667</v>
      </c>
      <c r="O31">
        <f>6.8/34</f>
        <v>0.19999999999999998</v>
      </c>
      <c r="P31" s="21">
        <f>25.4/47</f>
        <v>0.54042553191489362</v>
      </c>
      <c r="Q31" s="21">
        <f>15/35</f>
        <v>0.42857142857142855</v>
      </c>
      <c r="R31" s="21">
        <f>11/31</f>
        <v>0.35483870967741937</v>
      </c>
      <c r="S31" s="21">
        <f>22.4/55</f>
        <v>0.40727272727272723</v>
      </c>
      <c r="T31">
        <v>1</v>
      </c>
      <c r="U31">
        <v>0.8</v>
      </c>
    </row>
    <row r="32" spans="2:21">
      <c r="B32" t="s">
        <v>1205</v>
      </c>
      <c r="C32">
        <f>26/50</f>
        <v>0.52</v>
      </c>
      <c r="D32" s="21">
        <f>34.2/50</f>
        <v>0.68400000000000005</v>
      </c>
      <c r="E32">
        <v>0</v>
      </c>
      <c r="F32">
        <v>0.8</v>
      </c>
      <c r="G32">
        <v>1</v>
      </c>
      <c r="H32">
        <v>1</v>
      </c>
      <c r="I32">
        <v>1</v>
      </c>
      <c r="J32">
        <v>1</v>
      </c>
      <c r="K32">
        <v>1</v>
      </c>
      <c r="L32">
        <v>0.8</v>
      </c>
      <c r="M32">
        <v>0.8</v>
      </c>
      <c r="N32" s="21">
        <f>7/15</f>
        <v>0.46666666666666667</v>
      </c>
      <c r="O32" s="21">
        <f>6.4/34</f>
        <v>0.18823529411764706</v>
      </c>
      <c r="P32">
        <f>18.8/47</f>
        <v>0.4</v>
      </c>
      <c r="Q32" s="21">
        <f>9/35</f>
        <v>0.25714285714285712</v>
      </c>
      <c r="R32" s="21">
        <f>7.8/31</f>
        <v>0.25161290322580643</v>
      </c>
      <c r="S32" s="21">
        <f>19.2/55</f>
        <v>0.34909090909090906</v>
      </c>
      <c r="T32">
        <v>0</v>
      </c>
      <c r="U32">
        <v>0</v>
      </c>
    </row>
    <row r="33" spans="2:21">
      <c r="B33" t="s">
        <v>1206</v>
      </c>
      <c r="C33" s="21">
        <f>27.6/50</f>
        <v>0.55200000000000005</v>
      </c>
      <c r="D33" s="21">
        <f>25.2/50</f>
        <v>0.504</v>
      </c>
      <c r="E33">
        <v>0.6</v>
      </c>
      <c r="F33">
        <v>1</v>
      </c>
      <c r="G33">
        <v>1</v>
      </c>
      <c r="H33">
        <v>0.8</v>
      </c>
      <c r="I33">
        <v>1</v>
      </c>
      <c r="J33">
        <v>0.8</v>
      </c>
      <c r="K33">
        <v>1</v>
      </c>
      <c r="L33">
        <v>0.4</v>
      </c>
      <c r="M33">
        <v>0.6</v>
      </c>
      <c r="N33">
        <f>6/15</f>
        <v>0.4</v>
      </c>
      <c r="O33" s="21">
        <f>8/34</f>
        <v>0.23529411764705882</v>
      </c>
      <c r="P33" s="21">
        <f>18.2/47</f>
        <v>0.38723404255319149</v>
      </c>
      <c r="Q33" s="21">
        <f>8.8/35</f>
        <v>0.25142857142857145</v>
      </c>
      <c r="R33" s="21">
        <f>10/31</f>
        <v>0.32258064516129031</v>
      </c>
      <c r="S33" s="21">
        <f>27.6/55</f>
        <v>0.50181818181818183</v>
      </c>
      <c r="T33">
        <v>0.8</v>
      </c>
      <c r="U33">
        <v>0.6</v>
      </c>
    </row>
    <row r="34" spans="2:21">
      <c r="B34" t="s">
        <v>1207</v>
      </c>
      <c r="C34">
        <f>7/50</f>
        <v>0.14000000000000001</v>
      </c>
      <c r="D34" s="21">
        <f>11.4/50</f>
        <v>0.22800000000000001</v>
      </c>
      <c r="E34">
        <v>0</v>
      </c>
      <c r="F34">
        <v>0.2</v>
      </c>
      <c r="G34">
        <v>1</v>
      </c>
      <c r="H34">
        <v>1</v>
      </c>
      <c r="I34">
        <v>0.8</v>
      </c>
      <c r="J34">
        <v>0.2</v>
      </c>
      <c r="K34">
        <v>1</v>
      </c>
      <c r="L34">
        <v>0.2</v>
      </c>
      <c r="M34">
        <v>1</v>
      </c>
      <c r="N34" s="21">
        <f>4.4/15</f>
        <v>0.29333333333333333</v>
      </c>
      <c r="O34" s="21">
        <f>6.4/34</f>
        <v>0.18823529411764706</v>
      </c>
      <c r="P34" s="21">
        <f>17.2/47</f>
        <v>0.36595744680851061</v>
      </c>
      <c r="Q34" s="21">
        <f>9/35</f>
        <v>0.25714285714285712</v>
      </c>
      <c r="R34" s="21">
        <f>11.5/31</f>
        <v>0.37096774193548387</v>
      </c>
      <c r="S34" s="21">
        <f>21.75/55</f>
        <v>0.39545454545454545</v>
      </c>
      <c r="T34">
        <v>0.2</v>
      </c>
      <c r="U34">
        <v>0</v>
      </c>
    </row>
    <row r="35" spans="2:21">
      <c r="B35" t="s">
        <v>1208</v>
      </c>
      <c r="C35" s="21">
        <f>15.6/50</f>
        <v>0.312</v>
      </c>
      <c r="D35" s="21">
        <f>9.6/50</f>
        <v>0.192</v>
      </c>
      <c r="E35">
        <v>0</v>
      </c>
      <c r="F35">
        <v>1</v>
      </c>
      <c r="G35">
        <v>1</v>
      </c>
      <c r="H35">
        <v>1</v>
      </c>
      <c r="I35">
        <v>1</v>
      </c>
      <c r="J35">
        <v>1</v>
      </c>
      <c r="K35">
        <v>0</v>
      </c>
      <c r="L35">
        <v>0</v>
      </c>
      <c r="M35">
        <v>1</v>
      </c>
      <c r="N35">
        <f>6/15</f>
        <v>0.4</v>
      </c>
      <c r="O35" s="21">
        <f>4.5/34</f>
        <v>0.13235294117647059</v>
      </c>
      <c r="P35" s="21">
        <f>16.5/47</f>
        <v>0.35106382978723405</v>
      </c>
      <c r="Q35" s="21">
        <f>19.75/35</f>
        <v>0.56428571428571428</v>
      </c>
      <c r="R35" s="21">
        <f>12.33/31</f>
        <v>0.39774193548387099</v>
      </c>
      <c r="S35" s="21">
        <f>24/55</f>
        <v>0.43636363636363634</v>
      </c>
      <c r="T35">
        <v>1</v>
      </c>
      <c r="U35">
        <v>1</v>
      </c>
    </row>
    <row r="36" spans="2:21">
      <c r="B36" t="s">
        <v>1209</v>
      </c>
      <c r="C36">
        <f>29/50</f>
        <v>0.57999999999999996</v>
      </c>
      <c r="D36" s="21">
        <f>19.3333333333/50</f>
        <v>0.38666666666600003</v>
      </c>
      <c r="E36">
        <v>0</v>
      </c>
      <c r="F36">
        <v>0</v>
      </c>
      <c r="G36">
        <v>1</v>
      </c>
      <c r="H36">
        <v>1</v>
      </c>
      <c r="I36">
        <v>1</v>
      </c>
      <c r="J36">
        <v>1</v>
      </c>
      <c r="K36">
        <v>0.8</v>
      </c>
      <c r="L36">
        <v>1</v>
      </c>
      <c r="M36">
        <v>0</v>
      </c>
      <c r="N36" s="21">
        <f>5.2/15</f>
        <v>0.34666666666666668</v>
      </c>
      <c r="O36" s="21">
        <f>2.2/34</f>
        <v>6.4705882352941183E-2</v>
      </c>
      <c r="P36" s="21">
        <f>16.8/47</f>
        <v>0.35744680851063831</v>
      </c>
      <c r="Q36" s="21">
        <f>10/35</f>
        <v>0.2857142857142857</v>
      </c>
      <c r="R36" s="21">
        <f>8.6/31</f>
        <v>0.27741935483870966</v>
      </c>
      <c r="S36" s="21">
        <f>13.6/55</f>
        <v>0.24727272727272726</v>
      </c>
      <c r="T36">
        <v>0</v>
      </c>
      <c r="U36">
        <v>0</v>
      </c>
    </row>
    <row r="37" spans="2:21">
      <c r="B37" t="s">
        <v>1210</v>
      </c>
      <c r="C37">
        <f>34.5/50</f>
        <v>0.69</v>
      </c>
      <c r="D37">
        <f>27/50</f>
        <v>0.54</v>
      </c>
      <c r="E37">
        <v>0.6</v>
      </c>
      <c r="F37">
        <v>1</v>
      </c>
      <c r="G37">
        <v>1</v>
      </c>
      <c r="H37">
        <v>1</v>
      </c>
      <c r="I37">
        <v>1</v>
      </c>
      <c r="J37">
        <v>1</v>
      </c>
      <c r="K37">
        <v>1</v>
      </c>
      <c r="L37">
        <v>1</v>
      </c>
      <c r="M37">
        <v>0</v>
      </c>
      <c r="N37">
        <f>6/15</f>
        <v>0.4</v>
      </c>
      <c r="O37" s="21">
        <f>4.75/34</f>
        <v>0.13970588235294118</v>
      </c>
      <c r="P37" s="21">
        <f>30.6/47</f>
        <v>0.65106382978723409</v>
      </c>
      <c r="Q37" s="21">
        <f>14.4/35</f>
        <v>0.41142857142857142</v>
      </c>
      <c r="R37" s="21">
        <f>16.4/31</f>
        <v>0.52903225806451604</v>
      </c>
      <c r="S37" s="21">
        <f>22.8/55</f>
        <v>0.41454545454545455</v>
      </c>
      <c r="T37">
        <v>0.75</v>
      </c>
      <c r="U37">
        <v>0.75</v>
      </c>
    </row>
    <row r="38" spans="2:21">
      <c r="B38" t="s">
        <v>1211</v>
      </c>
      <c r="C38" s="21">
        <f>20.2/50</f>
        <v>0.40399999999999997</v>
      </c>
      <c r="D38" s="21">
        <f>27.8/50</f>
        <v>0.55600000000000005</v>
      </c>
      <c r="E38">
        <v>0</v>
      </c>
      <c r="F38">
        <v>0.4</v>
      </c>
      <c r="G38">
        <v>1</v>
      </c>
      <c r="H38">
        <v>0.8</v>
      </c>
      <c r="I38">
        <v>1</v>
      </c>
      <c r="J38">
        <v>0.8</v>
      </c>
      <c r="K38">
        <v>1</v>
      </c>
      <c r="L38">
        <v>1</v>
      </c>
      <c r="M38">
        <v>1</v>
      </c>
      <c r="N38">
        <f>7.2/15</f>
        <v>0.48000000000000004</v>
      </c>
      <c r="O38" s="21">
        <f>7.6/34</f>
        <v>0.22352941176470587</v>
      </c>
      <c r="P38" s="21">
        <f>19.6/47</f>
        <v>0.41702127659574473</v>
      </c>
      <c r="Q38" s="21">
        <f>12.4/35</f>
        <v>0.35428571428571431</v>
      </c>
      <c r="R38" s="21">
        <f>7.4/31</f>
        <v>0.23870967741935484</v>
      </c>
      <c r="S38" s="21">
        <f>22.4/55</f>
        <v>0.40727272727272723</v>
      </c>
      <c r="T38">
        <v>0</v>
      </c>
      <c r="U38">
        <v>0</v>
      </c>
    </row>
    <row r="39" spans="2:21">
      <c r="B39" t="s">
        <v>1212</v>
      </c>
      <c r="C39" s="21">
        <f>34.4/50</f>
        <v>0.68799999999999994</v>
      </c>
      <c r="D39">
        <f>32/50</f>
        <v>0.64</v>
      </c>
      <c r="E39">
        <v>0.8</v>
      </c>
      <c r="F39">
        <v>1</v>
      </c>
      <c r="G39">
        <v>1</v>
      </c>
      <c r="H39">
        <v>1</v>
      </c>
      <c r="I39">
        <v>1</v>
      </c>
      <c r="J39">
        <v>1</v>
      </c>
      <c r="K39">
        <v>0.8</v>
      </c>
      <c r="L39">
        <v>0.2</v>
      </c>
      <c r="M39">
        <v>1</v>
      </c>
      <c r="N39" s="21">
        <f>10/15</f>
        <v>0.66666666666666663</v>
      </c>
      <c r="O39" s="21">
        <f>20.75/34</f>
        <v>0.61029411764705888</v>
      </c>
      <c r="P39" s="21">
        <f>21.75/47</f>
        <v>0.46276595744680848</v>
      </c>
      <c r="Q39" s="21">
        <f>26.75/35</f>
        <v>0.76428571428571423</v>
      </c>
      <c r="R39" s="21">
        <f>18/31</f>
        <v>0.58064516129032262</v>
      </c>
      <c r="S39">
        <f>41.25/55</f>
        <v>0.75</v>
      </c>
      <c r="T39">
        <v>0.8</v>
      </c>
      <c r="U39">
        <v>1</v>
      </c>
    </row>
    <row r="40" spans="2:21">
      <c r="B40" t="s">
        <v>1213</v>
      </c>
      <c r="C40">
        <f>2/50</f>
        <v>0.04</v>
      </c>
      <c r="D40" s="21">
        <f>7.75/50</f>
        <v>0.155</v>
      </c>
      <c r="E40">
        <v>0</v>
      </c>
      <c r="F40">
        <v>0</v>
      </c>
      <c r="G40">
        <v>1</v>
      </c>
      <c r="H40">
        <v>0.8</v>
      </c>
      <c r="I40">
        <v>0.4</v>
      </c>
      <c r="J40">
        <v>0</v>
      </c>
      <c r="K40">
        <v>0.8</v>
      </c>
      <c r="L40">
        <v>0</v>
      </c>
      <c r="M40">
        <v>1</v>
      </c>
      <c r="N40">
        <f>3/15</f>
        <v>0.2</v>
      </c>
      <c r="O40">
        <f>3.4/34</f>
        <v>9.9999999999999992E-2</v>
      </c>
      <c r="P40" s="21">
        <f>9.8/47</f>
        <v>0.20851063829787236</v>
      </c>
      <c r="Q40" s="21">
        <f>4.4/35</f>
        <v>0.12571428571428572</v>
      </c>
      <c r="R40" s="21">
        <f>4.4/31</f>
        <v>0.14193548387096774</v>
      </c>
      <c r="S40" s="21">
        <f>6.25/55</f>
        <v>0.11363636363636363</v>
      </c>
      <c r="T40">
        <v>0</v>
      </c>
      <c r="U40">
        <v>0</v>
      </c>
    </row>
    <row r="41" spans="2:21">
      <c r="B41" t="s">
        <v>1214</v>
      </c>
      <c r="C41" s="21">
        <f>7.4/50</f>
        <v>0.14800000000000002</v>
      </c>
      <c r="D41" s="21">
        <f>12.2/50</f>
        <v>0.24399999999999999</v>
      </c>
      <c r="E41">
        <v>0.2</v>
      </c>
      <c r="F41">
        <v>1</v>
      </c>
      <c r="G41">
        <v>1</v>
      </c>
      <c r="H41">
        <v>0.4</v>
      </c>
      <c r="I41">
        <v>0.6</v>
      </c>
      <c r="J41">
        <v>0.4</v>
      </c>
      <c r="K41">
        <v>0.2</v>
      </c>
      <c r="L41">
        <v>0.2</v>
      </c>
      <c r="M41">
        <v>1</v>
      </c>
      <c r="N41" s="21">
        <f>2.2/15</f>
        <v>0.14666666666666667</v>
      </c>
      <c r="O41" s="21">
        <f>2.4/34</f>
        <v>7.0588235294117646E-2</v>
      </c>
      <c r="P41">
        <f>18.8/47</f>
        <v>0.4</v>
      </c>
      <c r="Q41" s="21">
        <f>7.6/35</f>
        <v>0.21714285714285714</v>
      </c>
      <c r="R41" s="21">
        <f>5.8/31</f>
        <v>0.18709677419354839</v>
      </c>
      <c r="S41">
        <f>13.2/55</f>
        <v>0.24</v>
      </c>
      <c r="T41">
        <v>0.8</v>
      </c>
      <c r="U41">
        <v>0.8</v>
      </c>
    </row>
    <row r="42" spans="2:21">
      <c r="B42" t="s">
        <v>1215</v>
      </c>
      <c r="C42" s="21">
        <f>7.6666667/50</f>
        <v>0.15333333400000002</v>
      </c>
      <c r="D42">
        <f>9.5/50</f>
        <v>0.19</v>
      </c>
      <c r="E42">
        <v>0</v>
      </c>
      <c r="F42">
        <v>0</v>
      </c>
      <c r="G42">
        <v>1</v>
      </c>
      <c r="H42">
        <v>1</v>
      </c>
      <c r="I42">
        <v>1</v>
      </c>
      <c r="J42">
        <v>0.75</v>
      </c>
      <c r="K42">
        <v>0.6</v>
      </c>
      <c r="L42">
        <v>0</v>
      </c>
      <c r="M42">
        <v>0</v>
      </c>
      <c r="N42">
        <f>4.2/15</f>
        <v>0.28000000000000003</v>
      </c>
      <c r="O42" s="21">
        <f>5/34</f>
        <v>0.14705882352941177</v>
      </c>
      <c r="P42" s="21">
        <f>19/47</f>
        <v>0.40425531914893614</v>
      </c>
      <c r="Q42" s="21">
        <f>7.6/35</f>
        <v>0.21714285714285714</v>
      </c>
      <c r="R42" s="21">
        <f>8.8/31</f>
        <v>0.28387096774193549</v>
      </c>
      <c r="S42" s="21">
        <f>17.2/55</f>
        <v>0.31272727272727269</v>
      </c>
      <c r="T42">
        <v>0.4</v>
      </c>
      <c r="U42">
        <v>0.4</v>
      </c>
    </row>
    <row r="43" spans="2:21">
      <c r="B43" t="s">
        <v>1216</v>
      </c>
      <c r="C43" s="21">
        <f>20.2/50</f>
        <v>0.40399999999999997</v>
      </c>
      <c r="D43" s="21">
        <f>17.4/50</f>
        <v>0.34799999999999998</v>
      </c>
      <c r="E43">
        <v>0.8</v>
      </c>
      <c r="F43">
        <v>1</v>
      </c>
      <c r="G43">
        <v>1</v>
      </c>
      <c r="H43">
        <v>1</v>
      </c>
      <c r="I43">
        <v>1</v>
      </c>
      <c r="J43">
        <v>0.8</v>
      </c>
      <c r="K43">
        <v>0.4</v>
      </c>
      <c r="L43">
        <v>0</v>
      </c>
      <c r="M43">
        <v>0</v>
      </c>
      <c r="N43" s="21">
        <f>1.25/15</f>
        <v>8.3333333333333329E-2</v>
      </c>
      <c r="O43" s="21">
        <f>8.25/34</f>
        <v>0.24264705882352941</v>
      </c>
      <c r="P43" s="21">
        <v>0.56382979</v>
      </c>
      <c r="Q43" s="21">
        <f>13.5/35</f>
        <v>0.38571428571428573</v>
      </c>
      <c r="R43">
        <f>15.5/31</f>
        <v>0.5</v>
      </c>
      <c r="S43" s="21">
        <f>25.25/55</f>
        <v>0.45909090909090911</v>
      </c>
      <c r="T43">
        <v>0.8</v>
      </c>
      <c r="U43">
        <v>1</v>
      </c>
    </row>
    <row r="44" spans="2:21">
      <c r="B44" t="s">
        <v>1217</v>
      </c>
      <c r="C44" s="21">
        <f>19.2/50</f>
        <v>0.38400000000000001</v>
      </c>
      <c r="D44" s="21">
        <f>29.4/50</f>
        <v>0.58799999999999997</v>
      </c>
      <c r="E44">
        <v>0</v>
      </c>
      <c r="F44">
        <v>0.6</v>
      </c>
      <c r="G44">
        <v>1</v>
      </c>
      <c r="H44">
        <v>1</v>
      </c>
      <c r="I44">
        <v>1</v>
      </c>
      <c r="J44">
        <v>1</v>
      </c>
      <c r="K44">
        <v>0</v>
      </c>
      <c r="L44">
        <v>0</v>
      </c>
      <c r="M44">
        <v>0</v>
      </c>
      <c r="N44">
        <f>4.8/15</f>
        <v>0.32</v>
      </c>
      <c r="O44" s="21">
        <f>6/34</f>
        <v>0.17647058823529413</v>
      </c>
      <c r="P44" s="21">
        <f>14/47</f>
        <v>0.2978723404255319</v>
      </c>
      <c r="Q44" s="21">
        <f>7.4/35</f>
        <v>0.21142857142857144</v>
      </c>
      <c r="R44" s="21">
        <f>7.2/31</f>
        <v>0.23225806451612904</v>
      </c>
      <c r="S44" s="21">
        <f>19.2/55</f>
        <v>0.34909090909090906</v>
      </c>
      <c r="T44">
        <v>0.2</v>
      </c>
      <c r="U44">
        <v>0.4</v>
      </c>
    </row>
    <row r="45" spans="2:21">
      <c r="B45" t="s">
        <v>1218</v>
      </c>
      <c r="C45">
        <f>24.5/50</f>
        <v>0.49</v>
      </c>
      <c r="D45">
        <f>19/50</f>
        <v>0.38</v>
      </c>
      <c r="E45">
        <v>0.8</v>
      </c>
      <c r="F45">
        <v>1</v>
      </c>
      <c r="G45">
        <v>1</v>
      </c>
      <c r="H45">
        <v>1</v>
      </c>
      <c r="I45">
        <v>1</v>
      </c>
      <c r="J45">
        <v>1</v>
      </c>
      <c r="K45">
        <v>0</v>
      </c>
      <c r="L45">
        <v>0</v>
      </c>
      <c r="M45">
        <v>0</v>
      </c>
      <c r="N45">
        <f>7.2/15</f>
        <v>0.48000000000000004</v>
      </c>
      <c r="O45" s="21">
        <f>16.6/34</f>
        <v>0.4882352941176471</v>
      </c>
      <c r="P45" s="21">
        <f>18.6/47</f>
        <v>0.39574468085106385</v>
      </c>
      <c r="Q45" s="21">
        <f>17.8/35</f>
        <v>0.50857142857142856</v>
      </c>
      <c r="R45" s="21">
        <f>9.6/31</f>
        <v>0.30967741935483872</v>
      </c>
      <c r="S45" s="21">
        <f>27.2/55</f>
        <v>0.49454545454545451</v>
      </c>
      <c r="T45">
        <v>0.6</v>
      </c>
      <c r="U45">
        <v>1</v>
      </c>
    </row>
    <row r="46" spans="2:21">
      <c r="B46" t="s">
        <v>1219</v>
      </c>
      <c r="C46" s="21">
        <f>10.75/50</f>
        <v>0.215</v>
      </c>
      <c r="D46" s="21">
        <f>23.8/50</f>
        <v>0.47600000000000003</v>
      </c>
      <c r="E46">
        <v>0</v>
      </c>
      <c r="F46">
        <v>0</v>
      </c>
      <c r="G46">
        <v>1</v>
      </c>
      <c r="H46">
        <v>1</v>
      </c>
      <c r="I46">
        <v>0.8</v>
      </c>
      <c r="J46">
        <v>1</v>
      </c>
      <c r="K46">
        <v>0.8</v>
      </c>
      <c r="L46">
        <v>0</v>
      </c>
      <c r="M46">
        <v>0</v>
      </c>
      <c r="N46" s="21">
        <f>5/15</f>
        <v>0.33333333333333331</v>
      </c>
      <c r="O46" s="21">
        <f>5.2/34</f>
        <v>0.15294117647058825</v>
      </c>
      <c r="P46" s="21">
        <f>20.4/47</f>
        <v>0.43404255319148932</v>
      </c>
      <c r="Q46" s="21">
        <f>9.4/35</f>
        <v>0.26857142857142857</v>
      </c>
      <c r="R46" s="21">
        <f>9.8/31</f>
        <v>0.31612903225806455</v>
      </c>
      <c r="S46" s="21">
        <f>12.4/55</f>
        <v>0.22545454545454546</v>
      </c>
      <c r="T46">
        <v>0</v>
      </c>
      <c r="U46">
        <v>0</v>
      </c>
    </row>
    <row r="47" spans="2:21">
      <c r="B47" t="s">
        <v>1220</v>
      </c>
      <c r="C47">
        <f>7.5/50</f>
        <v>0.15</v>
      </c>
      <c r="D47" s="40">
        <f>15/50</f>
        <v>0.3</v>
      </c>
      <c r="E47">
        <v>0</v>
      </c>
      <c r="F47">
        <v>1</v>
      </c>
      <c r="G47">
        <v>1</v>
      </c>
      <c r="H47">
        <v>1</v>
      </c>
      <c r="I47">
        <v>1</v>
      </c>
      <c r="J47">
        <v>1</v>
      </c>
      <c r="K47">
        <v>0</v>
      </c>
      <c r="L47">
        <v>0</v>
      </c>
      <c r="M47">
        <v>0</v>
      </c>
      <c r="N47" s="21">
        <f>5/15</f>
        <v>0.33333333333333331</v>
      </c>
      <c r="O47" s="21">
        <f>5.5/34</f>
        <v>0.16176470588235295</v>
      </c>
      <c r="P47" s="21">
        <f>11.5/47</f>
        <v>0.24468085106382978</v>
      </c>
      <c r="Q47">
        <f>7/35</f>
        <v>0.2</v>
      </c>
      <c r="R47" s="21">
        <f>7.25/31</f>
        <v>0.23387096774193547</v>
      </c>
      <c r="S47" s="21">
        <f>14.25/55</f>
        <v>0.25909090909090909</v>
      </c>
      <c r="T47">
        <v>0.4</v>
      </c>
      <c r="U47">
        <v>1</v>
      </c>
    </row>
    <row r="48" spans="2:21">
      <c r="B48" t="s">
        <v>1221</v>
      </c>
      <c r="C48" s="40">
        <f>15/50</f>
        <v>0.3</v>
      </c>
      <c r="D48" s="21">
        <f>13.2/50</f>
        <v>0.26400000000000001</v>
      </c>
      <c r="E48">
        <v>0.2</v>
      </c>
      <c r="F48">
        <v>0.4</v>
      </c>
      <c r="G48">
        <v>0.8</v>
      </c>
      <c r="H48">
        <v>1</v>
      </c>
      <c r="I48">
        <v>1</v>
      </c>
      <c r="J48">
        <v>1</v>
      </c>
      <c r="K48">
        <v>0</v>
      </c>
      <c r="L48">
        <v>0</v>
      </c>
      <c r="M48">
        <v>0</v>
      </c>
      <c r="N48">
        <f>4.8/15</f>
        <v>0.32</v>
      </c>
      <c r="O48" s="21">
        <f>4.4/34</f>
        <v>0.12941176470588237</v>
      </c>
      <c r="P48" s="21">
        <f>11.2/47</f>
        <v>0.23829787234042552</v>
      </c>
      <c r="Q48" s="21">
        <f>7.2/35</f>
        <v>0.20571428571428571</v>
      </c>
      <c r="R48" s="21">
        <f>8.2/31</f>
        <v>0.26451612903225802</v>
      </c>
      <c r="S48" s="21">
        <f>13.8/55</f>
        <v>0.25090909090909091</v>
      </c>
      <c r="T48">
        <v>0</v>
      </c>
      <c r="U48">
        <v>0</v>
      </c>
    </row>
    <row r="49" spans="2:21">
      <c r="B49" t="s">
        <v>1222</v>
      </c>
      <c r="C49" s="21">
        <f>17.2/50</f>
        <v>0.34399999999999997</v>
      </c>
      <c r="D49" s="21">
        <f>25.4/50</f>
        <v>0.50800000000000001</v>
      </c>
      <c r="E49">
        <v>0.8</v>
      </c>
      <c r="F49">
        <v>1</v>
      </c>
      <c r="G49">
        <v>1</v>
      </c>
      <c r="H49">
        <v>1</v>
      </c>
      <c r="I49">
        <v>1</v>
      </c>
      <c r="J49">
        <v>1</v>
      </c>
      <c r="K49">
        <v>0.2</v>
      </c>
      <c r="L49">
        <v>0</v>
      </c>
      <c r="M49">
        <v>0</v>
      </c>
      <c r="N49" s="21">
        <f>6.2/15</f>
        <v>0.41333333333333333</v>
      </c>
      <c r="O49" s="21">
        <f>12.2/34</f>
        <v>0.35882352941176471</v>
      </c>
      <c r="P49" s="21">
        <f>16.8/47</f>
        <v>0.35744680851063831</v>
      </c>
      <c r="Q49" s="21">
        <f>11/35</f>
        <v>0.31428571428571428</v>
      </c>
      <c r="R49" s="21">
        <f>9.8/31</f>
        <v>0.31612903225806455</v>
      </c>
      <c r="S49" s="21">
        <f>20/55</f>
        <v>0.36363636363636365</v>
      </c>
      <c r="T49">
        <v>0.4</v>
      </c>
      <c r="U49">
        <v>0.6</v>
      </c>
    </row>
  </sheetData>
  <pageMargins left="0.7" right="0.7" top="0.75" bottom="0.75" header="0.3" footer="0.3"/>
  <ignoredErrors>
    <ignoredError sqref="N5:O5 N27 Q27 O33 Q33 N34 N36"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24A5-BC8D-4A7F-86F7-14A6BDBB2FF6}">
  <dimension ref="B1:T25"/>
  <sheetViews>
    <sheetView zoomScaleNormal="100" workbookViewId="0">
      <selection activeCell="H1" sqref="H1"/>
    </sheetView>
  </sheetViews>
  <sheetFormatPr baseColWidth="10" defaultColWidth="8.83203125" defaultRowHeight="15"/>
  <cols>
    <col min="1" max="1" width="27" customWidth="1"/>
    <col min="2" max="2" width="18.33203125" bestFit="1" customWidth="1"/>
    <col min="3" max="3" width="11.33203125" customWidth="1"/>
    <col min="11" max="11" width="11" customWidth="1"/>
  </cols>
  <sheetData>
    <row r="1" spans="2:20" ht="116.25" customHeight="1">
      <c r="B1" s="1" t="s">
        <v>1174</v>
      </c>
      <c r="C1" s="2" t="s">
        <v>1387</v>
      </c>
      <c r="D1" s="2" t="s">
        <v>1576</v>
      </c>
      <c r="E1" s="2" t="s">
        <v>1577</v>
      </c>
      <c r="F1" s="2" t="s">
        <v>1578</v>
      </c>
      <c r="G1" s="2" t="s">
        <v>1844</v>
      </c>
      <c r="H1" s="2" t="s">
        <v>1846</v>
      </c>
      <c r="I1" s="2" t="s">
        <v>1845</v>
      </c>
      <c r="J1" s="2" t="s">
        <v>1579</v>
      </c>
      <c r="K1" s="2" t="s">
        <v>1562</v>
      </c>
      <c r="L1" s="2" t="s">
        <v>1389</v>
      </c>
      <c r="M1" s="2" t="s">
        <v>1223</v>
      </c>
      <c r="N1" s="2" t="s">
        <v>0</v>
      </c>
      <c r="O1" s="2" t="s">
        <v>2</v>
      </c>
      <c r="P1" s="2" t="s">
        <v>3</v>
      </c>
      <c r="Q1" s="2" t="s">
        <v>4</v>
      </c>
      <c r="R1" s="2" t="s">
        <v>5</v>
      </c>
      <c r="S1" s="2" t="s">
        <v>6</v>
      </c>
      <c r="T1" s="2" t="s">
        <v>1224</v>
      </c>
    </row>
    <row r="2" spans="2:20">
      <c r="B2" t="s">
        <v>1176</v>
      </c>
      <c r="C2">
        <v>0</v>
      </c>
      <c r="D2">
        <v>0.2</v>
      </c>
      <c r="E2">
        <v>0</v>
      </c>
      <c r="F2">
        <v>0</v>
      </c>
      <c r="G2">
        <v>0</v>
      </c>
      <c r="H2">
        <v>0</v>
      </c>
      <c r="I2">
        <v>0</v>
      </c>
      <c r="J2">
        <v>0.2</v>
      </c>
      <c r="K2">
        <v>0</v>
      </c>
      <c r="L2">
        <v>0</v>
      </c>
      <c r="M2" s="21">
        <f>0.2/50</f>
        <v>4.0000000000000001E-3</v>
      </c>
      <c r="N2" s="21">
        <f>13.2/50</f>
        <v>0.26400000000000001</v>
      </c>
      <c r="O2">
        <v>0</v>
      </c>
      <c r="P2" s="21">
        <f>1.2/34</f>
        <v>3.5294117647058823E-2</v>
      </c>
      <c r="Q2" s="21">
        <f>2.4/47</f>
        <v>5.106382978723404E-2</v>
      </c>
      <c r="R2">
        <f>1.4/35</f>
        <v>0.04</v>
      </c>
      <c r="S2" s="21">
        <f>1.4/31</f>
        <v>4.5161290322580643E-2</v>
      </c>
      <c r="T2" s="21">
        <f>4/55</f>
        <v>7.2727272727272724E-2</v>
      </c>
    </row>
    <row r="3" spans="2:20">
      <c r="B3" t="s">
        <v>1178</v>
      </c>
      <c r="C3">
        <v>0</v>
      </c>
      <c r="D3">
        <v>1</v>
      </c>
      <c r="E3">
        <v>1</v>
      </c>
      <c r="F3">
        <v>1</v>
      </c>
      <c r="G3">
        <v>0.8</v>
      </c>
      <c r="H3">
        <v>0</v>
      </c>
      <c r="I3">
        <v>0</v>
      </c>
      <c r="J3">
        <v>0.6</v>
      </c>
      <c r="K3">
        <v>0.75</v>
      </c>
      <c r="L3">
        <v>0.5</v>
      </c>
      <c r="M3" s="21">
        <f>6.4/50</f>
        <v>0.128</v>
      </c>
      <c r="N3" s="21">
        <f>7.8/50</f>
        <v>0.156</v>
      </c>
      <c r="O3" s="21">
        <f>2.667/15</f>
        <v>0.17779999999999999</v>
      </c>
      <c r="P3" s="21">
        <f>2.5/34</f>
        <v>7.3529411764705885E-2</v>
      </c>
      <c r="Q3" s="21">
        <f>10/47</f>
        <v>0.21276595744680851</v>
      </c>
      <c r="R3" s="21">
        <f>3.75/35</f>
        <v>0.10714285714285714</v>
      </c>
      <c r="S3" s="21">
        <f>2.5/31</f>
        <v>8.0645161290322578E-2</v>
      </c>
      <c r="T3" s="21">
        <f>14.33/55</f>
        <v>0.26054545454545452</v>
      </c>
    </row>
    <row r="4" spans="2:20">
      <c r="B4" t="s">
        <v>1180</v>
      </c>
      <c r="C4">
        <v>0</v>
      </c>
      <c r="D4">
        <v>0</v>
      </c>
      <c r="E4">
        <v>0</v>
      </c>
      <c r="F4">
        <v>0</v>
      </c>
      <c r="G4">
        <v>0</v>
      </c>
      <c r="H4">
        <v>0</v>
      </c>
      <c r="I4">
        <v>0</v>
      </c>
      <c r="J4">
        <v>0</v>
      </c>
      <c r="K4">
        <v>0.8</v>
      </c>
      <c r="L4">
        <v>0.2</v>
      </c>
      <c r="M4" s="21">
        <f>1.4/50</f>
        <v>2.7999999999999997E-2</v>
      </c>
      <c r="N4" s="21">
        <v>0</v>
      </c>
      <c r="O4">
        <f>0.6/15</f>
        <v>0.04</v>
      </c>
      <c r="P4" s="21">
        <v>0</v>
      </c>
      <c r="Q4" s="21">
        <f>9/47</f>
        <v>0.19148936170212766</v>
      </c>
      <c r="R4" s="21">
        <f>15/35</f>
        <v>0.42857142857142855</v>
      </c>
      <c r="S4" s="21">
        <f>5/31</f>
        <v>0.16129032258064516</v>
      </c>
      <c r="T4" s="21">
        <f>14.4/55</f>
        <v>0.26181818181818184</v>
      </c>
    </row>
    <row r="5" spans="2:20">
      <c r="B5" t="s">
        <v>1182</v>
      </c>
      <c r="C5">
        <v>0</v>
      </c>
      <c r="D5">
        <v>1</v>
      </c>
      <c r="E5">
        <v>1</v>
      </c>
      <c r="F5">
        <v>1</v>
      </c>
      <c r="G5">
        <v>1</v>
      </c>
      <c r="H5">
        <v>0.2</v>
      </c>
      <c r="I5">
        <v>0</v>
      </c>
      <c r="J5">
        <v>0.2</v>
      </c>
      <c r="K5">
        <v>0.25</v>
      </c>
      <c r="L5">
        <v>0</v>
      </c>
      <c r="M5" s="21">
        <f>1.2/50</f>
        <v>2.4E-2</v>
      </c>
      <c r="N5" s="21">
        <f>10.4/50</f>
        <v>0.20800000000000002</v>
      </c>
      <c r="O5" s="21">
        <f>0.2/15</f>
        <v>1.3333333333333334E-2</v>
      </c>
      <c r="P5" s="21">
        <f>0.4/34</f>
        <v>1.1764705882352941E-2</v>
      </c>
      <c r="Q5" s="21">
        <f>10.6/47</f>
        <v>0.22553191489361701</v>
      </c>
      <c r="R5" s="21">
        <f>3/35</f>
        <v>8.5714285714285715E-2</v>
      </c>
      <c r="S5" s="21">
        <f>2.6/31</f>
        <v>8.387096774193549E-2</v>
      </c>
      <c r="T5" s="21">
        <f>10.25/55</f>
        <v>0.18636363636363637</v>
      </c>
    </row>
    <row r="6" spans="2:20">
      <c r="B6" t="s">
        <v>1184</v>
      </c>
      <c r="C6">
        <v>0</v>
      </c>
      <c r="D6">
        <v>1</v>
      </c>
      <c r="E6">
        <v>1</v>
      </c>
      <c r="F6">
        <v>1</v>
      </c>
      <c r="G6">
        <v>1</v>
      </c>
      <c r="H6">
        <v>1</v>
      </c>
      <c r="I6">
        <v>1</v>
      </c>
      <c r="J6">
        <v>1</v>
      </c>
      <c r="K6">
        <v>0.8</v>
      </c>
      <c r="L6">
        <v>0.8</v>
      </c>
      <c r="M6" s="21">
        <f>16.8/50</f>
        <v>0.33600000000000002</v>
      </c>
      <c r="N6" s="21">
        <f>0.6/50</f>
        <v>1.2E-2</v>
      </c>
      <c r="O6">
        <f>4.8/15</f>
        <v>0.32</v>
      </c>
      <c r="P6" s="21">
        <f>1.2/34</f>
        <v>3.5294117647058823E-2</v>
      </c>
      <c r="Q6" s="21">
        <f>14.4/47</f>
        <v>0.30638297872340425</v>
      </c>
      <c r="R6" s="21">
        <f>4.6/35</f>
        <v>0.13142857142857142</v>
      </c>
      <c r="S6" s="21">
        <f>4.8/31</f>
        <v>0.15483870967741936</v>
      </c>
      <c r="T6">
        <f>2.2/55</f>
        <v>0.04</v>
      </c>
    </row>
    <row r="7" spans="2:20">
      <c r="B7" t="s">
        <v>1186</v>
      </c>
      <c r="C7">
        <v>1</v>
      </c>
      <c r="D7">
        <v>1</v>
      </c>
      <c r="E7">
        <v>1</v>
      </c>
      <c r="F7">
        <v>1</v>
      </c>
      <c r="G7">
        <v>0.8</v>
      </c>
      <c r="H7">
        <v>0</v>
      </c>
      <c r="I7">
        <v>0</v>
      </c>
      <c r="J7">
        <v>1</v>
      </c>
      <c r="K7">
        <v>0.33</v>
      </c>
      <c r="L7">
        <v>0.5</v>
      </c>
      <c r="M7" s="21">
        <f>18.2/50</f>
        <v>0.36399999999999999</v>
      </c>
      <c r="N7" s="21">
        <f>19.6/50</f>
        <v>0.39200000000000002</v>
      </c>
      <c r="O7" s="21">
        <f>4.75/15</f>
        <v>0.31666666666666665</v>
      </c>
      <c r="P7" s="21">
        <f>0.25/34</f>
        <v>7.3529411764705881E-3</v>
      </c>
      <c r="Q7" s="21">
        <f>4/47</f>
        <v>8.5106382978723402E-2</v>
      </c>
      <c r="R7" s="21">
        <f>5/35</f>
        <v>0.14285714285714285</v>
      </c>
      <c r="S7" s="21">
        <f>1.5/31</f>
        <v>4.8387096774193547E-2</v>
      </c>
      <c r="T7" s="21">
        <f>13.25/55</f>
        <v>0.24090909090909091</v>
      </c>
    </row>
    <row r="8" spans="2:20">
      <c r="B8" t="s">
        <v>1188</v>
      </c>
      <c r="C8">
        <v>0</v>
      </c>
      <c r="D8">
        <v>1</v>
      </c>
      <c r="E8">
        <v>1</v>
      </c>
      <c r="F8">
        <v>1</v>
      </c>
      <c r="G8">
        <v>1</v>
      </c>
      <c r="H8">
        <v>0</v>
      </c>
      <c r="I8">
        <v>0</v>
      </c>
      <c r="J8">
        <v>1</v>
      </c>
      <c r="K8">
        <v>1</v>
      </c>
      <c r="L8">
        <v>1</v>
      </c>
      <c r="M8" s="21">
        <f>6.6/50</f>
        <v>0.13200000000000001</v>
      </c>
      <c r="N8" s="21">
        <f>12.25/50</f>
        <v>0.245</v>
      </c>
      <c r="O8" s="21">
        <f>2.6/15</f>
        <v>0.17333333333333334</v>
      </c>
      <c r="P8" s="21">
        <f>4.2/34</f>
        <v>0.12352941176470589</v>
      </c>
      <c r="Q8" s="21">
        <f>10.2/47</f>
        <v>0.21702127659574466</v>
      </c>
      <c r="R8" s="21">
        <f>7.2/35</f>
        <v>0.20571428571428571</v>
      </c>
      <c r="S8" s="21">
        <f>4/31</f>
        <v>0.12903225806451613</v>
      </c>
      <c r="T8" s="21">
        <f>16.2/55</f>
        <v>0.29454545454545455</v>
      </c>
    </row>
    <row r="9" spans="2:20">
      <c r="B9" t="s">
        <v>1190</v>
      </c>
      <c r="C9">
        <v>0</v>
      </c>
      <c r="D9">
        <v>1</v>
      </c>
      <c r="E9">
        <v>1</v>
      </c>
      <c r="F9">
        <v>1</v>
      </c>
      <c r="G9">
        <v>0.25</v>
      </c>
      <c r="H9">
        <v>0</v>
      </c>
      <c r="I9">
        <v>0</v>
      </c>
      <c r="J9">
        <v>0.8</v>
      </c>
      <c r="K9">
        <v>0.5</v>
      </c>
      <c r="L9">
        <v>0.25</v>
      </c>
      <c r="M9" s="21">
        <f>3.4/50</f>
        <v>6.8000000000000005E-2</v>
      </c>
      <c r="N9">
        <f>3/50</f>
        <v>0.06</v>
      </c>
      <c r="O9" s="21">
        <f>1/15</f>
        <v>6.6666666666666666E-2</v>
      </c>
      <c r="P9" s="21">
        <f>1.6/34</f>
        <v>4.7058823529411764E-2</v>
      </c>
      <c r="Q9" s="21">
        <f>3.2/47</f>
        <v>6.8085106382978725E-2</v>
      </c>
      <c r="R9" s="21">
        <f>0.4/35</f>
        <v>1.1428571428571429E-2</v>
      </c>
      <c r="S9" s="21">
        <f>1/31</f>
        <v>3.2258064516129031E-2</v>
      </c>
      <c r="T9" s="21">
        <f>3/55</f>
        <v>5.4545454545454543E-2</v>
      </c>
    </row>
    <row r="10" spans="2:20">
      <c r="B10" t="s">
        <v>1192</v>
      </c>
      <c r="C10">
        <v>0</v>
      </c>
      <c r="D10">
        <v>1</v>
      </c>
      <c r="E10">
        <v>1</v>
      </c>
      <c r="F10">
        <v>1</v>
      </c>
      <c r="G10">
        <v>1</v>
      </c>
      <c r="H10">
        <v>1</v>
      </c>
      <c r="I10">
        <v>1</v>
      </c>
      <c r="J10">
        <v>1</v>
      </c>
      <c r="K10">
        <v>1</v>
      </c>
      <c r="L10">
        <v>1</v>
      </c>
      <c r="M10">
        <f>23/50</f>
        <v>0.46</v>
      </c>
      <c r="N10" s="21">
        <f>34.3/50</f>
        <v>0.68599999999999994</v>
      </c>
      <c r="O10" s="21">
        <f>5/15</f>
        <v>0.33333333333333331</v>
      </c>
      <c r="P10" s="21">
        <f>2.75/34</f>
        <v>8.0882352941176475E-2</v>
      </c>
      <c r="Q10" s="21">
        <f>27.3/47</f>
        <v>0.58085106382978724</v>
      </c>
      <c r="R10" s="21">
        <f>9.5/35</f>
        <v>0.27142857142857141</v>
      </c>
      <c r="S10" s="21">
        <f>9.25/31</f>
        <v>0.29838709677419356</v>
      </c>
      <c r="T10" s="21">
        <f>32/55</f>
        <v>0.58181818181818179</v>
      </c>
    </row>
    <row r="11" spans="2:20">
      <c r="B11" t="s">
        <v>1194</v>
      </c>
      <c r="C11">
        <v>0</v>
      </c>
      <c r="D11">
        <v>1</v>
      </c>
      <c r="E11">
        <v>1</v>
      </c>
      <c r="F11">
        <v>1</v>
      </c>
      <c r="G11">
        <v>1</v>
      </c>
      <c r="H11">
        <v>1</v>
      </c>
      <c r="I11">
        <v>1</v>
      </c>
      <c r="J11">
        <v>1</v>
      </c>
      <c r="K11">
        <v>0.8</v>
      </c>
      <c r="L11">
        <v>0.8</v>
      </c>
      <c r="M11" s="21">
        <f>26.4/50</f>
        <v>0.52800000000000002</v>
      </c>
      <c r="N11" s="21">
        <f>41.4/50</f>
        <v>0.82799999999999996</v>
      </c>
      <c r="O11">
        <f>6.6/15</f>
        <v>0.44</v>
      </c>
      <c r="P11" s="21">
        <f>11.2/34</f>
        <v>0.32941176470588235</v>
      </c>
      <c r="Q11" s="21">
        <f>24.6/47</f>
        <v>0.52340425531914891</v>
      </c>
      <c r="R11" s="21">
        <f>24.4/35</f>
        <v>0.69714285714285706</v>
      </c>
      <c r="S11" s="21">
        <f>12/31</f>
        <v>0.38709677419354838</v>
      </c>
      <c r="T11" s="21">
        <f>32.6/55</f>
        <v>0.59272727272727277</v>
      </c>
    </row>
    <row r="12" spans="2:20">
      <c r="B12" t="s">
        <v>1196</v>
      </c>
      <c r="C12">
        <v>0</v>
      </c>
      <c r="D12">
        <v>1</v>
      </c>
      <c r="E12">
        <v>1</v>
      </c>
      <c r="F12">
        <v>1</v>
      </c>
      <c r="G12">
        <v>1</v>
      </c>
      <c r="H12">
        <v>0.2</v>
      </c>
      <c r="I12">
        <v>0.2</v>
      </c>
      <c r="J12">
        <v>0.8</v>
      </c>
      <c r="K12">
        <v>1</v>
      </c>
      <c r="L12">
        <v>0.4</v>
      </c>
      <c r="M12">
        <f>11/50</f>
        <v>0.22</v>
      </c>
      <c r="N12" s="21">
        <f>17.6/50</f>
        <v>0.35200000000000004</v>
      </c>
      <c r="O12" s="21">
        <f>6.4/15</f>
        <v>0.42666666666666669</v>
      </c>
      <c r="P12" s="21">
        <f>5.25/34</f>
        <v>0.15441176470588236</v>
      </c>
      <c r="Q12" s="21">
        <f>15.75/47</f>
        <v>0.33510638297872342</v>
      </c>
      <c r="R12" s="21">
        <f>14.2/35</f>
        <v>0.40571428571428569</v>
      </c>
      <c r="S12" s="21">
        <f>10.5/31</f>
        <v>0.33870967741935482</v>
      </c>
      <c r="T12" s="21">
        <f>17.6666666666667/55</f>
        <v>0.32121212121212184</v>
      </c>
    </row>
    <row r="13" spans="2:20">
      <c r="B13" t="s">
        <v>1198</v>
      </c>
      <c r="C13">
        <v>1</v>
      </c>
      <c r="D13">
        <v>1</v>
      </c>
      <c r="E13">
        <v>1</v>
      </c>
      <c r="F13">
        <v>1</v>
      </c>
      <c r="G13">
        <v>1</v>
      </c>
      <c r="H13">
        <v>0.8</v>
      </c>
      <c r="I13">
        <v>0.8</v>
      </c>
      <c r="J13">
        <v>1</v>
      </c>
      <c r="K13">
        <v>0.8</v>
      </c>
      <c r="L13">
        <v>1</v>
      </c>
      <c r="M13" s="21">
        <f>12.4/50</f>
        <v>0.248</v>
      </c>
      <c r="N13">
        <f>19/50</f>
        <v>0.38</v>
      </c>
      <c r="O13">
        <f>6.6/15</f>
        <v>0.44</v>
      </c>
      <c r="P13" s="21">
        <f>11/34</f>
        <v>0.3235294117647059</v>
      </c>
      <c r="Q13" s="21">
        <f>19.6/47</f>
        <v>0.41702127659574473</v>
      </c>
      <c r="R13" s="21">
        <f>10.2/35</f>
        <v>0.29142857142857143</v>
      </c>
      <c r="S13" s="21">
        <f>12.2/31</f>
        <v>0.39354838709677414</v>
      </c>
      <c r="T13" s="21">
        <f>20/55</f>
        <v>0.36363636363636365</v>
      </c>
    </row>
    <row r="14" spans="2:20">
      <c r="B14" t="s">
        <v>1200</v>
      </c>
      <c r="C14">
        <v>1</v>
      </c>
      <c r="D14">
        <v>1</v>
      </c>
      <c r="E14">
        <v>1</v>
      </c>
      <c r="F14">
        <v>1</v>
      </c>
      <c r="G14">
        <v>1</v>
      </c>
      <c r="H14">
        <v>1</v>
      </c>
      <c r="I14">
        <v>0</v>
      </c>
      <c r="J14">
        <v>0.8</v>
      </c>
      <c r="K14">
        <v>1</v>
      </c>
      <c r="L14">
        <v>1</v>
      </c>
      <c r="M14">
        <f>17/50</f>
        <v>0.34</v>
      </c>
      <c r="N14" s="21">
        <f>21.6/50</f>
        <v>0.43200000000000005</v>
      </c>
      <c r="O14" s="21">
        <f>4.6/15</f>
        <v>0.30666666666666664</v>
      </c>
      <c r="P14" s="21">
        <f>15.2/34</f>
        <v>0.44705882352941173</v>
      </c>
      <c r="Q14" s="21">
        <f>25.2/47</f>
        <v>0.53617021276595744</v>
      </c>
      <c r="R14" s="21">
        <f>26.2/35</f>
        <v>0.74857142857142855</v>
      </c>
      <c r="S14" s="21">
        <f>13/31</f>
        <v>0.41935483870967744</v>
      </c>
      <c r="T14" s="21">
        <f>33.4/55</f>
        <v>0.6072727272727273</v>
      </c>
    </row>
    <row r="15" spans="2:20">
      <c r="B15" t="s">
        <v>1202</v>
      </c>
      <c r="C15">
        <v>0</v>
      </c>
      <c r="D15">
        <v>1</v>
      </c>
      <c r="E15">
        <v>1</v>
      </c>
      <c r="F15">
        <v>1</v>
      </c>
      <c r="G15">
        <v>1</v>
      </c>
      <c r="H15">
        <v>0</v>
      </c>
      <c r="I15">
        <v>0</v>
      </c>
      <c r="J15">
        <v>1</v>
      </c>
      <c r="K15">
        <v>0.6</v>
      </c>
      <c r="L15">
        <v>0.8</v>
      </c>
      <c r="M15" s="21">
        <f>32.8/50</f>
        <v>0.65599999999999992</v>
      </c>
      <c r="N15" s="21">
        <f>23.8/50</f>
        <v>0.47600000000000003</v>
      </c>
      <c r="O15">
        <f>6/15</f>
        <v>0.4</v>
      </c>
      <c r="P15" s="21">
        <f>10.6/34</f>
        <v>0.31176470588235294</v>
      </c>
      <c r="Q15" s="21">
        <f>14.6/47</f>
        <v>0.31063829787234043</v>
      </c>
      <c r="R15" s="21">
        <f>17.4/35</f>
        <v>0.49714285714285711</v>
      </c>
      <c r="S15" s="21">
        <f>8.6/31</f>
        <v>0.27741935483870966</v>
      </c>
      <c r="T15" s="21">
        <f>24.6/55</f>
        <v>0.44727272727272732</v>
      </c>
    </row>
    <row r="16" spans="2:20">
      <c r="B16" t="s">
        <v>1204</v>
      </c>
      <c r="C16">
        <v>1</v>
      </c>
      <c r="D16">
        <v>1</v>
      </c>
      <c r="E16">
        <v>1</v>
      </c>
      <c r="F16">
        <v>1</v>
      </c>
      <c r="G16">
        <v>1</v>
      </c>
      <c r="H16">
        <v>0.2</v>
      </c>
      <c r="I16">
        <v>0</v>
      </c>
      <c r="J16">
        <v>1</v>
      </c>
      <c r="K16">
        <v>1</v>
      </c>
      <c r="L16">
        <v>0.8</v>
      </c>
      <c r="M16" s="21">
        <f>12.8/50</f>
        <v>0.25600000000000001</v>
      </c>
      <c r="N16" s="21">
        <f>16.8/50</f>
        <v>0.33600000000000002</v>
      </c>
      <c r="O16" s="21">
        <f>2.2/15</f>
        <v>0.14666666666666667</v>
      </c>
      <c r="P16">
        <f>6.8/34</f>
        <v>0.19999999999999998</v>
      </c>
      <c r="Q16" s="21">
        <f>25.4/47</f>
        <v>0.54042553191489362</v>
      </c>
      <c r="R16" s="21">
        <f>15/35</f>
        <v>0.42857142857142855</v>
      </c>
      <c r="S16" s="21">
        <f>11/31</f>
        <v>0.35483870967741937</v>
      </c>
      <c r="T16" s="21">
        <f>22.4/55</f>
        <v>0.40727272727272723</v>
      </c>
    </row>
    <row r="17" spans="2:20">
      <c r="B17" t="s">
        <v>1206</v>
      </c>
      <c r="C17">
        <v>0.6</v>
      </c>
      <c r="D17">
        <v>1</v>
      </c>
      <c r="E17">
        <v>0.8</v>
      </c>
      <c r="F17">
        <v>1</v>
      </c>
      <c r="G17">
        <v>0.8</v>
      </c>
      <c r="H17">
        <v>1</v>
      </c>
      <c r="I17">
        <v>0.4</v>
      </c>
      <c r="J17">
        <v>1</v>
      </c>
      <c r="K17">
        <v>0.8</v>
      </c>
      <c r="L17">
        <v>0.6</v>
      </c>
      <c r="M17" s="21">
        <f>27.6/50</f>
        <v>0.55200000000000005</v>
      </c>
      <c r="N17" s="21">
        <f>25.2/50</f>
        <v>0.504</v>
      </c>
      <c r="O17">
        <f>6/15</f>
        <v>0.4</v>
      </c>
      <c r="P17" s="21">
        <f>8/34</f>
        <v>0.23529411764705882</v>
      </c>
      <c r="Q17" s="21">
        <f>18.2/47</f>
        <v>0.38723404255319149</v>
      </c>
      <c r="R17" s="21">
        <f>8.8/35</f>
        <v>0.25142857142857145</v>
      </c>
      <c r="S17" s="21">
        <f>10/31</f>
        <v>0.32258064516129031</v>
      </c>
      <c r="T17" s="21">
        <f>27.6/55</f>
        <v>0.50181818181818183</v>
      </c>
    </row>
    <row r="18" spans="2:20">
      <c r="B18" t="s">
        <v>1208</v>
      </c>
      <c r="C18">
        <v>1</v>
      </c>
      <c r="D18">
        <v>1</v>
      </c>
      <c r="E18">
        <v>1</v>
      </c>
      <c r="F18">
        <v>1</v>
      </c>
      <c r="G18">
        <v>1</v>
      </c>
      <c r="H18">
        <v>0</v>
      </c>
      <c r="I18">
        <v>0</v>
      </c>
      <c r="J18">
        <v>1</v>
      </c>
      <c r="K18">
        <v>1</v>
      </c>
      <c r="L18">
        <v>1</v>
      </c>
      <c r="M18" s="21">
        <f>15.6/50</f>
        <v>0.312</v>
      </c>
      <c r="N18" s="21">
        <f>9.6/50</f>
        <v>0.192</v>
      </c>
      <c r="O18">
        <f>6/15</f>
        <v>0.4</v>
      </c>
      <c r="P18" s="21">
        <f>4.5/34</f>
        <v>0.13235294117647059</v>
      </c>
      <c r="Q18" s="21">
        <f>16.5/47</f>
        <v>0.35106382978723405</v>
      </c>
      <c r="R18" s="21">
        <f>19.75/35</f>
        <v>0.56428571428571428</v>
      </c>
      <c r="S18" s="21">
        <f>12.33/31</f>
        <v>0.39774193548387099</v>
      </c>
      <c r="T18" s="21">
        <f>24/55</f>
        <v>0.43636363636363634</v>
      </c>
    </row>
    <row r="19" spans="2:20">
      <c r="B19" t="s">
        <v>1210</v>
      </c>
      <c r="C19">
        <v>0</v>
      </c>
      <c r="D19">
        <v>1</v>
      </c>
      <c r="E19">
        <v>1</v>
      </c>
      <c r="F19">
        <v>1</v>
      </c>
      <c r="G19">
        <v>1</v>
      </c>
      <c r="H19">
        <v>1</v>
      </c>
      <c r="I19">
        <v>1</v>
      </c>
      <c r="J19">
        <v>1</v>
      </c>
      <c r="K19">
        <v>0.75</v>
      </c>
      <c r="L19">
        <v>0.75</v>
      </c>
      <c r="M19">
        <f>34.5/50</f>
        <v>0.69</v>
      </c>
      <c r="N19">
        <f>27/50</f>
        <v>0.54</v>
      </c>
      <c r="O19">
        <f>6/15</f>
        <v>0.4</v>
      </c>
      <c r="P19" s="21">
        <f>4.75/34</f>
        <v>0.13970588235294118</v>
      </c>
      <c r="Q19" s="21">
        <f>30.6/47</f>
        <v>0.65106382978723409</v>
      </c>
      <c r="R19" s="21">
        <f>14.4/35</f>
        <v>0.41142857142857142</v>
      </c>
      <c r="S19" s="21">
        <f>16.4/31</f>
        <v>0.52903225806451604</v>
      </c>
      <c r="T19" s="21">
        <f>22.8/55</f>
        <v>0.41454545454545455</v>
      </c>
    </row>
    <row r="20" spans="2:20">
      <c r="B20" t="s">
        <v>1212</v>
      </c>
      <c r="C20">
        <v>1</v>
      </c>
      <c r="D20">
        <v>1</v>
      </c>
      <c r="E20">
        <v>1</v>
      </c>
      <c r="F20">
        <v>1</v>
      </c>
      <c r="G20">
        <v>1</v>
      </c>
      <c r="H20">
        <v>0.8</v>
      </c>
      <c r="I20">
        <v>0.2</v>
      </c>
      <c r="J20">
        <v>1</v>
      </c>
      <c r="K20">
        <v>0.8</v>
      </c>
      <c r="L20">
        <v>1</v>
      </c>
      <c r="M20" s="21">
        <f>34.4/50</f>
        <v>0.68799999999999994</v>
      </c>
      <c r="N20">
        <f>32/50</f>
        <v>0.64</v>
      </c>
      <c r="O20" s="21">
        <f>10/15</f>
        <v>0.66666666666666663</v>
      </c>
      <c r="P20" s="21">
        <f>20.75/34</f>
        <v>0.61029411764705888</v>
      </c>
      <c r="Q20" s="21">
        <f>21.75/47</f>
        <v>0.46276595744680848</v>
      </c>
      <c r="R20" s="21">
        <f>26.75/35</f>
        <v>0.76428571428571423</v>
      </c>
      <c r="S20" s="21">
        <f>18/31</f>
        <v>0.58064516129032262</v>
      </c>
      <c r="T20">
        <f>41.25/55</f>
        <v>0.75</v>
      </c>
    </row>
    <row r="21" spans="2:20">
      <c r="B21" t="s">
        <v>1214</v>
      </c>
      <c r="C21">
        <v>1</v>
      </c>
      <c r="D21">
        <v>1</v>
      </c>
      <c r="E21">
        <v>0.4</v>
      </c>
      <c r="F21">
        <v>0.6</v>
      </c>
      <c r="G21">
        <v>0.4</v>
      </c>
      <c r="H21">
        <v>0.2</v>
      </c>
      <c r="I21">
        <v>0.2</v>
      </c>
      <c r="J21">
        <v>1</v>
      </c>
      <c r="K21">
        <v>0.8</v>
      </c>
      <c r="L21">
        <v>0.8</v>
      </c>
      <c r="M21" s="21">
        <f>7.4/50</f>
        <v>0.14800000000000002</v>
      </c>
      <c r="N21" s="21">
        <f>12.2/50</f>
        <v>0.24399999999999999</v>
      </c>
      <c r="O21" s="21">
        <f>2.2/15</f>
        <v>0.14666666666666667</v>
      </c>
      <c r="P21" s="21">
        <f>2.4/34</f>
        <v>7.0588235294117646E-2</v>
      </c>
      <c r="Q21">
        <f>18.8/47</f>
        <v>0.4</v>
      </c>
      <c r="R21" s="21">
        <f>7.6/35</f>
        <v>0.21714285714285714</v>
      </c>
      <c r="S21" s="21">
        <f>5.8/31</f>
        <v>0.18709677419354839</v>
      </c>
      <c r="T21">
        <f>13.2/55</f>
        <v>0.24</v>
      </c>
    </row>
    <row r="22" spans="2:20">
      <c r="B22" t="s">
        <v>1216</v>
      </c>
      <c r="C22">
        <v>0</v>
      </c>
      <c r="D22">
        <v>1</v>
      </c>
      <c r="E22">
        <v>1</v>
      </c>
      <c r="F22">
        <v>1</v>
      </c>
      <c r="G22">
        <v>0.8</v>
      </c>
      <c r="H22">
        <v>0.4</v>
      </c>
      <c r="I22">
        <v>0</v>
      </c>
      <c r="J22">
        <v>1</v>
      </c>
      <c r="K22">
        <v>0.8</v>
      </c>
      <c r="L22">
        <v>1</v>
      </c>
      <c r="M22" s="21">
        <f>20.2/50</f>
        <v>0.40399999999999997</v>
      </c>
      <c r="N22" s="21">
        <f>17.4/50</f>
        <v>0.34799999999999998</v>
      </c>
      <c r="O22" s="21">
        <f>1.25/15</f>
        <v>8.3333333333333329E-2</v>
      </c>
      <c r="P22" s="21">
        <f>8.25/34</f>
        <v>0.24264705882352941</v>
      </c>
      <c r="Q22" s="21">
        <v>0.56382979</v>
      </c>
      <c r="R22" s="21">
        <f>13.5/35</f>
        <v>0.38571428571428573</v>
      </c>
      <c r="S22">
        <f>15.5/31</f>
        <v>0.5</v>
      </c>
      <c r="T22" s="21">
        <f>25.25/55</f>
        <v>0.45909090909090911</v>
      </c>
    </row>
    <row r="23" spans="2:20">
      <c r="B23" t="s">
        <v>1218</v>
      </c>
      <c r="C23">
        <v>0</v>
      </c>
      <c r="D23">
        <v>1</v>
      </c>
      <c r="E23">
        <v>1</v>
      </c>
      <c r="F23">
        <v>1</v>
      </c>
      <c r="G23">
        <v>1</v>
      </c>
      <c r="H23">
        <v>0</v>
      </c>
      <c r="I23">
        <v>0</v>
      </c>
      <c r="J23">
        <v>1</v>
      </c>
      <c r="K23">
        <v>0.6</v>
      </c>
      <c r="L23">
        <v>1</v>
      </c>
      <c r="M23">
        <f>24.5/50</f>
        <v>0.49</v>
      </c>
      <c r="N23">
        <f>19/50</f>
        <v>0.38</v>
      </c>
      <c r="O23">
        <f>7.2/15</f>
        <v>0.48000000000000004</v>
      </c>
      <c r="P23" s="21">
        <f>16.6/34</f>
        <v>0.4882352941176471</v>
      </c>
      <c r="Q23" s="21">
        <f>18.6/47</f>
        <v>0.39574468085106385</v>
      </c>
      <c r="R23" s="21">
        <f>17.8/35</f>
        <v>0.50857142857142856</v>
      </c>
      <c r="S23" s="21">
        <f>9.6/31</f>
        <v>0.30967741935483872</v>
      </c>
      <c r="T23" s="21">
        <f>27.2/55</f>
        <v>0.49454545454545451</v>
      </c>
    </row>
    <row r="24" spans="2:20">
      <c r="B24" t="s">
        <v>1220</v>
      </c>
      <c r="C24">
        <v>0</v>
      </c>
      <c r="D24">
        <v>1</v>
      </c>
      <c r="E24">
        <v>1</v>
      </c>
      <c r="F24">
        <v>1</v>
      </c>
      <c r="G24">
        <v>1</v>
      </c>
      <c r="H24">
        <v>0</v>
      </c>
      <c r="I24">
        <v>0</v>
      </c>
      <c r="J24">
        <v>1</v>
      </c>
      <c r="K24">
        <v>0.4</v>
      </c>
      <c r="L24">
        <v>1</v>
      </c>
      <c r="M24">
        <f>7.5/50</f>
        <v>0.15</v>
      </c>
      <c r="N24" s="40">
        <f>15/50</f>
        <v>0.3</v>
      </c>
      <c r="O24" s="21">
        <f>5/15</f>
        <v>0.33333333333333331</v>
      </c>
      <c r="P24" s="21">
        <f>5.5/34</f>
        <v>0.16176470588235295</v>
      </c>
      <c r="Q24" s="21">
        <f>11.5/47</f>
        <v>0.24468085106382978</v>
      </c>
      <c r="R24">
        <f>7/35</f>
        <v>0.2</v>
      </c>
      <c r="S24" s="21">
        <f>7.25/31</f>
        <v>0.23387096774193547</v>
      </c>
      <c r="T24" s="21">
        <f>14.25/55</f>
        <v>0.25909090909090909</v>
      </c>
    </row>
    <row r="25" spans="2:20">
      <c r="B25" t="s">
        <v>1222</v>
      </c>
      <c r="C25">
        <v>0</v>
      </c>
      <c r="D25">
        <v>1</v>
      </c>
      <c r="E25">
        <v>1</v>
      </c>
      <c r="F25">
        <v>1</v>
      </c>
      <c r="G25">
        <v>1</v>
      </c>
      <c r="H25">
        <v>0.2</v>
      </c>
      <c r="I25">
        <v>0</v>
      </c>
      <c r="J25">
        <v>1</v>
      </c>
      <c r="K25">
        <v>0.4</v>
      </c>
      <c r="L25">
        <v>0.6</v>
      </c>
      <c r="M25" s="21">
        <f>17.2/50</f>
        <v>0.34399999999999997</v>
      </c>
      <c r="N25" s="21">
        <f>25.4/50</f>
        <v>0.50800000000000001</v>
      </c>
      <c r="O25" s="21">
        <f>6.2/15</f>
        <v>0.41333333333333333</v>
      </c>
      <c r="P25" s="21">
        <f>12.2/34</f>
        <v>0.35882352941176471</v>
      </c>
      <c r="Q25" s="21">
        <f>16.8/47</f>
        <v>0.35744680851063831</v>
      </c>
      <c r="R25" s="21">
        <f>11/35</f>
        <v>0.31428571428571428</v>
      </c>
      <c r="S25" s="21">
        <f>9.8/31</f>
        <v>0.31612903225806455</v>
      </c>
      <c r="T25" s="21">
        <f>20/55</f>
        <v>0.36363636363636365</v>
      </c>
    </row>
  </sheetData>
  <pageMargins left="0.7" right="0.7" top="0.75" bottom="0.75" header="0.3" footer="0.3"/>
  <ignoredErrors>
    <ignoredError sqref="O12 O16"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Read_Me</vt:lpstr>
      <vt:lpstr>Raw Data Brain</vt:lpstr>
      <vt:lpstr>Raw Data VNC</vt:lpstr>
      <vt:lpstr>Raw Scoring Data</vt:lpstr>
      <vt:lpstr>Scoring Data Processed</vt:lpstr>
      <vt:lpstr>Raw Count Data</vt:lpstr>
      <vt:lpstr>Cell Count Calculations</vt:lpstr>
      <vt:lpstr>Full Data Set</vt:lpstr>
      <vt:lpstr>Male Only</vt:lpstr>
      <vt:lpstr>Female Only</vt:lpstr>
      <vt:lpstr>Additional_Heatmaps</vt:lpstr>
    </vt:vector>
  </TitlesOfParts>
  <Company>FSU College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Brovero, Savannah</dc:creator>
  <cp:lastModifiedBy>Microsoft Office User</cp:lastModifiedBy>
  <dcterms:created xsi:type="dcterms:W3CDTF">2020-03-06T20:13:05Z</dcterms:created>
  <dcterms:modified xsi:type="dcterms:W3CDTF">2021-01-12T21:17:55Z</dcterms:modified>
</cp:coreProperties>
</file>