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<sst xmlns="http://schemas.openxmlformats.org/spreadsheetml/2006/main" count="38" uniqueCount="16">
  <si>
    <r>
      <rPr>
        <rFont val="Arial"/>
        <b/>
        <color rgb="FF000000"/>
        <sz val="11.0"/>
      </rPr>
      <t xml:space="preserve">Control drives of </t>
    </r>
    <r>
      <rPr>
        <rFont val="Arial"/>
        <b/>
        <i/>
        <color rgb="FF000000"/>
        <sz val="11.0"/>
      </rPr>
      <t xml:space="preserve">PolG2[HomeR] </t>
    </r>
    <r>
      <rPr>
        <rFont val="Arial"/>
        <b/>
        <color rgb="FF000000"/>
        <sz val="11.0"/>
      </rPr>
      <t>without</t>
    </r>
    <r>
      <rPr>
        <rFont val="Arial"/>
        <b/>
        <i/>
        <color rgb="FF000000"/>
        <sz val="11.0"/>
      </rPr>
      <t xml:space="preserve"> </t>
    </r>
    <r>
      <rPr>
        <rFont val="Arial"/>
        <b/>
        <color rgb="FF000000"/>
        <sz val="11.0"/>
      </rPr>
      <t>the</t>
    </r>
    <r>
      <rPr>
        <rFont val="Arial"/>
        <b/>
        <i/>
        <color rgb="FF000000"/>
        <sz val="11.0"/>
      </rPr>
      <t xml:space="preserve"> Cas9</t>
    </r>
    <r>
      <rPr>
        <rFont val="Arial"/>
        <b/>
        <color rgb="FF000000"/>
        <sz val="11.0"/>
      </rPr>
      <t xml:space="preserve"> transgene.</t>
    </r>
  </si>
  <si>
    <t>Control drive #1</t>
  </si>
  <si>
    <t>Date</t>
  </si>
  <si>
    <t>generation</t>
  </si>
  <si>
    <t>P</t>
  </si>
  <si>
    <t>♀ GFP</t>
  </si>
  <si>
    <t>♀ +/+</t>
  </si>
  <si>
    <t>♀GFP%</t>
  </si>
  <si>
    <t>♂GFP</t>
  </si>
  <si>
    <t>♂+/+</t>
  </si>
  <si>
    <t>♂GFP%</t>
  </si>
  <si>
    <t>♀+♂Total#</t>
  </si>
  <si>
    <t>♀+♂GFP%</t>
  </si>
  <si>
    <t>Control drive #2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</si>
  <si>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</si>
  <si>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Control drive #3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</si>
</sst>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0.0"/>
  </numFmts>
  <fonts count="8">
    <font>
      <sz val="10.0"/>
      <color rgb="FF000000"/>
      <name val="Arial"/>
    </font>
    <font>
      <color theme="1"/>
      <name val="Arial"/>
    </font>
    <font>
      <b/>
      <sz val="11.0"/>
      <color rgb="FF000000"/>
      <name val="Arial"/>
    </font>
    <font>
      <b/>
      <sz val="12.0"/>
      <color rgb="FF000000"/>
      <name val="Calibri"/>
    </font>
    <font>
      <sz val="12.0"/>
      <color rgb="FF00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1" fillId="0" fontId="3" numFmtId="0" xfId="0" applyAlignment="1" applyBorder="1" applyFont="1">
      <alignment vertical="bottom"/>
    </xf>
    <xf borderId="1" fillId="0" fontId="4" numFmtId="0" xfId="0" applyAlignment="1" applyBorder="1" applyFont="1">
      <alignment vertical="bottom"/>
    </xf>
    <xf borderId="1" fillId="0" fontId="4" numFmtId="14" xfId="0" applyAlignment="1" applyBorder="1" applyFont="1" applyNumberFormat="1">
      <alignment horizontal="center" vertical="bottom"/>
    </xf>
    <xf borderId="1" fillId="0" fontId="4" numFmtId="164" xfId="0" applyAlignment="1" applyBorder="1" applyFont="1" applyNumberFormat="1">
      <alignment horizontal="center" vertical="bottom"/>
    </xf>
    <xf borderId="1" fillId="0" fontId="4" numFmtId="0" xfId="0" applyAlignment="1" applyBorder="1" applyFont="1">
      <alignment horizontal="center" vertical="bottom"/>
    </xf>
    <xf borderId="1" fillId="2" fontId="5" numFmtId="0" xfId="0" applyAlignment="1" applyBorder="1" applyFill="1" applyFont="1">
      <alignment vertical="bottom"/>
    </xf>
    <xf borderId="1" fillId="2" fontId="5" numFmtId="0" xfId="0" applyAlignment="1" applyBorder="1" applyFont="1">
      <alignment horizontal="center" vertical="bottom"/>
    </xf>
    <xf borderId="1" fillId="0" fontId="5" numFmtId="0" xfId="0" applyAlignment="1" applyBorder="1" applyFont="1">
      <alignment vertical="bottom"/>
    </xf>
    <xf borderId="1" fillId="0" fontId="5" numFmtId="0" xfId="0" applyAlignment="1" applyBorder="1" applyFont="1">
      <alignment horizontal="center" vertical="bottom"/>
    </xf>
    <xf borderId="1" fillId="3" fontId="5" numFmtId="0" xfId="0" applyAlignment="1" applyBorder="1" applyFill="1" applyFont="1">
      <alignment vertical="bottom"/>
    </xf>
    <xf borderId="1" fillId="3" fontId="6" numFmtId="0" xfId="0" applyAlignment="1" applyBorder="1" applyFont="1">
      <alignment horizontal="center" vertical="bottom"/>
    </xf>
    <xf borderId="1" fillId="3" fontId="6" numFmtId="165" xfId="0" applyAlignment="1" applyBorder="1" applyFont="1" applyNumberFormat="1">
      <alignment horizontal="center" vertical="bottom"/>
    </xf>
    <xf borderId="1" fillId="3" fontId="7" numFmtId="165" xfId="0" applyAlignment="1" applyBorder="1" applyFont="1" applyNumberFormat="1">
      <alignment horizontal="center" vertical="bottom"/>
    </xf>
    <xf borderId="0" fillId="0" fontId="1" numFmtId="165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3"/>
    </row>
    <row r="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>
      <c r="A3" s="4" t="s">
        <v>1</v>
      </c>
      <c r="B3" s="5" t="s">
        <v>2</v>
      </c>
      <c r="C3" s="6">
        <v>43595.0</v>
      </c>
      <c r="D3" s="6">
        <v>43607.0</v>
      </c>
      <c r="E3" s="7">
        <v>43620.0</v>
      </c>
      <c r="F3" s="7">
        <v>43635.0</v>
      </c>
      <c r="G3" s="7">
        <v>43649.0</v>
      </c>
      <c r="H3" s="7">
        <v>43661.0</v>
      </c>
      <c r="I3" s="7">
        <v>43676.0</v>
      </c>
      <c r="J3" s="7">
        <v>43693.0</v>
      </c>
      <c r="K3" s="7">
        <v>43707.0</v>
      </c>
      <c r="L3" s="6">
        <v>43721.0</v>
      </c>
      <c r="M3" s="7">
        <v>43735.0</v>
      </c>
      <c r="N3" s="7">
        <v>43749.0</v>
      </c>
      <c r="O3" s="7">
        <v>43763.0</v>
      </c>
      <c r="P3" s="7">
        <v>43777.0</v>
      </c>
      <c r="Q3" s="7">
        <v>43791.0</v>
      </c>
      <c r="R3" s="7">
        <v>43805.0</v>
      </c>
      <c r="S3" s="7">
        <v>43818.0</v>
      </c>
      <c r="T3" s="7">
        <v>43838.0</v>
      </c>
      <c r="U3" s="7">
        <v>43852.0</v>
      </c>
      <c r="V3" s="7">
        <v>43868.0</v>
      </c>
      <c r="W3" s="7">
        <v>43881.0</v>
      </c>
    </row>
    <row r="4">
      <c r="A4" s="3"/>
      <c r="B4" s="5" t="s">
        <v>3</v>
      </c>
      <c r="C4" s="8" t="s">
        <v>4</v>
      </c>
      <c r="D4" s="8">
        <v>0.0</v>
      </c>
      <c r="E4" s="8">
        <v>1.0</v>
      </c>
      <c r="F4" s="8">
        <v>2.0</v>
      </c>
      <c r="G4" s="8">
        <v>3.0</v>
      </c>
      <c r="H4" s="8">
        <v>4.0</v>
      </c>
      <c r="I4" s="8">
        <v>5.0</v>
      </c>
      <c r="J4" s="8">
        <v>6.0</v>
      </c>
      <c r="K4" s="8">
        <v>7.0</v>
      </c>
      <c r="L4" s="8">
        <v>8.0</v>
      </c>
      <c r="M4" s="8">
        <v>9.0</v>
      </c>
      <c r="N4" s="8">
        <v>10.0</v>
      </c>
      <c r="O4" s="8">
        <v>11.0</v>
      </c>
      <c r="P4" s="8">
        <v>12.0</v>
      </c>
      <c r="Q4" s="8">
        <v>13.0</v>
      </c>
      <c r="R4" s="8">
        <v>14.0</v>
      </c>
      <c r="S4" s="8">
        <v>15.0</v>
      </c>
      <c r="T4" s="8">
        <v>16.0</v>
      </c>
      <c r="U4" s="8">
        <v>17.0</v>
      </c>
      <c r="V4" s="8">
        <v>18.0</v>
      </c>
      <c r="W4" s="8">
        <v>19.0</v>
      </c>
    </row>
    <row r="5">
      <c r="A5" s="3"/>
      <c r="B5" s="9" t="s">
        <v>5</v>
      </c>
      <c r="C5" s="10">
        <v>0.0</v>
      </c>
      <c r="D5" s="10">
        <f>36+23+14</f>
        <v>73</v>
      </c>
      <c r="E5" s="10">
        <v>115.0</v>
      </c>
      <c r="F5" s="10">
        <f>69+40</f>
        <v>109</v>
      </c>
      <c r="G5" s="10">
        <v>86.0</v>
      </c>
      <c r="H5" s="10">
        <f>86</f>
        <v>86</v>
      </c>
      <c r="I5" s="10">
        <f>51+39</f>
        <v>90</v>
      </c>
      <c r="J5" s="10">
        <v>102.0</v>
      </c>
      <c r="K5" s="10">
        <f>52+32</f>
        <v>84</v>
      </c>
      <c r="L5" s="10">
        <f>60+31</f>
        <v>91</v>
      </c>
      <c r="M5" s="10">
        <v>93.0</v>
      </c>
      <c r="N5" s="10">
        <f>29+49</f>
        <v>78</v>
      </c>
      <c r="O5" s="10">
        <v>54.0</v>
      </c>
      <c r="P5" s="10">
        <f>45+7</f>
        <v>52</v>
      </c>
      <c r="Q5" s="10">
        <v>71.0</v>
      </c>
      <c r="R5" s="10">
        <v>75.0</v>
      </c>
      <c r="S5" s="10">
        <v>105.0</v>
      </c>
      <c r="T5" s="10">
        <v>74.0</v>
      </c>
      <c r="U5" s="10">
        <v>69.0</v>
      </c>
      <c r="V5" s="10">
        <f>32+7+3+34+5</f>
        <v>81</v>
      </c>
      <c r="W5" s="10">
        <v>55.0</v>
      </c>
    </row>
    <row r="6">
      <c r="A6" s="4"/>
      <c r="B6" s="11" t="s">
        <v>6</v>
      </c>
      <c r="C6" s="12">
        <v>100.0</v>
      </c>
      <c r="D6" s="12">
        <f>6+8+11</f>
        <v>25</v>
      </c>
      <c r="E6" s="12">
        <v>37.0</v>
      </c>
      <c r="F6" s="12">
        <f>29+26</f>
        <v>55</v>
      </c>
      <c r="G6" s="12">
        <v>41.0</v>
      </c>
      <c r="H6" s="12">
        <f>44</f>
        <v>44</v>
      </c>
      <c r="I6" s="12">
        <f>13+15</f>
        <v>28</v>
      </c>
      <c r="J6" s="12">
        <v>34.0</v>
      </c>
      <c r="K6" s="12">
        <f>33+12</f>
        <v>45</v>
      </c>
      <c r="L6" s="12">
        <f>23+14</f>
        <v>37</v>
      </c>
      <c r="M6" s="12">
        <v>38.0</v>
      </c>
      <c r="N6" s="12">
        <f>14+19</f>
        <v>33</v>
      </c>
      <c r="O6" s="12">
        <v>35.0</v>
      </c>
      <c r="P6" s="12">
        <f>42+6</f>
        <v>48</v>
      </c>
      <c r="Q6" s="12">
        <v>54.0</v>
      </c>
      <c r="R6" s="12">
        <v>50.0</v>
      </c>
      <c r="S6" s="12">
        <v>57.0</v>
      </c>
      <c r="T6" s="12">
        <v>55.0</v>
      </c>
      <c r="U6" s="12">
        <v>42.0</v>
      </c>
      <c r="V6" s="12">
        <f>11+12+2+18</f>
        <v>43</v>
      </c>
      <c r="W6" s="12">
        <v>46.0</v>
      </c>
    </row>
    <row r="7">
      <c r="A7" s="4"/>
      <c r="B7" s="13" t="s">
        <v>7</v>
      </c>
      <c r="C7" s="14">
        <f t="shared" ref="C7:W7" si="1">(C5/SUM(C5,C6))*100</f>
        <v>0</v>
      </c>
      <c r="D7" s="15">
        <f t="shared" si="1"/>
        <v>74.48979592</v>
      </c>
      <c r="E7" s="15">
        <f t="shared" si="1"/>
        <v>75.65789474</v>
      </c>
      <c r="F7" s="15">
        <f t="shared" si="1"/>
        <v>66.46341463</v>
      </c>
      <c r="G7" s="15">
        <f t="shared" si="1"/>
        <v>67.71653543</v>
      </c>
      <c r="H7" s="15">
        <f t="shared" si="1"/>
        <v>66.15384615</v>
      </c>
      <c r="I7" s="15">
        <f t="shared" si="1"/>
        <v>76.27118644</v>
      </c>
      <c r="J7" s="15">
        <f t="shared" si="1"/>
        <v>75</v>
      </c>
      <c r="K7" s="15">
        <f t="shared" si="1"/>
        <v>65.11627907</v>
      </c>
      <c r="L7" s="15">
        <f t="shared" si="1"/>
        <v>71.09375</v>
      </c>
      <c r="M7" s="15">
        <f t="shared" si="1"/>
        <v>70.99236641</v>
      </c>
      <c r="N7" s="15">
        <f t="shared" si="1"/>
        <v>70.27027027</v>
      </c>
      <c r="O7" s="15">
        <f t="shared" si="1"/>
        <v>60.6741573</v>
      </c>
      <c r="P7" s="15">
        <f t="shared" si="1"/>
        <v>52</v>
      </c>
      <c r="Q7" s="15">
        <f t="shared" si="1"/>
        <v>56.8</v>
      </c>
      <c r="R7" s="15">
        <f t="shared" si="1"/>
        <v>60</v>
      </c>
      <c r="S7" s="15">
        <f t="shared" si="1"/>
        <v>64.81481481</v>
      </c>
      <c r="T7" s="15">
        <f t="shared" si="1"/>
        <v>57.36434109</v>
      </c>
      <c r="U7" s="15">
        <f t="shared" si="1"/>
        <v>62.16216216</v>
      </c>
      <c r="V7" s="15">
        <f t="shared" si="1"/>
        <v>65.32258065</v>
      </c>
      <c r="W7" s="15">
        <f t="shared" si="1"/>
        <v>54.45544554</v>
      </c>
    </row>
    <row r="8">
      <c r="A8" s="3"/>
      <c r="B8" s="9" t="s">
        <v>8</v>
      </c>
      <c r="C8" s="10">
        <v>50.0</v>
      </c>
      <c r="D8" s="10">
        <f>37+18+21</f>
        <v>76</v>
      </c>
      <c r="E8" s="10">
        <v>95.0</v>
      </c>
      <c r="F8" s="10">
        <f>43+45</f>
        <v>88</v>
      </c>
      <c r="G8" s="10">
        <v>85.0</v>
      </c>
      <c r="H8" s="10">
        <f>65</f>
        <v>65</v>
      </c>
      <c r="I8" s="10">
        <f>39+52</f>
        <v>91</v>
      </c>
      <c r="J8" s="10">
        <v>88.0</v>
      </c>
      <c r="K8" s="10">
        <f>69+15</f>
        <v>84</v>
      </c>
      <c r="L8" s="10">
        <f>54+22</f>
        <v>76</v>
      </c>
      <c r="M8" s="10">
        <v>73.0</v>
      </c>
      <c r="N8" s="10">
        <f>28+28</f>
        <v>56</v>
      </c>
      <c r="O8" s="10">
        <v>73.0</v>
      </c>
      <c r="P8" s="10">
        <f>57+12</f>
        <v>69</v>
      </c>
      <c r="Q8" s="10">
        <v>61.0</v>
      </c>
      <c r="R8" s="10">
        <v>61.0</v>
      </c>
      <c r="S8" s="10">
        <v>92.0</v>
      </c>
      <c r="T8" s="10">
        <v>73.0</v>
      </c>
      <c r="U8" s="10">
        <v>86.0</v>
      </c>
      <c r="V8" s="10">
        <f>23+5+14+1</f>
        <v>43</v>
      </c>
      <c r="W8" s="10">
        <v>88.0</v>
      </c>
    </row>
    <row r="9">
      <c r="A9" s="3"/>
      <c r="B9" s="11" t="s">
        <v>9</v>
      </c>
      <c r="C9" s="12">
        <v>50.0</v>
      </c>
      <c r="D9" s="12">
        <f>11+13+10</f>
        <v>34</v>
      </c>
      <c r="E9" s="12">
        <v>38.0</v>
      </c>
      <c r="F9" s="12">
        <f>11+10</f>
        <v>21</v>
      </c>
      <c r="G9" s="12">
        <v>27.0</v>
      </c>
      <c r="H9" s="12">
        <f>34</f>
        <v>34</v>
      </c>
      <c r="I9" s="12">
        <f>14+25</f>
        <v>39</v>
      </c>
      <c r="J9" s="12">
        <v>20.0</v>
      </c>
      <c r="K9" s="12">
        <f>36+11</f>
        <v>47</v>
      </c>
      <c r="L9" s="12">
        <f>32+10</f>
        <v>42</v>
      </c>
      <c r="M9" s="12">
        <v>19.0</v>
      </c>
      <c r="N9" s="12">
        <f>18+23</f>
        <v>41</v>
      </c>
      <c r="O9" s="12">
        <v>52.0</v>
      </c>
      <c r="P9" s="12">
        <f>40+6</f>
        <v>46</v>
      </c>
      <c r="Q9" s="12">
        <f>33+15</f>
        <v>48</v>
      </c>
      <c r="R9" s="12">
        <v>43.0</v>
      </c>
      <c r="S9" s="12">
        <v>62.0</v>
      </c>
      <c r="T9" s="12">
        <v>32.0</v>
      </c>
      <c r="U9" s="12">
        <v>42.0</v>
      </c>
      <c r="V9" s="12">
        <f>13+5+11+4</f>
        <v>33</v>
      </c>
      <c r="W9" s="12">
        <v>38.0</v>
      </c>
    </row>
    <row r="10">
      <c r="A10" s="3"/>
      <c r="B10" s="13" t="s">
        <v>10</v>
      </c>
      <c r="C10" s="14">
        <f t="shared" ref="C10:W10" si="2">(C8/SUM(C8,C9))*100</f>
        <v>50</v>
      </c>
      <c r="D10" s="15">
        <f t="shared" si="2"/>
        <v>69.09090909</v>
      </c>
      <c r="E10" s="15">
        <f t="shared" si="2"/>
        <v>71.42857143</v>
      </c>
      <c r="F10" s="15">
        <f t="shared" si="2"/>
        <v>80.73394495</v>
      </c>
      <c r="G10" s="15">
        <f t="shared" si="2"/>
        <v>75.89285714</v>
      </c>
      <c r="H10" s="15">
        <f t="shared" si="2"/>
        <v>65.65656566</v>
      </c>
      <c r="I10" s="15">
        <f t="shared" si="2"/>
        <v>70</v>
      </c>
      <c r="J10" s="15">
        <f t="shared" si="2"/>
        <v>81.48148148</v>
      </c>
      <c r="K10" s="15">
        <f t="shared" si="2"/>
        <v>64.1221374</v>
      </c>
      <c r="L10" s="15">
        <f t="shared" si="2"/>
        <v>64.40677966</v>
      </c>
      <c r="M10" s="15">
        <f t="shared" si="2"/>
        <v>79.34782609</v>
      </c>
      <c r="N10" s="15">
        <f t="shared" si="2"/>
        <v>57.73195876</v>
      </c>
      <c r="O10" s="15">
        <f t="shared" si="2"/>
        <v>58.4</v>
      </c>
      <c r="P10" s="15">
        <f t="shared" si="2"/>
        <v>60</v>
      </c>
      <c r="Q10" s="15">
        <f t="shared" si="2"/>
        <v>55.96330275</v>
      </c>
      <c r="R10" s="15">
        <f t="shared" si="2"/>
        <v>58.65384615</v>
      </c>
      <c r="S10" s="15">
        <f t="shared" si="2"/>
        <v>59.74025974</v>
      </c>
      <c r="T10" s="15">
        <f t="shared" si="2"/>
        <v>69.52380952</v>
      </c>
      <c r="U10" s="15">
        <f t="shared" si="2"/>
        <v>67.1875</v>
      </c>
      <c r="V10" s="15">
        <f t="shared" si="2"/>
        <v>56.57894737</v>
      </c>
      <c r="W10" s="15">
        <f t="shared" si="2"/>
        <v>69.84126984</v>
      </c>
    </row>
    <row r="11">
      <c r="A11" s="3"/>
      <c r="B11" s="13" t="s">
        <v>11</v>
      </c>
      <c r="C11" s="14">
        <f t="shared" ref="C11:E11" si="3">SUM(C5,C6,C8,C9)</f>
        <v>200</v>
      </c>
      <c r="D11" s="14">
        <f t="shared" si="3"/>
        <v>208</v>
      </c>
      <c r="E11" s="14">
        <f t="shared" si="3"/>
        <v>285</v>
      </c>
      <c r="F11" s="14">
        <f>F5+F6+F8+F9</f>
        <v>273</v>
      </c>
      <c r="G11" s="14">
        <f t="shared" ref="G11:W11" si="4">SUM(G5, G6, G8, G9)</f>
        <v>239</v>
      </c>
      <c r="H11" s="14">
        <f t="shared" si="4"/>
        <v>229</v>
      </c>
      <c r="I11" s="14">
        <f t="shared" si="4"/>
        <v>248</v>
      </c>
      <c r="J11" s="14">
        <f t="shared" si="4"/>
        <v>244</v>
      </c>
      <c r="K11" s="14">
        <f t="shared" si="4"/>
        <v>260</v>
      </c>
      <c r="L11" s="14">
        <f t="shared" si="4"/>
        <v>246</v>
      </c>
      <c r="M11" s="14">
        <f t="shared" si="4"/>
        <v>223</v>
      </c>
      <c r="N11" s="14">
        <f t="shared" si="4"/>
        <v>208</v>
      </c>
      <c r="O11" s="14">
        <f t="shared" si="4"/>
        <v>214</v>
      </c>
      <c r="P11" s="14">
        <f t="shared" si="4"/>
        <v>215</v>
      </c>
      <c r="Q11" s="14">
        <f t="shared" si="4"/>
        <v>234</v>
      </c>
      <c r="R11" s="14">
        <f t="shared" si="4"/>
        <v>229</v>
      </c>
      <c r="S11" s="14">
        <f t="shared" si="4"/>
        <v>316</v>
      </c>
      <c r="T11" s="14">
        <f t="shared" si="4"/>
        <v>234</v>
      </c>
      <c r="U11" s="14">
        <f t="shared" si="4"/>
        <v>239</v>
      </c>
      <c r="V11" s="14">
        <f t="shared" si="4"/>
        <v>200</v>
      </c>
      <c r="W11" s="14">
        <f t="shared" si="4"/>
        <v>227</v>
      </c>
    </row>
    <row r="12">
      <c r="A12" s="3"/>
      <c r="B12" s="13" t="s">
        <v>12</v>
      </c>
      <c r="C12" s="14">
        <f t="shared" ref="C12:W12" si="5">(SUM(C5+C8)/SUM(C5,C6,C8,C9))*100</f>
        <v>25</v>
      </c>
      <c r="D12" s="16">
        <f t="shared" si="5"/>
        <v>71.63461538</v>
      </c>
      <c r="E12" s="16">
        <f t="shared" si="5"/>
        <v>73.68421053</v>
      </c>
      <c r="F12" s="16">
        <f t="shared" si="5"/>
        <v>72.16117216</v>
      </c>
      <c r="G12" s="16">
        <f t="shared" si="5"/>
        <v>71.54811715</v>
      </c>
      <c r="H12" s="16">
        <f t="shared" si="5"/>
        <v>65.93886463</v>
      </c>
      <c r="I12" s="16">
        <f t="shared" si="5"/>
        <v>72.98387097</v>
      </c>
      <c r="J12" s="16">
        <f t="shared" si="5"/>
        <v>77.86885246</v>
      </c>
      <c r="K12" s="16">
        <f t="shared" si="5"/>
        <v>64.61538462</v>
      </c>
      <c r="L12" s="16">
        <f t="shared" si="5"/>
        <v>67.88617886</v>
      </c>
      <c r="M12" s="16">
        <f t="shared" si="5"/>
        <v>74.43946188</v>
      </c>
      <c r="N12" s="16">
        <f t="shared" si="5"/>
        <v>64.42307692</v>
      </c>
      <c r="O12" s="16">
        <f t="shared" si="5"/>
        <v>59.34579439</v>
      </c>
      <c r="P12" s="16">
        <f t="shared" si="5"/>
        <v>56.27906977</v>
      </c>
      <c r="Q12" s="16">
        <f t="shared" si="5"/>
        <v>56.41025641</v>
      </c>
      <c r="R12" s="16">
        <f t="shared" si="5"/>
        <v>59.38864629</v>
      </c>
      <c r="S12" s="16">
        <f t="shared" si="5"/>
        <v>62.34177215</v>
      </c>
      <c r="T12" s="16">
        <f t="shared" si="5"/>
        <v>62.82051282</v>
      </c>
      <c r="U12" s="16">
        <f t="shared" si="5"/>
        <v>64.85355649</v>
      </c>
      <c r="V12" s="16">
        <f t="shared" si="5"/>
        <v>62</v>
      </c>
      <c r="W12" s="16">
        <f t="shared" si="5"/>
        <v>62.99559471</v>
      </c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A14" s="4" t="s">
        <v>13</v>
      </c>
      <c r="B14" s="5" t="s">
        <v>2</v>
      </c>
      <c r="C14" s="6">
        <v>43595.0</v>
      </c>
      <c r="D14" s="7">
        <v>43607.0</v>
      </c>
      <c r="E14" s="7">
        <v>43620.0</v>
      </c>
      <c r="F14" s="7">
        <v>43635.0</v>
      </c>
      <c r="G14" s="7">
        <v>43649.0</v>
      </c>
      <c r="H14" s="7">
        <v>43661.0</v>
      </c>
      <c r="I14" s="7">
        <v>43676.0</v>
      </c>
      <c r="J14" s="7">
        <v>43693.0</v>
      </c>
      <c r="K14" s="7">
        <v>43707.0</v>
      </c>
      <c r="L14" s="6">
        <v>43721.0</v>
      </c>
      <c r="M14" s="7">
        <v>43736.0</v>
      </c>
      <c r="N14" s="7">
        <v>43749.0</v>
      </c>
      <c r="O14" s="7">
        <v>43763.0</v>
      </c>
      <c r="P14" s="7">
        <v>43777.0</v>
      </c>
      <c r="Q14" s="7">
        <v>43791.0</v>
      </c>
      <c r="R14" s="7">
        <v>43805.0</v>
      </c>
      <c r="S14" s="7">
        <v>43818.0</v>
      </c>
      <c r="T14" s="7">
        <v>43838.0</v>
      </c>
      <c r="U14" s="7">
        <v>43852.0</v>
      </c>
      <c r="V14" s="7">
        <v>43868.0</v>
      </c>
      <c r="W14" s="7">
        <v>43882.0</v>
      </c>
    </row>
    <row r="15">
      <c r="A15" s="3"/>
      <c r="B15" s="5" t="s">
        <v>3</v>
      </c>
      <c r="C15" s="8" t="s">
        <v>4</v>
      </c>
      <c r="D15" s="8">
        <v>0.0</v>
      </c>
      <c r="E15" s="8">
        <v>1.0</v>
      </c>
      <c r="F15" s="8">
        <v>2.0</v>
      </c>
      <c r="G15" s="8">
        <v>3.0</v>
      </c>
      <c r="H15" s="8">
        <v>4.0</v>
      </c>
      <c r="I15" s="8">
        <v>5.0</v>
      </c>
      <c r="J15" s="8">
        <v>6.0</v>
      </c>
      <c r="K15" s="8">
        <v>7.0</v>
      </c>
      <c r="L15" s="8">
        <v>8.0</v>
      </c>
      <c r="M15" s="8">
        <v>9.0</v>
      </c>
      <c r="N15" s="8">
        <v>10.0</v>
      </c>
      <c r="O15" s="8">
        <v>11.0</v>
      </c>
      <c r="P15" s="8">
        <v>12.0</v>
      </c>
      <c r="Q15" s="8">
        <v>13.0</v>
      </c>
      <c r="R15" s="8">
        <v>14.0</v>
      </c>
      <c r="S15" s="8">
        <v>15.0</v>
      </c>
      <c r="T15" s="8">
        <v>16.0</v>
      </c>
      <c r="U15" s="8">
        <v>17.0</v>
      </c>
      <c r="V15" s="8">
        <v>18.0</v>
      </c>
      <c r="W15" s="8">
        <v>19.0</v>
      </c>
    </row>
    <row r="16">
      <c r="A16" s="4"/>
      <c r="B16" s="9" t="s">
        <v>5</v>
      </c>
      <c r="C16" s="10">
        <v>0.0</v>
      </c>
      <c r="D16" s="10">
        <f>35+55</f>
        <v>90</v>
      </c>
      <c r="E16" s="10">
        <v>104.0</v>
      </c>
      <c r="F16" s="10">
        <f>42+51</f>
        <v>93</v>
      </c>
      <c r="G16" s="10">
        <f>51+34</f>
        <v>85</v>
      </c>
      <c r="H16" s="10">
        <f>77</f>
        <v>77</v>
      </c>
      <c r="I16" s="10">
        <f>59+26</f>
        <v>85</v>
      </c>
      <c r="J16" s="10">
        <v>84.0</v>
      </c>
      <c r="K16" s="10">
        <f>52+26</f>
        <v>78</v>
      </c>
      <c r="L16" s="10">
        <v>102.0</v>
      </c>
      <c r="M16" s="10">
        <v>86.0</v>
      </c>
      <c r="N16" s="10">
        <f>58+14</f>
        <v>72</v>
      </c>
      <c r="O16" s="10">
        <f>53+15</f>
        <v>68</v>
      </c>
      <c r="P16" s="10">
        <f>54+11</f>
        <v>65</v>
      </c>
      <c r="Q16" s="10">
        <v>40.0</v>
      </c>
      <c r="R16" s="10">
        <f>44+19</f>
        <v>63</v>
      </c>
      <c r="S16" s="10">
        <v>75.0</v>
      </c>
      <c r="T16" s="10">
        <v>59.0</v>
      </c>
      <c r="U16" s="10">
        <v>60.0</v>
      </c>
      <c r="V16" s="10">
        <v>91.0</v>
      </c>
      <c r="W16" s="10">
        <f>49+31</f>
        <v>80</v>
      </c>
    </row>
    <row r="17">
      <c r="A17" s="4"/>
      <c r="B17" s="11" t="s">
        <v>6</v>
      </c>
      <c r="C17" s="12">
        <v>100.0</v>
      </c>
      <c r="D17" s="12">
        <f>8+23</f>
        <v>31</v>
      </c>
      <c r="E17" s="12">
        <v>43.0</v>
      </c>
      <c r="F17" s="12">
        <f>25+27</f>
        <v>52</v>
      </c>
      <c r="G17" s="12">
        <f>41+25</f>
        <v>66</v>
      </c>
      <c r="H17" s="12">
        <f>52</f>
        <v>52</v>
      </c>
      <c r="I17" s="12">
        <f>44+15</f>
        <v>59</v>
      </c>
      <c r="J17" s="12">
        <v>53.0</v>
      </c>
      <c r="K17" s="12">
        <f>35+19</f>
        <v>54</v>
      </c>
      <c r="L17" s="12">
        <v>78.0</v>
      </c>
      <c r="M17" s="12">
        <v>66.0</v>
      </c>
      <c r="N17" s="12">
        <f>38+2</f>
        <v>40</v>
      </c>
      <c r="O17" s="12">
        <f>31+7</f>
        <v>38</v>
      </c>
      <c r="P17" s="12">
        <f>40+11</f>
        <v>51</v>
      </c>
      <c r="Q17" s="12">
        <v>30.0</v>
      </c>
      <c r="R17" s="12">
        <f>51+24</f>
        <v>75</v>
      </c>
      <c r="S17" s="12">
        <v>80.0</v>
      </c>
      <c r="T17" s="12">
        <v>69.0</v>
      </c>
      <c r="U17" s="12">
        <v>63.0</v>
      </c>
      <c r="V17" s="12">
        <v>70.0</v>
      </c>
      <c r="W17" s="12">
        <f>34+56</f>
        <v>90</v>
      </c>
    </row>
    <row r="18">
      <c r="A18" s="4"/>
      <c r="B18" s="13" t="s">
        <v>7</v>
      </c>
      <c r="C18" s="14">
        <f t="shared" ref="C18:W18" si="6">(C16/SUM(C16,C17))*100</f>
        <v>0</v>
      </c>
      <c r="D18" s="15">
        <f t="shared" si="6"/>
        <v>74.38016529</v>
      </c>
      <c r="E18" s="15">
        <f t="shared" si="6"/>
        <v>70.74829932</v>
      </c>
      <c r="F18" s="15">
        <f t="shared" si="6"/>
        <v>64.13793103</v>
      </c>
      <c r="G18" s="15">
        <f t="shared" si="6"/>
        <v>56.29139073</v>
      </c>
      <c r="H18" s="15">
        <f t="shared" si="6"/>
        <v>59.68992248</v>
      </c>
      <c r="I18" s="15">
        <f t="shared" si="6"/>
        <v>59.02777778</v>
      </c>
      <c r="J18" s="15">
        <f t="shared" si="6"/>
        <v>61.31386861</v>
      </c>
      <c r="K18" s="15">
        <f t="shared" si="6"/>
        <v>59.09090909</v>
      </c>
      <c r="L18" s="15">
        <f t="shared" si="6"/>
        <v>56.66666667</v>
      </c>
      <c r="M18" s="15">
        <f t="shared" si="6"/>
        <v>56.57894737</v>
      </c>
      <c r="N18" s="15">
        <f t="shared" si="6"/>
        <v>64.28571429</v>
      </c>
      <c r="O18" s="15">
        <f t="shared" si="6"/>
        <v>64.1509434</v>
      </c>
      <c r="P18" s="15">
        <f t="shared" si="6"/>
        <v>56.03448276</v>
      </c>
      <c r="Q18" s="15">
        <f t="shared" si="6"/>
        <v>57.14285714</v>
      </c>
      <c r="R18" s="15">
        <f t="shared" si="6"/>
        <v>45.65217391</v>
      </c>
      <c r="S18" s="15">
        <f t="shared" si="6"/>
        <v>48.38709677</v>
      </c>
      <c r="T18" s="15">
        <f t="shared" si="6"/>
        <v>46.09375</v>
      </c>
      <c r="U18" s="15">
        <f t="shared" si="6"/>
        <v>48.7804878</v>
      </c>
      <c r="V18" s="15">
        <f t="shared" si="6"/>
        <v>56.52173913</v>
      </c>
      <c r="W18" s="15">
        <f t="shared" si="6"/>
        <v>47.05882353</v>
      </c>
    </row>
    <row r="19">
      <c r="A19" s="3"/>
      <c r="B19" s="9" t="s">
        <v>8</v>
      </c>
      <c r="C19" s="10">
        <v>50.0</v>
      </c>
      <c r="D19" s="10">
        <f>28+33</f>
        <v>61</v>
      </c>
      <c r="E19" s="10">
        <v>104.0</v>
      </c>
      <c r="F19" s="10">
        <f>22+46</f>
        <v>68</v>
      </c>
      <c r="G19" s="10">
        <f>27+28</f>
        <v>55</v>
      </c>
      <c r="H19" s="10">
        <f>70</f>
        <v>70</v>
      </c>
      <c r="I19" s="10">
        <f>46+12</f>
        <v>58</v>
      </c>
      <c r="J19" s="10">
        <v>56.0</v>
      </c>
      <c r="K19" s="10">
        <f>28+39</f>
        <v>67</v>
      </c>
      <c r="L19" s="10">
        <v>71.0</v>
      </c>
      <c r="M19" s="10">
        <v>63.0</v>
      </c>
      <c r="N19" s="10">
        <f>41+16</f>
        <v>57</v>
      </c>
      <c r="O19" s="10">
        <f>35+12</f>
        <v>47</v>
      </c>
      <c r="P19" s="10">
        <f>44+14</f>
        <v>58</v>
      </c>
      <c r="Q19" s="10">
        <v>36.0</v>
      </c>
      <c r="R19" s="10">
        <f>31+16</f>
        <v>47</v>
      </c>
      <c r="S19" s="10">
        <v>76.0</v>
      </c>
      <c r="T19" s="10">
        <v>43.0</v>
      </c>
      <c r="U19" s="10">
        <v>63.0</v>
      </c>
      <c r="V19" s="10">
        <v>52.0</v>
      </c>
      <c r="W19" s="10">
        <f>28+46</f>
        <v>74</v>
      </c>
    </row>
    <row r="20">
      <c r="A20" s="3"/>
      <c r="B20" s="11" t="s">
        <v>9</v>
      </c>
      <c r="C20" s="12">
        <v>50.0</v>
      </c>
      <c r="D20" s="12">
        <f>7+14</f>
        <v>21</v>
      </c>
      <c r="E20" s="12">
        <v>51.0</v>
      </c>
      <c r="F20" s="12">
        <f>22+18</f>
        <v>40</v>
      </c>
      <c r="G20" s="12">
        <f>28+24</f>
        <v>52</v>
      </c>
      <c r="H20" s="12">
        <f>42</f>
        <v>42</v>
      </c>
      <c r="I20" s="12">
        <f>40+8</f>
        <v>48</v>
      </c>
      <c r="J20" s="12">
        <v>35.0</v>
      </c>
      <c r="K20" s="12">
        <f>14+15</f>
        <v>29</v>
      </c>
      <c r="L20" s="12">
        <v>57.0</v>
      </c>
      <c r="M20" s="12">
        <v>64.0</v>
      </c>
      <c r="N20" s="12">
        <f>36+6</f>
        <v>42</v>
      </c>
      <c r="O20" s="12">
        <v>50.0</v>
      </c>
      <c r="P20" s="12">
        <f>30+5</f>
        <v>35</v>
      </c>
      <c r="Q20" s="12">
        <v>28.0</v>
      </c>
      <c r="R20" s="12">
        <f>22+40</f>
        <v>62</v>
      </c>
      <c r="S20" s="12">
        <v>74.0</v>
      </c>
      <c r="T20" s="12">
        <v>46.0</v>
      </c>
      <c r="U20" s="12">
        <v>49.0</v>
      </c>
      <c r="V20" s="12">
        <v>51.0</v>
      </c>
      <c r="W20" s="12">
        <f>21+32</f>
        <v>53</v>
      </c>
    </row>
    <row r="21">
      <c r="A21" s="3"/>
      <c r="B21" s="13" t="s">
        <v>10</v>
      </c>
      <c r="C21" s="14">
        <f t="shared" ref="C21:W21" si="7">(C19/SUM(C19,C20))*100</f>
        <v>50</v>
      </c>
      <c r="D21" s="15">
        <f t="shared" si="7"/>
        <v>74.3902439</v>
      </c>
      <c r="E21" s="15">
        <f t="shared" si="7"/>
        <v>67.09677419</v>
      </c>
      <c r="F21" s="15">
        <f t="shared" si="7"/>
        <v>62.96296296</v>
      </c>
      <c r="G21" s="15">
        <f t="shared" si="7"/>
        <v>51.40186916</v>
      </c>
      <c r="H21" s="15">
        <f t="shared" si="7"/>
        <v>62.5</v>
      </c>
      <c r="I21" s="15">
        <f t="shared" si="7"/>
        <v>54.71698113</v>
      </c>
      <c r="J21" s="15">
        <f t="shared" si="7"/>
        <v>61.53846154</v>
      </c>
      <c r="K21" s="15">
        <f t="shared" si="7"/>
        <v>69.79166667</v>
      </c>
      <c r="L21" s="15">
        <f t="shared" si="7"/>
        <v>55.46875</v>
      </c>
      <c r="M21" s="15">
        <f t="shared" si="7"/>
        <v>49.60629921</v>
      </c>
      <c r="N21" s="15">
        <f t="shared" si="7"/>
        <v>57.57575758</v>
      </c>
      <c r="O21" s="15">
        <f t="shared" si="7"/>
        <v>48.45360825</v>
      </c>
      <c r="P21" s="15">
        <f t="shared" si="7"/>
        <v>62.3655914</v>
      </c>
      <c r="Q21" s="15">
        <f t="shared" si="7"/>
        <v>56.25</v>
      </c>
      <c r="R21" s="15">
        <f t="shared" si="7"/>
        <v>43.11926606</v>
      </c>
      <c r="S21" s="15">
        <f t="shared" si="7"/>
        <v>50.66666667</v>
      </c>
      <c r="T21" s="15">
        <f t="shared" si="7"/>
        <v>48.31460674</v>
      </c>
      <c r="U21" s="15">
        <f t="shared" si="7"/>
        <v>56.25</v>
      </c>
      <c r="V21" s="15">
        <f t="shared" si="7"/>
        <v>50.48543689</v>
      </c>
      <c r="W21" s="15">
        <f t="shared" si="7"/>
        <v>58.26771654</v>
      </c>
    </row>
    <row r="22">
      <c r="A22" s="3"/>
      <c r="B22" s="13" t="s">
        <v>11</v>
      </c>
      <c r="C22" s="14">
        <f t="shared" ref="C22:E22" si="8">SUM(C16,C17,C19,C20)</f>
        <v>200</v>
      </c>
      <c r="D22" s="14">
        <f t="shared" si="8"/>
        <v>203</v>
      </c>
      <c r="E22" s="14">
        <f t="shared" si="8"/>
        <v>302</v>
      </c>
      <c r="F22" s="14">
        <f>F16+F17+F19+F20</f>
        <v>253</v>
      </c>
      <c r="G22" s="14">
        <f t="shared" ref="G22:L22" si="9">SUM(G16, G17, G19, G20)</f>
        <v>258</v>
      </c>
      <c r="H22" s="14">
        <f t="shared" si="9"/>
        <v>241</v>
      </c>
      <c r="I22" s="14">
        <f t="shared" si="9"/>
        <v>250</v>
      </c>
      <c r="J22" s="14">
        <f t="shared" si="9"/>
        <v>228</v>
      </c>
      <c r="K22" s="14">
        <f t="shared" si="9"/>
        <v>228</v>
      </c>
      <c r="L22" s="14">
        <f t="shared" si="9"/>
        <v>308</v>
      </c>
      <c r="M22" s="14">
        <f t="shared" ref="M22:W22" si="10">SUM(M16,M17,M19,M20)</f>
        <v>279</v>
      </c>
      <c r="N22" s="14">
        <f t="shared" si="10"/>
        <v>211</v>
      </c>
      <c r="O22" s="14">
        <f t="shared" si="10"/>
        <v>203</v>
      </c>
      <c r="P22" s="14">
        <f t="shared" si="10"/>
        <v>209</v>
      </c>
      <c r="Q22" s="14">
        <f t="shared" si="10"/>
        <v>134</v>
      </c>
      <c r="R22" s="14">
        <f t="shared" si="10"/>
        <v>247</v>
      </c>
      <c r="S22" s="14">
        <f t="shared" si="10"/>
        <v>305</v>
      </c>
      <c r="T22" s="14">
        <f t="shared" si="10"/>
        <v>217</v>
      </c>
      <c r="U22" s="14">
        <f t="shared" si="10"/>
        <v>235</v>
      </c>
      <c r="V22" s="14">
        <f t="shared" si="10"/>
        <v>264</v>
      </c>
      <c r="W22" s="14">
        <f t="shared" si="10"/>
        <v>297</v>
      </c>
    </row>
    <row r="23">
      <c r="A23" s="3"/>
      <c r="B23" s="13" t="s">
        <v>12</v>
      </c>
      <c r="C23" s="14">
        <f t="shared" ref="C23:W23" si="11">(SUM(C16+C19)/SUM(C16,C17,C19,C20))*100</f>
        <v>25</v>
      </c>
      <c r="D23" s="16">
        <f t="shared" si="11"/>
        <v>74.38423645</v>
      </c>
      <c r="E23" s="16">
        <f t="shared" si="11"/>
        <v>68.87417219</v>
      </c>
      <c r="F23" s="16">
        <f t="shared" si="11"/>
        <v>63.63636364</v>
      </c>
      <c r="G23" s="16">
        <f t="shared" si="11"/>
        <v>54.26356589</v>
      </c>
      <c r="H23" s="16">
        <f t="shared" si="11"/>
        <v>60.99585062</v>
      </c>
      <c r="I23" s="16">
        <f t="shared" si="11"/>
        <v>57.2</v>
      </c>
      <c r="J23" s="16">
        <f t="shared" si="11"/>
        <v>61.40350877</v>
      </c>
      <c r="K23" s="16">
        <f t="shared" si="11"/>
        <v>63.59649123</v>
      </c>
      <c r="L23" s="16">
        <f t="shared" si="11"/>
        <v>56.16883117</v>
      </c>
      <c r="M23" s="16">
        <f t="shared" si="11"/>
        <v>53.40501792</v>
      </c>
      <c r="N23" s="16">
        <f t="shared" si="11"/>
        <v>61.13744076</v>
      </c>
      <c r="O23" s="16">
        <f t="shared" si="11"/>
        <v>56.65024631</v>
      </c>
      <c r="P23" s="16">
        <f t="shared" si="11"/>
        <v>58.85167464</v>
      </c>
      <c r="Q23" s="16">
        <f t="shared" si="11"/>
        <v>56.71641791</v>
      </c>
      <c r="R23" s="16">
        <f t="shared" si="11"/>
        <v>44.53441296</v>
      </c>
      <c r="S23" s="16">
        <f t="shared" si="11"/>
        <v>49.50819672</v>
      </c>
      <c r="T23" s="16">
        <f t="shared" si="11"/>
        <v>47.00460829</v>
      </c>
      <c r="U23" s="16">
        <f t="shared" si="11"/>
        <v>52.34042553</v>
      </c>
      <c r="V23" s="16">
        <f t="shared" si="11"/>
        <v>54.16666667</v>
      </c>
      <c r="W23" s="16">
        <f t="shared" si="11"/>
        <v>51.85185185</v>
      </c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 t="s">
        <v>14</v>
      </c>
      <c r="P24" s="3"/>
      <c r="Q24" s="3"/>
      <c r="R24" s="3"/>
      <c r="S24" s="3"/>
      <c r="T24" s="3"/>
      <c r="U24" s="3"/>
      <c r="V24" s="3"/>
      <c r="W24" s="3"/>
    </row>
    <row r="25">
      <c r="A25" s="4" t="s">
        <v>15</v>
      </c>
      <c r="B25" s="5" t="s">
        <v>2</v>
      </c>
      <c r="C25" s="6">
        <v>43595.0</v>
      </c>
      <c r="D25" s="6">
        <v>43607.0</v>
      </c>
      <c r="E25" s="7">
        <v>43620.0</v>
      </c>
      <c r="F25" s="7">
        <v>43635.0</v>
      </c>
      <c r="G25" s="7">
        <v>43649.0</v>
      </c>
      <c r="H25" s="7">
        <v>43661.0</v>
      </c>
      <c r="I25" s="7">
        <v>43676.0</v>
      </c>
      <c r="J25" s="7">
        <v>43693.0</v>
      </c>
      <c r="K25" s="7">
        <v>43707.0</v>
      </c>
      <c r="L25" s="6">
        <v>43721.0</v>
      </c>
      <c r="M25" s="7">
        <v>43735.0</v>
      </c>
      <c r="N25" s="7">
        <v>43749.0</v>
      </c>
      <c r="O25" s="7">
        <v>43763.0</v>
      </c>
      <c r="P25" s="7">
        <v>43777.0</v>
      </c>
      <c r="Q25" s="7">
        <v>43791.0</v>
      </c>
      <c r="R25" s="7">
        <v>43805.0</v>
      </c>
      <c r="S25" s="7">
        <v>43818.0</v>
      </c>
      <c r="T25" s="7">
        <v>43838.0</v>
      </c>
      <c r="U25" s="7">
        <v>43852.0</v>
      </c>
      <c r="V25" s="7">
        <v>43868.0</v>
      </c>
      <c r="W25" s="7">
        <v>43881.0</v>
      </c>
    </row>
    <row r="26">
      <c r="A26" s="3"/>
      <c r="B26" s="5" t="s">
        <v>3</v>
      </c>
      <c r="C26" s="8" t="s">
        <v>4</v>
      </c>
      <c r="D26" s="8">
        <v>0.0</v>
      </c>
      <c r="E26" s="8">
        <v>1.0</v>
      </c>
      <c r="F26" s="8">
        <v>2.0</v>
      </c>
      <c r="G26" s="8">
        <v>3.0</v>
      </c>
      <c r="H26" s="8">
        <v>4.0</v>
      </c>
      <c r="I26" s="8">
        <v>5.0</v>
      </c>
      <c r="J26" s="8">
        <v>6.0</v>
      </c>
      <c r="K26" s="8">
        <v>7.0</v>
      </c>
      <c r="L26" s="8">
        <v>8.0</v>
      </c>
      <c r="M26" s="8">
        <v>9.0</v>
      </c>
      <c r="N26" s="8">
        <v>10.0</v>
      </c>
      <c r="O26" s="8">
        <v>11.0</v>
      </c>
      <c r="P26" s="8">
        <v>12.0</v>
      </c>
      <c r="Q26" s="8">
        <v>13.0</v>
      </c>
      <c r="R26" s="8">
        <v>14.0</v>
      </c>
      <c r="S26" s="8">
        <v>15.0</v>
      </c>
      <c r="T26" s="8">
        <v>16.0</v>
      </c>
      <c r="U26" s="8">
        <v>17.0</v>
      </c>
      <c r="V26" s="8">
        <v>18.0</v>
      </c>
      <c r="W26" s="8">
        <v>19.0</v>
      </c>
    </row>
    <row r="27">
      <c r="A27" s="3"/>
      <c r="B27" s="9" t="s">
        <v>5</v>
      </c>
      <c r="C27" s="10">
        <v>0.0</v>
      </c>
      <c r="D27" s="10">
        <v>67.0</v>
      </c>
      <c r="E27" s="10">
        <v>78.0</v>
      </c>
      <c r="F27" s="10">
        <f>58+20</f>
        <v>78</v>
      </c>
      <c r="G27" s="10">
        <f>48+6+7</f>
        <v>61</v>
      </c>
      <c r="H27" s="10">
        <f>51</f>
        <v>51</v>
      </c>
      <c r="I27" s="10">
        <f>42+20</f>
        <v>62</v>
      </c>
      <c r="J27" s="10">
        <v>44.0</v>
      </c>
      <c r="K27" s="10">
        <v>52.0</v>
      </c>
      <c r="L27" s="10">
        <v>61.0</v>
      </c>
      <c r="M27" s="10">
        <f>35</f>
        <v>35</v>
      </c>
      <c r="N27" s="10">
        <f>57+11</f>
        <v>68</v>
      </c>
      <c r="O27" s="10">
        <v>51.0</v>
      </c>
      <c r="P27" s="10">
        <v>55.0</v>
      </c>
      <c r="Q27" s="10">
        <v>52.0</v>
      </c>
      <c r="R27" s="10">
        <f>27+33</f>
        <v>60</v>
      </c>
      <c r="S27" s="10">
        <v>75.0</v>
      </c>
      <c r="T27" s="10">
        <f>38</f>
        <v>38</v>
      </c>
      <c r="U27" s="10">
        <v>85.0</v>
      </c>
      <c r="V27" s="10">
        <v>48.0</v>
      </c>
      <c r="W27" s="10">
        <v>54.0</v>
      </c>
    </row>
    <row r="28">
      <c r="A28" s="4"/>
      <c r="B28" s="11" t="s">
        <v>6</v>
      </c>
      <c r="C28" s="12">
        <v>100.0</v>
      </c>
      <c r="D28" s="12">
        <v>24.0</v>
      </c>
      <c r="E28" s="12">
        <v>60.0</v>
      </c>
      <c r="F28" s="12">
        <f>60+12</f>
        <v>72</v>
      </c>
      <c r="G28" s="12">
        <f>39+5</f>
        <v>44</v>
      </c>
      <c r="H28" s="12">
        <f>77</f>
        <v>77</v>
      </c>
      <c r="I28" s="12">
        <f>48+24</f>
        <v>72</v>
      </c>
      <c r="J28" s="12">
        <v>50.0</v>
      </c>
      <c r="K28" s="12">
        <v>72.0</v>
      </c>
      <c r="L28" s="12">
        <v>67.0</v>
      </c>
      <c r="M28" s="12">
        <f>39</f>
        <v>39</v>
      </c>
      <c r="N28" s="12">
        <f>45+12</f>
        <v>57</v>
      </c>
      <c r="O28" s="12">
        <v>70.0</v>
      </c>
      <c r="P28" s="12">
        <v>70.0</v>
      </c>
      <c r="Q28" s="12">
        <v>45.0</v>
      </c>
      <c r="R28" s="12">
        <f>37+30</f>
        <v>67</v>
      </c>
      <c r="S28" s="12">
        <v>74.0</v>
      </c>
      <c r="T28" s="12">
        <f>53</f>
        <v>53</v>
      </c>
      <c r="U28" s="12">
        <v>72.0</v>
      </c>
      <c r="V28" s="12">
        <v>72.0</v>
      </c>
      <c r="W28" s="12">
        <v>59.0</v>
      </c>
    </row>
    <row r="29">
      <c r="A29" s="4"/>
      <c r="B29" s="13" t="s">
        <v>7</v>
      </c>
      <c r="C29" s="14">
        <f t="shared" ref="C29:W29" si="12">(C27/SUM(C27,C28))*100</f>
        <v>0</v>
      </c>
      <c r="D29" s="15">
        <f t="shared" si="12"/>
        <v>73.62637363</v>
      </c>
      <c r="E29" s="15">
        <f t="shared" si="12"/>
        <v>56.52173913</v>
      </c>
      <c r="F29" s="15">
        <f t="shared" si="12"/>
        <v>52</v>
      </c>
      <c r="G29" s="15">
        <f t="shared" si="12"/>
        <v>58.0952381</v>
      </c>
      <c r="H29" s="15">
        <f t="shared" si="12"/>
        <v>39.84375</v>
      </c>
      <c r="I29" s="15">
        <f t="shared" si="12"/>
        <v>46.26865672</v>
      </c>
      <c r="J29" s="15">
        <f t="shared" si="12"/>
        <v>46.80851064</v>
      </c>
      <c r="K29" s="15">
        <f t="shared" si="12"/>
        <v>41.93548387</v>
      </c>
      <c r="L29" s="15">
        <f t="shared" si="12"/>
        <v>47.65625</v>
      </c>
      <c r="M29" s="15">
        <f t="shared" si="12"/>
        <v>47.2972973</v>
      </c>
      <c r="N29" s="15">
        <f t="shared" si="12"/>
        <v>54.4</v>
      </c>
      <c r="O29" s="15">
        <f t="shared" si="12"/>
        <v>42.14876033</v>
      </c>
      <c r="P29" s="15">
        <f t="shared" si="12"/>
        <v>44</v>
      </c>
      <c r="Q29" s="15">
        <f t="shared" si="12"/>
        <v>53.60824742</v>
      </c>
      <c r="R29" s="15">
        <f t="shared" si="12"/>
        <v>47.24409449</v>
      </c>
      <c r="S29" s="15">
        <f t="shared" si="12"/>
        <v>50.33557047</v>
      </c>
      <c r="T29" s="15">
        <f t="shared" si="12"/>
        <v>41.75824176</v>
      </c>
      <c r="U29" s="15">
        <f t="shared" si="12"/>
        <v>54.14012739</v>
      </c>
      <c r="V29" s="15">
        <f t="shared" si="12"/>
        <v>40</v>
      </c>
      <c r="W29" s="15">
        <f t="shared" si="12"/>
        <v>47.78761062</v>
      </c>
    </row>
    <row r="30">
      <c r="A30" s="3"/>
      <c r="B30" s="9" t="s">
        <v>8</v>
      </c>
      <c r="C30" s="10">
        <v>50.0</v>
      </c>
      <c r="D30" s="10">
        <v>69.0</v>
      </c>
      <c r="E30" s="10">
        <v>56.0</v>
      </c>
      <c r="F30" s="10">
        <f>27+42</f>
        <v>69</v>
      </c>
      <c r="G30" s="10">
        <f>36+3+13</f>
        <v>52</v>
      </c>
      <c r="H30" s="10">
        <f>61</f>
        <v>61</v>
      </c>
      <c r="I30" s="10">
        <f>39+18</f>
        <v>57</v>
      </c>
      <c r="J30" s="10">
        <v>58.0</v>
      </c>
      <c r="K30" s="10">
        <v>50.0</v>
      </c>
      <c r="L30" s="10">
        <v>55.0</v>
      </c>
      <c r="M30" s="10">
        <f>57</f>
        <v>57</v>
      </c>
      <c r="N30" s="10">
        <f>56+13</f>
        <v>69</v>
      </c>
      <c r="O30" s="10">
        <v>55.0</v>
      </c>
      <c r="P30" s="10">
        <v>66.0</v>
      </c>
      <c r="Q30" s="10">
        <v>63.0</v>
      </c>
      <c r="R30" s="10">
        <f>20+22</f>
        <v>42</v>
      </c>
      <c r="S30" s="10">
        <v>72.0</v>
      </c>
      <c r="T30" s="10">
        <f>67</f>
        <v>67</v>
      </c>
      <c r="U30" s="10">
        <v>79.0</v>
      </c>
      <c r="V30" s="10">
        <v>64.0</v>
      </c>
      <c r="W30" s="10">
        <v>52.0</v>
      </c>
    </row>
    <row r="31">
      <c r="A31" s="3"/>
      <c r="B31" s="11" t="s">
        <v>9</v>
      </c>
      <c r="C31" s="12">
        <v>50.0</v>
      </c>
      <c r="D31" s="12">
        <v>53.0</v>
      </c>
      <c r="E31" s="12">
        <v>55.0</v>
      </c>
      <c r="F31" s="12">
        <f>33+36</f>
        <v>69</v>
      </c>
      <c r="G31" s="12">
        <f>50+5+7</f>
        <v>62</v>
      </c>
      <c r="H31" s="12">
        <f>67</f>
        <v>67</v>
      </c>
      <c r="I31" s="12">
        <f>44+17</f>
        <v>61</v>
      </c>
      <c r="J31" s="12">
        <v>58.0</v>
      </c>
      <c r="K31" s="12">
        <v>58.0</v>
      </c>
      <c r="L31" s="12">
        <v>72.0</v>
      </c>
      <c r="M31" s="12">
        <f>77</f>
        <v>77</v>
      </c>
      <c r="N31" s="12">
        <f>39+8</f>
        <v>47</v>
      </c>
      <c r="O31" s="12">
        <v>49.0</v>
      </c>
      <c r="P31" s="12">
        <v>66.0</v>
      </c>
      <c r="Q31" s="12">
        <v>50.0</v>
      </c>
      <c r="R31" s="12">
        <f>26+22</f>
        <v>48</v>
      </c>
      <c r="S31" s="12">
        <v>68.0</v>
      </c>
      <c r="T31" s="12">
        <v>67.0</v>
      </c>
      <c r="U31" s="12">
        <v>104.0</v>
      </c>
      <c r="V31" s="12">
        <v>53.0</v>
      </c>
      <c r="W31" s="12">
        <v>56.0</v>
      </c>
    </row>
    <row r="32">
      <c r="A32" s="3"/>
      <c r="B32" s="13" t="s">
        <v>10</v>
      </c>
      <c r="C32" s="14">
        <f t="shared" ref="C32:W32" si="13">(C30/SUM(C30,C31))*100</f>
        <v>50</v>
      </c>
      <c r="D32" s="15">
        <f t="shared" si="13"/>
        <v>56.55737705</v>
      </c>
      <c r="E32" s="15">
        <f t="shared" si="13"/>
        <v>50.45045045</v>
      </c>
      <c r="F32" s="15">
        <f t="shared" si="13"/>
        <v>50</v>
      </c>
      <c r="G32" s="15">
        <f t="shared" si="13"/>
        <v>45.61403509</v>
      </c>
      <c r="H32" s="15">
        <f t="shared" si="13"/>
        <v>47.65625</v>
      </c>
      <c r="I32" s="15">
        <f t="shared" si="13"/>
        <v>48.30508475</v>
      </c>
      <c r="J32" s="15">
        <f t="shared" si="13"/>
        <v>50</v>
      </c>
      <c r="K32" s="15">
        <f t="shared" si="13"/>
        <v>46.2962963</v>
      </c>
      <c r="L32" s="15">
        <f t="shared" si="13"/>
        <v>43.30708661</v>
      </c>
      <c r="M32" s="15">
        <f t="shared" si="13"/>
        <v>42.53731343</v>
      </c>
      <c r="N32" s="15">
        <f t="shared" si="13"/>
        <v>59.48275862</v>
      </c>
      <c r="O32" s="15">
        <f t="shared" si="13"/>
        <v>52.88461538</v>
      </c>
      <c r="P32" s="15">
        <f t="shared" si="13"/>
        <v>50</v>
      </c>
      <c r="Q32" s="15">
        <f t="shared" si="13"/>
        <v>55.75221239</v>
      </c>
      <c r="R32" s="15">
        <f t="shared" si="13"/>
        <v>46.66666667</v>
      </c>
      <c r="S32" s="15">
        <f t="shared" si="13"/>
        <v>51.42857143</v>
      </c>
      <c r="T32" s="15">
        <f t="shared" si="13"/>
        <v>50</v>
      </c>
      <c r="U32" s="15">
        <f t="shared" si="13"/>
        <v>43.16939891</v>
      </c>
      <c r="V32" s="15">
        <f t="shared" si="13"/>
        <v>54.7008547</v>
      </c>
      <c r="W32" s="15">
        <f t="shared" si="13"/>
        <v>48.14814815</v>
      </c>
    </row>
    <row r="33">
      <c r="A33" s="3"/>
      <c r="B33" s="13" t="s">
        <v>11</v>
      </c>
      <c r="C33" s="14">
        <f t="shared" ref="C33:E33" si="14">SUM(C27,C28,C30,C31)</f>
        <v>200</v>
      </c>
      <c r="D33" s="14">
        <f t="shared" si="14"/>
        <v>213</v>
      </c>
      <c r="E33" s="14">
        <f t="shared" si="14"/>
        <v>249</v>
      </c>
      <c r="F33" s="14">
        <f>F27+F28+F30+F31</f>
        <v>288</v>
      </c>
      <c r="G33" s="14">
        <f t="shared" ref="G33:W33" si="15">SUM(G27, G28, G30, G31)</f>
        <v>219</v>
      </c>
      <c r="H33" s="14">
        <f t="shared" si="15"/>
        <v>256</v>
      </c>
      <c r="I33" s="14">
        <f t="shared" si="15"/>
        <v>252</v>
      </c>
      <c r="J33" s="14">
        <f t="shared" si="15"/>
        <v>210</v>
      </c>
      <c r="K33" s="14">
        <f t="shared" si="15"/>
        <v>232</v>
      </c>
      <c r="L33" s="14">
        <f t="shared" si="15"/>
        <v>255</v>
      </c>
      <c r="M33" s="14">
        <f t="shared" si="15"/>
        <v>208</v>
      </c>
      <c r="N33" s="14">
        <f t="shared" si="15"/>
        <v>241</v>
      </c>
      <c r="O33" s="14">
        <f t="shared" si="15"/>
        <v>225</v>
      </c>
      <c r="P33" s="14">
        <f t="shared" si="15"/>
        <v>257</v>
      </c>
      <c r="Q33" s="14">
        <f t="shared" si="15"/>
        <v>210</v>
      </c>
      <c r="R33" s="14">
        <f t="shared" si="15"/>
        <v>217</v>
      </c>
      <c r="S33" s="14">
        <f t="shared" si="15"/>
        <v>289</v>
      </c>
      <c r="T33" s="14">
        <f t="shared" si="15"/>
        <v>225</v>
      </c>
      <c r="U33" s="14">
        <f t="shared" si="15"/>
        <v>340</v>
      </c>
      <c r="V33" s="14">
        <f t="shared" si="15"/>
        <v>237</v>
      </c>
      <c r="W33" s="14">
        <f t="shared" si="15"/>
        <v>221</v>
      </c>
    </row>
    <row r="34">
      <c r="A34" s="3"/>
      <c r="B34" s="13" t="s">
        <v>12</v>
      </c>
      <c r="C34" s="14">
        <f t="shared" ref="C34:W34" si="16">(SUM(C27+C30)/SUM(C27,C28,C30,C31))*100</f>
        <v>25</v>
      </c>
      <c r="D34" s="16">
        <f t="shared" si="16"/>
        <v>63.84976526</v>
      </c>
      <c r="E34" s="16">
        <f t="shared" si="16"/>
        <v>53.81526104</v>
      </c>
      <c r="F34" s="16">
        <f t="shared" si="16"/>
        <v>51.04166667</v>
      </c>
      <c r="G34" s="16">
        <f t="shared" si="16"/>
        <v>51.59817352</v>
      </c>
      <c r="H34" s="16">
        <f t="shared" si="16"/>
        <v>43.75</v>
      </c>
      <c r="I34" s="16">
        <f t="shared" si="16"/>
        <v>47.22222222</v>
      </c>
      <c r="J34" s="16">
        <f t="shared" si="16"/>
        <v>48.57142857</v>
      </c>
      <c r="K34" s="16">
        <f t="shared" si="16"/>
        <v>43.96551724</v>
      </c>
      <c r="L34" s="16">
        <f t="shared" si="16"/>
        <v>45.49019608</v>
      </c>
      <c r="M34" s="16">
        <f t="shared" si="16"/>
        <v>44.23076923</v>
      </c>
      <c r="N34" s="16">
        <f t="shared" si="16"/>
        <v>56.84647303</v>
      </c>
      <c r="O34" s="16">
        <f t="shared" si="16"/>
        <v>47.11111111</v>
      </c>
      <c r="P34" s="16">
        <f t="shared" si="16"/>
        <v>47.08171206</v>
      </c>
      <c r="Q34" s="16">
        <f t="shared" si="16"/>
        <v>54.76190476</v>
      </c>
      <c r="R34" s="16">
        <f t="shared" si="16"/>
        <v>47.00460829</v>
      </c>
      <c r="S34" s="16">
        <f t="shared" si="16"/>
        <v>50.8650519</v>
      </c>
      <c r="T34" s="16">
        <f t="shared" si="16"/>
        <v>46.66666667</v>
      </c>
      <c r="U34" s="16">
        <f t="shared" si="16"/>
        <v>48.23529412</v>
      </c>
      <c r="V34" s="16">
        <f t="shared" si="16"/>
        <v>47.25738397</v>
      </c>
      <c r="W34" s="16">
        <f t="shared" si="16"/>
        <v>47.9638009</v>
      </c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3"/>
    </row>
    <row r="36">
      <c r="A36" s="1"/>
      <c r="B36" s="1"/>
      <c r="C36" s="1"/>
      <c r="D36" s="1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3"/>
    </row>
  </sheetData>
  <drawing r:id="rId1"/>
</worksheet>
</file>