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7B2943ED-FCFA-4982-9F64-6D944E520D4E}" xr6:coauthVersionLast="45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Fig 5C_spine density" sheetId="6" r:id="rId1"/>
    <sheet name="Fig 5D_spine vs shaft clusters" sheetId="5" r:id="rId2"/>
    <sheet name="extended information for Fig 5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6" l="1"/>
  <c r="G25" i="6"/>
  <c r="E25" i="6"/>
  <c r="C25" i="6"/>
  <c r="I23" i="6"/>
  <c r="G23" i="6"/>
  <c r="E23" i="6"/>
  <c r="C23" i="6"/>
  <c r="C24" i="6" s="1"/>
  <c r="I22" i="6"/>
  <c r="G22" i="6"/>
  <c r="E22" i="6"/>
  <c r="C22" i="6"/>
  <c r="H23" i="5"/>
  <c r="H24" i="5"/>
  <c r="H25" i="5"/>
  <c r="H26" i="5"/>
  <c r="L26" i="5"/>
  <c r="K26" i="5"/>
  <c r="I26" i="5"/>
  <c r="F26" i="5"/>
  <c r="E26" i="5"/>
  <c r="L25" i="5"/>
  <c r="K25" i="5"/>
  <c r="I25" i="5"/>
  <c r="F25" i="5"/>
  <c r="E25" i="5"/>
  <c r="L24" i="5"/>
  <c r="K24" i="5"/>
  <c r="I24" i="5"/>
  <c r="F24" i="5"/>
  <c r="E24" i="5"/>
  <c r="L23" i="5"/>
  <c r="K23" i="5"/>
  <c r="I23" i="5"/>
  <c r="F23" i="5"/>
  <c r="E23" i="5"/>
  <c r="E24" i="6" l="1"/>
  <c r="G24" i="6"/>
  <c r="I24" i="6"/>
  <c r="AI18" i="4"/>
  <c r="AI17" i="4"/>
  <c r="AI16" i="4"/>
  <c r="AH15" i="4"/>
  <c r="AI15" i="4" s="1"/>
  <c r="N15" i="4"/>
  <c r="P15" i="4"/>
  <c r="S15" i="4"/>
  <c r="N14" i="4"/>
  <c r="P14" i="4"/>
  <c r="S14" i="4"/>
  <c r="R13" i="4"/>
  <c r="S13" i="4" s="1"/>
  <c r="F15" i="4"/>
  <c r="D15" i="4"/>
  <c r="I15" i="4"/>
  <c r="H14" i="4"/>
  <c r="F14" i="4" s="1"/>
  <c r="D13" i="4"/>
  <c r="F13" i="4"/>
  <c r="I13" i="4"/>
  <c r="N13" i="4" l="1"/>
  <c r="P13" i="4"/>
  <c r="I14" i="4"/>
  <c r="D14" i="4"/>
  <c r="AH14" i="4"/>
  <c r="AI14" i="4" s="1"/>
  <c r="AH13" i="4"/>
  <c r="AI13" i="4" s="1"/>
  <c r="AH12" i="4"/>
  <c r="AI12" i="4" s="1"/>
  <c r="AI11" i="4"/>
  <c r="AI10" i="4"/>
  <c r="AI9" i="4"/>
  <c r="AI8" i="4"/>
  <c r="AH7" i="4"/>
  <c r="AI7" i="4" s="1"/>
  <c r="AH6" i="4"/>
  <c r="AI6" i="4" s="1"/>
  <c r="AI5" i="4"/>
  <c r="AI4" i="4"/>
  <c r="AI3" i="4"/>
  <c r="H9" i="4" l="1"/>
  <c r="D9" i="4" s="1"/>
  <c r="Z14" i="4"/>
  <c r="Z13" i="4"/>
  <c r="Z11" i="4"/>
  <c r="Z10" i="4"/>
  <c r="Z8" i="4"/>
  <c r="Z6" i="4"/>
  <c r="F6" i="4"/>
  <c r="F7" i="4"/>
  <c r="F12" i="4"/>
  <c r="F9" i="4" l="1"/>
  <c r="X14" i="4"/>
  <c r="X13" i="4"/>
  <c r="X11" i="4"/>
  <c r="X10" i="4"/>
  <c r="X8" i="4"/>
  <c r="X6" i="4"/>
  <c r="D12" i="4"/>
  <c r="D7" i="4"/>
  <c r="D6" i="4"/>
  <c r="AB16" i="4" l="1"/>
  <c r="AB15" i="4"/>
  <c r="AC14" i="4"/>
  <c r="AC13" i="4"/>
  <c r="AB12" i="4"/>
  <c r="R12" i="4"/>
  <c r="P12" i="4" s="1"/>
  <c r="R11" i="4"/>
  <c r="P11" i="4" s="1"/>
  <c r="I12" i="4"/>
  <c r="H11" i="4"/>
  <c r="F11" i="4" s="1"/>
  <c r="H10" i="4"/>
  <c r="I9" i="4"/>
  <c r="F10" i="4" l="1"/>
  <c r="D10" i="4"/>
  <c r="AC15" i="4"/>
  <c r="Z15" i="4"/>
  <c r="X15" i="4"/>
  <c r="AC12" i="4"/>
  <c r="Z12" i="4"/>
  <c r="X12" i="4"/>
  <c r="AC16" i="4"/>
  <c r="Z16" i="4"/>
  <c r="X16" i="4"/>
  <c r="S11" i="4"/>
  <c r="N11" i="4"/>
  <c r="S12" i="4"/>
  <c r="N12" i="4"/>
  <c r="I10" i="4"/>
  <c r="I11" i="4"/>
  <c r="D11" i="4"/>
  <c r="AC11" i="4"/>
  <c r="AC10" i="4"/>
  <c r="AB9" i="4"/>
  <c r="AC8" i="4"/>
  <c r="AB7" i="4"/>
  <c r="AC6" i="4"/>
  <c r="AC7" i="4" l="1"/>
  <c r="Z7" i="4"/>
  <c r="X7" i="4"/>
  <c r="AC9" i="4"/>
  <c r="Z9" i="4"/>
  <c r="X9" i="4"/>
  <c r="R10" i="4"/>
  <c r="P10" i="4" s="1"/>
  <c r="R9" i="4"/>
  <c r="P9" i="4" s="1"/>
  <c r="R8" i="4"/>
  <c r="P8" i="4" s="1"/>
  <c r="R7" i="4"/>
  <c r="P7" i="4" s="1"/>
  <c r="R6" i="4"/>
  <c r="P6" i="4" s="1"/>
  <c r="R5" i="4"/>
  <c r="P5" i="4" s="1"/>
  <c r="S9" i="4" l="1"/>
  <c r="N9" i="4"/>
  <c r="S5" i="4"/>
  <c r="N5" i="4"/>
  <c r="S8" i="4"/>
  <c r="N8" i="4"/>
  <c r="S7" i="4"/>
  <c r="N7" i="4"/>
  <c r="S6" i="4"/>
  <c r="N6" i="4"/>
  <c r="S10" i="4"/>
  <c r="N10" i="4"/>
  <c r="G8" i="4"/>
  <c r="C8" i="4"/>
  <c r="E8" i="4"/>
  <c r="H8" i="4"/>
  <c r="I7" i="4"/>
  <c r="I6" i="4"/>
  <c r="H5" i="4"/>
  <c r="F5" i="4" s="1"/>
  <c r="F8" i="4" l="1"/>
  <c r="D8" i="4"/>
  <c r="I8" i="4"/>
  <c r="I5" i="4"/>
  <c r="D5" i="4"/>
  <c r="AB5" i="4" l="1"/>
  <c r="AC5" i="4" l="1"/>
  <c r="Z5" i="4"/>
  <c r="X5" i="4"/>
  <c r="AB4" i="4"/>
  <c r="W3" i="4"/>
  <c r="Y3" i="4"/>
  <c r="AA3" i="4"/>
  <c r="AB3" i="4"/>
  <c r="R4" i="4"/>
  <c r="P4" i="4" s="1"/>
  <c r="R3" i="4"/>
  <c r="P3" i="4" s="1"/>
  <c r="H4" i="4"/>
  <c r="F4" i="4" s="1"/>
  <c r="Z3" i="4" l="1"/>
  <c r="AC4" i="4"/>
  <c r="Z4" i="4"/>
  <c r="X4" i="4"/>
  <c r="X3" i="4"/>
  <c r="S3" i="4"/>
  <c r="N3" i="4"/>
  <c r="S4" i="4"/>
  <c r="N4" i="4"/>
  <c r="I4" i="4"/>
  <c r="D4" i="4"/>
  <c r="AC3" i="4"/>
  <c r="H3" i="4"/>
  <c r="F3" i="4" s="1"/>
  <c r="I3" i="4" l="1"/>
  <c r="D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S22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region 1 removed</t>
        </r>
      </text>
    </comment>
  </commentList>
</comments>
</file>

<file path=xl/sharedStrings.xml><?xml version="1.0" encoding="utf-8"?>
<sst xmlns="http://schemas.openxmlformats.org/spreadsheetml/2006/main" count="220" uniqueCount="54">
  <si>
    <t>spine cluster</t>
  </si>
  <si>
    <t>shaft cluster</t>
  </si>
  <si>
    <t>spine density  (/10µm)</t>
  </si>
  <si>
    <t># of spines</t>
  </si>
  <si>
    <t>den_length (µm)</t>
  </si>
  <si>
    <t>average:</t>
  </si>
  <si>
    <t>200827_c1</t>
  </si>
  <si>
    <t>200827_c2</t>
  </si>
  <si>
    <t>200827_c3</t>
  </si>
  <si>
    <t>200827_c4</t>
  </si>
  <si>
    <t>200827_c6</t>
  </si>
  <si>
    <t>std:</t>
  </si>
  <si>
    <t>n:</t>
  </si>
  <si>
    <t>n</t>
  </si>
  <si>
    <t>200905_c1</t>
  </si>
  <si>
    <t>200905_c2</t>
  </si>
  <si>
    <t>200905_c3</t>
  </si>
  <si>
    <t>200905_c4</t>
  </si>
  <si>
    <t>200905_c5</t>
  </si>
  <si>
    <t>200905_c6</t>
  </si>
  <si>
    <t>200905_c7</t>
  </si>
  <si>
    <t>200905_c8</t>
  </si>
  <si>
    <t>200911_c1</t>
  </si>
  <si>
    <t>200911_c2</t>
  </si>
  <si>
    <t>200911_c3</t>
  </si>
  <si>
    <t>200911_c4</t>
  </si>
  <si>
    <t>200911_c5</t>
  </si>
  <si>
    <t>200911_c6</t>
  </si>
  <si>
    <t>200911_c7</t>
  </si>
  <si>
    <t>S.E.M</t>
  </si>
  <si>
    <t>den_shac (/10 µm)</t>
  </si>
  <si>
    <t>den_spic (/10 µm)</t>
  </si>
  <si>
    <t>GFP_ctrl</t>
  </si>
  <si>
    <t>200905_c9</t>
  </si>
  <si>
    <t>200905_c10</t>
  </si>
  <si>
    <t>200925_c1</t>
  </si>
  <si>
    <t>200925_c2</t>
  </si>
  <si>
    <t>200925_c3</t>
  </si>
  <si>
    <t>200925_c4</t>
  </si>
  <si>
    <t>200925_c6</t>
  </si>
  <si>
    <t>200925_c7</t>
  </si>
  <si>
    <t>200925_c8</t>
  </si>
  <si>
    <t>culture_cell ID</t>
  </si>
  <si>
    <t>Shank3 L68P</t>
  </si>
  <si>
    <t>spine density/10 µm</t>
  </si>
  <si>
    <t>Shank3 R12C</t>
  </si>
  <si>
    <t>Shank3 WT</t>
  </si>
  <si>
    <t>spine density counting</t>
  </si>
  <si>
    <t>Note:</t>
  </si>
  <si>
    <t xml:space="preserve">den_shac (/10 µm): density of Shank3 clusters in dendritic shaft per 10 µm; den_spic (/10 µm): density of Shank3 in spine per 10 µm; den_length (µm): measured dendrite length  </t>
  </si>
  <si>
    <t xml:space="preserve">fraction of shaft clusters /10 µm </t>
  </si>
  <si>
    <t>fraction of spine clusters /10 µm</t>
  </si>
  <si>
    <t>fraction of shaft clusters /10 µm</t>
  </si>
  <si>
    <t>Shank3 shaft and spine cluster density ( /10 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</si>
</sst>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/>
    <xf numFmtId="164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7804-54E1-48DA-BDAE-56B41D953CA0}">
  <dimension ref="B2:I25"/>
  <sheetViews>
    <sheetView zoomScale="85" zoomScaleNormal="85" workbookViewId="0">
      <selection activeCell="E31" sqref="E31"/>
    </sheetView>
  </sheetViews>
  <sheetFormatPr baseColWidth="10" defaultColWidth="9.140625" defaultRowHeight="15" x14ac:dyDescent="0.25"/>
  <cols>
    <col min="1" max="1" width="12.7109375" customWidth="1"/>
    <col min="2" max="2" width="18.28515625" style="3" customWidth="1"/>
    <col min="3" max="3" width="19.28515625" customWidth="1"/>
    <col min="4" max="4" width="16.85546875" customWidth="1"/>
    <col min="5" max="5" width="22.28515625" customWidth="1"/>
    <col min="6" max="6" width="17.7109375" customWidth="1"/>
    <col min="7" max="7" width="19.85546875" customWidth="1"/>
    <col min="8" max="8" width="17.140625" customWidth="1"/>
    <col min="9" max="9" width="22.42578125" customWidth="1"/>
  </cols>
  <sheetData>
    <row r="2" spans="2:9" x14ac:dyDescent="0.25">
      <c r="B2" s="28" t="s">
        <v>47</v>
      </c>
      <c r="C2" s="28"/>
      <c r="D2" s="28"/>
      <c r="E2" s="28"/>
      <c r="F2" s="28"/>
      <c r="G2" s="28"/>
      <c r="H2" s="28"/>
      <c r="I2" s="28"/>
    </row>
    <row r="3" spans="2:9" x14ac:dyDescent="0.25">
      <c r="B3" s="26" t="s">
        <v>43</v>
      </c>
      <c r="C3" s="27"/>
      <c r="D3" s="26" t="s">
        <v>45</v>
      </c>
      <c r="E3" s="27"/>
      <c r="F3" s="26" t="s">
        <v>46</v>
      </c>
      <c r="G3" s="27"/>
      <c r="H3" s="26" t="s">
        <v>32</v>
      </c>
      <c r="I3" s="27"/>
    </row>
    <row r="4" spans="2:9" x14ac:dyDescent="0.25">
      <c r="B4" s="12" t="s">
        <v>42</v>
      </c>
      <c r="C4" s="12" t="s">
        <v>44</v>
      </c>
      <c r="D4" s="12" t="s">
        <v>42</v>
      </c>
      <c r="E4" s="12" t="s">
        <v>44</v>
      </c>
      <c r="F4" s="12" t="s">
        <v>42</v>
      </c>
      <c r="G4" s="12" t="s">
        <v>44</v>
      </c>
      <c r="H4" s="12" t="s">
        <v>42</v>
      </c>
      <c r="I4" s="12" t="s">
        <v>44</v>
      </c>
    </row>
    <row r="5" spans="2:9" x14ac:dyDescent="0.25">
      <c r="B5" s="3" t="s">
        <v>6</v>
      </c>
      <c r="C5" s="19">
        <v>4.2669741963384746</v>
      </c>
      <c r="D5" s="1" t="s">
        <v>7</v>
      </c>
      <c r="E5" s="19">
        <v>5.0057853749004995</v>
      </c>
      <c r="F5" s="1" t="s">
        <v>6</v>
      </c>
      <c r="G5" s="19">
        <v>5.6726201533929563</v>
      </c>
      <c r="H5" s="1" t="s">
        <v>7</v>
      </c>
      <c r="I5" s="20">
        <v>3.6005760921747481</v>
      </c>
    </row>
    <row r="6" spans="2:9" x14ac:dyDescent="0.25">
      <c r="B6" s="3" t="s">
        <v>8</v>
      </c>
      <c r="C6" s="19">
        <v>3.4494313366053655</v>
      </c>
      <c r="D6" s="1" t="s">
        <v>10</v>
      </c>
      <c r="E6" s="19">
        <v>6.9888384139447881</v>
      </c>
      <c r="F6" s="1" t="s">
        <v>7</v>
      </c>
      <c r="G6" s="19">
        <v>7.2542140388825871</v>
      </c>
      <c r="H6" s="1" t="s">
        <v>14</v>
      </c>
      <c r="I6" s="20">
        <v>5.4731384127898597</v>
      </c>
    </row>
    <row r="7" spans="2:9" x14ac:dyDescent="0.25">
      <c r="B7" s="3" t="s">
        <v>15</v>
      </c>
      <c r="C7" s="19">
        <v>2.6329369885519904</v>
      </c>
      <c r="D7" s="1" t="s">
        <v>14</v>
      </c>
      <c r="E7" s="19">
        <v>2.1195421788893603</v>
      </c>
      <c r="F7" s="1" t="s">
        <v>9</v>
      </c>
      <c r="G7" s="19">
        <v>2.5798240559993806</v>
      </c>
      <c r="H7" s="1" t="s">
        <v>16</v>
      </c>
      <c r="I7" s="20">
        <v>8.4906375559093323</v>
      </c>
    </row>
    <row r="8" spans="2:9" x14ac:dyDescent="0.25">
      <c r="B8" s="3" t="s">
        <v>16</v>
      </c>
      <c r="C8" s="19">
        <v>2.4197964823800606</v>
      </c>
      <c r="D8" s="1" t="s">
        <v>17</v>
      </c>
      <c r="E8" s="19">
        <v>6.262196720356509</v>
      </c>
      <c r="F8" s="1" t="s">
        <v>15</v>
      </c>
      <c r="G8" s="19">
        <v>4.9985853060454586</v>
      </c>
      <c r="H8" s="1" t="s">
        <v>18</v>
      </c>
      <c r="I8" s="20">
        <v>5.1825107537098134</v>
      </c>
    </row>
    <row r="9" spans="2:9" x14ac:dyDescent="0.25">
      <c r="B9" s="3" t="s">
        <v>18</v>
      </c>
      <c r="C9" s="19">
        <v>5.9054506273246234</v>
      </c>
      <c r="D9" s="1" t="s">
        <v>18</v>
      </c>
      <c r="E9" s="19">
        <v>3.4372360693732444</v>
      </c>
      <c r="F9" s="1" t="s">
        <v>16</v>
      </c>
      <c r="G9" s="19">
        <v>4.5532996244611921</v>
      </c>
      <c r="H9" s="1" t="s">
        <v>19</v>
      </c>
      <c r="I9" s="20">
        <v>2.7496651617424011</v>
      </c>
    </row>
    <row r="10" spans="2:9" x14ac:dyDescent="0.25">
      <c r="B10" s="3" t="s">
        <v>19</v>
      </c>
      <c r="C10" s="19">
        <v>2.7704216744754535</v>
      </c>
      <c r="D10" s="1" t="s">
        <v>19</v>
      </c>
      <c r="E10" s="19">
        <v>2.5752410900046763</v>
      </c>
      <c r="F10" s="1" t="s">
        <v>17</v>
      </c>
      <c r="G10" s="19">
        <v>4.2399203289389353</v>
      </c>
      <c r="H10" s="1" t="s">
        <v>21</v>
      </c>
      <c r="I10" s="20">
        <v>5.3634177917514334</v>
      </c>
    </row>
    <row r="11" spans="2:9" x14ac:dyDescent="0.25">
      <c r="B11" s="3" t="s">
        <v>23</v>
      </c>
      <c r="C11" s="19">
        <v>2.0481940049361476</v>
      </c>
      <c r="D11" s="1" t="s">
        <v>20</v>
      </c>
      <c r="E11" s="20">
        <v>3.7100789038873865</v>
      </c>
      <c r="F11" s="1" t="s">
        <v>19</v>
      </c>
      <c r="G11" s="19">
        <v>2.8278143822639485</v>
      </c>
      <c r="H11" s="1" t="s">
        <v>33</v>
      </c>
      <c r="I11" s="20">
        <v>3.0014673840544264</v>
      </c>
    </row>
    <row r="12" spans="2:9" x14ac:dyDescent="0.25">
      <c r="B12" s="3" t="s">
        <v>24</v>
      </c>
      <c r="C12" s="20">
        <v>6.204207043252187</v>
      </c>
      <c r="D12" s="1" t="s">
        <v>21</v>
      </c>
      <c r="E12" s="20">
        <v>4.5194335643266044</v>
      </c>
      <c r="F12" s="1" t="s">
        <v>20</v>
      </c>
      <c r="G12" s="19">
        <v>3.0167334433184068</v>
      </c>
      <c r="H12" s="1" t="s">
        <v>34</v>
      </c>
      <c r="I12" s="20">
        <v>2.3390596980014036</v>
      </c>
    </row>
    <row r="13" spans="2:9" x14ac:dyDescent="0.25">
      <c r="B13" s="3" t="s">
        <v>26</v>
      </c>
      <c r="C13" s="20">
        <v>5.9287544591267647</v>
      </c>
      <c r="D13" s="1" t="s">
        <v>23</v>
      </c>
      <c r="E13" s="20">
        <v>5.9966954380458439</v>
      </c>
      <c r="F13" s="1" t="s">
        <v>21</v>
      </c>
      <c r="G13" s="20">
        <v>4.2921882174442514</v>
      </c>
      <c r="H13" s="1" t="s">
        <v>23</v>
      </c>
      <c r="I13" s="20">
        <v>2.8942662518218376</v>
      </c>
    </row>
    <row r="14" spans="2:9" x14ac:dyDescent="0.25">
      <c r="B14" s="3" t="s">
        <v>28</v>
      </c>
      <c r="C14" s="20">
        <v>3.6471241597108826</v>
      </c>
      <c r="D14" s="1" t="s">
        <v>25</v>
      </c>
      <c r="E14" s="20">
        <v>2.9499250227390048</v>
      </c>
      <c r="F14" s="1" t="s">
        <v>22</v>
      </c>
      <c r="G14" s="20">
        <v>7.0717316456419566</v>
      </c>
      <c r="H14" s="1" t="s">
        <v>24</v>
      </c>
      <c r="I14" s="20">
        <v>3.1027919160336772</v>
      </c>
    </row>
    <row r="15" spans="2:9" x14ac:dyDescent="0.25">
      <c r="B15" s="3" t="s">
        <v>35</v>
      </c>
      <c r="C15" s="20">
        <v>2.4911725841041528</v>
      </c>
      <c r="D15" s="3" t="s">
        <v>35</v>
      </c>
      <c r="E15" s="20">
        <v>2.1113750329902348</v>
      </c>
      <c r="F15" s="1" t="s">
        <v>23</v>
      </c>
      <c r="G15" s="20">
        <v>5.9496345224507632</v>
      </c>
      <c r="H15" s="1" t="s">
        <v>25</v>
      </c>
      <c r="I15" s="20">
        <v>3.7986311114794633</v>
      </c>
    </row>
    <row r="16" spans="2:9" x14ac:dyDescent="0.25">
      <c r="B16" s="3" t="s">
        <v>37</v>
      </c>
      <c r="C16" s="20">
        <v>2.4525407278305971</v>
      </c>
      <c r="D16" s="1" t="s">
        <v>36</v>
      </c>
      <c r="E16" s="20">
        <v>2.6591111233369098</v>
      </c>
      <c r="F16" s="1" t="s">
        <v>24</v>
      </c>
      <c r="G16" s="20">
        <v>3.9665159941493888</v>
      </c>
      <c r="H16" s="1" t="s">
        <v>26</v>
      </c>
      <c r="I16" s="20">
        <v>1.4077515244467165</v>
      </c>
    </row>
    <row r="17" spans="2:9" x14ac:dyDescent="0.25">
      <c r="B17" s="3" t="s">
        <v>38</v>
      </c>
      <c r="C17" s="20">
        <v>4.0070925538202626</v>
      </c>
      <c r="D17" s="1" t="s">
        <v>37</v>
      </c>
      <c r="E17" s="20">
        <v>2.6954480620851533</v>
      </c>
      <c r="F17" s="1" t="s">
        <v>25</v>
      </c>
      <c r="G17" s="20">
        <v>3.2242263406891163</v>
      </c>
      <c r="H17" s="3" t="s">
        <v>38</v>
      </c>
      <c r="I17" s="20">
        <v>4.9007360713393417</v>
      </c>
    </row>
    <row r="18" spans="2:9" x14ac:dyDescent="0.25">
      <c r="F18" s="1" t="s">
        <v>27</v>
      </c>
      <c r="G18" s="20">
        <v>3.9042464421597369</v>
      </c>
      <c r="H18" s="3" t="s">
        <v>39</v>
      </c>
      <c r="I18" s="20">
        <v>4.609794457400076</v>
      </c>
    </row>
    <row r="19" spans="2:9" x14ac:dyDescent="0.25">
      <c r="G19" s="3"/>
      <c r="H19" s="3" t="s">
        <v>40</v>
      </c>
      <c r="I19" s="20">
        <v>4.895846690057934</v>
      </c>
    </row>
    <row r="20" spans="2:9" x14ac:dyDescent="0.25">
      <c r="G20" s="3"/>
      <c r="H20" s="3" t="s">
        <v>41</v>
      </c>
      <c r="I20" s="20">
        <v>3.6155009847482948</v>
      </c>
    </row>
    <row r="22" spans="2:9" x14ac:dyDescent="0.25">
      <c r="B22" s="3" t="s">
        <v>5</v>
      </c>
      <c r="C22" s="21">
        <f>AVERAGE(C5:C17)</f>
        <v>3.7095459106505357</v>
      </c>
      <c r="D22" s="20"/>
      <c r="E22" s="21">
        <f>AVERAGE(E5:E17)</f>
        <v>3.9254543842215552</v>
      </c>
      <c r="F22" s="20"/>
      <c r="G22" s="21">
        <f>AVERAGE(G5:G18)</f>
        <v>4.5393967497027203</v>
      </c>
      <c r="H22" s="20"/>
      <c r="I22" s="21">
        <f>AVERAGE(I5:I20)</f>
        <v>4.0891119910912987</v>
      </c>
    </row>
    <row r="23" spans="2:9" x14ac:dyDescent="0.25">
      <c r="B23" s="3" t="s">
        <v>11</v>
      </c>
      <c r="C23" s="20">
        <f>STDEV(C5:C17)</f>
        <v>1.471113950802724</v>
      </c>
      <c r="D23" s="20"/>
      <c r="E23" s="20">
        <f>STDEV(E5:E17)</f>
        <v>1.6679047001704399</v>
      </c>
      <c r="F23" s="20"/>
      <c r="G23" s="20">
        <f>STDEV(G5:G18)</f>
        <v>1.492725663069981</v>
      </c>
      <c r="H23" s="20"/>
      <c r="I23" s="20">
        <f>STDEV(I5:I20)</f>
        <v>1.6706545698651396</v>
      </c>
    </row>
    <row r="24" spans="2:9" x14ac:dyDescent="0.25">
      <c r="B24" s="3" t="s">
        <v>29</v>
      </c>
      <c r="C24" s="20">
        <f t="shared" ref="C24:G24" si="0">C23/SQRT(C25)</f>
        <v>0.40801359858997155</v>
      </c>
      <c r="D24" s="20"/>
      <c r="E24" s="20">
        <f t="shared" si="0"/>
        <v>0.46259353223476252</v>
      </c>
      <c r="F24" s="20"/>
      <c r="G24" s="20">
        <f t="shared" si="0"/>
        <v>0.39894771454663031</v>
      </c>
      <c r="H24" s="20"/>
      <c r="I24" s="20">
        <f>I23/SQRT(I25)</f>
        <v>0.4176636424662849</v>
      </c>
    </row>
    <row r="25" spans="2:9" x14ac:dyDescent="0.25">
      <c r="B25" s="3" t="s">
        <v>12</v>
      </c>
      <c r="C25" s="3">
        <f>COUNT(C5:C17)</f>
        <v>13</v>
      </c>
      <c r="D25" s="3"/>
      <c r="E25" s="3">
        <f>COUNT(E5:E17)</f>
        <v>13</v>
      </c>
      <c r="F25" s="3"/>
      <c r="G25" s="3">
        <f>COUNT(G5:G18)</f>
        <v>14</v>
      </c>
      <c r="H25" s="3"/>
      <c r="I25" s="3">
        <f>COUNT(I5:I20)</f>
        <v>16</v>
      </c>
    </row>
  </sheetData>
  <mergeCells count="5">
    <mergeCell ref="B3:C3"/>
    <mergeCell ref="D3:E3"/>
    <mergeCell ref="F3:G3"/>
    <mergeCell ref="H3:I3"/>
    <mergeCell ref="B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5274-31FA-42F6-8BDF-C5F077F5E25D}">
  <dimension ref="D4:L26"/>
  <sheetViews>
    <sheetView zoomScale="85" zoomScaleNormal="85" workbookViewId="0">
      <selection activeCell="D40" sqref="D40"/>
    </sheetView>
  </sheetViews>
  <sheetFormatPr baseColWidth="10" defaultColWidth="9.140625" defaultRowHeight="15" x14ac:dyDescent="0.25"/>
  <cols>
    <col min="4" max="4" width="17.42578125" customWidth="1"/>
    <col min="5" max="5" width="30.28515625" customWidth="1"/>
    <col min="6" max="6" width="33.7109375" customWidth="1"/>
    <col min="7" max="7" width="16.85546875" customWidth="1"/>
    <col min="8" max="8" width="31.140625" customWidth="1"/>
    <col min="9" max="9" width="33.28515625" customWidth="1"/>
    <col min="10" max="10" width="14.7109375" customWidth="1"/>
    <col min="11" max="11" width="30.5703125" customWidth="1"/>
    <col min="12" max="12" width="31.140625" customWidth="1"/>
  </cols>
  <sheetData>
    <row r="4" spans="4:12" x14ac:dyDescent="0.25">
      <c r="D4" s="29" t="s">
        <v>53</v>
      </c>
      <c r="E4" s="30"/>
      <c r="F4" s="30"/>
      <c r="G4" s="30"/>
      <c r="H4" s="30"/>
      <c r="I4" s="30"/>
      <c r="J4" s="30"/>
      <c r="K4" s="30"/>
      <c r="L4" s="31"/>
    </row>
    <row r="5" spans="4:12" x14ac:dyDescent="0.25">
      <c r="D5" s="29" t="s">
        <v>43</v>
      </c>
      <c r="E5" s="30"/>
      <c r="F5" s="31"/>
      <c r="G5" s="29" t="s">
        <v>45</v>
      </c>
      <c r="H5" s="30"/>
      <c r="I5" s="31"/>
      <c r="J5" s="29" t="s">
        <v>46</v>
      </c>
      <c r="K5" s="30"/>
      <c r="L5" s="31"/>
    </row>
    <row r="6" spans="4:12" ht="15.75" thickBot="1" x14ac:dyDescent="0.3">
      <c r="D6" s="14" t="s">
        <v>42</v>
      </c>
      <c r="E6" s="14" t="s">
        <v>50</v>
      </c>
      <c r="F6" s="15" t="s">
        <v>51</v>
      </c>
      <c r="G6" s="14" t="s">
        <v>42</v>
      </c>
      <c r="H6" s="14" t="s">
        <v>52</v>
      </c>
      <c r="I6" s="14" t="s">
        <v>51</v>
      </c>
      <c r="J6" s="14" t="s">
        <v>42</v>
      </c>
      <c r="K6" s="14" t="s">
        <v>52</v>
      </c>
      <c r="L6" s="15" t="s">
        <v>51</v>
      </c>
    </row>
    <row r="7" spans="4:12" x14ac:dyDescent="0.25">
      <c r="D7" s="13" t="s">
        <v>6</v>
      </c>
      <c r="E7" s="22">
        <v>2.8254288597376389</v>
      </c>
      <c r="F7" s="22">
        <v>3.8056796886262072</v>
      </c>
      <c r="G7" s="13" t="s">
        <v>7</v>
      </c>
      <c r="H7" s="22">
        <v>3.6107304343544588</v>
      </c>
      <c r="I7" s="22">
        <v>4.1851648216381223</v>
      </c>
      <c r="J7" s="13" t="s">
        <v>6</v>
      </c>
      <c r="K7" s="22">
        <v>2.6206841644330039</v>
      </c>
      <c r="L7" s="22">
        <v>5.6726201533929563</v>
      </c>
    </row>
    <row r="8" spans="4:12" x14ac:dyDescent="0.25">
      <c r="D8" s="6" t="s">
        <v>8</v>
      </c>
      <c r="E8" s="23">
        <v>5.4698125480456508</v>
      </c>
      <c r="F8" s="23">
        <v>2.4638795261466893</v>
      </c>
      <c r="G8" s="6" t="s">
        <v>10</v>
      </c>
      <c r="H8" s="23">
        <v>3.7684913016368955</v>
      </c>
      <c r="I8" s="23">
        <v>7.1258744612770384</v>
      </c>
      <c r="J8" s="6" t="s">
        <v>7</v>
      </c>
      <c r="K8" s="23">
        <v>2.6378960141391228</v>
      </c>
      <c r="L8" s="23">
        <v>7.1882666385291092</v>
      </c>
    </row>
    <row r="9" spans="4:12" x14ac:dyDescent="0.25">
      <c r="D9" s="6" t="s">
        <v>15</v>
      </c>
      <c r="E9" s="23">
        <v>3.7914292635148659</v>
      </c>
      <c r="F9" s="23">
        <v>2.0010321112995126</v>
      </c>
      <c r="G9" s="6" t="s">
        <v>14</v>
      </c>
      <c r="H9" s="23">
        <v>4.7841094894931269</v>
      </c>
      <c r="I9" s="23">
        <v>1.998425482952825</v>
      </c>
      <c r="J9" s="6" t="s">
        <v>9</v>
      </c>
      <c r="K9" s="23">
        <v>3.2677771375992153</v>
      </c>
      <c r="L9" s="23">
        <v>2.5798240559993806</v>
      </c>
    </row>
    <row r="10" spans="4:12" x14ac:dyDescent="0.25">
      <c r="D10" s="6" t="s">
        <v>16</v>
      </c>
      <c r="E10" s="23">
        <v>8.9150396719265395</v>
      </c>
      <c r="F10" s="23">
        <v>2.5471541919790113</v>
      </c>
      <c r="G10" s="6" t="s">
        <v>17</v>
      </c>
      <c r="H10" s="23">
        <v>5.0243206244720824</v>
      </c>
      <c r="I10" s="23">
        <v>6.1165642384877525</v>
      </c>
      <c r="J10" s="6" t="s">
        <v>15</v>
      </c>
      <c r="K10" s="23">
        <v>2.9237008393850794</v>
      </c>
      <c r="L10" s="23">
        <v>4.4327077242289921</v>
      </c>
    </row>
    <row r="11" spans="4:12" x14ac:dyDescent="0.25">
      <c r="D11" s="6" t="s">
        <v>18</v>
      </c>
      <c r="E11" s="23">
        <v>2.9009231151770081</v>
      </c>
      <c r="F11" s="23">
        <v>6.2162638182364462</v>
      </c>
      <c r="G11" s="6" t="s">
        <v>18</v>
      </c>
      <c r="H11" s="23">
        <v>2.0623416416239468</v>
      </c>
      <c r="I11" s="23">
        <v>3.6336495590517162</v>
      </c>
      <c r="J11" s="6" t="s">
        <v>16</v>
      </c>
      <c r="K11" s="23">
        <v>4.466570107804789</v>
      </c>
      <c r="L11" s="23">
        <v>4.2931110744919811</v>
      </c>
    </row>
    <row r="12" spans="4:12" x14ac:dyDescent="0.25">
      <c r="D12" s="6" t="s">
        <v>19</v>
      </c>
      <c r="E12" s="23">
        <v>4.7260134446934208</v>
      </c>
      <c r="F12" s="23">
        <v>3.0963536361784478</v>
      </c>
      <c r="G12" s="6" t="s">
        <v>19</v>
      </c>
      <c r="H12" s="23">
        <v>4.9471736729037197</v>
      </c>
      <c r="I12" s="23">
        <v>1.965315568687779</v>
      </c>
      <c r="J12" s="6" t="s">
        <v>17</v>
      </c>
      <c r="K12" s="23">
        <v>3.6483035388544325</v>
      </c>
      <c r="L12" s="23">
        <v>3.8455091355492672</v>
      </c>
    </row>
    <row r="13" spans="4:12" x14ac:dyDescent="0.25">
      <c r="D13" s="6" t="s">
        <v>23</v>
      </c>
      <c r="E13" s="23">
        <v>3.9939783096254877</v>
      </c>
      <c r="F13" s="23">
        <v>1.8433746044425328</v>
      </c>
      <c r="G13" s="6" t="s">
        <v>20</v>
      </c>
      <c r="H13" s="23">
        <v>3.1492530230672</v>
      </c>
      <c r="I13" s="23">
        <v>3.6669384515166028</v>
      </c>
      <c r="J13" s="6" t="s">
        <v>19</v>
      </c>
      <c r="K13" s="23">
        <v>3.0399004609337443</v>
      </c>
      <c r="L13" s="23">
        <v>2.5450329440375534</v>
      </c>
    </row>
    <row r="14" spans="4:12" x14ac:dyDescent="0.25">
      <c r="D14" s="6" t="s">
        <v>24</v>
      </c>
      <c r="E14" s="23">
        <v>6.6966044276372809</v>
      </c>
      <c r="F14" s="23">
        <v>4.4315764594658473</v>
      </c>
      <c r="G14" s="6" t="s">
        <v>21</v>
      </c>
      <c r="H14" s="23">
        <v>4.0373606507984334</v>
      </c>
      <c r="I14" s="23">
        <v>3.9771015366074121</v>
      </c>
      <c r="J14" s="6" t="s">
        <v>20</v>
      </c>
      <c r="K14" s="23">
        <v>2.6396417629036057</v>
      </c>
      <c r="L14" s="23">
        <v>3.2052792835258073</v>
      </c>
    </row>
    <row r="15" spans="4:12" x14ac:dyDescent="0.25">
      <c r="D15" s="6" t="s">
        <v>26</v>
      </c>
      <c r="E15" s="23">
        <v>9.1443500979751793</v>
      </c>
      <c r="F15" s="23">
        <v>6.0292418228407776</v>
      </c>
      <c r="G15" s="6" t="s">
        <v>23</v>
      </c>
      <c r="H15" s="23">
        <v>8.4846860985116717</v>
      </c>
      <c r="I15" s="23">
        <v>4.7845974239727473</v>
      </c>
      <c r="J15" s="6" t="s">
        <v>21</v>
      </c>
      <c r="K15" s="23">
        <v>4.7912798706354431</v>
      </c>
      <c r="L15" s="23">
        <v>4.6914615399972046</v>
      </c>
    </row>
    <row r="16" spans="4:12" x14ac:dyDescent="0.25">
      <c r="D16" s="6" t="s">
        <v>28</v>
      </c>
      <c r="E16" s="23">
        <v>5.8022429813582219</v>
      </c>
      <c r="F16" s="23">
        <v>2.4037863779912634</v>
      </c>
      <c r="G16" s="6" t="s">
        <v>25</v>
      </c>
      <c r="H16" s="23">
        <v>3.9946901349590695</v>
      </c>
      <c r="I16" s="23">
        <v>2.7655547088178172</v>
      </c>
      <c r="J16" s="6" t="s">
        <v>22</v>
      </c>
      <c r="K16" s="23">
        <v>4.4287612326242556</v>
      </c>
      <c r="L16" s="23">
        <v>4.6430561309770422</v>
      </c>
    </row>
    <row r="17" spans="4:12" x14ac:dyDescent="0.25">
      <c r="D17" s="6" t="s">
        <v>35</v>
      </c>
      <c r="E17" s="23">
        <v>7.1485821978640907</v>
      </c>
      <c r="F17" s="23">
        <v>2.7077962870697316</v>
      </c>
      <c r="G17" s="6" t="s">
        <v>35</v>
      </c>
      <c r="H17" s="23">
        <v>6.8619688572182636</v>
      </c>
      <c r="I17" s="23">
        <v>1.4515703351807865</v>
      </c>
      <c r="J17" s="6" t="s">
        <v>23</v>
      </c>
      <c r="K17" s="23">
        <v>8.4994778892153775</v>
      </c>
      <c r="L17" s="23">
        <v>3.5212122683892271</v>
      </c>
    </row>
    <row r="18" spans="4:12" x14ac:dyDescent="0.25">
      <c r="D18" s="6" t="s">
        <v>37</v>
      </c>
      <c r="E18" s="23">
        <v>4.1223556914599406</v>
      </c>
      <c r="F18" s="23">
        <v>1.8785418340830107</v>
      </c>
      <c r="G18" s="6" t="s">
        <v>36</v>
      </c>
      <c r="H18" s="23">
        <v>7.2437854739177876</v>
      </c>
      <c r="I18" s="23">
        <v>2.6591111233369098</v>
      </c>
      <c r="J18" s="6" t="s">
        <v>24</v>
      </c>
      <c r="K18" s="23">
        <v>5.3713237420772977</v>
      </c>
      <c r="L18" s="23">
        <v>3.8012444943931643</v>
      </c>
    </row>
    <row r="19" spans="4:12" x14ac:dyDescent="0.25">
      <c r="D19" s="6" t="s">
        <v>38</v>
      </c>
      <c r="E19" s="23">
        <v>11.520391092233254</v>
      </c>
      <c r="F19" s="23">
        <v>3.3058513569017163</v>
      </c>
      <c r="G19" s="6" t="s">
        <v>37</v>
      </c>
      <c r="H19" s="23">
        <v>5.1662754523298782</v>
      </c>
      <c r="I19" s="23">
        <v>1.5723447028830062</v>
      </c>
      <c r="J19" s="6" t="s">
        <v>25</v>
      </c>
      <c r="K19" s="23">
        <v>3.2862306933946761</v>
      </c>
      <c r="L19" s="23">
        <v>3.2242263406891163</v>
      </c>
    </row>
    <row r="20" spans="4:12" x14ac:dyDescent="0.25">
      <c r="D20" s="7"/>
      <c r="E20" s="7"/>
      <c r="F20" s="7"/>
      <c r="G20" s="7"/>
      <c r="H20" s="7"/>
      <c r="I20" s="7"/>
      <c r="J20" s="6" t="s">
        <v>27</v>
      </c>
      <c r="K20" s="23">
        <v>4.59323110842322</v>
      </c>
      <c r="L20" s="23">
        <v>2.9090463686680397</v>
      </c>
    </row>
    <row r="21" spans="4:12" x14ac:dyDescent="0.25">
      <c r="D21" s="5"/>
      <c r="E21" s="5"/>
      <c r="F21" s="5"/>
      <c r="G21" s="5"/>
      <c r="H21" s="5"/>
      <c r="I21" s="5"/>
      <c r="J21" s="5"/>
      <c r="K21" s="6"/>
      <c r="L21" s="6"/>
    </row>
    <row r="22" spans="4:12" x14ac:dyDescent="0.25">
      <c r="D22" s="5"/>
      <c r="E22" s="5"/>
      <c r="F22" s="5"/>
      <c r="G22" s="5"/>
      <c r="H22" s="5"/>
      <c r="I22" s="5"/>
      <c r="J22" s="5"/>
      <c r="K22" s="5"/>
      <c r="L22" s="5"/>
    </row>
    <row r="23" spans="4:12" x14ac:dyDescent="0.25">
      <c r="D23" s="4" t="s">
        <v>5</v>
      </c>
      <c r="E23" s="24">
        <f>AVERAGE(E7:E19)</f>
        <v>5.9274732077883527</v>
      </c>
      <c r="F23" s="24">
        <f t="shared" ref="F23:I23" si="0">AVERAGE(F7:F19)</f>
        <v>3.2869639780970159</v>
      </c>
      <c r="G23" s="4"/>
      <c r="H23" s="24">
        <f t="shared" si="0"/>
        <v>4.8565528350220415</v>
      </c>
      <c r="I23" s="24">
        <f t="shared" si="0"/>
        <v>3.5309394164931169</v>
      </c>
      <c r="J23" s="4"/>
      <c r="K23" s="24">
        <f>AVERAGE(K7:K20)</f>
        <v>4.015341325887376</v>
      </c>
      <c r="L23" s="24">
        <f>AVERAGE(L7:L20)</f>
        <v>4.0394712966334891</v>
      </c>
    </row>
    <row r="24" spans="4:12" x14ac:dyDescent="0.25">
      <c r="D24" s="4" t="s">
        <v>11</v>
      </c>
      <c r="E24" s="25">
        <f>STDEV(E7:E19)</f>
        <v>2.6559385082932998</v>
      </c>
      <c r="F24" s="25">
        <f t="shared" ref="F24:I24" si="1">STDEV(F7:F19)</f>
        <v>1.4656689738663145</v>
      </c>
      <c r="G24" s="4"/>
      <c r="H24" s="25">
        <f t="shared" si="1"/>
        <v>1.777024238285543</v>
      </c>
      <c r="I24" s="25">
        <f t="shared" si="1"/>
        <v>1.7354714313029331</v>
      </c>
      <c r="J24" s="4"/>
      <c r="K24" s="25">
        <f>STDEV(K7:K20)</f>
        <v>1.577730557645469</v>
      </c>
      <c r="L24" s="25">
        <f>STDEV(L7:L20)</f>
        <v>1.2696366598712037</v>
      </c>
    </row>
    <row r="25" spans="4:12" x14ac:dyDescent="0.25">
      <c r="D25" s="4" t="s">
        <v>13</v>
      </c>
      <c r="E25" s="4">
        <f>COUNT(E7:E19)</f>
        <v>13</v>
      </c>
      <c r="F25" s="4">
        <f t="shared" ref="F25:I25" si="2">COUNT(F7:F19)</f>
        <v>13</v>
      </c>
      <c r="G25" s="4"/>
      <c r="H25" s="4">
        <f t="shared" si="2"/>
        <v>13</v>
      </c>
      <c r="I25" s="4">
        <f t="shared" si="2"/>
        <v>13</v>
      </c>
      <c r="J25" s="4"/>
      <c r="K25" s="4">
        <f>COUNT(K7:K20)</f>
        <v>14</v>
      </c>
      <c r="L25" s="4">
        <f>COUNT(L7:L20)</f>
        <v>14</v>
      </c>
    </row>
    <row r="26" spans="4:12" x14ac:dyDescent="0.25">
      <c r="D26" s="4" t="s">
        <v>29</v>
      </c>
      <c r="E26" s="25">
        <f>STDEV(E7:E19)/SQRT(COUNT(E7:E19))</f>
        <v>0.73662480585621792</v>
      </c>
      <c r="F26" s="25">
        <f t="shared" ref="F26:I26" si="3">STDEV(F7:F19)/SQRT(COUNT(F7:F19))</f>
        <v>0.40650343370243741</v>
      </c>
      <c r="G26" s="4"/>
      <c r="H26" s="25">
        <f t="shared" si="3"/>
        <v>0.49285784683698952</v>
      </c>
      <c r="I26" s="25">
        <f t="shared" si="3"/>
        <v>0.48133317174350815</v>
      </c>
      <c r="J26" s="4"/>
      <c r="K26" s="25">
        <f>STDEV(K7:K20)/SQRT(COUNT(K7:K20))</f>
        <v>0.42166622823950994</v>
      </c>
      <c r="L26" s="25">
        <f>STDEV(L7:L20)/SQRT(COUNT(L7:L20))</f>
        <v>0.33932467049472026</v>
      </c>
    </row>
  </sheetData>
  <mergeCells count="4">
    <mergeCell ref="J5:L5"/>
    <mergeCell ref="G5:I5"/>
    <mergeCell ref="D5:F5"/>
    <mergeCell ref="D4: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9"/>
  <sheetViews>
    <sheetView tabSelected="1" zoomScale="85" zoomScaleNormal="85" workbookViewId="0">
      <selection activeCell="H31" sqref="H31"/>
    </sheetView>
  </sheetViews>
  <sheetFormatPr baseColWidth="10" defaultColWidth="8.85546875" defaultRowHeight="15" x14ac:dyDescent="0.25"/>
  <cols>
    <col min="1" max="1" width="14.7109375" style="2" customWidth="1"/>
    <col min="2" max="2" width="17.5703125" style="2" customWidth="1"/>
    <col min="3" max="3" width="13.7109375" style="2" customWidth="1"/>
    <col min="4" max="4" width="20.42578125" style="2" customWidth="1"/>
    <col min="5" max="5" width="12.5703125" style="2" customWidth="1"/>
    <col min="6" max="6" width="17.42578125" style="2" customWidth="1"/>
    <col min="7" max="7" width="20.140625" style="2" customWidth="1"/>
    <col min="8" max="8" width="22.28515625" style="2" customWidth="1"/>
    <col min="9" max="9" width="21.7109375" style="2" customWidth="1"/>
    <col min="10" max="10" width="18.5703125" style="2" customWidth="1"/>
    <col min="11" max="11" width="16.140625" style="2" customWidth="1"/>
    <col min="12" max="12" width="16.28515625" style="2" customWidth="1"/>
    <col min="13" max="13" width="14.42578125" style="2" customWidth="1"/>
    <col min="14" max="14" width="17.5703125" style="2" customWidth="1"/>
    <col min="15" max="15" width="21.140625" style="2" customWidth="1"/>
    <col min="16" max="16" width="20.42578125" style="2" customWidth="1"/>
    <col min="17" max="17" width="19.7109375" style="2" customWidth="1"/>
    <col min="18" max="18" width="16" style="2" customWidth="1"/>
    <col min="19" max="19" width="19.7109375" style="2" customWidth="1"/>
    <col min="20" max="20" width="17.28515625" style="2" customWidth="1"/>
    <col min="21" max="21" width="16.140625" style="2" customWidth="1"/>
    <col min="22" max="22" width="15.7109375" style="2" customWidth="1"/>
    <col min="23" max="23" width="19.28515625" style="2" customWidth="1"/>
    <col min="24" max="24" width="23.28515625" style="2" customWidth="1"/>
    <col min="25" max="25" width="21.140625" style="2" customWidth="1"/>
    <col min="26" max="26" width="18" style="2" customWidth="1"/>
    <col min="27" max="27" width="17.42578125" style="2" customWidth="1"/>
    <col min="28" max="28" width="14.85546875" style="2" customWidth="1"/>
    <col min="29" max="29" width="22" style="2" customWidth="1"/>
    <col min="30" max="30" width="8.85546875" style="2"/>
    <col min="31" max="31" width="17" style="2" customWidth="1"/>
    <col min="32" max="32" width="15.7109375" style="2" customWidth="1"/>
    <col min="33" max="33" width="19" style="2" customWidth="1"/>
    <col min="34" max="34" width="21.7109375" style="2" customWidth="1"/>
    <col min="35" max="35" width="20.5703125" style="2" customWidth="1"/>
    <col min="36" max="36" width="20.140625" style="2" customWidth="1"/>
    <col min="37" max="37" width="21" style="2" customWidth="1"/>
    <col min="38" max="38" width="18.140625" style="2" customWidth="1"/>
    <col min="39" max="39" width="13.85546875" style="2" customWidth="1"/>
    <col min="40" max="40" width="15.42578125" style="2" customWidth="1"/>
    <col min="41" max="41" width="27.28515625" style="2" customWidth="1"/>
    <col min="42" max="16384" width="8.85546875" style="2"/>
  </cols>
  <sheetData>
    <row r="1" spans="1:41" s="17" customFormat="1" x14ac:dyDescent="0.25">
      <c r="B1" s="33" t="s">
        <v>43</v>
      </c>
      <c r="C1" s="33"/>
      <c r="D1" s="33"/>
      <c r="E1" s="33"/>
      <c r="F1" s="33"/>
      <c r="G1" s="33"/>
      <c r="H1" s="33"/>
      <c r="I1" s="33"/>
      <c r="J1" s="16"/>
      <c r="L1" s="33" t="s">
        <v>45</v>
      </c>
      <c r="M1" s="33"/>
      <c r="N1" s="33"/>
      <c r="O1" s="33"/>
      <c r="P1" s="33"/>
      <c r="Q1" s="33"/>
      <c r="R1" s="33"/>
      <c r="S1" s="33"/>
      <c r="T1" s="18"/>
      <c r="U1" s="18"/>
      <c r="V1" s="33" t="s">
        <v>46</v>
      </c>
      <c r="W1" s="33"/>
      <c r="X1" s="33"/>
      <c r="Y1" s="33"/>
      <c r="Z1" s="33"/>
      <c r="AA1" s="33"/>
      <c r="AB1" s="33"/>
      <c r="AC1" s="33"/>
      <c r="AF1" s="33" t="s">
        <v>32</v>
      </c>
      <c r="AG1" s="33"/>
      <c r="AH1" s="33"/>
      <c r="AI1" s="33"/>
      <c r="AJ1" s="18"/>
      <c r="AK1" s="18"/>
      <c r="AL1" s="18"/>
      <c r="AM1" s="18"/>
      <c r="AN1" s="18"/>
      <c r="AO1" s="18"/>
    </row>
    <row r="2" spans="1:41" s="17" customFormat="1" x14ac:dyDescent="0.25">
      <c r="B2" s="16" t="s">
        <v>42</v>
      </c>
      <c r="C2" s="16" t="s">
        <v>1</v>
      </c>
      <c r="D2" s="16" t="s">
        <v>30</v>
      </c>
      <c r="E2" s="16" t="s">
        <v>0</v>
      </c>
      <c r="F2" s="16" t="s">
        <v>31</v>
      </c>
      <c r="G2" s="16" t="s">
        <v>3</v>
      </c>
      <c r="H2" s="16" t="s">
        <v>4</v>
      </c>
      <c r="I2" s="16" t="s">
        <v>2</v>
      </c>
      <c r="L2" s="16" t="s">
        <v>42</v>
      </c>
      <c r="M2" s="16" t="s">
        <v>1</v>
      </c>
      <c r="N2" s="16" t="s">
        <v>30</v>
      </c>
      <c r="O2" s="16" t="s">
        <v>0</v>
      </c>
      <c r="P2" s="16" t="s">
        <v>31</v>
      </c>
      <c r="Q2" s="16" t="s">
        <v>3</v>
      </c>
      <c r="R2" s="16" t="s">
        <v>4</v>
      </c>
      <c r="S2" s="16" t="s">
        <v>2</v>
      </c>
      <c r="V2" s="16" t="s">
        <v>42</v>
      </c>
      <c r="W2" s="16" t="s">
        <v>1</v>
      </c>
      <c r="X2" s="16" t="s">
        <v>30</v>
      </c>
      <c r="Y2" s="16" t="s">
        <v>0</v>
      </c>
      <c r="Z2" s="16" t="s">
        <v>31</v>
      </c>
      <c r="AA2" s="16" t="s">
        <v>3</v>
      </c>
      <c r="AB2" s="16" t="s">
        <v>4</v>
      </c>
      <c r="AC2" s="16" t="s">
        <v>2</v>
      </c>
      <c r="AF2" s="16" t="s">
        <v>42</v>
      </c>
      <c r="AG2" s="16" t="s">
        <v>3</v>
      </c>
      <c r="AH2" s="16" t="s">
        <v>4</v>
      </c>
      <c r="AI2" s="16" t="s">
        <v>2</v>
      </c>
    </row>
    <row r="3" spans="1:41" x14ac:dyDescent="0.25">
      <c r="A3" s="1"/>
      <c r="B3" s="1" t="s">
        <v>6</v>
      </c>
      <c r="C3" s="1">
        <v>49</v>
      </c>
      <c r="D3" s="1">
        <f>(C3/H3)*10</f>
        <v>2.8254288597376389</v>
      </c>
      <c r="E3" s="1">
        <v>66</v>
      </c>
      <c r="F3" s="1">
        <f>(E3/H3)*10</f>
        <v>3.8056796886262072</v>
      </c>
      <c r="G3" s="1">
        <v>74</v>
      </c>
      <c r="H3" s="1">
        <f>57.402+16.665+25.09+74.268</f>
        <v>173.42500000000001</v>
      </c>
      <c r="I3" s="1">
        <f t="shared" ref="I3:I15" si="0">(G3/H3)*10</f>
        <v>4.2669741963384746</v>
      </c>
      <c r="K3" s="1"/>
      <c r="L3" s="1" t="s">
        <v>7</v>
      </c>
      <c r="M3" s="1">
        <v>44</v>
      </c>
      <c r="N3" s="1">
        <f t="shared" ref="N3" si="1">(M3/R3)*10</f>
        <v>3.6107304343544588</v>
      </c>
      <c r="O3" s="1">
        <v>51</v>
      </c>
      <c r="P3" s="1">
        <f>(O3/R3)*10</f>
        <v>4.1851648216381223</v>
      </c>
      <c r="Q3" s="1">
        <v>61</v>
      </c>
      <c r="R3" s="1">
        <f>82.286+39.573</f>
        <v>121.85900000000001</v>
      </c>
      <c r="S3" s="1">
        <f t="shared" ref="S3:S12" si="2">(Q3/R3)*10</f>
        <v>5.0057853749004995</v>
      </c>
      <c r="U3" s="1"/>
      <c r="V3" s="1" t="s">
        <v>6</v>
      </c>
      <c r="W3" s="1">
        <f>38+41</f>
        <v>79</v>
      </c>
      <c r="X3" s="1">
        <f>(W3/AB3)*10</f>
        <v>2.6206841644330039</v>
      </c>
      <c r="Y3" s="1">
        <f>102+69</f>
        <v>171</v>
      </c>
      <c r="Z3" s="1">
        <f>(Y3/AB3)*10</f>
        <v>5.6726201533929563</v>
      </c>
      <c r="AA3" s="1">
        <f>100+71</f>
        <v>171</v>
      </c>
      <c r="AB3" s="1">
        <f>(74.708+13.862+24.738+61.28)+(38.511+35.854+40.93+11.565)</f>
        <v>301.44799999999998</v>
      </c>
      <c r="AC3" s="1">
        <f t="shared" ref="AC3:AC8" si="3">(AA3/AB3)*10</f>
        <v>5.6726201533929563</v>
      </c>
      <c r="AE3" s="1"/>
      <c r="AF3" s="1" t="s">
        <v>7</v>
      </c>
      <c r="AG3" s="1">
        <v>42</v>
      </c>
      <c r="AH3" s="1">
        <v>116.648</v>
      </c>
      <c r="AI3" s="1">
        <f t="shared" ref="AI3:AI18" si="4">(AG3/AH3)*10</f>
        <v>3.6005760921747481</v>
      </c>
    </row>
    <row r="4" spans="1:41" x14ac:dyDescent="0.25">
      <c r="A4" s="1"/>
      <c r="B4" s="1" t="s">
        <v>8</v>
      </c>
      <c r="C4" s="1">
        <v>111</v>
      </c>
      <c r="D4" s="1">
        <f>(C4/H4)*10</f>
        <v>5.4698125480456508</v>
      </c>
      <c r="E4" s="1">
        <v>50</v>
      </c>
      <c r="F4" s="1">
        <f t="shared" ref="F4:F15" si="5">(E4/H4)*10</f>
        <v>2.4638795261466893</v>
      </c>
      <c r="G4" s="1">
        <v>70</v>
      </c>
      <c r="H4" s="1">
        <f>104.337+98.595</f>
        <v>202.93200000000002</v>
      </c>
      <c r="I4" s="1">
        <f t="shared" si="0"/>
        <v>3.4494313366053655</v>
      </c>
      <c r="K4" s="1"/>
      <c r="L4" s="1" t="s">
        <v>10</v>
      </c>
      <c r="M4" s="1">
        <v>55</v>
      </c>
      <c r="N4" s="1">
        <f t="shared" ref="N4:N15" si="6">(M4/R4)*10</f>
        <v>3.7684913016368955</v>
      </c>
      <c r="O4" s="1">
        <v>104</v>
      </c>
      <c r="P4" s="1">
        <f>(O4/R4)*10</f>
        <v>7.1258744612770384</v>
      </c>
      <c r="Q4" s="1">
        <v>102</v>
      </c>
      <c r="R4" s="1">
        <f>74.783+71.164</f>
        <v>145.947</v>
      </c>
      <c r="S4" s="1">
        <f t="shared" si="2"/>
        <v>6.9888384139447881</v>
      </c>
      <c r="U4" s="1"/>
      <c r="V4" s="1" t="s">
        <v>7</v>
      </c>
      <c r="W4" s="1">
        <v>40</v>
      </c>
      <c r="X4" s="1">
        <f>(W4/AB4)*10</f>
        <v>2.6378960141391228</v>
      </c>
      <c r="Y4" s="1">
        <v>109</v>
      </c>
      <c r="Z4" s="1">
        <f>(Y4/AB4)*10</f>
        <v>7.1882666385291092</v>
      </c>
      <c r="AA4" s="1">
        <v>110</v>
      </c>
      <c r="AB4" s="1">
        <f>77.472+74.164</f>
        <v>151.636</v>
      </c>
      <c r="AC4" s="1">
        <f t="shared" si="3"/>
        <v>7.2542140388825871</v>
      </c>
      <c r="AE4" s="1"/>
      <c r="AF4" s="1" t="s">
        <v>14</v>
      </c>
      <c r="AG4" s="1">
        <v>19</v>
      </c>
      <c r="AH4" s="1">
        <v>34.715000000000003</v>
      </c>
      <c r="AI4" s="1">
        <f t="shared" si="4"/>
        <v>5.4731384127898597</v>
      </c>
    </row>
    <row r="5" spans="1:41" x14ac:dyDescent="0.25">
      <c r="A5" s="1"/>
      <c r="B5" s="1" t="s">
        <v>15</v>
      </c>
      <c r="C5" s="1">
        <v>72</v>
      </c>
      <c r="D5" s="1">
        <f t="shared" ref="D5:D6" si="7">(C5/H5)*10</f>
        <v>3.7914292635148659</v>
      </c>
      <c r="E5" s="1">
        <v>38</v>
      </c>
      <c r="F5" s="1">
        <f t="shared" si="5"/>
        <v>2.0010321112995126</v>
      </c>
      <c r="G5" s="1">
        <v>50</v>
      </c>
      <c r="H5" s="1">
        <f>110.669+29.645+49.588</f>
        <v>189.90199999999999</v>
      </c>
      <c r="I5" s="1">
        <f t="shared" si="0"/>
        <v>2.6329369885519904</v>
      </c>
      <c r="K5" s="1"/>
      <c r="L5" s="1" t="s">
        <v>14</v>
      </c>
      <c r="M5" s="1">
        <v>79</v>
      </c>
      <c r="N5" s="1">
        <f t="shared" si="6"/>
        <v>4.7841094894931269</v>
      </c>
      <c r="O5" s="1">
        <v>33</v>
      </c>
      <c r="P5" s="1">
        <f>(O5/R5)*10</f>
        <v>1.998425482952825</v>
      </c>
      <c r="Q5" s="1">
        <v>35</v>
      </c>
      <c r="R5" s="1">
        <f>81.819+83.311</f>
        <v>165.13</v>
      </c>
      <c r="S5" s="1">
        <f t="shared" si="2"/>
        <v>2.1195421788893603</v>
      </c>
      <c r="U5" s="1"/>
      <c r="V5" s="1" t="s">
        <v>9</v>
      </c>
      <c r="W5" s="1">
        <v>38</v>
      </c>
      <c r="X5" s="1">
        <f>(W5/AB5)*10</f>
        <v>3.2677771375992153</v>
      </c>
      <c r="Y5" s="1">
        <v>30</v>
      </c>
      <c r="Z5" s="1">
        <f>(Y5/AB5)*10</f>
        <v>2.5798240559993806</v>
      </c>
      <c r="AA5" s="1">
        <v>30</v>
      </c>
      <c r="AB5" s="1">
        <f>82.272+34.015</f>
        <v>116.28700000000001</v>
      </c>
      <c r="AC5" s="1">
        <f t="shared" si="3"/>
        <v>2.5798240559993806</v>
      </c>
      <c r="AE5" s="1"/>
      <c r="AF5" s="1" t="s">
        <v>16</v>
      </c>
      <c r="AG5" s="1">
        <v>56</v>
      </c>
      <c r="AH5" s="1">
        <v>65.954999999999998</v>
      </c>
      <c r="AI5" s="1">
        <f t="shared" si="4"/>
        <v>8.4906375559093323</v>
      </c>
    </row>
    <row r="6" spans="1:41" x14ac:dyDescent="0.25">
      <c r="A6" s="1"/>
      <c r="B6" s="1" t="s">
        <v>16</v>
      </c>
      <c r="C6" s="1">
        <v>70</v>
      </c>
      <c r="D6" s="1">
        <f t="shared" si="7"/>
        <v>8.9150396719265395</v>
      </c>
      <c r="E6" s="1">
        <v>20</v>
      </c>
      <c r="F6" s="1">
        <f t="shared" si="5"/>
        <v>2.5471541919790113</v>
      </c>
      <c r="G6" s="1">
        <v>19</v>
      </c>
      <c r="H6" s="1">
        <v>78.519000000000005</v>
      </c>
      <c r="I6" s="1">
        <f t="shared" si="0"/>
        <v>2.4197964823800606</v>
      </c>
      <c r="K6" s="1"/>
      <c r="L6" s="1" t="s">
        <v>17</v>
      </c>
      <c r="M6" s="1">
        <v>69</v>
      </c>
      <c r="N6" s="1">
        <f t="shared" si="6"/>
        <v>5.0243206244720824</v>
      </c>
      <c r="O6" s="1">
        <v>84</v>
      </c>
      <c r="P6" s="1">
        <f t="shared" ref="P6:P10" si="8">(O6/R6)*10</f>
        <v>6.1165642384877525</v>
      </c>
      <c r="Q6" s="1">
        <v>86</v>
      </c>
      <c r="R6" s="1">
        <f>72.279+11.477+35.095+18.481</f>
        <v>137.33199999999999</v>
      </c>
      <c r="S6" s="1">
        <f t="shared" si="2"/>
        <v>6.262196720356509</v>
      </c>
      <c r="U6" s="1"/>
      <c r="V6" s="1" t="s">
        <v>15</v>
      </c>
      <c r="W6" s="1">
        <v>31</v>
      </c>
      <c r="X6" s="1">
        <f t="shared" ref="X6:X8" si="9">(W6/AB6)*10</f>
        <v>2.9237008393850794</v>
      </c>
      <c r="Y6" s="1">
        <v>47</v>
      </c>
      <c r="Z6" s="1">
        <f t="shared" ref="Z6:Z8" si="10">(Y6/AB6)*10</f>
        <v>4.4327077242289921</v>
      </c>
      <c r="AA6" s="1">
        <v>53</v>
      </c>
      <c r="AB6" s="1">
        <v>106.03</v>
      </c>
      <c r="AC6" s="1">
        <f t="shared" si="3"/>
        <v>4.9985853060454586</v>
      </c>
      <c r="AE6" s="1"/>
      <c r="AF6" s="1" t="s">
        <v>18</v>
      </c>
      <c r="AG6" s="1">
        <v>60</v>
      </c>
      <c r="AH6" s="1">
        <f>77.726+38.048</f>
        <v>115.774</v>
      </c>
      <c r="AI6" s="1">
        <f t="shared" si="4"/>
        <v>5.1825107537098134</v>
      </c>
    </row>
    <row r="7" spans="1:41" x14ac:dyDescent="0.25">
      <c r="A7" s="1"/>
      <c r="B7" s="1" t="s">
        <v>18</v>
      </c>
      <c r="C7" s="1">
        <v>28</v>
      </c>
      <c r="D7" s="1">
        <f t="shared" ref="D7:D8" si="11">(C7/H7)*10</f>
        <v>2.9009231151770081</v>
      </c>
      <c r="E7" s="1">
        <v>60</v>
      </c>
      <c r="F7" s="1">
        <f t="shared" si="5"/>
        <v>6.2162638182364462</v>
      </c>
      <c r="G7" s="1">
        <v>57</v>
      </c>
      <c r="H7" s="1">
        <v>96.521000000000001</v>
      </c>
      <c r="I7" s="1">
        <f t="shared" si="0"/>
        <v>5.9054506273246234</v>
      </c>
      <c r="K7" s="1"/>
      <c r="L7" s="1" t="s">
        <v>18</v>
      </c>
      <c r="M7" s="1">
        <v>21</v>
      </c>
      <c r="N7" s="1">
        <f t="shared" si="6"/>
        <v>2.0623416416239468</v>
      </c>
      <c r="O7" s="1">
        <v>37</v>
      </c>
      <c r="P7" s="1">
        <f t="shared" si="8"/>
        <v>3.6336495590517162</v>
      </c>
      <c r="Q7" s="1">
        <v>35</v>
      </c>
      <c r="R7" s="1">
        <f>71.989+22.201+7.636</f>
        <v>101.82599999999999</v>
      </c>
      <c r="S7" s="1">
        <f t="shared" si="2"/>
        <v>3.4372360693732444</v>
      </c>
      <c r="U7" s="1"/>
      <c r="V7" s="1" t="s">
        <v>16</v>
      </c>
      <c r="W7" s="1">
        <v>103</v>
      </c>
      <c r="X7" s="1">
        <f t="shared" si="9"/>
        <v>4.466570107804789</v>
      </c>
      <c r="Y7" s="1">
        <v>99</v>
      </c>
      <c r="Z7" s="1">
        <f t="shared" si="10"/>
        <v>4.2931110744919811</v>
      </c>
      <c r="AA7" s="1">
        <v>105</v>
      </c>
      <c r="AB7" s="1">
        <f>107.693+49.982+72.927</f>
        <v>230.60200000000003</v>
      </c>
      <c r="AC7" s="1">
        <f t="shared" si="3"/>
        <v>4.5532996244611921</v>
      </c>
      <c r="AE7" s="1"/>
      <c r="AF7" s="1" t="s">
        <v>19</v>
      </c>
      <c r="AG7" s="1">
        <v>31</v>
      </c>
      <c r="AH7" s="1">
        <f>67.704+45.037</f>
        <v>112.74099999999999</v>
      </c>
      <c r="AI7" s="1">
        <f t="shared" si="4"/>
        <v>2.7496651617424011</v>
      </c>
    </row>
    <row r="8" spans="1:41" x14ac:dyDescent="0.25">
      <c r="A8" s="1"/>
      <c r="B8" s="1" t="s">
        <v>19</v>
      </c>
      <c r="C8" s="1">
        <f>52+6</f>
        <v>58</v>
      </c>
      <c r="D8" s="1">
        <f t="shared" si="11"/>
        <v>4.7260134446934208</v>
      </c>
      <c r="E8" s="1">
        <f>31+7</f>
        <v>38</v>
      </c>
      <c r="F8" s="1">
        <f t="shared" si="5"/>
        <v>3.0963536361784478</v>
      </c>
      <c r="G8" s="1">
        <f>27+7</f>
        <v>34</v>
      </c>
      <c r="H8" s="1">
        <f>60.882+48.364+13.479</f>
        <v>122.72499999999999</v>
      </c>
      <c r="I8" s="1">
        <f t="shared" si="0"/>
        <v>2.7704216744754535</v>
      </c>
      <c r="K8" s="1"/>
      <c r="L8" s="1" t="s">
        <v>19</v>
      </c>
      <c r="M8" s="1">
        <v>73</v>
      </c>
      <c r="N8" s="1">
        <f t="shared" si="6"/>
        <v>4.9471736729037197</v>
      </c>
      <c r="O8" s="1">
        <v>29</v>
      </c>
      <c r="P8" s="1">
        <f t="shared" si="8"/>
        <v>1.965315568687779</v>
      </c>
      <c r="Q8" s="1">
        <v>38</v>
      </c>
      <c r="R8" s="1">
        <f>106.441+19.394+21.724</f>
        <v>147.559</v>
      </c>
      <c r="S8" s="1">
        <f t="shared" si="2"/>
        <v>2.5752410900046763</v>
      </c>
      <c r="U8" s="1"/>
      <c r="V8" s="1" t="s">
        <v>17</v>
      </c>
      <c r="W8" s="1">
        <v>37</v>
      </c>
      <c r="X8" s="1">
        <f t="shared" si="9"/>
        <v>3.6483035388544325</v>
      </c>
      <c r="Y8" s="1">
        <v>39</v>
      </c>
      <c r="Z8" s="1">
        <f t="shared" si="10"/>
        <v>3.8455091355492672</v>
      </c>
      <c r="AA8" s="1">
        <v>43</v>
      </c>
      <c r="AB8" s="1">
        <v>101.417</v>
      </c>
      <c r="AC8" s="1">
        <f t="shared" si="3"/>
        <v>4.2399203289389353</v>
      </c>
      <c r="AE8" s="1"/>
      <c r="AF8" s="1" t="s">
        <v>21</v>
      </c>
      <c r="AG8" s="1">
        <v>29</v>
      </c>
      <c r="AH8" s="1">
        <v>54.07</v>
      </c>
      <c r="AI8" s="1">
        <f t="shared" si="4"/>
        <v>5.3634177917514334</v>
      </c>
    </row>
    <row r="9" spans="1:41" x14ac:dyDescent="0.25">
      <c r="A9" s="1"/>
      <c r="B9" s="1" t="s">
        <v>23</v>
      </c>
      <c r="C9" s="1">
        <v>39</v>
      </c>
      <c r="D9" s="1">
        <f t="shared" ref="D9:D15" si="12">(C9/H9)*10</f>
        <v>3.9939783096254877</v>
      </c>
      <c r="E9" s="1">
        <v>18</v>
      </c>
      <c r="F9" s="1">
        <f t="shared" si="5"/>
        <v>1.8433746044425328</v>
      </c>
      <c r="G9" s="1">
        <v>20</v>
      </c>
      <c r="H9" s="1">
        <f>54.124+43.523</f>
        <v>97.647000000000006</v>
      </c>
      <c r="I9" s="1">
        <f t="shared" si="0"/>
        <v>2.0481940049361476</v>
      </c>
      <c r="K9" s="1"/>
      <c r="L9" s="1" t="s">
        <v>20</v>
      </c>
      <c r="M9" s="1">
        <v>73</v>
      </c>
      <c r="N9" s="1">
        <f t="shared" si="6"/>
        <v>3.1492530230672</v>
      </c>
      <c r="O9" s="1">
        <v>85</v>
      </c>
      <c r="P9" s="1">
        <f t="shared" si="8"/>
        <v>3.6669384515166028</v>
      </c>
      <c r="Q9" s="1">
        <v>86</v>
      </c>
      <c r="R9" s="1">
        <f>49.093+29.328+87.834+65.546</f>
        <v>231.80099999999999</v>
      </c>
      <c r="S9" s="1">
        <f t="shared" si="2"/>
        <v>3.7100789038873865</v>
      </c>
      <c r="U9" s="1"/>
      <c r="V9" s="1" t="s">
        <v>19</v>
      </c>
      <c r="W9" s="1">
        <v>43</v>
      </c>
      <c r="X9" s="1">
        <f t="shared" ref="X9:X15" si="13">(W9/AB9)*10</f>
        <v>3.0399004609337443</v>
      </c>
      <c r="Y9" s="1">
        <v>36</v>
      </c>
      <c r="Z9" s="1">
        <f t="shared" ref="Z9:Z15" si="14">(Y9/AB9)*10</f>
        <v>2.5450329440375534</v>
      </c>
      <c r="AA9" s="1">
        <v>40</v>
      </c>
      <c r="AB9" s="1">
        <f>98.721+42.731</f>
        <v>141.452</v>
      </c>
      <c r="AC9" s="1">
        <f t="shared" ref="AC9:AC13" si="15">(AA9/AB9)*10</f>
        <v>2.8278143822639485</v>
      </c>
      <c r="AE9" s="1"/>
      <c r="AF9" s="1" t="s">
        <v>33</v>
      </c>
      <c r="AG9" s="1">
        <v>27</v>
      </c>
      <c r="AH9" s="1">
        <v>89.956000000000003</v>
      </c>
      <c r="AI9" s="1">
        <f t="shared" si="4"/>
        <v>3.0014673840544264</v>
      </c>
    </row>
    <row r="10" spans="1:41" x14ac:dyDescent="0.25">
      <c r="A10" s="1"/>
      <c r="B10" s="1" t="s">
        <v>24</v>
      </c>
      <c r="C10" s="1">
        <v>68</v>
      </c>
      <c r="D10" s="1">
        <f t="shared" si="12"/>
        <v>6.6966044276372809</v>
      </c>
      <c r="E10" s="1">
        <v>45</v>
      </c>
      <c r="F10" s="1">
        <f t="shared" si="5"/>
        <v>4.4315764594658473</v>
      </c>
      <c r="G10" s="1">
        <v>63</v>
      </c>
      <c r="H10" s="1">
        <f>87.768+13.776</f>
        <v>101.544</v>
      </c>
      <c r="I10" s="1">
        <f t="shared" si="0"/>
        <v>6.204207043252187</v>
      </c>
      <c r="K10" s="1"/>
      <c r="L10" s="1" t="s">
        <v>21</v>
      </c>
      <c r="M10" s="1">
        <v>67</v>
      </c>
      <c r="N10" s="1">
        <f t="shared" si="6"/>
        <v>4.0373606507984334</v>
      </c>
      <c r="O10" s="1">
        <v>66</v>
      </c>
      <c r="P10" s="1">
        <f t="shared" si="8"/>
        <v>3.9771015366074121</v>
      </c>
      <c r="Q10" s="1">
        <v>75</v>
      </c>
      <c r="R10" s="1">
        <f>70.677+47.466+47.807</f>
        <v>165.95</v>
      </c>
      <c r="S10" s="1">
        <f t="shared" si="2"/>
        <v>4.5194335643266044</v>
      </c>
      <c r="U10" s="1"/>
      <c r="V10" s="1" t="s">
        <v>20</v>
      </c>
      <c r="W10" s="1">
        <v>28</v>
      </c>
      <c r="X10" s="1">
        <f t="shared" si="13"/>
        <v>2.6396417629036057</v>
      </c>
      <c r="Y10" s="1">
        <v>34</v>
      </c>
      <c r="Z10" s="1">
        <f t="shared" si="14"/>
        <v>3.2052792835258073</v>
      </c>
      <c r="AA10" s="1">
        <v>32</v>
      </c>
      <c r="AB10" s="1">
        <v>106.075</v>
      </c>
      <c r="AC10" s="1">
        <f t="shared" si="15"/>
        <v>3.0167334433184068</v>
      </c>
      <c r="AE10" s="1"/>
      <c r="AF10" s="1" t="s">
        <v>34</v>
      </c>
      <c r="AG10" s="1">
        <v>27</v>
      </c>
      <c r="AH10" s="1">
        <v>115.431</v>
      </c>
      <c r="AI10" s="1">
        <f t="shared" si="4"/>
        <v>2.3390596980014036</v>
      </c>
    </row>
    <row r="11" spans="1:41" x14ac:dyDescent="0.25">
      <c r="A11" s="1"/>
      <c r="B11" s="1" t="s">
        <v>26</v>
      </c>
      <c r="C11" s="1">
        <v>91</v>
      </c>
      <c r="D11" s="1">
        <f t="shared" si="12"/>
        <v>9.1443500979751793</v>
      </c>
      <c r="E11" s="1">
        <v>60</v>
      </c>
      <c r="F11" s="1">
        <f t="shared" si="5"/>
        <v>6.0292418228407776</v>
      </c>
      <c r="G11" s="1">
        <v>59</v>
      </c>
      <c r="H11" s="1">
        <f>74.831+24.684</f>
        <v>99.515000000000001</v>
      </c>
      <c r="I11" s="1">
        <f t="shared" si="0"/>
        <v>5.9287544591267647</v>
      </c>
      <c r="K11" s="1"/>
      <c r="L11" s="1" t="s">
        <v>23</v>
      </c>
      <c r="M11" s="1">
        <v>133</v>
      </c>
      <c r="N11" s="1">
        <f t="shared" si="6"/>
        <v>8.4846860985116717</v>
      </c>
      <c r="O11" s="1">
        <v>75</v>
      </c>
      <c r="P11" s="1">
        <f>(O11/R11)*10</f>
        <v>4.7845974239727473</v>
      </c>
      <c r="Q11" s="1">
        <v>94</v>
      </c>
      <c r="R11" s="1">
        <f>79.834+76.919</f>
        <v>156.75299999999999</v>
      </c>
      <c r="S11" s="1">
        <f t="shared" si="2"/>
        <v>5.9966954380458439</v>
      </c>
      <c r="U11" s="1"/>
      <c r="V11" s="1" t="s">
        <v>21</v>
      </c>
      <c r="W11" s="1">
        <v>48</v>
      </c>
      <c r="X11" s="1">
        <f t="shared" si="13"/>
        <v>4.7912798706354431</v>
      </c>
      <c r="Y11" s="1">
        <v>47</v>
      </c>
      <c r="Z11" s="1">
        <f t="shared" si="14"/>
        <v>4.6914615399972046</v>
      </c>
      <c r="AA11" s="1">
        <v>43</v>
      </c>
      <c r="AB11" s="1">
        <v>100.182</v>
      </c>
      <c r="AC11" s="1">
        <f t="shared" si="15"/>
        <v>4.2921882174442514</v>
      </c>
      <c r="AE11" s="1"/>
      <c r="AF11" s="1" t="s">
        <v>23</v>
      </c>
      <c r="AG11" s="1">
        <v>28</v>
      </c>
      <c r="AH11" s="1">
        <v>96.742999999999995</v>
      </c>
      <c r="AI11" s="1">
        <f t="shared" si="4"/>
        <v>2.8942662518218376</v>
      </c>
    </row>
    <row r="12" spans="1:41" x14ac:dyDescent="0.25">
      <c r="A12" s="1"/>
      <c r="B12" s="1" t="s">
        <v>28</v>
      </c>
      <c r="C12" s="1">
        <v>70</v>
      </c>
      <c r="D12" s="1">
        <f t="shared" si="12"/>
        <v>5.8022429813582219</v>
      </c>
      <c r="E12" s="1">
        <v>29</v>
      </c>
      <c r="F12" s="1">
        <f t="shared" si="5"/>
        <v>2.4037863779912634</v>
      </c>
      <c r="G12" s="1">
        <v>44</v>
      </c>
      <c r="H12" s="1">
        <v>120.643</v>
      </c>
      <c r="I12" s="1">
        <f t="shared" si="0"/>
        <v>3.6471241597108826</v>
      </c>
      <c r="K12" s="1"/>
      <c r="L12" s="1" t="s">
        <v>25</v>
      </c>
      <c r="M12" s="1">
        <v>65</v>
      </c>
      <c r="N12" s="1">
        <f t="shared" si="6"/>
        <v>3.9946901349590695</v>
      </c>
      <c r="O12" s="1">
        <v>45</v>
      </c>
      <c r="P12" s="1">
        <f>(O12/R12)*10</f>
        <v>2.7655547088178172</v>
      </c>
      <c r="Q12" s="1">
        <v>48</v>
      </c>
      <c r="R12" s="1">
        <f>78.533+84.183</f>
        <v>162.71600000000001</v>
      </c>
      <c r="S12" s="1">
        <f t="shared" si="2"/>
        <v>2.9499250227390048</v>
      </c>
      <c r="U12" s="1"/>
      <c r="V12" s="1" t="s">
        <v>22</v>
      </c>
      <c r="W12" s="1">
        <v>62</v>
      </c>
      <c r="X12" s="1">
        <f t="shared" si="13"/>
        <v>4.4287612326242556</v>
      </c>
      <c r="Y12" s="1">
        <v>65</v>
      </c>
      <c r="Z12" s="1">
        <f t="shared" si="14"/>
        <v>4.6430561309770422</v>
      </c>
      <c r="AA12" s="1">
        <v>99</v>
      </c>
      <c r="AB12" s="1">
        <f>53.171+65.329+21.494</f>
        <v>139.994</v>
      </c>
      <c r="AC12" s="1">
        <f t="shared" si="15"/>
        <v>7.0717316456419566</v>
      </c>
      <c r="AE12" s="1"/>
      <c r="AF12" s="1" t="s">
        <v>24</v>
      </c>
      <c r="AG12" s="1">
        <v>52</v>
      </c>
      <c r="AH12" s="1">
        <f>119.781+47.81</f>
        <v>167.59100000000001</v>
      </c>
      <c r="AI12" s="1">
        <f t="shared" si="4"/>
        <v>3.1027919160336772</v>
      </c>
    </row>
    <row r="13" spans="1:41" x14ac:dyDescent="0.25">
      <c r="A13" s="1"/>
      <c r="B13" s="1" t="s">
        <v>35</v>
      </c>
      <c r="C13" s="1">
        <v>66</v>
      </c>
      <c r="D13" s="1">
        <f t="shared" si="12"/>
        <v>7.1485821978640907</v>
      </c>
      <c r="E13" s="1">
        <v>25</v>
      </c>
      <c r="F13" s="1">
        <f t="shared" si="5"/>
        <v>2.7077962870697316</v>
      </c>
      <c r="G13" s="1">
        <v>23</v>
      </c>
      <c r="H13" s="1">
        <v>92.325999999999993</v>
      </c>
      <c r="I13" s="1">
        <f t="shared" si="0"/>
        <v>2.4911725841041528</v>
      </c>
      <c r="K13" s="1"/>
      <c r="L13" s="1" t="s">
        <v>35</v>
      </c>
      <c r="M13" s="1">
        <v>104</v>
      </c>
      <c r="N13" s="1">
        <f t="shared" si="6"/>
        <v>6.8619688572182636</v>
      </c>
      <c r="O13" s="1">
        <v>22</v>
      </c>
      <c r="P13" s="1">
        <f>(O13/R13)*10</f>
        <v>1.4515703351807865</v>
      </c>
      <c r="Q13" s="1">
        <v>32</v>
      </c>
      <c r="R13" s="1">
        <f>98.096+53.464</f>
        <v>151.56</v>
      </c>
      <c r="S13" s="1">
        <f t="shared" ref="S13" si="16">(Q13/R13)*10</f>
        <v>2.1113750329902348</v>
      </c>
      <c r="U13" s="1"/>
      <c r="V13" s="1" t="s">
        <v>23</v>
      </c>
      <c r="W13" s="1">
        <v>70</v>
      </c>
      <c r="X13" s="1">
        <f t="shared" si="13"/>
        <v>8.4994778892153775</v>
      </c>
      <c r="Y13" s="1">
        <v>29</v>
      </c>
      <c r="Z13" s="1">
        <f t="shared" si="14"/>
        <v>3.5212122683892271</v>
      </c>
      <c r="AA13" s="1">
        <v>49</v>
      </c>
      <c r="AB13" s="1">
        <v>82.358000000000004</v>
      </c>
      <c r="AC13" s="1">
        <f t="shared" si="15"/>
        <v>5.9496345224507632</v>
      </c>
      <c r="AE13" s="1"/>
      <c r="AF13" s="1" t="s">
        <v>25</v>
      </c>
      <c r="AG13" s="1">
        <v>55</v>
      </c>
      <c r="AH13" s="1">
        <f>108.817+35.972</f>
        <v>144.78899999999999</v>
      </c>
      <c r="AI13" s="1">
        <f t="shared" si="4"/>
        <v>3.7986311114794633</v>
      </c>
    </row>
    <row r="14" spans="1:41" x14ac:dyDescent="0.25">
      <c r="A14" s="1"/>
      <c r="B14" s="1" t="s">
        <v>37</v>
      </c>
      <c r="C14" s="1">
        <v>79</v>
      </c>
      <c r="D14" s="1">
        <f t="shared" si="12"/>
        <v>4.1223556914599406</v>
      </c>
      <c r="E14" s="1">
        <v>36</v>
      </c>
      <c r="F14" s="1">
        <f t="shared" si="5"/>
        <v>1.8785418340830107</v>
      </c>
      <c r="G14" s="1">
        <v>47</v>
      </c>
      <c r="H14" s="1">
        <f>84.705+57.946+48.987</f>
        <v>191.63800000000001</v>
      </c>
      <c r="I14" s="1">
        <f t="shared" si="0"/>
        <v>2.4525407278305971</v>
      </c>
      <c r="K14" s="1"/>
      <c r="L14" s="1" t="s">
        <v>36</v>
      </c>
      <c r="M14" s="1">
        <v>79</v>
      </c>
      <c r="N14" s="1">
        <f t="shared" si="6"/>
        <v>7.2437854739177876</v>
      </c>
      <c r="O14" s="1">
        <v>29</v>
      </c>
      <c r="P14" s="1">
        <f>(O14/R14)*10</f>
        <v>2.6591111233369098</v>
      </c>
      <c r="Q14" s="1">
        <v>29</v>
      </c>
      <c r="R14" s="1">
        <v>109.059</v>
      </c>
      <c r="S14" s="1">
        <f t="shared" ref="S14:S15" si="17">(Q14/R14)*10</f>
        <v>2.6591111233369098</v>
      </c>
      <c r="U14" s="1"/>
      <c r="V14" s="1" t="s">
        <v>24</v>
      </c>
      <c r="W14" s="1">
        <v>65</v>
      </c>
      <c r="X14" s="1">
        <f t="shared" si="13"/>
        <v>5.3713237420772977</v>
      </c>
      <c r="Y14" s="1">
        <v>46</v>
      </c>
      <c r="Z14" s="1">
        <f t="shared" si="14"/>
        <v>3.8012444943931643</v>
      </c>
      <c r="AA14" s="1">
        <v>48</v>
      </c>
      <c r="AB14" s="1">
        <v>121.01300000000001</v>
      </c>
      <c r="AC14" s="1">
        <f>(AA14/AB14)*10</f>
        <v>3.9665159941493888</v>
      </c>
      <c r="AE14" s="1"/>
      <c r="AF14" s="1" t="s">
        <v>26</v>
      </c>
      <c r="AG14" s="1">
        <v>19</v>
      </c>
      <c r="AH14" s="1">
        <f>89.334+45.633</f>
        <v>134.96700000000001</v>
      </c>
      <c r="AI14" s="1">
        <f t="shared" si="4"/>
        <v>1.4077515244467165</v>
      </c>
    </row>
    <row r="15" spans="1:41" x14ac:dyDescent="0.25">
      <c r="A15" s="1"/>
      <c r="B15" s="1" t="s">
        <v>38</v>
      </c>
      <c r="C15" s="1">
        <v>115</v>
      </c>
      <c r="D15" s="1">
        <f t="shared" si="12"/>
        <v>11.520391092233254</v>
      </c>
      <c r="E15" s="1">
        <v>33</v>
      </c>
      <c r="F15" s="1">
        <f t="shared" si="5"/>
        <v>3.3058513569017163</v>
      </c>
      <c r="G15" s="1">
        <v>40</v>
      </c>
      <c r="H15" s="1">
        <v>99.822999999999993</v>
      </c>
      <c r="I15" s="1">
        <f t="shared" si="0"/>
        <v>4.0070925538202626</v>
      </c>
      <c r="K15" s="1"/>
      <c r="L15" s="1" t="s">
        <v>37</v>
      </c>
      <c r="M15" s="1">
        <v>46</v>
      </c>
      <c r="N15" s="1">
        <f t="shared" si="6"/>
        <v>5.1662754523298782</v>
      </c>
      <c r="O15" s="1">
        <v>14</v>
      </c>
      <c r="P15" s="1">
        <f>(O15/R15)*10</f>
        <v>1.5723447028830062</v>
      </c>
      <c r="Q15" s="1">
        <v>24</v>
      </c>
      <c r="R15" s="1">
        <v>89.039000000000001</v>
      </c>
      <c r="S15" s="1">
        <f t="shared" si="17"/>
        <v>2.6954480620851533</v>
      </c>
      <c r="U15" s="1"/>
      <c r="V15" s="1" t="s">
        <v>25</v>
      </c>
      <c r="W15" s="1">
        <v>53</v>
      </c>
      <c r="X15" s="1">
        <f t="shared" si="13"/>
        <v>3.2862306933946761</v>
      </c>
      <c r="Y15" s="1">
        <v>52</v>
      </c>
      <c r="Z15" s="1">
        <f t="shared" si="14"/>
        <v>3.2242263406891163</v>
      </c>
      <c r="AA15" s="1">
        <v>52</v>
      </c>
      <c r="AB15" s="1">
        <f>88.363+72.916</f>
        <v>161.279</v>
      </c>
      <c r="AC15" s="1">
        <f>(AA15/AB15)*10</f>
        <v>3.2242263406891163</v>
      </c>
      <c r="AE15" s="1"/>
      <c r="AF15" s="1" t="s">
        <v>38</v>
      </c>
      <c r="AG15" s="1">
        <v>51</v>
      </c>
      <c r="AH15" s="1">
        <f>80.79+23.276</f>
        <v>104.066</v>
      </c>
      <c r="AI15" s="1">
        <f t="shared" si="4"/>
        <v>4.9007360713393417</v>
      </c>
    </row>
    <row r="16" spans="1:41" x14ac:dyDescent="0.25">
      <c r="B16" s="1"/>
      <c r="C16" s="1"/>
      <c r="D16" s="1"/>
      <c r="E16" s="1"/>
      <c r="F16" s="1"/>
      <c r="G16" s="1"/>
      <c r="H16" s="1"/>
      <c r="I16" s="1"/>
      <c r="U16" s="1"/>
      <c r="V16" s="1" t="s">
        <v>27</v>
      </c>
      <c r="W16" s="1">
        <v>60</v>
      </c>
      <c r="X16" s="1">
        <f>(W16/AB16)*10</f>
        <v>4.59323110842322</v>
      </c>
      <c r="Y16" s="1">
        <v>38</v>
      </c>
      <c r="Z16" s="1">
        <f>(Y16/AB16)*10</f>
        <v>2.9090463686680397</v>
      </c>
      <c r="AA16" s="1">
        <v>51</v>
      </c>
      <c r="AB16" s="1">
        <f>92.138+38.489</f>
        <v>130.62700000000001</v>
      </c>
      <c r="AC16" s="1">
        <f>(AA16/AB16)*10</f>
        <v>3.9042464421597369</v>
      </c>
      <c r="AE16" s="1"/>
      <c r="AF16" s="1" t="s">
        <v>39</v>
      </c>
      <c r="AG16" s="1">
        <v>34</v>
      </c>
      <c r="AH16" s="1">
        <v>73.756</v>
      </c>
      <c r="AI16" s="1">
        <f t="shared" si="4"/>
        <v>4.609794457400076</v>
      </c>
    </row>
    <row r="17" spans="1:41" x14ac:dyDescent="0.25">
      <c r="B17" s="1"/>
      <c r="C17" s="1"/>
      <c r="D17" s="1"/>
      <c r="E17" s="1"/>
      <c r="F17" s="1"/>
      <c r="G17" s="1"/>
      <c r="H17" s="1"/>
      <c r="I17" s="1"/>
      <c r="V17" s="1"/>
      <c r="W17" s="1"/>
      <c r="X17" s="1"/>
      <c r="Y17" s="1"/>
      <c r="Z17" s="1"/>
      <c r="AA17" s="1"/>
      <c r="AE17" s="1"/>
      <c r="AF17" s="1" t="s">
        <v>40</v>
      </c>
      <c r="AG17" s="1">
        <v>42</v>
      </c>
      <c r="AH17" s="1">
        <v>85.787000000000006</v>
      </c>
      <c r="AI17" s="1">
        <f t="shared" si="4"/>
        <v>4.895846690057934</v>
      </c>
    </row>
    <row r="18" spans="1:41" x14ac:dyDescent="0.25">
      <c r="B18" s="1"/>
      <c r="C18" s="1"/>
      <c r="D18" s="1"/>
      <c r="E18" s="1"/>
      <c r="F18" s="1"/>
      <c r="G18" s="1"/>
      <c r="H18" s="1"/>
      <c r="I18" s="1"/>
      <c r="R18" s="1"/>
      <c r="V18" s="1"/>
      <c r="W18" s="1"/>
      <c r="X18" s="1"/>
      <c r="Y18" s="1"/>
      <c r="Z18" s="1"/>
      <c r="AA18" s="1"/>
      <c r="AE18" s="1"/>
      <c r="AF18" s="1" t="s">
        <v>41</v>
      </c>
      <c r="AG18" s="1">
        <v>38</v>
      </c>
      <c r="AH18" s="1">
        <v>105.10299999999999</v>
      </c>
      <c r="AI18" s="1">
        <f t="shared" si="4"/>
        <v>3.6155009847482948</v>
      </c>
    </row>
    <row r="19" spans="1:41" x14ac:dyDescent="0.25">
      <c r="A19" s="17" t="s">
        <v>48</v>
      </c>
      <c r="B19" s="34" t="s">
        <v>49</v>
      </c>
      <c r="C19" s="34"/>
      <c r="D19" s="34"/>
      <c r="E19" s="34"/>
      <c r="F19" s="34"/>
      <c r="G19" s="34"/>
      <c r="H19" s="34"/>
      <c r="I19" s="1"/>
      <c r="L19" s="1"/>
      <c r="M19" s="1"/>
      <c r="N19" s="1"/>
      <c r="O19" s="1"/>
      <c r="P19" s="1"/>
      <c r="Q19" s="1"/>
      <c r="R19" s="1"/>
      <c r="S19" s="1"/>
      <c r="V19" s="1"/>
      <c r="W19" s="1"/>
      <c r="X19" s="1"/>
      <c r="Y19" s="1"/>
      <c r="Z19" s="1"/>
      <c r="AA19" s="1"/>
      <c r="AF19" s="1"/>
    </row>
    <row r="20" spans="1:41" x14ac:dyDescent="0.25">
      <c r="B20" s="34"/>
      <c r="C20" s="34"/>
      <c r="D20" s="34"/>
      <c r="E20" s="34"/>
      <c r="F20" s="34"/>
      <c r="G20" s="34"/>
      <c r="H20" s="34"/>
      <c r="I20" s="1"/>
      <c r="L20" s="1"/>
      <c r="M20" s="1"/>
      <c r="N20" s="1"/>
      <c r="O20" s="1"/>
      <c r="P20" s="1"/>
      <c r="Q20" s="1"/>
      <c r="R20" s="1"/>
      <c r="S20" s="1"/>
      <c r="V20" s="1"/>
      <c r="W20" s="1"/>
      <c r="X20" s="1"/>
      <c r="Y20" s="1"/>
      <c r="Z20" s="1"/>
      <c r="AA20" s="1"/>
    </row>
    <row r="21" spans="1:41" x14ac:dyDescent="0.25">
      <c r="B21" s="34"/>
      <c r="C21" s="34"/>
      <c r="D21" s="34"/>
      <c r="E21" s="34"/>
      <c r="F21" s="34"/>
      <c r="G21" s="34"/>
      <c r="H21" s="34"/>
      <c r="I21" s="1"/>
      <c r="L21" s="1"/>
      <c r="M21" s="1"/>
      <c r="N21" s="1"/>
      <c r="O21" s="1"/>
      <c r="P21" s="1"/>
      <c r="Q21" s="1"/>
      <c r="R21" s="1"/>
      <c r="S21" s="1"/>
      <c r="V21" s="1"/>
      <c r="W21" s="1"/>
      <c r="X21" s="1"/>
      <c r="Y21" s="1"/>
      <c r="Z21" s="1"/>
      <c r="AA21" s="1"/>
    </row>
    <row r="22" spans="1:41" x14ac:dyDescent="0.25">
      <c r="B22" s="34"/>
      <c r="C22" s="34"/>
      <c r="D22" s="34"/>
      <c r="E22" s="34"/>
      <c r="F22" s="34"/>
      <c r="G22" s="34"/>
      <c r="H22" s="34"/>
      <c r="I22" s="6"/>
      <c r="L22" s="1"/>
      <c r="M22" s="1"/>
      <c r="N22" s="1"/>
      <c r="O22" s="1"/>
      <c r="P22" s="1"/>
      <c r="Q22" s="1"/>
      <c r="R22" s="1"/>
      <c r="S22" s="1"/>
      <c r="V22" s="1"/>
      <c r="W22" s="1"/>
      <c r="X22" s="1"/>
      <c r="Y22" s="1"/>
      <c r="Z22" s="1"/>
      <c r="AA22" s="1"/>
    </row>
    <row r="23" spans="1:41" x14ac:dyDescent="0.25">
      <c r="B23" s="34"/>
      <c r="C23" s="34"/>
      <c r="D23" s="34"/>
      <c r="E23" s="34"/>
      <c r="F23" s="34"/>
      <c r="G23" s="34"/>
      <c r="H23" s="34"/>
      <c r="I23" s="6"/>
      <c r="S23" s="1"/>
      <c r="V23" s="6"/>
      <c r="W23" s="6"/>
      <c r="X23" s="6"/>
      <c r="Y23" s="1"/>
      <c r="Z23" s="1"/>
      <c r="AA23" s="1"/>
    </row>
    <row r="24" spans="1:41" x14ac:dyDescent="0.25">
      <c r="B24" s="34"/>
      <c r="C24" s="34"/>
      <c r="D24" s="34"/>
      <c r="E24" s="34"/>
      <c r="F24" s="34"/>
      <c r="G24" s="34"/>
      <c r="H24" s="34"/>
      <c r="I24" s="9"/>
      <c r="S24" s="1"/>
      <c r="V24" s="6"/>
      <c r="W24" s="6"/>
      <c r="X24" s="6"/>
      <c r="Y24" s="1"/>
      <c r="Z24" s="1"/>
      <c r="AA24" s="1"/>
    </row>
    <row r="25" spans="1:41" x14ac:dyDescent="0.25">
      <c r="B25" s="8"/>
      <c r="C25" s="8"/>
      <c r="D25" s="8"/>
      <c r="E25" s="8"/>
      <c r="F25" s="8"/>
      <c r="G25" s="8"/>
      <c r="H25" s="8"/>
      <c r="I25" s="8"/>
      <c r="S25" s="1"/>
      <c r="V25" s="8"/>
      <c r="W25" s="8"/>
      <c r="X25" s="9"/>
      <c r="Y25" s="17"/>
      <c r="Z25" s="17"/>
      <c r="AA25" s="17"/>
      <c r="AB25" s="17"/>
      <c r="AC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x14ac:dyDescent="0.25">
      <c r="B26" s="6"/>
      <c r="C26" s="6"/>
      <c r="D26" s="6"/>
      <c r="E26" s="6"/>
      <c r="F26" s="6"/>
      <c r="G26" s="6"/>
      <c r="H26" s="6"/>
      <c r="I26" s="6"/>
      <c r="L26" s="7"/>
      <c r="M26" s="7"/>
      <c r="N26" s="7"/>
      <c r="O26" s="7"/>
      <c r="P26" s="7"/>
      <c r="Q26" s="7"/>
      <c r="R26" s="7"/>
      <c r="S26" s="6"/>
      <c r="V26" s="32"/>
      <c r="W26" s="32"/>
      <c r="X26" s="8"/>
      <c r="Y26" s="16"/>
      <c r="Z26" s="16"/>
      <c r="AA26" s="16"/>
      <c r="AB26" s="17"/>
      <c r="AC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</row>
    <row r="27" spans="1:41" x14ac:dyDescent="0.25">
      <c r="B27" s="6"/>
      <c r="C27" s="6"/>
      <c r="D27" s="6"/>
      <c r="E27" s="6"/>
      <c r="F27" s="6"/>
      <c r="G27" s="6"/>
      <c r="H27" s="6"/>
      <c r="I27" s="6"/>
      <c r="J27" s="1"/>
      <c r="K27" s="1"/>
      <c r="L27" s="7"/>
      <c r="M27" s="7"/>
      <c r="N27" s="7"/>
      <c r="O27" s="7"/>
      <c r="P27" s="7"/>
      <c r="Q27" s="7"/>
      <c r="R27" s="7"/>
      <c r="S27" s="6"/>
      <c r="T27" s="1"/>
      <c r="U27" s="1"/>
      <c r="V27" s="8"/>
      <c r="W27" s="8"/>
      <c r="X27" s="6"/>
      <c r="Y27" s="1"/>
      <c r="Z27" s="1"/>
      <c r="AA27" s="1"/>
    </row>
    <row r="28" spans="1:41" x14ac:dyDescent="0.25">
      <c r="B28" s="7"/>
      <c r="C28" s="7"/>
      <c r="D28" s="6"/>
      <c r="E28" s="6"/>
      <c r="F28" s="6"/>
      <c r="G28" s="6"/>
      <c r="H28" s="6"/>
      <c r="I28" s="7"/>
      <c r="J28" s="1"/>
      <c r="K28" s="1"/>
      <c r="L28" s="9"/>
      <c r="M28" s="9"/>
      <c r="N28" s="9"/>
      <c r="O28" s="9"/>
      <c r="P28" s="9"/>
      <c r="Q28" s="9"/>
      <c r="R28" s="9"/>
      <c r="S28" s="8"/>
      <c r="T28" s="1"/>
      <c r="U28" s="1"/>
      <c r="V28" s="6"/>
      <c r="W28" s="6"/>
      <c r="X28" s="6"/>
      <c r="Y28" s="1"/>
      <c r="Z28" s="1"/>
      <c r="AA28" s="1"/>
    </row>
    <row r="29" spans="1:41" x14ac:dyDescent="0.25">
      <c r="B29" s="7"/>
      <c r="C29" s="7"/>
      <c r="D29" s="6"/>
      <c r="E29" s="6"/>
      <c r="F29" s="6"/>
      <c r="G29" s="6"/>
      <c r="H29" s="6"/>
      <c r="I29" s="7"/>
      <c r="J29" s="1"/>
      <c r="K29" s="1"/>
      <c r="L29" s="8"/>
      <c r="M29" s="32"/>
      <c r="N29" s="32"/>
      <c r="O29" s="32"/>
      <c r="P29" s="32"/>
      <c r="Q29" s="8"/>
      <c r="R29" s="8"/>
      <c r="S29" s="8"/>
      <c r="T29" s="1"/>
      <c r="U29" s="1"/>
      <c r="V29" s="6"/>
      <c r="W29" s="6"/>
      <c r="X29" s="7"/>
    </row>
    <row r="30" spans="1:41" x14ac:dyDescent="0.25">
      <c r="B30" s="7"/>
      <c r="C30" s="7"/>
      <c r="D30" s="6"/>
      <c r="E30" s="6"/>
      <c r="F30" s="6"/>
      <c r="G30" s="6"/>
      <c r="H30" s="6"/>
      <c r="I30" s="7"/>
      <c r="J30" s="1"/>
      <c r="K30" s="1"/>
      <c r="L30" s="8"/>
      <c r="M30" s="8"/>
      <c r="N30" s="8"/>
      <c r="O30" s="8"/>
      <c r="P30" s="8"/>
      <c r="Q30" s="6"/>
      <c r="R30" s="6"/>
      <c r="S30" s="8"/>
      <c r="T30" s="1"/>
      <c r="U30" s="1"/>
      <c r="V30" s="6"/>
      <c r="W30" s="6"/>
      <c r="X30" s="7"/>
    </row>
    <row r="31" spans="1:41" x14ac:dyDescent="0.25">
      <c r="B31" s="7"/>
      <c r="C31" s="7"/>
      <c r="D31" s="6"/>
      <c r="E31" s="6"/>
      <c r="F31" s="6"/>
      <c r="G31" s="6"/>
      <c r="H31" s="6"/>
      <c r="I31" s="7"/>
      <c r="L31" s="6"/>
      <c r="M31" s="6"/>
      <c r="N31" s="6"/>
      <c r="O31" s="6"/>
      <c r="P31" s="6"/>
      <c r="Q31" s="6"/>
      <c r="R31" s="6"/>
      <c r="S31" s="6"/>
      <c r="T31" s="1"/>
      <c r="U31" s="1"/>
      <c r="V31" s="6"/>
      <c r="W31" s="6"/>
      <c r="X31" s="7"/>
    </row>
    <row r="32" spans="1:41" x14ac:dyDescent="0.25">
      <c r="B32" s="7"/>
      <c r="C32" s="7"/>
      <c r="D32" s="7"/>
      <c r="E32" s="6"/>
      <c r="F32" s="6"/>
      <c r="G32" s="6"/>
      <c r="H32" s="6"/>
      <c r="I32" s="7"/>
      <c r="L32" s="6"/>
      <c r="M32" s="6"/>
      <c r="N32" s="6"/>
      <c r="O32" s="6"/>
      <c r="P32" s="6"/>
      <c r="Q32" s="7"/>
      <c r="R32" s="7"/>
      <c r="S32" s="6"/>
      <c r="T32" s="1"/>
      <c r="U32" s="1"/>
      <c r="V32" s="6"/>
      <c r="W32" s="6"/>
      <c r="X32" s="7"/>
    </row>
    <row r="33" spans="2:41" x14ac:dyDescent="0.25">
      <c r="B33" s="7"/>
      <c r="C33" s="7"/>
      <c r="D33" s="7"/>
      <c r="E33" s="6"/>
      <c r="F33" s="6"/>
      <c r="G33" s="6"/>
      <c r="H33" s="6"/>
      <c r="I33" s="7"/>
      <c r="L33" s="6"/>
      <c r="M33" s="6"/>
      <c r="N33" s="6"/>
      <c r="O33" s="6"/>
      <c r="P33" s="6"/>
      <c r="Q33" s="7"/>
      <c r="R33" s="7"/>
      <c r="S33" s="6"/>
      <c r="T33" s="1"/>
      <c r="U33" s="1"/>
      <c r="V33" s="6"/>
      <c r="W33" s="6"/>
      <c r="X33" s="7"/>
    </row>
    <row r="34" spans="2:41" x14ac:dyDescent="0.25">
      <c r="B34" s="7"/>
      <c r="C34" s="7"/>
      <c r="D34" s="7"/>
      <c r="E34" s="6"/>
      <c r="F34" s="6"/>
      <c r="G34" s="6"/>
      <c r="H34" s="6"/>
      <c r="I34" s="7"/>
      <c r="J34" s="7"/>
      <c r="K34" s="7"/>
      <c r="L34" s="6"/>
      <c r="M34" s="6"/>
      <c r="N34" s="6"/>
      <c r="O34" s="6"/>
      <c r="P34" s="6"/>
      <c r="Q34" s="7"/>
      <c r="R34" s="7"/>
      <c r="S34" s="6"/>
      <c r="T34" s="6"/>
      <c r="U34" s="6"/>
      <c r="V34" s="6"/>
      <c r="W34" s="6"/>
      <c r="X34" s="7"/>
    </row>
    <row r="35" spans="2:41" x14ac:dyDescent="0.25">
      <c r="B35" s="7"/>
      <c r="C35" s="7"/>
      <c r="D35" s="7"/>
      <c r="E35" s="6"/>
      <c r="F35" s="6"/>
      <c r="G35" s="6"/>
      <c r="H35" s="6"/>
      <c r="I35" s="7"/>
      <c r="J35" s="7"/>
      <c r="K35" s="7"/>
      <c r="L35" s="6"/>
      <c r="M35" s="6"/>
      <c r="N35" s="6"/>
      <c r="O35" s="6"/>
      <c r="P35" s="6"/>
      <c r="Q35" s="7"/>
      <c r="R35" s="7"/>
      <c r="S35" s="6"/>
      <c r="T35" s="6"/>
      <c r="U35" s="6"/>
      <c r="V35" s="6"/>
      <c r="W35" s="6"/>
      <c r="X35" s="7"/>
    </row>
    <row r="36" spans="2:41" s="17" customFormat="1" x14ac:dyDescent="0.25">
      <c r="B36" s="7"/>
      <c r="C36" s="7"/>
      <c r="D36" s="7"/>
      <c r="E36" s="6"/>
      <c r="F36" s="6"/>
      <c r="G36" s="6"/>
      <c r="H36" s="6"/>
      <c r="I36" s="7"/>
      <c r="J36" s="9"/>
      <c r="K36" s="9"/>
      <c r="L36" s="6"/>
      <c r="M36" s="6"/>
      <c r="N36" s="6"/>
      <c r="O36" s="6"/>
      <c r="P36" s="6"/>
      <c r="Q36" s="7"/>
      <c r="R36" s="7"/>
      <c r="S36" s="6"/>
      <c r="T36" s="8"/>
      <c r="U36" s="8"/>
      <c r="V36" s="6"/>
      <c r="W36" s="6"/>
      <c r="X36" s="7"/>
      <c r="Y36" s="2"/>
      <c r="Z36" s="2"/>
      <c r="AA36" s="2"/>
      <c r="AB36" s="2"/>
      <c r="AC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2:41" s="17" customFormat="1" x14ac:dyDescent="0.25">
      <c r="B37" s="7"/>
      <c r="C37" s="7"/>
      <c r="D37" s="7"/>
      <c r="E37" s="6"/>
      <c r="F37" s="6"/>
      <c r="G37" s="6"/>
      <c r="H37" s="6"/>
      <c r="I37" s="7"/>
      <c r="J37" s="9"/>
      <c r="K37" s="8"/>
      <c r="L37" s="6"/>
      <c r="M37" s="6"/>
      <c r="N37" s="6"/>
      <c r="O37" s="6"/>
      <c r="P37" s="6"/>
      <c r="Q37" s="7"/>
      <c r="R37" s="7"/>
      <c r="S37" s="6"/>
      <c r="T37" s="32"/>
      <c r="U37" s="32"/>
      <c r="V37" s="6"/>
      <c r="W37" s="6"/>
      <c r="X37" s="7"/>
      <c r="Y37" s="2"/>
      <c r="Z37" s="2"/>
      <c r="AA37" s="2"/>
      <c r="AB37" s="2"/>
      <c r="AC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2:41" x14ac:dyDescent="0.25">
      <c r="B38" s="7"/>
      <c r="C38" s="7"/>
      <c r="D38" s="7"/>
      <c r="E38" s="6"/>
      <c r="F38" s="6"/>
      <c r="G38" s="6"/>
      <c r="H38" s="6"/>
      <c r="I38" s="7"/>
      <c r="J38" s="7"/>
      <c r="K38" s="8"/>
      <c r="L38" s="6"/>
      <c r="M38" s="6"/>
      <c r="N38" s="6"/>
      <c r="O38" s="6"/>
      <c r="P38" s="6"/>
      <c r="Q38" s="7"/>
      <c r="R38" s="7"/>
      <c r="S38" s="6"/>
      <c r="T38" s="8"/>
      <c r="U38" s="8"/>
      <c r="V38" s="6"/>
      <c r="W38" s="6"/>
      <c r="X38" s="7"/>
    </row>
    <row r="39" spans="2:41" x14ac:dyDescent="0.25">
      <c r="B39" s="7"/>
      <c r="C39" s="7"/>
      <c r="D39" s="7"/>
      <c r="E39" s="7"/>
      <c r="F39" s="7"/>
      <c r="G39" s="6"/>
      <c r="H39" s="6"/>
      <c r="I39" s="7"/>
      <c r="J39" s="7"/>
      <c r="K39" s="6"/>
      <c r="L39" s="6"/>
      <c r="M39" s="6"/>
      <c r="N39" s="6"/>
      <c r="O39" s="6"/>
      <c r="P39" s="6"/>
      <c r="Q39" s="7"/>
      <c r="R39" s="7"/>
      <c r="S39" s="6"/>
      <c r="T39" s="6"/>
      <c r="U39" s="6"/>
      <c r="V39" s="6"/>
      <c r="W39" s="6"/>
      <c r="X39" s="7"/>
    </row>
    <row r="40" spans="2:41" x14ac:dyDescent="0.25">
      <c r="B40" s="7"/>
      <c r="C40" s="7"/>
      <c r="D40" s="7"/>
      <c r="E40" s="7"/>
      <c r="F40" s="7"/>
      <c r="G40" s="6"/>
      <c r="H40" s="6"/>
      <c r="I40" s="7"/>
      <c r="J40" s="7"/>
      <c r="K40" s="6"/>
      <c r="L40" s="6"/>
      <c r="M40" s="6"/>
      <c r="N40" s="6"/>
      <c r="O40" s="6"/>
      <c r="P40" s="6"/>
      <c r="Q40" s="7"/>
      <c r="R40" s="7"/>
      <c r="S40" s="6"/>
      <c r="T40" s="6"/>
      <c r="U40" s="6"/>
      <c r="V40" s="6"/>
      <c r="W40" s="6"/>
      <c r="X40" s="7"/>
    </row>
    <row r="41" spans="2:41" x14ac:dyDescent="0.25">
      <c r="B41" s="7"/>
      <c r="C41" s="7"/>
      <c r="D41" s="7"/>
      <c r="E41" s="7"/>
      <c r="F41" s="7"/>
      <c r="G41" s="6"/>
      <c r="H41" s="6"/>
      <c r="I41" s="7"/>
      <c r="J41" s="7"/>
      <c r="K41" s="6"/>
      <c r="L41" s="6"/>
      <c r="M41" s="6"/>
      <c r="N41" s="6"/>
      <c r="O41" s="6"/>
      <c r="P41" s="6"/>
      <c r="Q41" s="7"/>
      <c r="R41" s="7"/>
      <c r="S41" s="6"/>
      <c r="T41" s="6"/>
      <c r="U41" s="6"/>
      <c r="V41" s="6"/>
      <c r="W41" s="6"/>
      <c r="X41" s="7"/>
    </row>
    <row r="42" spans="2:41" x14ac:dyDescent="0.25">
      <c r="B42" s="7"/>
      <c r="C42" s="7"/>
      <c r="D42" s="7"/>
      <c r="E42" s="7"/>
      <c r="F42" s="7"/>
      <c r="G42" s="7"/>
      <c r="H42" s="7"/>
      <c r="I42" s="7"/>
      <c r="J42" s="7"/>
      <c r="K42" s="6"/>
      <c r="L42" s="6"/>
      <c r="M42" s="6"/>
      <c r="N42" s="6"/>
      <c r="O42" s="6"/>
      <c r="P42" s="6"/>
      <c r="Q42" s="7"/>
      <c r="R42" s="7"/>
      <c r="S42" s="6"/>
      <c r="T42" s="6"/>
      <c r="U42" s="6"/>
      <c r="V42" s="6"/>
      <c r="W42" s="6"/>
      <c r="X42" s="7"/>
    </row>
    <row r="43" spans="2:41" x14ac:dyDescent="0.25">
      <c r="B43" s="7"/>
      <c r="C43" s="6"/>
      <c r="D43" s="6"/>
      <c r="E43" s="6"/>
      <c r="F43" s="6"/>
      <c r="G43" s="6"/>
      <c r="H43" s="6"/>
      <c r="I43" s="7"/>
      <c r="J43" s="7"/>
      <c r="K43" s="6"/>
      <c r="L43" s="6"/>
      <c r="M43" s="6"/>
      <c r="N43" s="6"/>
      <c r="O43" s="6"/>
      <c r="P43" s="6"/>
      <c r="Q43" s="7"/>
      <c r="R43" s="7"/>
      <c r="S43" s="6"/>
      <c r="T43" s="6"/>
      <c r="U43" s="6"/>
      <c r="V43" s="7"/>
      <c r="W43" s="7"/>
      <c r="X43" s="7"/>
    </row>
    <row r="44" spans="2:41" x14ac:dyDescent="0.25">
      <c r="B44" s="7"/>
      <c r="C44" s="6"/>
      <c r="D44" s="6"/>
      <c r="E44" s="6"/>
      <c r="F44" s="6"/>
      <c r="G44" s="6"/>
      <c r="H44" s="6"/>
      <c r="I44" s="7"/>
      <c r="J44" s="7"/>
      <c r="K44" s="6"/>
      <c r="L44" s="6"/>
      <c r="M44" s="6"/>
      <c r="N44" s="6"/>
      <c r="O44" s="6"/>
      <c r="P44" s="6"/>
      <c r="Q44" s="7"/>
      <c r="R44" s="7"/>
      <c r="S44" s="7"/>
      <c r="T44" s="6"/>
      <c r="U44" s="6"/>
      <c r="V44" s="6"/>
      <c r="W44" s="6"/>
      <c r="X44" s="7"/>
    </row>
    <row r="45" spans="2:41" x14ac:dyDescent="0.25">
      <c r="B45" s="7"/>
      <c r="C45" s="6"/>
      <c r="D45" s="6"/>
      <c r="E45" s="6"/>
      <c r="F45" s="6"/>
      <c r="G45" s="6"/>
      <c r="H45" s="6"/>
      <c r="I45" s="7"/>
      <c r="J45" s="7"/>
      <c r="K45" s="6"/>
      <c r="L45" s="6"/>
      <c r="M45" s="6"/>
      <c r="N45" s="6"/>
      <c r="O45" s="6"/>
      <c r="P45" s="6"/>
      <c r="Q45" s="7"/>
      <c r="R45" s="7"/>
      <c r="S45" s="7"/>
      <c r="T45" s="6"/>
      <c r="U45" s="6"/>
      <c r="V45" s="6"/>
      <c r="W45" s="6"/>
      <c r="X45" s="7"/>
    </row>
    <row r="46" spans="2:41" x14ac:dyDescent="0.25">
      <c r="B46" s="7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7"/>
      <c r="R46" s="7"/>
      <c r="S46" s="7"/>
      <c r="T46" s="6"/>
      <c r="U46" s="6"/>
      <c r="V46" s="6"/>
      <c r="W46" s="6"/>
      <c r="X46" s="7"/>
    </row>
    <row r="47" spans="2:41" ht="15" customHeight="1" x14ac:dyDescent="0.25">
      <c r="B47" s="7"/>
      <c r="C47" s="7"/>
      <c r="D47" s="7"/>
      <c r="E47" s="7"/>
      <c r="F47" s="7"/>
      <c r="G47" s="7"/>
      <c r="H47" s="7"/>
      <c r="I47" s="7"/>
      <c r="J47" s="6"/>
      <c r="K47" s="6"/>
      <c r="L47" s="6"/>
      <c r="M47" s="6"/>
      <c r="N47" s="6"/>
      <c r="O47" s="6"/>
      <c r="P47" s="6"/>
      <c r="Q47" s="7"/>
      <c r="R47" s="7"/>
      <c r="S47" s="6"/>
      <c r="T47" s="6"/>
      <c r="U47" s="6"/>
      <c r="V47" s="6"/>
      <c r="W47" s="6"/>
      <c r="X47" s="7"/>
    </row>
    <row r="48" spans="2:41" x14ac:dyDescent="0.25">
      <c r="B48" s="7"/>
      <c r="C48" s="7"/>
      <c r="D48" s="7"/>
      <c r="E48" s="7"/>
      <c r="F48" s="7"/>
      <c r="G48" s="7"/>
      <c r="H48" s="7"/>
      <c r="I48" s="7"/>
      <c r="J48" s="6"/>
      <c r="K48" s="6"/>
      <c r="L48" s="6"/>
      <c r="M48" s="6"/>
      <c r="N48" s="6"/>
      <c r="O48" s="6"/>
      <c r="P48" s="6"/>
      <c r="Q48" s="7"/>
      <c r="R48" s="7"/>
      <c r="S48" s="6"/>
      <c r="T48" s="6"/>
      <c r="U48" s="6"/>
      <c r="V48" s="7"/>
      <c r="W48" s="7"/>
      <c r="X48" s="7"/>
    </row>
    <row r="49" spans="2:24" x14ac:dyDescent="0.25">
      <c r="B49" s="7"/>
      <c r="C49" s="7"/>
      <c r="D49" s="7"/>
      <c r="E49" s="7"/>
      <c r="F49" s="7"/>
      <c r="G49" s="7"/>
      <c r="H49" s="7"/>
      <c r="I49" s="7"/>
      <c r="J49" s="6"/>
      <c r="K49" s="6"/>
      <c r="L49" s="6"/>
      <c r="M49" s="6"/>
      <c r="N49" s="6"/>
      <c r="O49" s="6"/>
      <c r="P49" s="6"/>
      <c r="Q49" s="7"/>
      <c r="R49" s="7"/>
      <c r="S49" s="6"/>
      <c r="T49" s="6"/>
      <c r="U49" s="6"/>
      <c r="V49" s="7"/>
      <c r="W49" s="7"/>
      <c r="X49" s="7"/>
    </row>
    <row r="50" spans="2:24" ht="16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6"/>
      <c r="L50" s="6"/>
      <c r="M50" s="6"/>
      <c r="N50" s="6"/>
      <c r="O50" s="6"/>
      <c r="P50" s="6"/>
      <c r="Q50" s="7"/>
      <c r="R50" s="7"/>
      <c r="S50" s="6"/>
      <c r="T50" s="6"/>
      <c r="U50" s="6"/>
      <c r="V50" s="7"/>
      <c r="W50" s="7"/>
      <c r="X50" s="7"/>
    </row>
    <row r="51" spans="2:24" x14ac:dyDescent="0.25">
      <c r="B51" s="7"/>
      <c r="C51" s="7"/>
      <c r="D51" s="7"/>
      <c r="E51" s="7"/>
      <c r="F51" s="7"/>
      <c r="G51" s="7"/>
      <c r="H51" s="7"/>
      <c r="I51" s="7"/>
      <c r="J51" s="7"/>
      <c r="K51" s="6"/>
      <c r="L51" s="7"/>
      <c r="M51" s="7"/>
      <c r="N51" s="7"/>
      <c r="O51" s="7"/>
      <c r="P51" s="7"/>
      <c r="Q51" s="7"/>
      <c r="R51" s="7"/>
      <c r="S51" s="7"/>
      <c r="T51" s="6"/>
      <c r="U51" s="6"/>
      <c r="V51" s="7"/>
      <c r="W51" s="7"/>
      <c r="X51" s="7"/>
    </row>
    <row r="52" spans="2:24" x14ac:dyDescent="0.25">
      <c r="B52" s="7"/>
      <c r="C52" s="7"/>
      <c r="D52" s="7"/>
      <c r="E52" s="7"/>
      <c r="F52" s="7"/>
      <c r="G52" s="7"/>
      <c r="H52" s="7"/>
      <c r="I52" s="7"/>
      <c r="J52" s="7"/>
      <c r="K52" s="6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2:24" x14ac:dyDescent="0.25">
      <c r="B53" s="7"/>
      <c r="C53" s="7"/>
      <c r="D53" s="7"/>
      <c r="E53" s="7"/>
      <c r="F53" s="7"/>
      <c r="G53" s="7"/>
      <c r="H53" s="7"/>
      <c r="I53" s="7"/>
      <c r="J53" s="7"/>
      <c r="K53" s="6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2:24" x14ac:dyDescent="0.25">
      <c r="B54" s="7"/>
      <c r="C54" s="7"/>
      <c r="D54" s="7"/>
      <c r="E54" s="7"/>
      <c r="F54" s="7"/>
      <c r="G54" s="7"/>
      <c r="H54" s="7"/>
      <c r="I54" s="7"/>
      <c r="J54" s="7"/>
      <c r="K54" s="6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2:24" x14ac:dyDescent="0.25">
      <c r="B55" s="7"/>
      <c r="C55" s="7"/>
      <c r="D55" s="7"/>
      <c r="E55" s="7"/>
      <c r="F55" s="7"/>
      <c r="G55" s="7"/>
      <c r="H55" s="7"/>
      <c r="I55" s="7"/>
      <c r="J55" s="7"/>
      <c r="K55" s="6"/>
      <c r="L55" s="7"/>
      <c r="M55" s="7"/>
      <c r="N55" s="7"/>
      <c r="O55" s="7"/>
      <c r="P55" s="7"/>
      <c r="Q55" s="7"/>
      <c r="R55" s="7"/>
      <c r="S55" s="7"/>
      <c r="T55" s="6"/>
      <c r="U55" s="6"/>
      <c r="V55" s="7"/>
      <c r="W55" s="7"/>
      <c r="X55" s="7"/>
    </row>
    <row r="56" spans="2:24" x14ac:dyDescent="0.25">
      <c r="B56" s="7"/>
      <c r="C56" s="7"/>
      <c r="D56" s="7"/>
      <c r="E56" s="7"/>
      <c r="F56" s="7"/>
      <c r="G56" s="7"/>
      <c r="H56" s="7"/>
      <c r="I56" s="7"/>
      <c r="J56" s="7"/>
      <c r="K56" s="6"/>
      <c r="L56" s="7"/>
      <c r="M56" s="7"/>
      <c r="N56" s="7"/>
      <c r="O56" s="7"/>
      <c r="P56" s="7"/>
      <c r="Q56" s="7"/>
      <c r="R56" s="7"/>
      <c r="S56" s="7"/>
      <c r="T56" s="6"/>
      <c r="U56" s="6"/>
      <c r="V56" s="7"/>
      <c r="W56" s="7"/>
      <c r="X56" s="7"/>
    </row>
    <row r="57" spans="2:24" x14ac:dyDescent="0.25">
      <c r="B57" s="7"/>
      <c r="C57" s="7"/>
      <c r="D57" s="7"/>
      <c r="E57" s="7"/>
      <c r="F57" s="7"/>
      <c r="G57" s="7"/>
      <c r="H57" s="7"/>
      <c r="I57" s="7"/>
      <c r="J57" s="7"/>
      <c r="K57" s="6"/>
      <c r="L57" s="7"/>
      <c r="M57" s="7"/>
      <c r="N57" s="7"/>
      <c r="O57" s="7"/>
      <c r="P57" s="7"/>
      <c r="Q57" s="7"/>
      <c r="R57" s="7"/>
      <c r="S57" s="7"/>
      <c r="T57" s="6"/>
      <c r="U57" s="6"/>
      <c r="V57" s="7"/>
      <c r="W57" s="7"/>
      <c r="X57" s="7"/>
    </row>
    <row r="58" spans="2:24" x14ac:dyDescent="0.25">
      <c r="B58" s="7"/>
      <c r="C58" s="7"/>
      <c r="D58" s="7"/>
      <c r="E58" s="7"/>
      <c r="F58" s="7"/>
      <c r="G58" s="7"/>
      <c r="H58" s="7"/>
      <c r="I58" s="7"/>
      <c r="J58" s="7"/>
      <c r="K58" s="6"/>
      <c r="L58" s="7"/>
      <c r="M58" s="7"/>
      <c r="N58" s="7"/>
      <c r="O58" s="7"/>
      <c r="P58" s="7"/>
      <c r="Q58" s="7"/>
      <c r="R58" s="7"/>
      <c r="S58" s="7"/>
      <c r="T58" s="6"/>
      <c r="U58" s="6"/>
      <c r="V58" s="7"/>
      <c r="W58" s="7"/>
      <c r="X58" s="7"/>
    </row>
    <row r="59" spans="2:24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2:24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2:24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2:24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6"/>
      <c r="M62" s="6"/>
      <c r="N62" s="7"/>
      <c r="O62" s="7"/>
      <c r="P62" s="7"/>
      <c r="Q62" s="7"/>
      <c r="R62" s="7"/>
      <c r="S62" s="6"/>
      <c r="T62" s="7"/>
      <c r="U62" s="7"/>
      <c r="V62" s="7"/>
      <c r="W62" s="7"/>
      <c r="X62" s="7"/>
    </row>
    <row r="63" spans="2:24" x14ac:dyDescent="0.25">
      <c r="B63" s="7"/>
      <c r="C63" s="7"/>
      <c r="D63" s="6"/>
      <c r="E63" s="6"/>
      <c r="F63" s="6"/>
      <c r="G63" s="6"/>
      <c r="H63" s="10"/>
      <c r="I63" s="7"/>
      <c r="J63" s="7"/>
      <c r="K63" s="7"/>
      <c r="L63" s="6"/>
      <c r="M63" s="6"/>
      <c r="N63" s="7"/>
      <c r="O63" s="7"/>
      <c r="P63" s="7"/>
      <c r="Q63" s="7"/>
      <c r="R63" s="7"/>
      <c r="S63" s="6"/>
      <c r="T63" s="7"/>
      <c r="U63" s="7"/>
      <c r="V63" s="7"/>
      <c r="W63" s="7"/>
      <c r="X63" s="7"/>
    </row>
    <row r="64" spans="2:24" x14ac:dyDescent="0.25">
      <c r="B64" s="7"/>
      <c r="C64" s="7"/>
      <c r="D64" s="11"/>
      <c r="E64" s="6"/>
      <c r="F64" s="6"/>
      <c r="G64" s="6"/>
      <c r="H64" s="6"/>
      <c r="I64" s="7"/>
      <c r="J64" s="7"/>
      <c r="K64" s="7"/>
      <c r="L64" s="6"/>
      <c r="M64" s="6"/>
      <c r="N64" s="7"/>
      <c r="O64" s="7"/>
      <c r="P64" s="7"/>
      <c r="Q64" s="7"/>
      <c r="R64" s="7"/>
      <c r="S64" s="6"/>
      <c r="T64" s="7"/>
      <c r="U64" s="7"/>
      <c r="V64" s="7"/>
      <c r="W64" s="7"/>
      <c r="X64" s="7"/>
    </row>
    <row r="65" spans="2:24" x14ac:dyDescent="0.25">
      <c r="B65" s="7"/>
      <c r="C65" s="7"/>
      <c r="D65" s="11"/>
      <c r="E65" s="6"/>
      <c r="F65" s="6"/>
      <c r="G65" s="6"/>
      <c r="H65" s="6"/>
      <c r="I65" s="7"/>
      <c r="J65" s="7"/>
      <c r="K65" s="7"/>
      <c r="L65" s="6"/>
      <c r="M65" s="6"/>
      <c r="N65" s="7"/>
      <c r="O65" s="7"/>
      <c r="P65" s="7"/>
      <c r="Q65" s="7"/>
      <c r="R65" s="7"/>
      <c r="S65" s="6"/>
      <c r="T65" s="7"/>
      <c r="U65" s="7"/>
      <c r="V65" s="7"/>
      <c r="W65" s="7"/>
      <c r="X65" s="7"/>
    </row>
    <row r="66" spans="2:24" x14ac:dyDescent="0.25">
      <c r="B66" s="7"/>
      <c r="C66" s="7"/>
      <c r="D66" s="6"/>
      <c r="E66" s="6"/>
      <c r="F66" s="6"/>
      <c r="G66" s="6"/>
      <c r="H66" s="6"/>
      <c r="I66" s="7"/>
      <c r="J66" s="7"/>
      <c r="K66" s="7"/>
      <c r="L66" s="6"/>
      <c r="M66" s="6"/>
      <c r="N66" s="7"/>
      <c r="O66" s="7"/>
      <c r="P66" s="7"/>
      <c r="Q66" s="7"/>
      <c r="R66" s="7"/>
      <c r="S66" s="6"/>
      <c r="T66" s="7"/>
      <c r="U66" s="7"/>
      <c r="V66" s="7"/>
      <c r="W66" s="7"/>
      <c r="X66" s="7"/>
    </row>
    <row r="67" spans="2:24" x14ac:dyDescent="0.25">
      <c r="B67" s="7"/>
      <c r="C67" s="7"/>
      <c r="D67" s="6"/>
      <c r="E67" s="6"/>
      <c r="F67" s="6"/>
      <c r="G67" s="6"/>
      <c r="H67" s="6"/>
      <c r="I67" s="7"/>
      <c r="J67" s="7"/>
      <c r="K67" s="7"/>
      <c r="L67" s="6"/>
      <c r="M67" s="6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2:24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6"/>
      <c r="M68" s="6"/>
      <c r="N68" s="7"/>
      <c r="O68" s="7"/>
      <c r="P68" s="7"/>
      <c r="Q68" s="7"/>
      <c r="R68" s="7"/>
      <c r="S68" s="6"/>
      <c r="T68" s="7"/>
      <c r="U68" s="7"/>
      <c r="V68" s="7"/>
      <c r="W68" s="7"/>
      <c r="X68" s="7"/>
    </row>
    <row r="69" spans="2:24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6"/>
      <c r="M69" s="6"/>
      <c r="N69" s="7"/>
      <c r="O69" s="7"/>
      <c r="P69" s="7"/>
      <c r="Q69" s="7"/>
      <c r="R69" s="7"/>
      <c r="S69" s="6"/>
      <c r="T69" s="7"/>
      <c r="U69" s="7"/>
      <c r="V69" s="7"/>
      <c r="W69" s="7"/>
      <c r="X69" s="7"/>
    </row>
    <row r="70" spans="2:24" x14ac:dyDescent="0.25">
      <c r="B70" s="7"/>
      <c r="C70" s="7"/>
      <c r="D70" s="7"/>
      <c r="E70" s="7"/>
      <c r="F70" s="7"/>
      <c r="G70" s="7"/>
      <c r="H70" s="7"/>
      <c r="I70" s="7"/>
      <c r="J70" s="6"/>
      <c r="K70" s="6"/>
      <c r="L70" s="7"/>
      <c r="M70" s="7"/>
      <c r="N70" s="7"/>
      <c r="O70" s="7"/>
      <c r="P70" s="7"/>
      <c r="Q70" s="7"/>
      <c r="R70" s="7"/>
      <c r="S70" s="6"/>
      <c r="T70" s="6"/>
      <c r="U70" s="7"/>
      <c r="V70" s="7"/>
      <c r="W70" s="7"/>
      <c r="X70" s="7"/>
    </row>
    <row r="71" spans="2:24" x14ac:dyDescent="0.25">
      <c r="B71" s="7"/>
      <c r="C71" s="7"/>
      <c r="D71" s="7"/>
      <c r="E71" s="7"/>
      <c r="F71" s="7"/>
      <c r="G71" s="7"/>
      <c r="H71" s="7"/>
      <c r="I71" s="7"/>
      <c r="J71" s="6"/>
      <c r="K71" s="6"/>
      <c r="L71" s="7"/>
      <c r="M71" s="7"/>
      <c r="N71" s="7"/>
      <c r="O71" s="7"/>
      <c r="P71" s="7"/>
      <c r="Q71" s="7"/>
      <c r="R71" s="7"/>
      <c r="S71" s="7"/>
      <c r="T71" s="6"/>
      <c r="U71" s="7"/>
      <c r="V71" s="7"/>
      <c r="W71" s="7"/>
      <c r="X71" s="7"/>
    </row>
    <row r="72" spans="2:24" x14ac:dyDescent="0.25">
      <c r="B72" s="7"/>
      <c r="C72" s="7"/>
      <c r="D72" s="7"/>
      <c r="E72" s="7"/>
      <c r="F72" s="7"/>
      <c r="G72" s="7"/>
      <c r="H72" s="7"/>
      <c r="I72" s="7"/>
      <c r="J72" s="6"/>
      <c r="K72" s="6"/>
      <c r="L72" s="7"/>
      <c r="M72" s="7"/>
      <c r="N72" s="7"/>
      <c r="O72" s="7"/>
      <c r="P72" s="7"/>
      <c r="Q72" s="7"/>
      <c r="R72" s="7"/>
      <c r="S72" s="7"/>
      <c r="T72" s="6"/>
      <c r="U72" s="7"/>
      <c r="V72" s="7"/>
      <c r="W72" s="7"/>
      <c r="X72" s="7"/>
    </row>
    <row r="73" spans="2:24" x14ac:dyDescent="0.25">
      <c r="B73" s="7"/>
      <c r="C73" s="7"/>
      <c r="D73" s="7"/>
      <c r="E73" s="7"/>
      <c r="F73" s="7"/>
      <c r="G73" s="7"/>
      <c r="H73" s="7"/>
      <c r="I73" s="7"/>
      <c r="J73" s="6"/>
      <c r="K73" s="6"/>
      <c r="L73" s="7"/>
      <c r="M73" s="7"/>
      <c r="N73" s="7"/>
      <c r="O73" s="7"/>
      <c r="P73" s="7"/>
      <c r="Q73" s="7"/>
      <c r="R73" s="7"/>
      <c r="S73" s="7"/>
      <c r="T73" s="6"/>
      <c r="U73" s="7"/>
      <c r="V73" s="7"/>
      <c r="W73" s="7"/>
      <c r="X73" s="7"/>
    </row>
    <row r="74" spans="2:24" x14ac:dyDescent="0.25">
      <c r="B74" s="7"/>
      <c r="C74" s="7"/>
      <c r="D74" s="7"/>
      <c r="E74" s="7"/>
      <c r="F74" s="7"/>
      <c r="G74" s="7"/>
      <c r="H74" s="7"/>
      <c r="I74" s="7"/>
      <c r="J74" s="7"/>
      <c r="K74" s="6"/>
      <c r="L74" s="7"/>
      <c r="M74" s="7"/>
      <c r="N74" s="7"/>
      <c r="O74" s="7"/>
      <c r="P74" s="7"/>
      <c r="Q74" s="7"/>
      <c r="R74" s="7"/>
      <c r="S74" s="7"/>
      <c r="T74" s="6"/>
      <c r="U74" s="7"/>
      <c r="V74" s="7"/>
      <c r="W74" s="7"/>
      <c r="X74" s="7"/>
    </row>
    <row r="75" spans="2:24" x14ac:dyDescent="0.25">
      <c r="B75" s="7"/>
      <c r="C75" s="7"/>
      <c r="D75" s="7"/>
      <c r="E75" s="7"/>
      <c r="F75" s="7"/>
      <c r="G75" s="7"/>
      <c r="H75" s="7"/>
      <c r="I75" s="7"/>
      <c r="J75" s="6"/>
      <c r="K75" s="6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2:24" ht="15" customHeight="1" x14ac:dyDescent="0.25">
      <c r="B76" s="7"/>
      <c r="C76" s="7"/>
      <c r="D76" s="7"/>
      <c r="E76" s="7"/>
      <c r="F76" s="7"/>
      <c r="G76" s="7"/>
      <c r="H76" s="7"/>
      <c r="I76" s="7"/>
      <c r="J76" s="6"/>
      <c r="K76" s="6"/>
      <c r="L76" s="7"/>
      <c r="M76" s="7"/>
      <c r="N76" s="7"/>
      <c r="O76" s="7"/>
      <c r="P76" s="7"/>
      <c r="Q76" s="7"/>
      <c r="R76" s="7"/>
      <c r="S76" s="7"/>
      <c r="T76" s="6"/>
      <c r="U76" s="7"/>
      <c r="V76" s="7"/>
      <c r="W76" s="7"/>
      <c r="X76" s="7"/>
    </row>
    <row r="77" spans="2:24" x14ac:dyDescent="0.25">
      <c r="B77" s="7"/>
      <c r="C77" s="7"/>
      <c r="D77" s="7"/>
      <c r="E77" s="7"/>
      <c r="F77" s="7"/>
      <c r="G77" s="7"/>
      <c r="H77" s="7"/>
      <c r="I77" s="7"/>
      <c r="J77" s="6"/>
      <c r="K77" s="6"/>
      <c r="L77" s="7"/>
      <c r="M77" s="7"/>
      <c r="N77" s="7"/>
      <c r="O77" s="7"/>
      <c r="P77" s="7"/>
      <c r="Q77" s="7"/>
      <c r="R77" s="7"/>
      <c r="S77" s="7"/>
      <c r="T77" s="6"/>
      <c r="U77" s="7"/>
      <c r="V77" s="7"/>
      <c r="W77" s="7"/>
      <c r="X77" s="7"/>
    </row>
    <row r="78" spans="2:24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6"/>
      <c r="U78" s="7"/>
      <c r="V78" s="7"/>
      <c r="W78" s="7"/>
      <c r="X78" s="7"/>
    </row>
    <row r="79" spans="2:24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2:24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2:24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2:24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2:24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2:24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2:24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2:24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2:24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2:24" x14ac:dyDescent="0.25"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2:24" x14ac:dyDescent="0.25"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2:24" x14ac:dyDescent="0.25"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2:24" x14ac:dyDescent="0.25"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2:24" x14ac:dyDescent="0.25">
      <c r="J92" s="7"/>
      <c r="K92" s="7"/>
      <c r="T92" s="7"/>
      <c r="U92" s="7"/>
    </row>
    <row r="93" spans="2:24" x14ac:dyDescent="0.25">
      <c r="J93" s="7"/>
      <c r="K93" s="7"/>
      <c r="T93" s="7"/>
      <c r="U93" s="7"/>
    </row>
    <row r="94" spans="2:24" x14ac:dyDescent="0.25">
      <c r="J94" s="7"/>
      <c r="K94" s="7"/>
      <c r="T94" s="7"/>
      <c r="U94" s="7"/>
    </row>
    <row r="95" spans="2:24" x14ac:dyDescent="0.25">
      <c r="J95" s="7"/>
      <c r="K95" s="7"/>
      <c r="T95" s="7"/>
      <c r="U95" s="7"/>
    </row>
    <row r="96" spans="2:24" x14ac:dyDescent="0.25">
      <c r="J96" s="7"/>
      <c r="K96" s="7"/>
      <c r="T96" s="7"/>
      <c r="U96" s="7"/>
    </row>
    <row r="97" spans="10:21" x14ac:dyDescent="0.25">
      <c r="J97" s="7"/>
      <c r="K97" s="7"/>
      <c r="T97" s="7"/>
      <c r="U97" s="7"/>
    </row>
    <row r="98" spans="10:21" x14ac:dyDescent="0.25">
      <c r="J98" s="7"/>
      <c r="K98" s="7"/>
      <c r="T98" s="7"/>
      <c r="U98" s="7"/>
    </row>
    <row r="99" spans="10:21" x14ac:dyDescent="0.25">
      <c r="J99" s="7"/>
      <c r="K99" s="7"/>
      <c r="T99" s="7"/>
      <c r="U99" s="7"/>
    </row>
  </sheetData>
  <mergeCells count="9">
    <mergeCell ref="T37:U37"/>
    <mergeCell ref="V26:W26"/>
    <mergeCell ref="AF1:AI1"/>
    <mergeCell ref="B19:H24"/>
    <mergeCell ref="V1:AC1"/>
    <mergeCell ref="L1:S1"/>
    <mergeCell ref="B1:I1"/>
    <mergeCell ref="M29:N29"/>
    <mergeCell ref="O29:P29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Fig 5C_spine density</vt:lpstr>
      <vt:lpstr>Fig 5D_spine vs shaft clusters</vt:lpstr>
      <vt:lpstr>extended information for Fig 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2021-04-22T13:09:09Z</dcterms:modified>
</cp:coreProperties>
</file>