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CBBF1787-EA57-49DD-A038-4D5188355FEF}" xr6:coauthVersionLast="46" xr6:coauthVersionMax="46" xr10:uidLastSave="{00000000-0000-0000-0000-000000000000}"/>
  <bookViews>
    <workbookView xWindow="1356" yWindow="168" windowWidth="20568" windowHeight="10200" xr2:uid="{00000000-000D-0000-FFFF-FFFF00000000}"/>
  </bookViews>
  <sheets>
    <sheet name="Bassoon" sheetId="1" r:id="rId1"/>
    <sheet name="Hom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F46" i="1"/>
  <c r="G46" i="1"/>
  <c r="F47" i="1"/>
  <c r="G47" i="1"/>
  <c r="F48" i="1"/>
  <c r="G48" i="1"/>
  <c r="F49" i="1"/>
  <c r="G45" i="1"/>
  <c r="F45" i="1"/>
  <c r="F40" i="1"/>
  <c r="G40" i="1"/>
  <c r="F41" i="1"/>
  <c r="G41" i="1"/>
  <c r="F42" i="1"/>
  <c r="G42" i="1"/>
  <c r="F43" i="1"/>
  <c r="G43" i="1"/>
  <c r="G39" i="1"/>
  <c r="F39" i="1"/>
  <c r="F26" i="1"/>
  <c r="G26" i="1"/>
  <c r="F27" i="1"/>
  <c r="G27" i="1"/>
  <c r="F28" i="1"/>
  <c r="G28" i="1"/>
  <c r="G25" i="1"/>
  <c r="F25" i="1"/>
  <c r="F24" i="1"/>
  <c r="G24" i="1"/>
  <c r="G23" i="1"/>
  <c r="F23" i="1"/>
  <c r="F22" i="1"/>
  <c r="G22" i="1"/>
  <c r="G21" i="1"/>
  <c r="F21" i="1"/>
  <c r="G12" i="1"/>
  <c r="F12" i="1"/>
  <c r="F4" i="1"/>
  <c r="G4" i="1"/>
  <c r="F5" i="1"/>
  <c r="G5" i="1"/>
  <c r="F7" i="1"/>
  <c r="G7" i="1"/>
  <c r="F10" i="1"/>
  <c r="G10" i="1"/>
  <c r="F11" i="1"/>
  <c r="G11" i="1"/>
  <c r="G3" i="1"/>
  <c r="F3" i="1"/>
  <c r="G50" i="2"/>
  <c r="F50" i="2"/>
  <c r="F45" i="2"/>
  <c r="G45" i="2"/>
  <c r="F46" i="2"/>
  <c r="G46" i="2"/>
  <c r="F48" i="2"/>
  <c r="G48" i="2"/>
  <c r="F49" i="2"/>
  <c r="G49" i="2"/>
  <c r="F33" i="2"/>
  <c r="G33" i="2"/>
  <c r="F34" i="2"/>
  <c r="G34" i="2"/>
  <c r="G32" i="2"/>
  <c r="F32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G23" i="2"/>
  <c r="F23" i="2"/>
  <c r="F4" i="2"/>
  <c r="G4" i="2"/>
  <c r="F6" i="2"/>
  <c r="G6" i="2"/>
  <c r="F7" i="2"/>
  <c r="G7" i="2"/>
  <c r="F8" i="2"/>
  <c r="G8" i="2"/>
  <c r="F9" i="2"/>
  <c r="G9" i="2"/>
  <c r="F10" i="2"/>
  <c r="G10" i="2"/>
  <c r="F11" i="2"/>
  <c r="G11" i="2"/>
  <c r="F12" i="2"/>
  <c r="G12" i="2"/>
  <c r="F13" i="2"/>
  <c r="G13" i="2"/>
  <c r="G3" i="2"/>
  <c r="F3" i="2"/>
  <c r="G38" i="2" l="1"/>
  <c r="F38" i="2"/>
  <c r="G37" i="2"/>
  <c r="F37" i="2"/>
  <c r="E44" i="1" l="1"/>
  <c r="D44" i="1"/>
  <c r="C44" i="1"/>
  <c r="F44" i="1" l="1"/>
  <c r="G44" i="1"/>
  <c r="E47" i="2"/>
  <c r="D47" i="2"/>
  <c r="C47" i="2"/>
  <c r="D44" i="2"/>
  <c r="C44" i="2"/>
  <c r="F44" i="2" s="1"/>
  <c r="F53" i="1" l="1"/>
  <c r="F52" i="1"/>
  <c r="G52" i="1"/>
  <c r="G53" i="1"/>
  <c r="D53" i="2"/>
  <c r="G44" i="2"/>
  <c r="F47" i="2"/>
  <c r="F54" i="2" s="1"/>
  <c r="G47" i="2"/>
  <c r="E53" i="2"/>
  <c r="C53" i="2"/>
  <c r="D52" i="1"/>
  <c r="E52" i="1"/>
  <c r="C52" i="1"/>
  <c r="F53" i="2" l="1"/>
  <c r="G53" i="2"/>
  <c r="G54" i="2"/>
  <c r="D32" i="1"/>
  <c r="E32" i="1"/>
  <c r="C32" i="1"/>
  <c r="G32" i="1" l="1"/>
  <c r="G33" i="1"/>
  <c r="F33" i="1"/>
  <c r="F32" i="1"/>
  <c r="D37" i="2" l="1"/>
  <c r="E37" i="2"/>
  <c r="C37" i="2"/>
  <c r="E5" i="2" l="1"/>
  <c r="D5" i="2"/>
  <c r="D16" i="2" s="1"/>
  <c r="C5" i="2"/>
  <c r="C16" i="2" s="1"/>
  <c r="E16" i="2" l="1"/>
  <c r="G5" i="2"/>
  <c r="G17" i="2" s="1"/>
  <c r="F5" i="2"/>
  <c r="E9" i="1"/>
  <c r="D9" i="1"/>
  <c r="C9" i="1"/>
  <c r="E8" i="1"/>
  <c r="D8" i="1"/>
  <c r="C8" i="1"/>
  <c r="G16" i="2" l="1"/>
  <c r="F8" i="1"/>
  <c r="G8" i="1"/>
  <c r="F9" i="1"/>
  <c r="G9" i="1"/>
  <c r="F17" i="2"/>
  <c r="F16" i="2"/>
  <c r="E6" i="1"/>
  <c r="D6" i="1"/>
  <c r="D15" i="1" s="1"/>
  <c r="C6" i="1"/>
  <c r="C15" i="1" s="1"/>
  <c r="G6" i="1" l="1"/>
  <c r="G15" i="1" s="1"/>
  <c r="F6" i="1"/>
  <c r="F15" i="1" s="1"/>
  <c r="E15" i="1"/>
  <c r="G16" i="1" l="1"/>
  <c r="F16" i="1"/>
</calcChain>
</file>

<file path=xl/sharedStrings.xml><?xml version="1.0" encoding="utf-8"?>
<sst xmlns="http://schemas.openxmlformats.org/spreadsheetml/2006/main" count="170" uniqueCount="46">
  <si>
    <t>cell_ID</t>
  </si>
  <si>
    <t>cell 1</t>
  </si>
  <si>
    <t>cell 2</t>
  </si>
  <si>
    <t>cell 3</t>
  </si>
  <si>
    <t>cell 4</t>
  </si>
  <si>
    <t>cell 5</t>
  </si>
  <si>
    <t>cell 6</t>
  </si>
  <si>
    <t>cell 7</t>
  </si>
  <si>
    <t>cell 8</t>
  </si>
  <si>
    <t>cell 9</t>
  </si>
  <si>
    <t>culture 1</t>
  </si>
  <si>
    <t xml:space="preserve"> culture 2</t>
  </si>
  <si>
    <t>culture 2</t>
  </si>
  <si>
    <t>SEM</t>
  </si>
  <si>
    <t># of Shank3-L68P_particle</t>
  </si>
  <si>
    <t># of coloc particles</t>
  </si>
  <si>
    <t># of Shank3-R12C_particle</t>
  </si>
  <si>
    <t># of Shank3-WT_particle</t>
  </si>
  <si>
    <t>culture ID</t>
  </si>
  <si>
    <t># of coloc particals</t>
  </si>
  <si>
    <t>total # of counted cells</t>
  </si>
  <si>
    <t>averaged # of Shank3-L68P_particle</t>
  </si>
  <si>
    <t>averaged # of coloc particles</t>
  </si>
  <si>
    <t>averaged # of Shank3-R12C_particle</t>
  </si>
  <si>
    <t>averaged # of Shank3-WT_particle</t>
  </si>
  <si>
    <t>sum:</t>
  </si>
  <si>
    <t>averaged # of counted cells</t>
  </si>
  <si>
    <t>bsn/Shank3 L68P</t>
  </si>
  <si>
    <t>Shank3 L68P/bsn</t>
  </si>
  <si>
    <t>bsn/Shank3 R12C</t>
  </si>
  <si>
    <t>Shank3 R12C/bsn</t>
  </si>
  <si>
    <t>bsn/Shank3 WT</t>
  </si>
  <si>
    <t>Shank3 WT/bsn</t>
  </si>
  <si>
    <t>homer/Shank3 L68P</t>
  </si>
  <si>
    <t>Shank3 L68P/homer</t>
  </si>
  <si>
    <t>homer/Shank3 R12C</t>
  </si>
  <si>
    <t>Shank3 R12C/homer</t>
  </si>
  <si>
    <t>homer/Shank3 WT</t>
  </si>
  <si>
    <t>Shank3 WT/homer</t>
  </si>
  <si>
    <t>culture 3</t>
  </si>
  <si>
    <t>averaged # of Shank3 R12C_particle</t>
  </si>
  <si>
    <t># of homer particles</t>
  </si>
  <si>
    <t>averaged # of homer particles</t>
  </si>
  <si>
    <t># of bsn particles</t>
  </si>
  <si>
    <t>averaged # of bsn particles</t>
  </si>
  <si>
    <t>colocalization fraction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</si>
</sst>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17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3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topLeftCell="A32" zoomScale="85" zoomScaleNormal="85" workbookViewId="0">
      <selection activeCell="E56" sqref="E56"/>
    </sheetView>
  </sheetViews>
  <sheetFormatPr defaultColWidth="9.109375" defaultRowHeight="14.4" x14ac:dyDescent="0.3"/>
  <cols>
    <col min="1" max="1" width="12.6640625" style="1" customWidth="1"/>
    <col min="2" max="2" width="22.5546875" style="1" customWidth="1"/>
    <col min="3" max="3" width="26.88671875" style="1" customWidth="1"/>
    <col min="4" max="4" width="35.5546875" style="1" customWidth="1"/>
    <col min="5" max="5" width="29.109375" style="1" customWidth="1"/>
    <col min="6" max="6" width="19.33203125" style="41" customWidth="1"/>
    <col min="7" max="7" width="19" style="41" customWidth="1"/>
    <col min="8" max="11" width="9.109375" style="6"/>
    <col min="12" max="12" width="20" style="6" customWidth="1"/>
    <col min="13" max="13" width="9.109375" style="4"/>
    <col min="14" max="17" width="9.109375" style="5"/>
    <col min="18" max="19" width="15.33203125" style="5" bestFit="1" customWidth="1"/>
    <col min="20" max="23" width="16.6640625" style="5" bestFit="1" customWidth="1"/>
    <col min="24" max="16384" width="9.109375" style="5"/>
  </cols>
  <sheetData>
    <row r="1" spans="1:13" x14ac:dyDescent="0.3">
      <c r="F1" s="37" t="s">
        <v>45</v>
      </c>
      <c r="G1" s="37"/>
      <c r="M1" s="15"/>
    </row>
    <row r="2" spans="1:13" x14ac:dyDescent="0.3">
      <c r="A2" s="8" t="s">
        <v>18</v>
      </c>
      <c r="B2" s="3" t="s">
        <v>0</v>
      </c>
      <c r="C2" s="8" t="s">
        <v>43</v>
      </c>
      <c r="D2" s="3" t="s">
        <v>14</v>
      </c>
      <c r="E2" s="8" t="s">
        <v>19</v>
      </c>
      <c r="F2" s="43" t="s">
        <v>27</v>
      </c>
      <c r="G2" s="38" t="s">
        <v>28</v>
      </c>
    </row>
    <row r="3" spans="1:13" x14ac:dyDescent="0.3">
      <c r="A3" s="33" t="s">
        <v>10</v>
      </c>
      <c r="B3" s="2" t="s">
        <v>1</v>
      </c>
      <c r="C3" s="2">
        <v>206</v>
      </c>
      <c r="D3" s="2">
        <v>179</v>
      </c>
      <c r="E3" s="2">
        <v>132</v>
      </c>
      <c r="F3" s="41">
        <f t="shared" ref="F3" si="0">(E3/C3)</f>
        <v>0.64077669902912626</v>
      </c>
      <c r="G3" s="41">
        <f t="shared" ref="G3" si="1">E3/D3</f>
        <v>0.73743016759776536</v>
      </c>
      <c r="J3" s="7"/>
    </row>
    <row r="4" spans="1:13" x14ac:dyDescent="0.3">
      <c r="A4" s="33"/>
      <c r="B4" s="2" t="s">
        <v>2</v>
      </c>
      <c r="C4" s="2">
        <v>190</v>
      </c>
      <c r="D4" s="2">
        <v>218</v>
      </c>
      <c r="E4" s="2">
        <v>135</v>
      </c>
      <c r="F4" s="41">
        <f t="shared" ref="F4:F11" si="2">(E4/C4)</f>
        <v>0.71052631578947367</v>
      </c>
      <c r="G4" s="41">
        <f t="shared" ref="G4:G11" si="3">E4/D4</f>
        <v>0.61926605504587151</v>
      </c>
    </row>
    <row r="5" spans="1:13" x14ac:dyDescent="0.3">
      <c r="A5" s="33"/>
      <c r="B5" s="23" t="s">
        <v>3</v>
      </c>
      <c r="C5" s="2">
        <v>204</v>
      </c>
      <c r="D5" s="2">
        <v>251</v>
      </c>
      <c r="E5" s="2">
        <v>151</v>
      </c>
      <c r="F5" s="41">
        <f t="shared" si="2"/>
        <v>0.74019607843137258</v>
      </c>
      <c r="G5" s="41">
        <f t="shared" si="3"/>
        <v>0.60159362549800799</v>
      </c>
    </row>
    <row r="6" spans="1:13" x14ac:dyDescent="0.3">
      <c r="A6" s="33"/>
      <c r="B6" s="2" t="s">
        <v>4</v>
      </c>
      <c r="C6" s="2">
        <f>(44+63)/2</f>
        <v>53.5</v>
      </c>
      <c r="D6" s="2">
        <f>(69+68)/2</f>
        <v>68.5</v>
      </c>
      <c r="E6" s="2">
        <f>(28+36)/2</f>
        <v>32</v>
      </c>
      <c r="F6" s="41">
        <f t="shared" si="2"/>
        <v>0.59813084112149528</v>
      </c>
      <c r="G6" s="41">
        <f t="shared" si="3"/>
        <v>0.46715328467153283</v>
      </c>
    </row>
    <row r="7" spans="1:13" x14ac:dyDescent="0.3">
      <c r="A7" s="33"/>
      <c r="B7" s="2" t="s">
        <v>5</v>
      </c>
      <c r="C7" s="2">
        <v>323</v>
      </c>
      <c r="D7" s="2">
        <v>322</v>
      </c>
      <c r="E7" s="2">
        <v>219</v>
      </c>
      <c r="F7" s="41">
        <f t="shared" si="2"/>
        <v>0.67801857585139313</v>
      </c>
      <c r="G7" s="41">
        <f t="shared" si="3"/>
        <v>0.68012422360248448</v>
      </c>
    </row>
    <row r="8" spans="1:13" x14ac:dyDescent="0.3">
      <c r="A8" s="33"/>
      <c r="B8" s="2" t="s">
        <v>6</v>
      </c>
      <c r="C8" s="2">
        <f>(125+120)/2</f>
        <v>122.5</v>
      </c>
      <c r="D8" s="2">
        <f>(112+73)/2</f>
        <v>92.5</v>
      </c>
      <c r="E8" s="2">
        <f>(45+37)/2</f>
        <v>41</v>
      </c>
      <c r="F8" s="41">
        <f t="shared" si="2"/>
        <v>0.33469387755102042</v>
      </c>
      <c r="G8" s="41">
        <f t="shared" si="3"/>
        <v>0.44324324324324327</v>
      </c>
    </row>
    <row r="9" spans="1:13" x14ac:dyDescent="0.3">
      <c r="A9" s="32"/>
      <c r="B9" s="3" t="s">
        <v>7</v>
      </c>
      <c r="C9" s="3">
        <f>(80+72)/2</f>
        <v>76</v>
      </c>
      <c r="D9" s="3">
        <f>(81+94)/2</f>
        <v>87.5</v>
      </c>
      <c r="E9" s="3">
        <f>(46+47)/2</f>
        <v>46.5</v>
      </c>
      <c r="F9" s="38">
        <f t="shared" si="2"/>
        <v>0.61184210526315785</v>
      </c>
      <c r="G9" s="38">
        <f t="shared" si="3"/>
        <v>0.53142857142857147</v>
      </c>
    </row>
    <row r="10" spans="1:13" x14ac:dyDescent="0.3">
      <c r="A10" s="31" t="s">
        <v>12</v>
      </c>
      <c r="B10" s="21" t="s">
        <v>1</v>
      </c>
      <c r="C10" s="21">
        <v>73</v>
      </c>
      <c r="D10" s="21">
        <v>74</v>
      </c>
      <c r="E10" s="21">
        <v>29</v>
      </c>
      <c r="F10" s="39">
        <f t="shared" si="2"/>
        <v>0.39726027397260272</v>
      </c>
      <c r="G10" s="39">
        <f t="shared" si="3"/>
        <v>0.39189189189189189</v>
      </c>
    </row>
    <row r="11" spans="1:13" x14ac:dyDescent="0.3">
      <c r="A11" s="32"/>
      <c r="B11" s="3" t="s">
        <v>2</v>
      </c>
      <c r="C11" s="3">
        <v>129</v>
      </c>
      <c r="D11" s="3">
        <v>76</v>
      </c>
      <c r="E11" s="3">
        <v>30</v>
      </c>
      <c r="F11" s="38">
        <f t="shared" si="2"/>
        <v>0.23255813953488372</v>
      </c>
      <c r="G11" s="38">
        <f t="shared" si="3"/>
        <v>0.39473684210526316</v>
      </c>
    </row>
    <row r="12" spans="1:13" x14ac:dyDescent="0.3">
      <c r="A12" s="16" t="s">
        <v>39</v>
      </c>
      <c r="B12" s="3" t="s">
        <v>1</v>
      </c>
      <c r="C12" s="3">
        <v>49</v>
      </c>
      <c r="D12" s="3">
        <v>113</v>
      </c>
      <c r="E12" s="3">
        <v>11</v>
      </c>
      <c r="F12" s="38">
        <f t="shared" ref="F12" si="4">(E12/C12)</f>
        <v>0.22448979591836735</v>
      </c>
      <c r="G12" s="38">
        <f t="shared" ref="G12" si="5">E12/D12</f>
        <v>9.7345132743362831E-2</v>
      </c>
    </row>
    <row r="13" spans="1:13" x14ac:dyDescent="0.3">
      <c r="A13" s="12"/>
    </row>
    <row r="14" spans="1:13" x14ac:dyDescent="0.3">
      <c r="B14" s="17" t="s">
        <v>20</v>
      </c>
      <c r="C14" s="1" t="s">
        <v>44</v>
      </c>
      <c r="D14" s="1" t="s">
        <v>21</v>
      </c>
      <c r="E14" s="1" t="s">
        <v>22</v>
      </c>
      <c r="F14" s="44" t="s">
        <v>27</v>
      </c>
      <c r="G14" s="40" t="s">
        <v>28</v>
      </c>
    </row>
    <row r="15" spans="1:13" x14ac:dyDescent="0.3">
      <c r="A15" s="12" t="s">
        <v>25</v>
      </c>
      <c r="B15" s="2">
        <v>10</v>
      </c>
      <c r="C15" s="1">
        <f>AVERAGE(C3:C11)</f>
        <v>153</v>
      </c>
      <c r="D15" s="1">
        <f>AVERAGE(D3:D11,D12)</f>
        <v>148.15</v>
      </c>
      <c r="E15" s="1">
        <f>AVERAGE(E3:E11,E12)</f>
        <v>82.65</v>
      </c>
      <c r="F15" s="41">
        <f>AVERAGE(F3:F12)</f>
        <v>0.51684927024628924</v>
      </c>
      <c r="G15" s="41">
        <f>AVERAGE(G3:G12)</f>
        <v>0.49642130378279942</v>
      </c>
    </row>
    <row r="16" spans="1:13" x14ac:dyDescent="0.3">
      <c r="E16" s="1" t="s">
        <v>13</v>
      </c>
      <c r="F16" s="41">
        <f>(_xlfn.STDEV.S(F3:F11,F12))/(SQRT(COUNT(F3:F11,F12)))</f>
        <v>6.3081614171856315E-2</v>
      </c>
      <c r="G16" s="41">
        <f>(_xlfn.STDEV.S(G3:G11,G12))/(SQRT(COUNT(G3:G11,G12)))</f>
        <v>5.8063378704977617E-2</v>
      </c>
    </row>
    <row r="19" spans="1:10" x14ac:dyDescent="0.3">
      <c r="F19" s="37" t="s">
        <v>45</v>
      </c>
      <c r="G19" s="37"/>
    </row>
    <row r="20" spans="1:10" x14ac:dyDescent="0.3">
      <c r="A20" s="8" t="s">
        <v>18</v>
      </c>
      <c r="B20" s="3" t="s">
        <v>0</v>
      </c>
      <c r="C20" s="8" t="s">
        <v>43</v>
      </c>
      <c r="D20" s="3" t="s">
        <v>16</v>
      </c>
      <c r="E20" s="8" t="s">
        <v>19</v>
      </c>
      <c r="F20" s="43" t="s">
        <v>29</v>
      </c>
      <c r="G20" s="38" t="s">
        <v>30</v>
      </c>
      <c r="H20" s="26"/>
      <c r="I20" s="26"/>
      <c r="J20" s="26"/>
    </row>
    <row r="21" spans="1:10" ht="14.4" customHeight="1" x14ac:dyDescent="0.3">
      <c r="A21" s="31" t="s">
        <v>10</v>
      </c>
      <c r="B21" s="2" t="s">
        <v>1</v>
      </c>
      <c r="C21" s="2">
        <v>106</v>
      </c>
      <c r="D21" s="2">
        <v>93</v>
      </c>
      <c r="E21" s="2">
        <v>58</v>
      </c>
      <c r="F21" s="41">
        <f t="shared" ref="F21" si="6">(E21/C21)</f>
        <v>0.54716981132075471</v>
      </c>
      <c r="G21" s="41">
        <f t="shared" ref="G21" si="7">E21/D21</f>
        <v>0.62365591397849462</v>
      </c>
      <c r="H21" s="24"/>
      <c r="I21" s="24"/>
      <c r="J21" s="25"/>
    </row>
    <row r="22" spans="1:10" x14ac:dyDescent="0.3">
      <c r="A22" s="33"/>
      <c r="B22" s="2" t="s">
        <v>2</v>
      </c>
      <c r="C22" s="2">
        <v>59</v>
      </c>
      <c r="D22" s="2">
        <v>75</v>
      </c>
      <c r="E22" s="2">
        <v>30</v>
      </c>
      <c r="F22" s="41">
        <f t="shared" ref="F22" si="8">(E22/C22)</f>
        <v>0.50847457627118642</v>
      </c>
      <c r="G22" s="41">
        <f t="shared" ref="G22" si="9">E22/D22</f>
        <v>0.4</v>
      </c>
      <c r="H22" s="24"/>
      <c r="I22" s="24"/>
      <c r="J22" s="25"/>
    </row>
    <row r="23" spans="1:10" x14ac:dyDescent="0.3">
      <c r="A23" s="33"/>
      <c r="B23" s="2" t="s">
        <v>3</v>
      </c>
      <c r="C23" s="2">
        <v>132</v>
      </c>
      <c r="D23" s="2">
        <v>107</v>
      </c>
      <c r="E23" s="2">
        <v>62</v>
      </c>
      <c r="F23" s="41">
        <f t="shared" ref="F23" si="10">(E23/C23)</f>
        <v>0.46969696969696972</v>
      </c>
      <c r="G23" s="41">
        <f t="shared" ref="G23" si="11">E23/D23</f>
        <v>0.57943925233644855</v>
      </c>
      <c r="H23" s="24"/>
      <c r="I23" s="24"/>
      <c r="J23" s="25"/>
    </row>
    <row r="24" spans="1:10" x14ac:dyDescent="0.3">
      <c r="A24" s="32"/>
      <c r="B24" s="2" t="s">
        <v>4</v>
      </c>
      <c r="C24" s="2">
        <v>156</v>
      </c>
      <c r="D24" s="2">
        <v>119</v>
      </c>
      <c r="E24" s="2">
        <v>94</v>
      </c>
      <c r="F24" s="41">
        <f t="shared" ref="F24" si="12">(E24/C24)</f>
        <v>0.60256410256410253</v>
      </c>
      <c r="G24" s="41">
        <f t="shared" ref="G24" si="13">E24/D24</f>
        <v>0.78991596638655459</v>
      </c>
      <c r="H24" s="24"/>
      <c r="I24" s="24"/>
      <c r="J24" s="25"/>
    </row>
    <row r="25" spans="1:10" x14ac:dyDescent="0.3">
      <c r="A25" s="31" t="s">
        <v>12</v>
      </c>
      <c r="B25" s="22" t="s">
        <v>1</v>
      </c>
      <c r="C25" s="21">
        <v>180</v>
      </c>
      <c r="D25" s="21">
        <v>238</v>
      </c>
      <c r="E25" s="21">
        <v>90</v>
      </c>
      <c r="F25" s="39">
        <f t="shared" ref="F25" si="14">(E25/C25)</f>
        <v>0.5</v>
      </c>
      <c r="G25" s="39">
        <f t="shared" ref="G25" si="15">E25/D25</f>
        <v>0.37815126050420167</v>
      </c>
    </row>
    <row r="26" spans="1:10" x14ac:dyDescent="0.3">
      <c r="A26" s="33"/>
      <c r="B26" s="2" t="s">
        <v>2</v>
      </c>
      <c r="C26" s="2">
        <v>120</v>
      </c>
      <c r="D26" s="2">
        <v>126</v>
      </c>
      <c r="E26" s="2">
        <v>44</v>
      </c>
      <c r="F26" s="40">
        <f t="shared" ref="F26:F28" si="16">(E26/C26)</f>
        <v>0.36666666666666664</v>
      </c>
      <c r="G26" s="40">
        <f t="shared" ref="G26:G28" si="17">E26/D26</f>
        <v>0.34920634920634919</v>
      </c>
    </row>
    <row r="27" spans="1:10" x14ac:dyDescent="0.3">
      <c r="A27" s="32"/>
      <c r="B27" s="8" t="s">
        <v>3</v>
      </c>
      <c r="C27" s="3">
        <v>81</v>
      </c>
      <c r="D27" s="3">
        <v>83</v>
      </c>
      <c r="E27" s="3">
        <v>31</v>
      </c>
      <c r="F27" s="38">
        <f t="shared" si="16"/>
        <v>0.38271604938271603</v>
      </c>
      <c r="G27" s="38">
        <f t="shared" si="17"/>
        <v>0.37349397590361444</v>
      </c>
    </row>
    <row r="28" spans="1:10" x14ac:dyDescent="0.3">
      <c r="A28" s="16" t="s">
        <v>39</v>
      </c>
      <c r="B28" s="3" t="s">
        <v>1</v>
      </c>
      <c r="C28" s="3">
        <v>79</v>
      </c>
      <c r="D28" s="3">
        <v>69</v>
      </c>
      <c r="E28" s="3">
        <v>24</v>
      </c>
      <c r="F28" s="38">
        <f t="shared" si="16"/>
        <v>0.30379746835443039</v>
      </c>
      <c r="G28" s="38">
        <f t="shared" si="17"/>
        <v>0.34782608695652173</v>
      </c>
    </row>
    <row r="31" spans="1:10" x14ac:dyDescent="0.3">
      <c r="B31" s="17" t="s">
        <v>20</v>
      </c>
      <c r="C31" s="1" t="s">
        <v>44</v>
      </c>
      <c r="D31" s="1" t="s">
        <v>23</v>
      </c>
      <c r="E31" s="1" t="s">
        <v>22</v>
      </c>
      <c r="F31" s="41" t="s">
        <v>29</v>
      </c>
      <c r="G31" s="41" t="s">
        <v>30</v>
      </c>
    </row>
    <row r="32" spans="1:10" x14ac:dyDescent="0.3">
      <c r="A32" s="12" t="s">
        <v>25</v>
      </c>
      <c r="B32" s="1">
        <v>8</v>
      </c>
      <c r="C32" s="1">
        <f>AVERAGE(C21:C22,C23:C24,C25:C28)</f>
        <v>114.125</v>
      </c>
      <c r="D32" s="1">
        <f>AVERAGE(D21:D22,D23:D24,D25:D28)</f>
        <v>113.75</v>
      </c>
      <c r="E32" s="1">
        <f>AVERAGE(E21:E22,E23:E24,E25:E28)</f>
        <v>54.125</v>
      </c>
      <c r="F32" s="41">
        <f>AVERAGE(F21:F22,F23:F24,F25:F28)</f>
        <v>0.46013570553210331</v>
      </c>
      <c r="G32" s="41">
        <f>AVERAGE(G21:G22,G23:G24,G25:G28)</f>
        <v>0.48021110065902306</v>
      </c>
    </row>
    <row r="33" spans="1:13" x14ac:dyDescent="0.3">
      <c r="E33" s="1" t="s">
        <v>13</v>
      </c>
      <c r="F33" s="41">
        <f>(_xlfn.STDEV.S(F21:F22,F23:F24,F25:F28))/(SQRT(COUNT(F21:F22,F23:F24,F25:F28)))</f>
        <v>3.5619496770493357E-2</v>
      </c>
      <c r="G33" s="41">
        <f>(_xlfn.STDEV.S(G21:G22,G23:G24,G25:G28))/(SQRT(COUNT(G21:G22,G23:G24,G25:G28)))</f>
        <v>5.8135672218787057E-2</v>
      </c>
    </row>
    <row r="35" spans="1:13" x14ac:dyDescent="0.3">
      <c r="M35" s="15"/>
    </row>
    <row r="37" spans="1:13" x14ac:dyDescent="0.3">
      <c r="F37" s="37" t="s">
        <v>45</v>
      </c>
      <c r="G37" s="37"/>
    </row>
    <row r="38" spans="1:13" x14ac:dyDescent="0.3">
      <c r="A38" s="8" t="s">
        <v>18</v>
      </c>
      <c r="B38" s="8" t="s">
        <v>0</v>
      </c>
      <c r="C38" s="8" t="s">
        <v>43</v>
      </c>
      <c r="D38" s="8" t="s">
        <v>17</v>
      </c>
      <c r="E38" s="8" t="s">
        <v>19</v>
      </c>
      <c r="F38" s="43" t="s">
        <v>31</v>
      </c>
      <c r="G38" s="38" t="s">
        <v>32</v>
      </c>
    </row>
    <row r="39" spans="1:13" x14ac:dyDescent="0.3">
      <c r="A39" s="34" t="s">
        <v>10</v>
      </c>
      <c r="B39" s="6" t="s">
        <v>1</v>
      </c>
      <c r="C39" s="2">
        <v>77</v>
      </c>
      <c r="D39" s="2">
        <v>97</v>
      </c>
      <c r="E39" s="2">
        <v>28</v>
      </c>
      <c r="F39" s="41">
        <f t="shared" ref="F39" si="18">(E39/C39)</f>
        <v>0.36363636363636365</v>
      </c>
      <c r="G39" s="41">
        <f t="shared" ref="G39" si="19">E39/D39</f>
        <v>0.28865979381443296</v>
      </c>
      <c r="J39" s="7"/>
    </row>
    <row r="40" spans="1:13" x14ac:dyDescent="0.3">
      <c r="A40" s="35"/>
      <c r="B40" s="6" t="s">
        <v>2</v>
      </c>
      <c r="C40" s="2">
        <v>147</v>
      </c>
      <c r="D40" s="2">
        <v>101</v>
      </c>
      <c r="E40" s="2">
        <v>74</v>
      </c>
      <c r="F40" s="41">
        <f t="shared" ref="F40:F44" si="20">(E40/C40)</f>
        <v>0.50340136054421769</v>
      </c>
      <c r="G40" s="41">
        <f t="shared" ref="G40:G44" si="21">E40/D40</f>
        <v>0.73267326732673266</v>
      </c>
    </row>
    <row r="41" spans="1:13" x14ac:dyDescent="0.3">
      <c r="A41" s="35"/>
      <c r="B41" s="6" t="s">
        <v>3</v>
      </c>
      <c r="C41" s="6">
        <v>75</v>
      </c>
      <c r="D41" s="6">
        <v>72</v>
      </c>
      <c r="E41" s="6">
        <v>36</v>
      </c>
      <c r="F41" s="41">
        <f t="shared" si="20"/>
        <v>0.48</v>
      </c>
      <c r="G41" s="41">
        <f t="shared" si="21"/>
        <v>0.5</v>
      </c>
    </row>
    <row r="42" spans="1:13" x14ac:dyDescent="0.3">
      <c r="A42" s="35"/>
      <c r="B42" s="6" t="s">
        <v>4</v>
      </c>
      <c r="C42" s="2">
        <v>52</v>
      </c>
      <c r="D42" s="2">
        <v>32</v>
      </c>
      <c r="E42" s="2">
        <v>21</v>
      </c>
      <c r="F42" s="41">
        <f t="shared" si="20"/>
        <v>0.40384615384615385</v>
      </c>
      <c r="G42" s="41">
        <f t="shared" si="21"/>
        <v>0.65625</v>
      </c>
    </row>
    <row r="43" spans="1:13" x14ac:dyDescent="0.3">
      <c r="A43" s="35"/>
      <c r="B43" s="6" t="s">
        <v>5</v>
      </c>
      <c r="C43" s="2">
        <v>97</v>
      </c>
      <c r="D43" s="2">
        <v>85</v>
      </c>
      <c r="E43" s="2">
        <v>38</v>
      </c>
      <c r="F43" s="41">
        <f t="shared" si="20"/>
        <v>0.39175257731958762</v>
      </c>
      <c r="G43" s="41">
        <f t="shared" si="21"/>
        <v>0.44705882352941179</v>
      </c>
    </row>
    <row r="44" spans="1:13" s="9" customFormat="1" x14ac:dyDescent="0.3">
      <c r="A44" s="36"/>
      <c r="B44" s="10" t="s">
        <v>6</v>
      </c>
      <c r="C44" s="6">
        <f>107+34</f>
        <v>141</v>
      </c>
      <c r="D44" s="6">
        <f>104+41</f>
        <v>145</v>
      </c>
      <c r="E44" s="6">
        <f>47+21</f>
        <v>68</v>
      </c>
      <c r="F44" s="41">
        <f t="shared" si="20"/>
        <v>0.48226950354609927</v>
      </c>
      <c r="G44" s="41">
        <f t="shared" si="21"/>
        <v>0.4689655172413793</v>
      </c>
      <c r="H44" s="6"/>
      <c r="I44" s="6"/>
      <c r="J44" s="6"/>
      <c r="K44" s="6"/>
      <c r="L44" s="6"/>
      <c r="M44" s="6"/>
    </row>
    <row r="45" spans="1:13" x14ac:dyDescent="0.3">
      <c r="A45" s="27" t="s">
        <v>12</v>
      </c>
      <c r="B45" s="28" t="s">
        <v>1</v>
      </c>
      <c r="C45" s="28">
        <v>59</v>
      </c>
      <c r="D45" s="28">
        <v>48</v>
      </c>
      <c r="E45" s="28">
        <v>29</v>
      </c>
      <c r="F45" s="45">
        <f t="shared" ref="F45" si="22">(E45/C45)</f>
        <v>0.49152542372881358</v>
      </c>
      <c r="G45" s="45">
        <f t="shared" ref="G45" si="23">E45/D45</f>
        <v>0.60416666666666663</v>
      </c>
    </row>
    <row r="46" spans="1:13" x14ac:dyDescent="0.3">
      <c r="A46" s="35" t="s">
        <v>39</v>
      </c>
      <c r="B46" s="2" t="s">
        <v>1</v>
      </c>
      <c r="C46" s="2">
        <v>76</v>
      </c>
      <c r="D46" s="2">
        <v>36</v>
      </c>
      <c r="E46" s="2">
        <v>23</v>
      </c>
      <c r="F46" s="40">
        <f t="shared" ref="F46:F49" si="24">(E46/C46)</f>
        <v>0.30263157894736842</v>
      </c>
      <c r="G46" s="40">
        <f t="shared" ref="G46:G48" si="25">E46/D46</f>
        <v>0.63888888888888884</v>
      </c>
    </row>
    <row r="47" spans="1:13" x14ac:dyDescent="0.3">
      <c r="A47" s="35"/>
      <c r="B47" s="2" t="s">
        <v>2</v>
      </c>
      <c r="C47" s="2">
        <v>60</v>
      </c>
      <c r="D47" s="2">
        <v>57</v>
      </c>
      <c r="E47" s="2">
        <v>23</v>
      </c>
      <c r="F47" s="40">
        <f t="shared" si="24"/>
        <v>0.38333333333333336</v>
      </c>
      <c r="G47" s="40">
        <f t="shared" si="25"/>
        <v>0.40350877192982454</v>
      </c>
    </row>
    <row r="48" spans="1:13" x14ac:dyDescent="0.3">
      <c r="A48" s="35"/>
      <c r="B48" s="2" t="s">
        <v>3</v>
      </c>
      <c r="C48" s="2">
        <v>51</v>
      </c>
      <c r="D48" s="2">
        <v>21</v>
      </c>
      <c r="E48" s="2">
        <v>11</v>
      </c>
      <c r="F48" s="40">
        <f t="shared" si="24"/>
        <v>0.21568627450980393</v>
      </c>
      <c r="G48" s="40">
        <f t="shared" si="25"/>
        <v>0.52380952380952384</v>
      </c>
    </row>
    <row r="49" spans="1:7" x14ac:dyDescent="0.3">
      <c r="A49" s="36"/>
      <c r="B49" s="3" t="s">
        <v>4</v>
      </c>
      <c r="C49" s="3">
        <v>76</v>
      </c>
      <c r="D49" s="3">
        <v>64</v>
      </c>
      <c r="E49" s="3">
        <v>32</v>
      </c>
      <c r="F49" s="38">
        <f t="shared" si="24"/>
        <v>0.42105263157894735</v>
      </c>
      <c r="G49" s="38">
        <f>E49/D49</f>
        <v>0.5</v>
      </c>
    </row>
    <row r="51" spans="1:7" x14ac:dyDescent="0.3">
      <c r="B51" s="17" t="s">
        <v>20</v>
      </c>
      <c r="C51" s="1" t="s">
        <v>44</v>
      </c>
      <c r="D51" s="1" t="s">
        <v>24</v>
      </c>
      <c r="E51" s="1" t="s">
        <v>22</v>
      </c>
      <c r="F51" s="41" t="s">
        <v>31</v>
      </c>
      <c r="G51" s="41" t="s">
        <v>32</v>
      </c>
    </row>
    <row r="52" spans="1:7" x14ac:dyDescent="0.3">
      <c r="A52" s="12" t="s">
        <v>25</v>
      </c>
      <c r="B52" s="1">
        <v>11</v>
      </c>
      <c r="C52" s="1">
        <f>AVERAGE(C39:C44,C45:C49)</f>
        <v>82.818181818181813</v>
      </c>
      <c r="D52" s="41">
        <f>AVERAGE(D39:D44,D45:D49)</f>
        <v>68.909090909090907</v>
      </c>
      <c r="E52" s="41">
        <f>AVERAGE(E39:E44,E45:E49)</f>
        <v>34.81818181818182</v>
      </c>
      <c r="F52" s="41">
        <f>AVERAGE(F39:F44,F45:F49)</f>
        <v>0.4035577455446081</v>
      </c>
      <c r="G52" s="41">
        <f>AVERAGE(G39:G44,G45:G49)</f>
        <v>0.52399829574607815</v>
      </c>
    </row>
    <row r="53" spans="1:7" x14ac:dyDescent="0.3">
      <c r="E53" s="1" t="s">
        <v>13</v>
      </c>
      <c r="F53" s="41">
        <f>(_xlfn.STDEV.S(F39:F44,F45:F49))/(SQRT(COUNT(F39:F44,F45:F49)))</f>
        <v>2.6573407675598737E-2</v>
      </c>
      <c r="G53" s="41">
        <f>(_xlfn.STDEV.S(G39:G44,G45:G49))/(SQRT(COUNT(G39:G44,G45:G49)))</f>
        <v>3.821763872862937E-2</v>
      </c>
    </row>
  </sheetData>
  <mergeCells count="9">
    <mergeCell ref="A46:A49"/>
    <mergeCell ref="F19:G19"/>
    <mergeCell ref="F37:G37"/>
    <mergeCell ref="A3:A9"/>
    <mergeCell ref="F1:G1"/>
    <mergeCell ref="A10:A11"/>
    <mergeCell ref="A25:A27"/>
    <mergeCell ref="A21:A24"/>
    <mergeCell ref="A39:A44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4"/>
  <sheetViews>
    <sheetView topLeftCell="A27" zoomScale="85" zoomScaleNormal="85" workbookViewId="0">
      <selection activeCell="H45" sqref="H45"/>
    </sheetView>
  </sheetViews>
  <sheetFormatPr defaultColWidth="9.109375" defaultRowHeight="14.4" x14ac:dyDescent="0.3"/>
  <cols>
    <col min="1" max="1" width="13" style="14" customWidth="1"/>
    <col min="2" max="2" width="32.6640625" customWidth="1"/>
    <col min="3" max="3" width="31" style="1" customWidth="1"/>
    <col min="4" max="4" width="34" style="1" customWidth="1"/>
    <col min="5" max="5" width="29.44140625" style="1" customWidth="1"/>
    <col min="6" max="6" width="22" style="41" customWidth="1"/>
    <col min="7" max="7" width="24.5546875" style="41" customWidth="1"/>
    <col min="8" max="8" width="8.88671875" style="6" customWidth="1"/>
    <col min="9" max="11" width="9.109375" style="6"/>
    <col min="12" max="16" width="9.109375" style="9"/>
    <col min="17" max="18" width="18.109375" style="9" bestFit="1" customWidth="1"/>
    <col min="19" max="20" width="19.33203125" style="9" bestFit="1" customWidth="1"/>
    <col min="21" max="22" width="19" style="9" bestFit="1" customWidth="1"/>
    <col min="23" max="16384" width="9.109375" style="9"/>
  </cols>
  <sheetData>
    <row r="1" spans="1:10" x14ac:dyDescent="0.3">
      <c r="A1" s="15"/>
      <c r="F1" s="37" t="s">
        <v>45</v>
      </c>
      <c r="G1" s="37"/>
    </row>
    <row r="2" spans="1:10" x14ac:dyDescent="0.3">
      <c r="A2" s="8" t="s">
        <v>18</v>
      </c>
      <c r="B2" s="3" t="s">
        <v>0</v>
      </c>
      <c r="C2" s="3" t="s">
        <v>41</v>
      </c>
      <c r="D2" s="3" t="s">
        <v>14</v>
      </c>
      <c r="E2" s="3" t="s">
        <v>15</v>
      </c>
      <c r="F2" s="38" t="s">
        <v>33</v>
      </c>
      <c r="G2" s="38" t="s">
        <v>34</v>
      </c>
    </row>
    <row r="3" spans="1:10" x14ac:dyDescent="0.3">
      <c r="A3" s="34" t="s">
        <v>10</v>
      </c>
      <c r="B3" s="29" t="s">
        <v>1</v>
      </c>
      <c r="C3" s="21">
        <v>84</v>
      </c>
      <c r="D3" s="21">
        <v>122</v>
      </c>
      <c r="E3" s="21">
        <v>32</v>
      </c>
      <c r="F3" s="39">
        <f>(E3/C3)</f>
        <v>0.38095238095238093</v>
      </c>
      <c r="G3" s="39">
        <f>E3/D3</f>
        <v>0.26229508196721313</v>
      </c>
      <c r="J3" s="7"/>
    </row>
    <row r="4" spans="1:10" x14ac:dyDescent="0.3">
      <c r="A4" s="35"/>
      <c r="B4" s="10" t="s">
        <v>2</v>
      </c>
      <c r="C4" s="2">
        <v>106</v>
      </c>
      <c r="D4" s="2">
        <v>238</v>
      </c>
      <c r="E4" s="2">
        <v>44</v>
      </c>
      <c r="F4" s="40">
        <f t="shared" ref="F4:F13" si="0">(E4/C4)</f>
        <v>0.41509433962264153</v>
      </c>
      <c r="G4" s="40">
        <f t="shared" ref="G4:G13" si="1">E4/D4</f>
        <v>0.18487394957983194</v>
      </c>
    </row>
    <row r="5" spans="1:10" x14ac:dyDescent="0.3">
      <c r="A5" s="35"/>
      <c r="B5" s="6" t="s">
        <v>3</v>
      </c>
      <c r="C5" s="2">
        <f>(35+36)/2</f>
        <v>35.5</v>
      </c>
      <c r="D5" s="2">
        <f>(63+48)/2</f>
        <v>55.5</v>
      </c>
      <c r="E5" s="2">
        <f>(16+13)/2</f>
        <v>14.5</v>
      </c>
      <c r="F5" s="40">
        <f t="shared" si="0"/>
        <v>0.40845070422535212</v>
      </c>
      <c r="G5" s="40">
        <f>E5/D5</f>
        <v>0.26126126126126126</v>
      </c>
    </row>
    <row r="6" spans="1:10" x14ac:dyDescent="0.3">
      <c r="A6" s="35"/>
      <c r="B6" s="6" t="s">
        <v>4</v>
      </c>
      <c r="C6" s="2">
        <v>68</v>
      </c>
      <c r="D6" s="2">
        <v>101</v>
      </c>
      <c r="E6" s="2">
        <v>22</v>
      </c>
      <c r="F6" s="40">
        <f t="shared" si="0"/>
        <v>0.3235294117647059</v>
      </c>
      <c r="G6" s="40">
        <f t="shared" si="1"/>
        <v>0.21782178217821782</v>
      </c>
    </row>
    <row r="7" spans="1:10" x14ac:dyDescent="0.3">
      <c r="A7" s="35"/>
      <c r="B7" s="6" t="s">
        <v>5</v>
      </c>
      <c r="C7" s="2">
        <v>88</v>
      </c>
      <c r="D7" s="2">
        <v>110</v>
      </c>
      <c r="E7" s="2">
        <v>58</v>
      </c>
      <c r="F7" s="40">
        <f t="shared" si="0"/>
        <v>0.65909090909090906</v>
      </c>
      <c r="G7" s="40">
        <f t="shared" si="1"/>
        <v>0.52727272727272723</v>
      </c>
    </row>
    <row r="8" spans="1:10" x14ac:dyDescent="0.3">
      <c r="A8" s="36"/>
      <c r="B8" s="8" t="s">
        <v>6</v>
      </c>
      <c r="C8" s="3">
        <v>29</v>
      </c>
      <c r="D8" s="3">
        <v>104</v>
      </c>
      <c r="E8" s="3">
        <v>10</v>
      </c>
      <c r="F8" s="38">
        <f t="shared" si="0"/>
        <v>0.34482758620689657</v>
      </c>
      <c r="G8" s="38">
        <f t="shared" si="1"/>
        <v>9.6153846153846159E-2</v>
      </c>
    </row>
    <row r="9" spans="1:10" x14ac:dyDescent="0.3">
      <c r="A9" s="34" t="s">
        <v>11</v>
      </c>
      <c r="B9" s="29" t="s">
        <v>1</v>
      </c>
      <c r="C9" s="21">
        <v>25</v>
      </c>
      <c r="D9" s="21">
        <v>24</v>
      </c>
      <c r="E9" s="21">
        <v>12</v>
      </c>
      <c r="F9" s="39">
        <f t="shared" si="0"/>
        <v>0.48</v>
      </c>
      <c r="G9" s="39">
        <f t="shared" si="1"/>
        <v>0.5</v>
      </c>
    </row>
    <row r="10" spans="1:10" x14ac:dyDescent="0.3">
      <c r="A10" s="35"/>
      <c r="B10" s="2" t="s">
        <v>2</v>
      </c>
      <c r="C10" s="2">
        <v>19</v>
      </c>
      <c r="D10" s="2">
        <v>78</v>
      </c>
      <c r="E10" s="2">
        <v>7</v>
      </c>
      <c r="F10" s="40">
        <f t="shared" si="0"/>
        <v>0.36842105263157893</v>
      </c>
      <c r="G10" s="40">
        <f t="shared" si="1"/>
        <v>8.9743589743589744E-2</v>
      </c>
    </row>
    <row r="11" spans="1:10" x14ac:dyDescent="0.3">
      <c r="A11" s="35"/>
      <c r="B11" s="2" t="s">
        <v>3</v>
      </c>
      <c r="C11" s="2">
        <v>61</v>
      </c>
      <c r="D11" s="2">
        <v>122</v>
      </c>
      <c r="E11" s="2">
        <v>39</v>
      </c>
      <c r="F11" s="40">
        <f t="shared" si="0"/>
        <v>0.63934426229508201</v>
      </c>
      <c r="G11" s="40">
        <f t="shared" si="1"/>
        <v>0.31967213114754101</v>
      </c>
    </row>
    <row r="12" spans="1:10" x14ac:dyDescent="0.3">
      <c r="A12" s="35"/>
      <c r="B12" s="2" t="s">
        <v>4</v>
      </c>
      <c r="C12" s="2">
        <v>35</v>
      </c>
      <c r="D12" s="2">
        <v>142</v>
      </c>
      <c r="E12" s="2">
        <v>30.5</v>
      </c>
      <c r="F12" s="40">
        <f t="shared" si="0"/>
        <v>0.87142857142857144</v>
      </c>
      <c r="G12" s="40">
        <f t="shared" si="1"/>
        <v>0.21478873239436619</v>
      </c>
    </row>
    <row r="13" spans="1:10" x14ac:dyDescent="0.3">
      <c r="A13" s="36"/>
      <c r="B13" s="30" t="s">
        <v>5</v>
      </c>
      <c r="C13" s="3">
        <v>149</v>
      </c>
      <c r="D13" s="3">
        <v>138</v>
      </c>
      <c r="E13" s="3">
        <v>112</v>
      </c>
      <c r="F13" s="38">
        <f t="shared" si="0"/>
        <v>0.75167785234899331</v>
      </c>
      <c r="G13" s="38">
        <f t="shared" si="1"/>
        <v>0.81159420289855078</v>
      </c>
    </row>
    <row r="15" spans="1:10" x14ac:dyDescent="0.3">
      <c r="B15" s="17" t="s">
        <v>26</v>
      </c>
      <c r="C15" s="1" t="s">
        <v>42</v>
      </c>
      <c r="D15" s="1" t="s">
        <v>21</v>
      </c>
      <c r="E15" s="1" t="s">
        <v>22</v>
      </c>
      <c r="F15" s="41" t="s">
        <v>33</v>
      </c>
      <c r="G15" s="41" t="s">
        <v>34</v>
      </c>
    </row>
    <row r="16" spans="1:10" x14ac:dyDescent="0.3">
      <c r="A16" s="13" t="s">
        <v>25</v>
      </c>
      <c r="B16" s="1">
        <v>11</v>
      </c>
      <c r="C16" s="41">
        <f>AVERAGE(C3:C5,C6,C7:C8,C9:C13)</f>
        <v>63.590909090909093</v>
      </c>
      <c r="D16" s="41">
        <f>AVERAGE(D3:D5,D6,D7:D8,D9:D13)</f>
        <v>112.22727272727273</v>
      </c>
      <c r="E16" s="41">
        <f>AVERAGE(E3:E5,E6,E7:E8,E9:E13)</f>
        <v>34.636363636363633</v>
      </c>
      <c r="F16" s="41">
        <f>AVERAGE(F3:F5,F6,F7:F8,F9:F13)</f>
        <v>0.51298337005155559</v>
      </c>
      <c r="G16" s="41">
        <f>AVERAGE(G3:G5,G6,G7:G8,G9:G13)</f>
        <v>0.31686157314519503</v>
      </c>
    </row>
    <row r="17" spans="1:10" x14ac:dyDescent="0.3">
      <c r="E17" s="1" t="s">
        <v>13</v>
      </c>
      <c r="F17" s="41">
        <f>(_xlfn.STDEV.S(F3:F5,F6,F7:F8,F9:F13))/(SQRT(COUNT(F3:F5,F6,F7:F8,F9:F13)))</f>
        <v>5.6154767074939591E-2</v>
      </c>
      <c r="G17" s="41">
        <f>(_xlfn.STDEV.S(G3:G5,G6,G7:G8,G9:G13))/(SQRT(COUNT(G3:G5,G6,G7:G8,G9:G13)))</f>
        <v>6.5128730213772107E-2</v>
      </c>
    </row>
    <row r="21" spans="1:10" x14ac:dyDescent="0.3">
      <c r="F21" s="37" t="s">
        <v>45</v>
      </c>
      <c r="G21" s="37"/>
    </row>
    <row r="22" spans="1:10" x14ac:dyDescent="0.3">
      <c r="A22" s="8" t="s">
        <v>18</v>
      </c>
      <c r="B22" s="3" t="s">
        <v>0</v>
      </c>
      <c r="C22" s="3" t="s">
        <v>41</v>
      </c>
      <c r="D22" s="3" t="s">
        <v>16</v>
      </c>
      <c r="E22" s="3" t="s">
        <v>15</v>
      </c>
      <c r="F22" s="38" t="s">
        <v>35</v>
      </c>
      <c r="G22" s="38" t="s">
        <v>36</v>
      </c>
    </row>
    <row r="23" spans="1:10" x14ac:dyDescent="0.3">
      <c r="A23" s="35" t="s">
        <v>10</v>
      </c>
      <c r="B23" s="6" t="s">
        <v>1</v>
      </c>
      <c r="C23" s="1">
        <v>25</v>
      </c>
      <c r="D23" s="1">
        <v>49</v>
      </c>
      <c r="E23" s="1">
        <v>6</v>
      </c>
      <c r="F23" s="41">
        <f>(E23/C23)</f>
        <v>0.24</v>
      </c>
      <c r="G23" s="41">
        <f>E23/D23</f>
        <v>0.12244897959183673</v>
      </c>
      <c r="J23" s="7"/>
    </row>
    <row r="24" spans="1:10" x14ac:dyDescent="0.3">
      <c r="A24" s="35"/>
      <c r="B24" s="10" t="s">
        <v>2</v>
      </c>
      <c r="C24" s="6">
        <v>56</v>
      </c>
      <c r="D24" s="6">
        <v>46</v>
      </c>
      <c r="E24" s="6">
        <v>13</v>
      </c>
      <c r="F24" s="41">
        <f t="shared" ref="F24:F31" si="2">(E24/C24)</f>
        <v>0.23214285714285715</v>
      </c>
      <c r="G24" s="41">
        <f t="shared" ref="G24:G31" si="3">E24/D24</f>
        <v>0.28260869565217389</v>
      </c>
    </row>
    <row r="25" spans="1:10" x14ac:dyDescent="0.3">
      <c r="A25" s="35"/>
      <c r="B25" s="6" t="s">
        <v>3</v>
      </c>
      <c r="C25" s="1">
        <v>46</v>
      </c>
      <c r="D25" s="1">
        <v>95</v>
      </c>
      <c r="E25" s="1">
        <v>16</v>
      </c>
      <c r="F25" s="41">
        <f t="shared" si="2"/>
        <v>0.34782608695652173</v>
      </c>
      <c r="G25" s="41">
        <f t="shared" si="3"/>
        <v>0.16842105263157894</v>
      </c>
    </row>
    <row r="26" spans="1:10" x14ac:dyDescent="0.3">
      <c r="A26" s="35"/>
      <c r="B26" s="10" t="s">
        <v>4</v>
      </c>
      <c r="C26" s="1">
        <v>65</v>
      </c>
      <c r="D26" s="1">
        <v>76</v>
      </c>
      <c r="E26" s="1">
        <v>48</v>
      </c>
      <c r="F26" s="41">
        <f t="shared" si="2"/>
        <v>0.7384615384615385</v>
      </c>
      <c r="G26" s="41">
        <f t="shared" si="3"/>
        <v>0.63157894736842102</v>
      </c>
    </row>
    <row r="27" spans="1:10" x14ac:dyDescent="0.3">
      <c r="A27" s="35"/>
      <c r="B27" s="6" t="s">
        <v>5</v>
      </c>
      <c r="C27" s="1">
        <v>37</v>
      </c>
      <c r="D27" s="1">
        <v>94</v>
      </c>
      <c r="E27" s="1">
        <v>11</v>
      </c>
      <c r="F27" s="41">
        <f t="shared" si="2"/>
        <v>0.29729729729729731</v>
      </c>
      <c r="G27" s="41">
        <f t="shared" si="3"/>
        <v>0.11702127659574468</v>
      </c>
    </row>
    <row r="28" spans="1:10" x14ac:dyDescent="0.3">
      <c r="A28" s="35"/>
      <c r="B28" s="6" t="s">
        <v>6</v>
      </c>
      <c r="C28" s="1">
        <v>31</v>
      </c>
      <c r="D28" s="1">
        <v>79</v>
      </c>
      <c r="E28" s="1">
        <v>13</v>
      </c>
      <c r="F28" s="41">
        <f t="shared" si="2"/>
        <v>0.41935483870967744</v>
      </c>
      <c r="G28" s="41">
        <f t="shared" si="3"/>
        <v>0.16455696202531644</v>
      </c>
    </row>
    <row r="29" spans="1:10" x14ac:dyDescent="0.3">
      <c r="A29" s="35"/>
      <c r="B29" s="6" t="s">
        <v>7</v>
      </c>
      <c r="C29" s="6">
        <v>33</v>
      </c>
      <c r="D29" s="6">
        <v>66</v>
      </c>
      <c r="E29" s="6">
        <v>18</v>
      </c>
      <c r="F29" s="41">
        <f t="shared" si="2"/>
        <v>0.54545454545454541</v>
      </c>
      <c r="G29" s="41">
        <f t="shared" si="3"/>
        <v>0.27272727272727271</v>
      </c>
    </row>
    <row r="30" spans="1:10" x14ac:dyDescent="0.3">
      <c r="A30" s="35"/>
      <c r="B30" s="6" t="s">
        <v>8</v>
      </c>
      <c r="C30" s="1">
        <v>42</v>
      </c>
      <c r="D30" s="1">
        <v>60</v>
      </c>
      <c r="E30" s="1">
        <v>8</v>
      </c>
      <c r="F30" s="41">
        <f t="shared" si="2"/>
        <v>0.19047619047619047</v>
      </c>
      <c r="G30" s="41">
        <f t="shared" si="3"/>
        <v>0.13333333333333333</v>
      </c>
    </row>
    <row r="31" spans="1:10" x14ac:dyDescent="0.3">
      <c r="A31" s="36"/>
      <c r="B31" s="18" t="s">
        <v>9</v>
      </c>
      <c r="C31" s="8">
        <v>34</v>
      </c>
      <c r="D31" s="8">
        <v>41</v>
      </c>
      <c r="E31" s="8">
        <v>23</v>
      </c>
      <c r="F31" s="38">
        <f t="shared" si="2"/>
        <v>0.67647058823529416</v>
      </c>
      <c r="G31" s="38">
        <f t="shared" si="3"/>
        <v>0.56097560975609762</v>
      </c>
    </row>
    <row r="32" spans="1:10" x14ac:dyDescent="0.3">
      <c r="A32" s="34" t="s">
        <v>12</v>
      </c>
      <c r="B32" s="11" t="s">
        <v>1</v>
      </c>
      <c r="C32" s="4">
        <v>89</v>
      </c>
      <c r="D32" s="4">
        <v>79</v>
      </c>
      <c r="E32" s="4">
        <v>65</v>
      </c>
      <c r="F32" s="41">
        <f t="shared" ref="F32" si="4">(E32/C32)</f>
        <v>0.7303370786516854</v>
      </c>
      <c r="G32" s="41">
        <f t="shared" ref="G32" si="5">E32/D32</f>
        <v>0.82278481012658233</v>
      </c>
    </row>
    <row r="33" spans="1:7" x14ac:dyDescent="0.3">
      <c r="A33" s="35"/>
      <c r="B33" s="4" t="s">
        <v>2</v>
      </c>
      <c r="C33" s="4">
        <v>32</v>
      </c>
      <c r="D33" s="4">
        <v>63</v>
      </c>
      <c r="E33" s="4">
        <v>17</v>
      </c>
      <c r="F33" s="41">
        <f t="shared" ref="F33:F34" si="6">(E33/C33)</f>
        <v>0.53125</v>
      </c>
      <c r="G33" s="41">
        <f t="shared" ref="G33:G34" si="7">E33/D33</f>
        <v>0.26984126984126983</v>
      </c>
    </row>
    <row r="34" spans="1:7" x14ac:dyDescent="0.3">
      <c r="A34" s="36"/>
      <c r="B34" s="8" t="s">
        <v>3</v>
      </c>
      <c r="C34" s="8">
        <v>49</v>
      </c>
      <c r="D34" s="8">
        <v>33</v>
      </c>
      <c r="E34" s="8">
        <v>19</v>
      </c>
      <c r="F34" s="38">
        <f t="shared" si="6"/>
        <v>0.38775510204081631</v>
      </c>
      <c r="G34" s="38">
        <f t="shared" si="7"/>
        <v>0.5757575757575758</v>
      </c>
    </row>
    <row r="35" spans="1:7" x14ac:dyDescent="0.3">
      <c r="A35" s="13"/>
      <c r="B35" s="4"/>
      <c r="C35" s="4"/>
      <c r="D35" s="4"/>
      <c r="E35" s="4"/>
      <c r="F35" s="42"/>
      <c r="G35" s="42"/>
    </row>
    <row r="36" spans="1:7" x14ac:dyDescent="0.3">
      <c r="B36" s="17" t="s">
        <v>26</v>
      </c>
      <c r="C36" s="1" t="s">
        <v>42</v>
      </c>
      <c r="D36" s="1" t="s">
        <v>40</v>
      </c>
      <c r="E36" s="1" t="s">
        <v>22</v>
      </c>
      <c r="F36" s="41" t="s">
        <v>35</v>
      </c>
      <c r="G36" s="41" t="s">
        <v>36</v>
      </c>
    </row>
    <row r="37" spans="1:7" x14ac:dyDescent="0.3">
      <c r="A37" s="13" t="s">
        <v>25</v>
      </c>
      <c r="B37" s="4">
        <v>12</v>
      </c>
      <c r="C37" s="41">
        <f>AVERAGE(C23:C31,C32:C34)</f>
        <v>44.916666666666664</v>
      </c>
      <c r="D37" s="41">
        <f>AVERAGE(D23:D31,D32:D34)</f>
        <v>65.083333333333329</v>
      </c>
      <c r="E37" s="41">
        <f>AVERAGE(E23:E31,E32:E34)</f>
        <v>21.416666666666668</v>
      </c>
      <c r="F37" s="41">
        <f>AVERAGE(F23:F31,F32:F34)</f>
        <v>0.44473551028553532</v>
      </c>
      <c r="G37" s="41">
        <f>AVERAGE(G23:G31,G32:G34)</f>
        <v>0.34350464878393366</v>
      </c>
    </row>
    <row r="38" spans="1:7" x14ac:dyDescent="0.3">
      <c r="B38" s="5"/>
      <c r="E38" s="1" t="s">
        <v>13</v>
      </c>
      <c r="F38" s="42">
        <f>(_xlfn.STDEV.S(F23:F31,F32:F34))/(SQRT(COUNT(F23:F31,F32:F34)))</f>
        <v>5.680601882417291E-2</v>
      </c>
      <c r="G38" s="42">
        <f>(_xlfn.STDEV.S(G23:G31,G32:G34))/(SQRT(COUNT(G23:G31,G32:G34)))</f>
        <v>6.9363131625697044E-2</v>
      </c>
    </row>
    <row r="42" spans="1:7" x14ac:dyDescent="0.3">
      <c r="F42" s="37" t="s">
        <v>45</v>
      </c>
      <c r="G42" s="37"/>
    </row>
    <row r="43" spans="1:7" x14ac:dyDescent="0.3">
      <c r="A43" s="8" t="s">
        <v>18</v>
      </c>
      <c r="B43" s="3" t="s">
        <v>0</v>
      </c>
      <c r="C43" s="3" t="s">
        <v>41</v>
      </c>
      <c r="D43" s="3" t="s">
        <v>17</v>
      </c>
      <c r="E43" s="3" t="s">
        <v>15</v>
      </c>
      <c r="F43" s="38" t="s">
        <v>37</v>
      </c>
      <c r="G43" s="38" t="s">
        <v>38</v>
      </c>
    </row>
    <row r="44" spans="1:7" x14ac:dyDescent="0.3">
      <c r="A44" s="35" t="s">
        <v>10</v>
      </c>
      <c r="B44" s="6" t="s">
        <v>1</v>
      </c>
      <c r="C44" s="6">
        <f>1+5</f>
        <v>6</v>
      </c>
      <c r="D44" s="6">
        <f>12+11</f>
        <v>23</v>
      </c>
      <c r="E44" s="6">
        <v>1</v>
      </c>
      <c r="F44" s="41">
        <f t="shared" ref="F44" si="8">(E44/C44)</f>
        <v>0.16666666666666666</v>
      </c>
      <c r="G44" s="41">
        <f t="shared" ref="G44" si="9">E44/D44</f>
        <v>4.3478260869565216E-2</v>
      </c>
    </row>
    <row r="45" spans="1:7" x14ac:dyDescent="0.3">
      <c r="A45" s="35"/>
      <c r="B45" s="10" t="s">
        <v>2</v>
      </c>
      <c r="C45" s="2">
        <v>111</v>
      </c>
      <c r="D45" s="2">
        <v>108</v>
      </c>
      <c r="E45" s="2">
        <v>41</v>
      </c>
      <c r="F45" s="41">
        <f t="shared" ref="F45:F49" si="10">(E45/C45)</f>
        <v>0.36936936936936937</v>
      </c>
      <c r="G45" s="41">
        <f t="shared" ref="G45:G49" si="11">E45/D45</f>
        <v>0.37962962962962965</v>
      </c>
    </row>
    <row r="46" spans="1:7" x14ac:dyDescent="0.3">
      <c r="A46" s="35"/>
      <c r="B46" s="6" t="s">
        <v>3</v>
      </c>
      <c r="C46" s="2">
        <v>64</v>
      </c>
      <c r="D46" s="2">
        <v>69</v>
      </c>
      <c r="E46" s="2">
        <v>41</v>
      </c>
      <c r="F46" s="41">
        <f t="shared" si="10"/>
        <v>0.640625</v>
      </c>
      <c r="G46" s="41">
        <f t="shared" si="11"/>
        <v>0.59420289855072461</v>
      </c>
    </row>
    <row r="47" spans="1:7" x14ac:dyDescent="0.3">
      <c r="A47" s="35"/>
      <c r="B47" s="6" t="s">
        <v>4</v>
      </c>
      <c r="C47" s="6">
        <f>7+2</f>
        <v>9</v>
      </c>
      <c r="D47" s="6">
        <f>13+6</f>
        <v>19</v>
      </c>
      <c r="E47" s="6">
        <f>2+1</f>
        <v>3</v>
      </c>
      <c r="F47" s="41">
        <f t="shared" si="10"/>
        <v>0.33333333333333331</v>
      </c>
      <c r="G47" s="41">
        <f t="shared" si="11"/>
        <v>0.15789473684210525</v>
      </c>
    </row>
    <row r="48" spans="1:7" x14ac:dyDescent="0.3">
      <c r="A48" s="36"/>
      <c r="B48" s="8" t="s">
        <v>5</v>
      </c>
      <c r="C48" s="3">
        <v>51</v>
      </c>
      <c r="D48" s="3">
        <v>85</v>
      </c>
      <c r="E48" s="3">
        <v>23</v>
      </c>
      <c r="F48" s="38">
        <f t="shared" si="10"/>
        <v>0.45098039215686275</v>
      </c>
      <c r="G48" s="38">
        <f t="shared" si="11"/>
        <v>0.27058823529411763</v>
      </c>
    </row>
    <row r="49" spans="1:7" x14ac:dyDescent="0.3">
      <c r="A49" s="34" t="s">
        <v>12</v>
      </c>
      <c r="B49" s="10" t="s">
        <v>1</v>
      </c>
      <c r="C49" s="2">
        <v>31</v>
      </c>
      <c r="D49" s="2">
        <v>85</v>
      </c>
      <c r="E49" s="2">
        <v>14</v>
      </c>
      <c r="F49" s="41">
        <f t="shared" si="10"/>
        <v>0.45161290322580644</v>
      </c>
      <c r="G49" s="41">
        <f t="shared" si="11"/>
        <v>0.16470588235294117</v>
      </c>
    </row>
    <row r="50" spans="1:7" x14ac:dyDescent="0.3">
      <c r="A50" s="36"/>
      <c r="B50" s="8" t="s">
        <v>2</v>
      </c>
      <c r="C50" s="3">
        <v>150</v>
      </c>
      <c r="D50" s="3">
        <v>164</v>
      </c>
      <c r="E50" s="3">
        <v>115</v>
      </c>
      <c r="F50" s="38">
        <f t="shared" ref="F50" si="12">(E50/C50)</f>
        <v>0.76666666666666672</v>
      </c>
      <c r="G50" s="38">
        <f t="shared" ref="G50" si="13">E50/D50</f>
        <v>0.70121951219512191</v>
      </c>
    </row>
    <row r="51" spans="1:7" x14ac:dyDescent="0.3">
      <c r="A51" s="19"/>
      <c r="B51" s="6"/>
      <c r="C51" s="14"/>
      <c r="D51" s="14"/>
      <c r="E51" s="14"/>
      <c r="F51" s="42"/>
      <c r="G51" s="42"/>
    </row>
    <row r="52" spans="1:7" x14ac:dyDescent="0.3">
      <c r="B52" s="17" t="s">
        <v>26</v>
      </c>
      <c r="C52" s="1" t="s">
        <v>42</v>
      </c>
      <c r="D52" s="1" t="s">
        <v>24</v>
      </c>
      <c r="E52" s="1" t="s">
        <v>22</v>
      </c>
      <c r="F52" s="41" t="s">
        <v>37</v>
      </c>
      <c r="G52" s="41" t="s">
        <v>38</v>
      </c>
    </row>
    <row r="53" spans="1:7" x14ac:dyDescent="0.3">
      <c r="A53" s="20" t="s">
        <v>25</v>
      </c>
      <c r="B53" s="1">
        <v>7</v>
      </c>
      <c r="C53" s="41">
        <f>AVERAGE(C44:C47,C48:C49,C50)</f>
        <v>60.285714285714285</v>
      </c>
      <c r="D53" s="41">
        <f>AVERAGE(D44:D47,D48:D49,D50)</f>
        <v>79</v>
      </c>
      <c r="E53" s="41">
        <f>AVERAGE(E44:E47,E48:E49,E50)</f>
        <v>34</v>
      </c>
      <c r="F53" s="41">
        <f>AVERAGE(F44:F47,F48:F49,F50)</f>
        <v>0.45417919020267217</v>
      </c>
      <c r="G53" s="41">
        <f>AVERAGE(G44:G47,G48:G49,G50)</f>
        <v>0.33024559367631501</v>
      </c>
    </row>
    <row r="54" spans="1:7" x14ac:dyDescent="0.3">
      <c r="E54" s="1" t="s">
        <v>13</v>
      </c>
      <c r="F54" s="41">
        <f>(_xlfn.STDEV.S(F44:F49,F50))/(SQRT(COUNT(F44:F49,F50)))</f>
        <v>7.5101068266117579E-2</v>
      </c>
      <c r="G54" s="41">
        <f>(_xlfn.STDEV.S(G44:G49,G50))/(SQRT(COUNT(G44:G49,G50)))</f>
        <v>9.1630288124608758E-2</v>
      </c>
    </row>
  </sheetData>
  <mergeCells count="9">
    <mergeCell ref="F1:G1"/>
    <mergeCell ref="A9:A13"/>
    <mergeCell ref="A3:A8"/>
    <mergeCell ref="A32:A34"/>
    <mergeCell ref="A49:A50"/>
    <mergeCell ref="F42:G42"/>
    <mergeCell ref="F21:G21"/>
    <mergeCell ref="A44:A48"/>
    <mergeCell ref="A23:A3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Bassoon</vt:lpstr>
      <vt:lpstr>Homer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2021-04-21T12:54:15Z</dcterms:modified>
</cp:coreProperties>
</file>