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9" documentId="8_{40732855-72F0-4FB1-BB0A-C5DC5E410DAE}" xr6:coauthVersionLast="47" xr6:coauthVersionMax="47" xr10:uidLastSave="{EC06AC86-D5FF-4C11-BACA-5725204054B2}"/>
  <bookViews>
    <workbookView xWindow="-120" yWindow="-120" windowWidth="20730" windowHeight="11160" xr2:uid="{00000000-000D-0000-FFFF-FFFF00000000}"/>
  </bookViews>
  <sheets>
    <sheet name="F1MC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7" i="6" l="1"/>
  <c r="E187" i="6" s="1"/>
  <c r="F187" i="6" s="1"/>
  <c r="G187" i="6" s="1"/>
  <c r="C186" i="6"/>
  <c r="E186" i="6" s="1"/>
  <c r="F186" i="6" s="1"/>
  <c r="G186" i="6" s="1"/>
  <c r="C185" i="6"/>
  <c r="C182" i="6"/>
  <c r="E182" i="6" s="1"/>
  <c r="F182" i="6" s="1"/>
  <c r="G182" i="6" s="1"/>
  <c r="C181" i="6"/>
  <c r="E181" i="6" s="1"/>
  <c r="F181" i="6" s="1"/>
  <c r="G181" i="6" s="1"/>
  <c r="C180" i="6"/>
  <c r="C178" i="6"/>
  <c r="E178" i="6" s="1"/>
  <c r="F178" i="6" s="1"/>
  <c r="G178" i="6" s="1"/>
  <c r="C177" i="6"/>
  <c r="E177" i="6" s="1"/>
  <c r="F177" i="6" s="1"/>
  <c r="G177" i="6" s="1"/>
  <c r="C176" i="6"/>
  <c r="E176" i="6" s="1"/>
  <c r="F176" i="6" s="1"/>
  <c r="G176" i="6" s="1"/>
  <c r="C173" i="6"/>
  <c r="E173" i="6" s="1"/>
  <c r="F173" i="6" s="1"/>
  <c r="G173" i="6" s="1"/>
  <c r="C172" i="6"/>
  <c r="E172" i="6" s="1"/>
  <c r="F172" i="6" s="1"/>
  <c r="G172" i="6" s="1"/>
  <c r="C169" i="6"/>
  <c r="E169" i="6" s="1"/>
  <c r="F169" i="6" s="1"/>
  <c r="G169" i="6" s="1"/>
  <c r="C168" i="6"/>
  <c r="C165" i="6"/>
  <c r="E165" i="6" s="1"/>
  <c r="F165" i="6" s="1"/>
  <c r="C164" i="6"/>
  <c r="E164" i="6" s="1"/>
  <c r="F164" i="6" s="1"/>
  <c r="C163" i="6"/>
  <c r="C166" i="6" s="1"/>
  <c r="C161" i="6"/>
  <c r="E161" i="6" s="1"/>
  <c r="F161" i="6" s="1"/>
  <c r="C160" i="6"/>
  <c r="E160" i="6" s="1"/>
  <c r="F160" i="6" s="1"/>
  <c r="C159" i="6"/>
  <c r="E159" i="6" s="1"/>
  <c r="F159" i="6" s="1"/>
  <c r="C157" i="6"/>
  <c r="E157" i="6" s="1"/>
  <c r="F157" i="6" s="1"/>
  <c r="C156" i="6"/>
  <c r="E156" i="6" s="1"/>
  <c r="F156" i="6" s="1"/>
  <c r="C155" i="6"/>
  <c r="E155" i="6" s="1"/>
  <c r="F155" i="6" s="1"/>
  <c r="C152" i="6"/>
  <c r="E152" i="6" s="1"/>
  <c r="F152" i="6" s="1"/>
  <c r="C151" i="6"/>
  <c r="C148" i="6"/>
  <c r="E148" i="6" s="1"/>
  <c r="F148" i="6" s="1"/>
  <c r="G148" i="6" s="1"/>
  <c r="C147" i="6"/>
  <c r="C149" i="6" s="1"/>
  <c r="E145" i="6"/>
  <c r="F145" i="6" s="1"/>
  <c r="C145" i="6"/>
  <c r="C144" i="6"/>
  <c r="E144" i="6" s="1"/>
  <c r="F144" i="6" s="1"/>
  <c r="C143" i="6"/>
  <c r="C141" i="6"/>
  <c r="E141" i="6" s="1"/>
  <c r="F141" i="6" s="1"/>
  <c r="C140" i="6"/>
  <c r="E140" i="6" s="1"/>
  <c r="F140" i="6" s="1"/>
  <c r="C139" i="6"/>
  <c r="C137" i="6"/>
  <c r="E137" i="6" s="1"/>
  <c r="F137" i="6" s="1"/>
  <c r="C136" i="6"/>
  <c r="E136" i="6" s="1"/>
  <c r="F136" i="6" s="1"/>
  <c r="C135" i="6"/>
  <c r="E135" i="6" s="1"/>
  <c r="F135" i="6" s="1"/>
  <c r="C132" i="6"/>
  <c r="E132" i="6" s="1"/>
  <c r="F132" i="6" s="1"/>
  <c r="C131" i="6"/>
  <c r="E131" i="6" s="1"/>
  <c r="F131" i="6" s="1"/>
  <c r="C128" i="6"/>
  <c r="E128" i="6" s="1"/>
  <c r="F128" i="6" s="1"/>
  <c r="C127" i="6"/>
  <c r="C125" i="6"/>
  <c r="E125" i="6" s="1"/>
  <c r="F125" i="6" s="1"/>
  <c r="C124" i="6"/>
  <c r="C122" i="6"/>
  <c r="E122" i="6" s="1"/>
  <c r="F122" i="6" s="1"/>
  <c r="E121" i="6"/>
  <c r="F121" i="6" s="1"/>
  <c r="C121" i="6"/>
  <c r="C120" i="6"/>
  <c r="C123" i="6" s="1"/>
  <c r="C118" i="6"/>
  <c r="E118" i="6" s="1"/>
  <c r="F118" i="6" s="1"/>
  <c r="C117" i="6"/>
  <c r="E117" i="6" s="1"/>
  <c r="F117" i="6" s="1"/>
  <c r="C116" i="6"/>
  <c r="E113" i="6"/>
  <c r="F113" i="6" s="1"/>
  <c r="C113" i="6"/>
  <c r="C112" i="6"/>
  <c r="E112" i="6" s="1"/>
  <c r="F112" i="6" s="1"/>
  <c r="C109" i="6"/>
  <c r="E109" i="6" s="1"/>
  <c r="F109" i="6" s="1"/>
  <c r="C108" i="6"/>
  <c r="C105" i="6"/>
  <c r="E105" i="6" s="1"/>
  <c r="F105" i="6" s="1"/>
  <c r="C104" i="6"/>
  <c r="E104" i="6" s="1"/>
  <c r="F104" i="6" s="1"/>
  <c r="C103" i="6"/>
  <c r="E103" i="6" s="1"/>
  <c r="F103" i="6" s="1"/>
  <c r="C101" i="6"/>
  <c r="E101" i="6" s="1"/>
  <c r="F101" i="6" s="1"/>
  <c r="C100" i="6"/>
  <c r="E100" i="6" s="1"/>
  <c r="F100" i="6" s="1"/>
  <c r="E99" i="6"/>
  <c r="F99" i="6" s="1"/>
  <c r="C99" i="6"/>
  <c r="C97" i="6"/>
  <c r="E97" i="6" s="1"/>
  <c r="F97" i="6" s="1"/>
  <c r="C96" i="6"/>
  <c r="E96" i="6" s="1"/>
  <c r="F96" i="6" s="1"/>
  <c r="C95" i="6"/>
  <c r="C94" i="6"/>
  <c r="E93" i="6"/>
  <c r="F93" i="6" s="1"/>
  <c r="E92" i="6"/>
  <c r="F92" i="6" s="1"/>
  <c r="E91" i="6"/>
  <c r="F91" i="6" s="1"/>
  <c r="C90" i="6"/>
  <c r="E89" i="6"/>
  <c r="F89" i="6" s="1"/>
  <c r="E88" i="6"/>
  <c r="F88" i="6" s="1"/>
  <c r="E87" i="6"/>
  <c r="F87" i="6" s="1"/>
  <c r="D84" i="6"/>
  <c r="E84" i="6" s="1"/>
  <c r="F84" i="6" s="1"/>
  <c r="D83" i="6"/>
  <c r="E83" i="6" s="1"/>
  <c r="F83" i="6" s="1"/>
  <c r="D82" i="6"/>
  <c r="E82" i="6" s="1"/>
  <c r="F82" i="6" s="1"/>
  <c r="D80" i="6"/>
  <c r="E80" i="6" s="1"/>
  <c r="F80" i="6" s="1"/>
  <c r="D79" i="6"/>
  <c r="E79" i="6" s="1"/>
  <c r="F79" i="6" s="1"/>
  <c r="D78" i="6"/>
  <c r="E78" i="6" s="1"/>
  <c r="F78" i="6" s="1"/>
  <c r="D76" i="6"/>
  <c r="E76" i="6" s="1"/>
  <c r="F76" i="6" s="1"/>
  <c r="D75" i="6"/>
  <c r="E75" i="6" s="1"/>
  <c r="F75" i="6" s="1"/>
  <c r="D74" i="6"/>
  <c r="D72" i="6"/>
  <c r="E72" i="6" s="1"/>
  <c r="F72" i="6" s="1"/>
  <c r="D71" i="6"/>
  <c r="E71" i="6" s="1"/>
  <c r="F71" i="6" s="1"/>
  <c r="D70" i="6"/>
  <c r="D69" i="6"/>
  <c r="E68" i="6"/>
  <c r="F68" i="6" s="1"/>
  <c r="E67" i="6"/>
  <c r="F67" i="6" s="1"/>
  <c r="E66" i="6"/>
  <c r="F66" i="6" s="1"/>
  <c r="Z61" i="6"/>
  <c r="AB59" i="6"/>
  <c r="Z57" i="6"/>
  <c r="AA52" i="6"/>
  <c r="Z52" i="6"/>
  <c r="AC48" i="6"/>
  <c r="AB48" i="6"/>
  <c r="AA46" i="6"/>
  <c r="Z46" i="6"/>
  <c r="AC45" i="6"/>
  <c r="AA43" i="6"/>
  <c r="Z43" i="6"/>
  <c r="F43" i="6"/>
  <c r="G43" i="6" s="1"/>
  <c r="J43" i="6" s="1"/>
  <c r="K43" i="6" s="1"/>
  <c r="AA42" i="6"/>
  <c r="Z42" i="6"/>
  <c r="F42" i="6"/>
  <c r="G42" i="6" s="1"/>
  <c r="J42" i="6" s="1"/>
  <c r="K42" i="6" s="1"/>
  <c r="F41" i="6"/>
  <c r="G41" i="6" s="1"/>
  <c r="J41" i="6" s="1"/>
  <c r="K41" i="6" s="1"/>
  <c r="F40" i="6"/>
  <c r="G40" i="6" s="1"/>
  <c r="J40" i="6" s="1"/>
  <c r="K40" i="6" s="1"/>
  <c r="F39" i="6"/>
  <c r="G39" i="6" s="1"/>
  <c r="J39" i="6" s="1"/>
  <c r="K39" i="6" s="1"/>
  <c r="F38" i="6"/>
  <c r="G38" i="6" s="1"/>
  <c r="J38" i="6" s="1"/>
  <c r="K38" i="6" s="1"/>
  <c r="F37" i="6"/>
  <c r="G37" i="6" s="1"/>
  <c r="J37" i="6" s="1"/>
  <c r="K37" i="6" s="1"/>
  <c r="F36" i="6"/>
  <c r="G36" i="6" s="1"/>
  <c r="J36" i="6" s="1"/>
  <c r="K36" i="6" s="1"/>
  <c r="F35" i="6"/>
  <c r="G35" i="6" s="1"/>
  <c r="J35" i="6" s="1"/>
  <c r="K35" i="6" s="1"/>
  <c r="F34" i="6"/>
  <c r="G34" i="6" s="1"/>
  <c r="J34" i="6" s="1"/>
  <c r="K34" i="6" s="1"/>
  <c r="G33" i="6"/>
  <c r="J33" i="6" s="1"/>
  <c r="K33" i="6" s="1"/>
  <c r="AE32" i="6"/>
  <c r="AD32" i="6"/>
  <c r="AC32" i="6"/>
  <c r="AB32" i="6"/>
  <c r="AA32" i="6"/>
  <c r="X32" i="6"/>
  <c r="X33" i="6" s="1"/>
  <c r="W32" i="6"/>
  <c r="W33" i="6" s="1"/>
  <c r="V32" i="6"/>
  <c r="V33" i="6" s="1"/>
  <c r="F32" i="6"/>
  <c r="G32" i="6" s="1"/>
  <c r="J32" i="6" s="1"/>
  <c r="K32" i="6" s="1"/>
  <c r="AE29" i="6"/>
  <c r="AD29" i="6"/>
  <c r="AC29" i="6"/>
  <c r="AB29" i="6"/>
  <c r="AA29" i="6"/>
  <c r="X29" i="6"/>
  <c r="X30" i="6" s="1"/>
  <c r="W29" i="6"/>
  <c r="W30" i="6" s="1"/>
  <c r="V29" i="6"/>
  <c r="V30" i="6" s="1"/>
  <c r="G29" i="6"/>
  <c r="J29" i="6" s="1"/>
  <c r="K29" i="6" s="1"/>
  <c r="AE26" i="6"/>
  <c r="AD26" i="6"/>
  <c r="AC26" i="6"/>
  <c r="AB26" i="6"/>
  <c r="AA26" i="6"/>
  <c r="X26" i="6"/>
  <c r="X27" i="6" s="1"/>
  <c r="W26" i="6"/>
  <c r="W27" i="6" s="1"/>
  <c r="V26" i="6"/>
  <c r="V27" i="6" s="1"/>
  <c r="G26" i="6"/>
  <c r="J26" i="6" s="1"/>
  <c r="K26" i="6" s="1"/>
  <c r="G25" i="6"/>
  <c r="J25" i="6" s="1"/>
  <c r="K25" i="6" s="1"/>
  <c r="AE23" i="6"/>
  <c r="AD23" i="6"/>
  <c r="AC23" i="6"/>
  <c r="AB23" i="6"/>
  <c r="AA23" i="6"/>
  <c r="X23" i="6"/>
  <c r="X24" i="6" s="1"/>
  <c r="W23" i="6"/>
  <c r="W24" i="6" s="1"/>
  <c r="V23" i="6"/>
  <c r="V24" i="6" s="1"/>
  <c r="S23" i="6"/>
  <c r="S24" i="6" s="1"/>
  <c r="R23" i="6"/>
  <c r="R24" i="6" s="1"/>
  <c r="Q23" i="6"/>
  <c r="Q24" i="6" s="1"/>
  <c r="T22" i="6"/>
  <c r="T23" i="6" s="1"/>
  <c r="F22" i="6"/>
  <c r="G22" i="6" s="1"/>
  <c r="J22" i="6" s="1"/>
  <c r="K22" i="6" s="1"/>
  <c r="F21" i="6"/>
  <c r="G21" i="6" s="1"/>
  <c r="J21" i="6" s="1"/>
  <c r="K21" i="6" s="1"/>
  <c r="AE20" i="6"/>
  <c r="AD20" i="6"/>
  <c r="AC20" i="6"/>
  <c r="AB20" i="6"/>
  <c r="AD21" i="6" s="1"/>
  <c r="AD22" i="6" s="1"/>
  <c r="AA20" i="6"/>
  <c r="X20" i="6"/>
  <c r="X21" i="6" s="1"/>
  <c r="W20" i="6"/>
  <c r="W21" i="6" s="1"/>
  <c r="V20" i="6"/>
  <c r="V21" i="6" s="1"/>
  <c r="F20" i="6"/>
  <c r="G20" i="6" s="1"/>
  <c r="J20" i="6" s="1"/>
  <c r="K20" i="6" s="1"/>
  <c r="G19" i="6"/>
  <c r="J19" i="6" s="1"/>
  <c r="K19" i="6" s="1"/>
  <c r="F18" i="6"/>
  <c r="G18" i="6" s="1"/>
  <c r="J18" i="6" s="1"/>
  <c r="K18" i="6" s="1"/>
  <c r="AE17" i="6"/>
  <c r="AD17" i="6"/>
  <c r="AC17" i="6"/>
  <c r="AB17" i="6"/>
  <c r="AA17" i="6"/>
  <c r="X17" i="6"/>
  <c r="X18" i="6" s="1"/>
  <c r="W17" i="6"/>
  <c r="W18" i="6" s="1"/>
  <c r="V17" i="6"/>
  <c r="G17" i="6"/>
  <c r="J17" i="6" s="1"/>
  <c r="K17" i="6" s="1"/>
  <c r="F17" i="6"/>
  <c r="F16" i="6"/>
  <c r="G16" i="6" s="1"/>
  <c r="J16" i="6" s="1"/>
  <c r="K16" i="6" s="1"/>
  <c r="F15" i="6"/>
  <c r="G15" i="6" s="1"/>
  <c r="J15" i="6" s="1"/>
  <c r="K15" i="6" s="1"/>
  <c r="G14" i="6"/>
  <c r="J14" i="6" s="1"/>
  <c r="K14" i="6" s="1"/>
  <c r="G13" i="6"/>
  <c r="J13" i="6" s="1"/>
  <c r="K13" i="6" s="1"/>
  <c r="F10" i="6"/>
  <c r="G10" i="6" s="1"/>
  <c r="J10" i="6" s="1"/>
  <c r="K10" i="6" s="1"/>
  <c r="L10" i="6" s="1"/>
  <c r="F9" i="6"/>
  <c r="G9" i="6" s="1"/>
  <c r="J9" i="6" s="1"/>
  <c r="K9" i="6" s="1"/>
  <c r="L9" i="6" s="1"/>
  <c r="F8" i="6"/>
  <c r="G8" i="6" s="1"/>
  <c r="J8" i="6" s="1"/>
  <c r="K8" i="6" s="1"/>
  <c r="L8" i="6" s="1"/>
  <c r="G7" i="6"/>
  <c r="J7" i="6" s="1"/>
  <c r="K7" i="6" s="1"/>
  <c r="L7" i="6" s="1"/>
  <c r="G6" i="6"/>
  <c r="J6" i="6" s="1"/>
  <c r="K6" i="6" s="1"/>
  <c r="L6" i="6" s="1"/>
  <c r="L15" i="6" l="1"/>
  <c r="L20" i="6" s="1"/>
  <c r="AE24" i="6"/>
  <c r="AE25" i="6" s="1"/>
  <c r="AE30" i="6"/>
  <c r="AE31" i="6" s="1"/>
  <c r="AA47" i="6"/>
  <c r="AA48" i="6" s="1"/>
  <c r="C142" i="6"/>
  <c r="C174" i="6"/>
  <c r="C110" i="6"/>
  <c r="C126" i="6"/>
  <c r="AD33" i="6"/>
  <c r="AD34" i="6" s="1"/>
  <c r="AC27" i="6"/>
  <c r="AC28" i="6" s="1"/>
  <c r="Z47" i="6"/>
  <c r="Z48" i="6" s="1"/>
  <c r="C98" i="6"/>
  <c r="L14" i="6"/>
  <c r="L19" i="6" s="1"/>
  <c r="L26" i="6" s="1"/>
  <c r="L35" i="6" s="1"/>
  <c r="L40" i="6" s="1"/>
  <c r="Z44" i="6"/>
  <c r="Z45" i="6" s="1"/>
  <c r="C114" i="6"/>
  <c r="C170" i="6"/>
  <c r="E120" i="6"/>
  <c r="F120" i="6" s="1"/>
  <c r="C189" i="6"/>
  <c r="E189" i="6" s="1"/>
  <c r="F189" i="6" s="1"/>
  <c r="G189" i="6" s="1"/>
  <c r="D85" i="6"/>
  <c r="AD30" i="6"/>
  <c r="AD31" i="6" s="1"/>
  <c r="D73" i="6"/>
  <c r="C106" i="6"/>
  <c r="C119" i="6"/>
  <c r="C138" i="6"/>
  <c r="E185" i="6"/>
  <c r="F185" i="6" s="1"/>
  <c r="G185" i="6" s="1"/>
  <c r="D77" i="6"/>
  <c r="L17" i="6"/>
  <c r="L22" i="6" s="1"/>
  <c r="L33" i="6" s="1"/>
  <c r="L38" i="6" s="1"/>
  <c r="L43" i="6" s="1"/>
  <c r="AE18" i="6"/>
  <c r="AE19" i="6" s="1"/>
  <c r="AC24" i="6"/>
  <c r="AC25" i="6" s="1"/>
  <c r="AE27" i="6"/>
  <c r="AE28" i="6" s="1"/>
  <c r="AA44" i="6"/>
  <c r="AA45" i="6" s="1"/>
  <c r="C129" i="6"/>
  <c r="C146" i="6"/>
  <c r="C153" i="6"/>
  <c r="AE21" i="6"/>
  <c r="AE22" i="6" s="1"/>
  <c r="C102" i="6"/>
  <c r="E127" i="6"/>
  <c r="F127" i="6" s="1"/>
  <c r="E143" i="6"/>
  <c r="F143" i="6" s="1"/>
  <c r="E151" i="6"/>
  <c r="F151" i="6" s="1"/>
  <c r="AD24" i="6"/>
  <c r="AD25" i="6" s="1"/>
  <c r="L29" i="6"/>
  <c r="L36" i="6" s="1"/>
  <c r="L41" i="6" s="1"/>
  <c r="C183" i="6"/>
  <c r="L13" i="6"/>
  <c r="L18" i="6" s="1"/>
  <c r="L25" i="6" s="1"/>
  <c r="L34" i="6" s="1"/>
  <c r="L39" i="6" s="1"/>
  <c r="L16" i="6"/>
  <c r="L21" i="6" s="1"/>
  <c r="L32" i="6" s="1"/>
  <c r="L37" i="6" s="1"/>
  <c r="L42" i="6" s="1"/>
  <c r="AC21" i="6"/>
  <c r="AC22" i="6" s="1"/>
  <c r="AD27" i="6"/>
  <c r="AD28" i="6" s="1"/>
  <c r="AC30" i="6"/>
  <c r="AC31" i="6" s="1"/>
  <c r="AE33" i="6"/>
  <c r="AE34" i="6" s="1"/>
  <c r="E74" i="6"/>
  <c r="F74" i="6" s="1"/>
  <c r="H174" i="6"/>
  <c r="K174" i="6"/>
  <c r="I173" i="6"/>
  <c r="K178" i="6"/>
  <c r="I178" i="6"/>
  <c r="H179" i="6"/>
  <c r="AC18" i="6"/>
  <c r="AC19" i="6" s="1"/>
  <c r="E70" i="6"/>
  <c r="F70" i="6" s="1"/>
  <c r="AD18" i="6"/>
  <c r="AD19" i="6" s="1"/>
  <c r="AC33" i="6"/>
  <c r="AC34" i="6" s="1"/>
  <c r="D81" i="6"/>
  <c r="H188" i="6"/>
  <c r="I187" i="6"/>
  <c r="C158" i="6"/>
  <c r="E163" i="6"/>
  <c r="F163" i="6" s="1"/>
  <c r="E180" i="6"/>
  <c r="F180" i="6" s="1"/>
  <c r="G180" i="6" s="1"/>
  <c r="K176" i="6" s="1"/>
  <c r="E95" i="6"/>
  <c r="F95" i="6" s="1"/>
  <c r="E108" i="6"/>
  <c r="F108" i="6" s="1"/>
  <c r="E124" i="6"/>
  <c r="F124" i="6" s="1"/>
  <c r="E139" i="6"/>
  <c r="F139" i="6" s="1"/>
  <c r="C162" i="6"/>
  <c r="C179" i="6"/>
  <c r="C133" i="6"/>
  <c r="E116" i="6"/>
  <c r="F116" i="6" s="1"/>
  <c r="E147" i="6"/>
  <c r="F147" i="6" s="1"/>
  <c r="G147" i="6" s="1"/>
  <c r="E168" i="6"/>
  <c r="F168" i="6" s="1"/>
  <c r="G168" i="6" s="1"/>
  <c r="J169" i="6" l="1"/>
  <c r="J174" i="6"/>
  <c r="H170" i="6"/>
  <c r="I148" i="6"/>
  <c r="H149" i="6"/>
  <c r="G165" i="6"/>
  <c r="G164" i="6"/>
  <c r="G163" i="6"/>
  <c r="L155" i="6" s="1"/>
  <c r="G155" i="6"/>
  <c r="G157" i="6"/>
  <c r="G156" i="6"/>
  <c r="I182" i="6"/>
  <c r="H183" i="6"/>
  <c r="G152" i="6"/>
  <c r="G151" i="6"/>
  <c r="L151" i="6" l="1"/>
  <c r="M151" i="6"/>
  <c r="G161" i="6"/>
  <c r="G160" i="6"/>
  <c r="K153" i="6" s="1"/>
  <c r="G159" i="6"/>
  <c r="N155" i="6"/>
  <c r="I152" i="6"/>
  <c r="K151" i="6"/>
  <c r="N151" i="6"/>
  <c r="K155" i="6"/>
  <c r="H153" i="6"/>
  <c r="J151" i="6"/>
  <c r="I157" i="6"/>
  <c r="H158" i="6"/>
  <c r="G128" i="6"/>
  <c r="G127" i="6"/>
  <c r="I165" i="6"/>
  <c r="H166" i="6"/>
  <c r="N153" i="6" l="1"/>
  <c r="J161" i="6"/>
  <c r="J159" i="6"/>
  <c r="I129" i="6"/>
  <c r="H129" i="6"/>
  <c r="I161" i="6"/>
  <c r="H162" i="6"/>
  <c r="L153" i="6"/>
  <c r="G145" i="6"/>
  <c r="G144" i="6"/>
  <c r="G143" i="6"/>
  <c r="G132" i="6"/>
  <c r="G131" i="6"/>
  <c r="G137" i="6"/>
  <c r="G136" i="6"/>
  <c r="G135" i="6"/>
  <c r="H133" i="6" l="1"/>
  <c r="K131" i="6"/>
  <c r="K134" i="6"/>
  <c r="M131" i="6"/>
  <c r="M134" i="6"/>
  <c r="I133" i="6"/>
  <c r="G109" i="6"/>
  <c r="G108" i="6"/>
  <c r="H138" i="6"/>
  <c r="I137" i="6"/>
  <c r="I145" i="6"/>
  <c r="H146" i="6"/>
  <c r="J134" i="6"/>
  <c r="G141" i="6"/>
  <c r="G140" i="6"/>
  <c r="G139" i="6"/>
  <c r="J131" i="6"/>
  <c r="L131" i="6" l="1"/>
  <c r="L134" i="6"/>
  <c r="G125" i="6"/>
  <c r="G124" i="6"/>
  <c r="G118" i="6"/>
  <c r="G117" i="6"/>
  <c r="G116" i="6"/>
  <c r="G113" i="6"/>
  <c r="G112" i="6"/>
  <c r="H142" i="6"/>
  <c r="I141" i="6"/>
  <c r="H111" i="6"/>
  <c r="I109" i="6"/>
  <c r="J115" i="6" l="1"/>
  <c r="G88" i="6"/>
  <c r="G89" i="6"/>
  <c r="G87" i="6"/>
  <c r="G122" i="6"/>
  <c r="G121" i="6"/>
  <c r="G120" i="6"/>
  <c r="I118" i="6"/>
  <c r="H119" i="6"/>
  <c r="K115" i="6"/>
  <c r="I113" i="6"/>
  <c r="M111" i="6"/>
  <c r="M115" i="6"/>
  <c r="H114" i="6"/>
  <c r="K111" i="6"/>
  <c r="J111" i="6"/>
  <c r="H126" i="6"/>
  <c r="I125" i="6"/>
  <c r="L111" i="6" l="1"/>
  <c r="G105" i="6"/>
  <c r="G104" i="6"/>
  <c r="G103" i="6"/>
  <c r="L115" i="6"/>
  <c r="G97" i="6"/>
  <c r="G96" i="6"/>
  <c r="G95" i="6"/>
  <c r="H90" i="6"/>
  <c r="I89" i="6"/>
  <c r="G92" i="6"/>
  <c r="G93" i="6"/>
  <c r="G91" i="6"/>
  <c r="J93" i="6" s="1"/>
  <c r="H123" i="6"/>
  <c r="I122" i="6"/>
  <c r="G100" i="6" l="1"/>
  <c r="G99" i="6"/>
  <c r="G101" i="6"/>
  <c r="G66" i="6"/>
  <c r="G67" i="6"/>
  <c r="G68" i="6"/>
  <c r="J100" i="6"/>
  <c r="H98" i="6"/>
  <c r="K100" i="6"/>
  <c r="I97" i="6"/>
  <c r="H106" i="6"/>
  <c r="I105" i="6"/>
  <c r="H94" i="6"/>
  <c r="K93" i="6"/>
  <c r="K97" i="6"/>
  <c r="M93" i="6"/>
  <c r="I93" i="6"/>
  <c r="M97" i="6"/>
  <c r="J97" i="6"/>
  <c r="L93" i="6" l="1"/>
  <c r="L100" i="6"/>
  <c r="L97" i="6"/>
  <c r="G82" i="6"/>
  <c r="G83" i="6"/>
  <c r="G84" i="6"/>
  <c r="H69" i="6"/>
  <c r="I68" i="6"/>
  <c r="G72" i="6"/>
  <c r="G71" i="6"/>
  <c r="G70" i="6"/>
  <c r="G76" i="6"/>
  <c r="G75" i="6"/>
  <c r="G74" i="6"/>
  <c r="I101" i="6"/>
  <c r="H102" i="6"/>
  <c r="J74" i="6" l="1"/>
  <c r="J70" i="6"/>
  <c r="I76" i="6"/>
  <c r="H77" i="6"/>
  <c r="H85" i="6"/>
  <c r="I84" i="6"/>
  <c r="G80" i="6"/>
  <c r="G79" i="6"/>
  <c r="L70" i="6" s="1"/>
  <c r="G78" i="6"/>
  <c r="M70" i="6"/>
  <c r="M74" i="6"/>
  <c r="H73" i="6"/>
  <c r="K70" i="6"/>
  <c r="K74" i="6"/>
  <c r="I72" i="6"/>
  <c r="L74" i="6" l="1"/>
  <c r="H81" i="6"/>
  <c r="I80" i="6"/>
</calcChain>
</file>

<file path=xl/sharedStrings.xml><?xml version="1.0" encoding="utf-8"?>
<sst xmlns="http://schemas.openxmlformats.org/spreadsheetml/2006/main" count="347" uniqueCount="101">
  <si>
    <t>Days</t>
  </si>
  <si>
    <t>Date</t>
  </si>
  <si>
    <t>Condiction</t>
  </si>
  <si>
    <t>CTRL</t>
  </si>
  <si>
    <t xml:space="preserve">home </t>
  </si>
  <si>
    <t>voyages</t>
  </si>
  <si>
    <t>n° Irradiation</t>
  </si>
  <si>
    <t>number in 1 ml</t>
  </si>
  <si>
    <t>all -starting culture</t>
  </si>
  <si>
    <t>Db new</t>
  </si>
  <si>
    <t>Doubling tot</t>
  </si>
  <si>
    <t>ctrl</t>
  </si>
  <si>
    <t>umbra</t>
  </si>
  <si>
    <t>penumbra</t>
  </si>
  <si>
    <t>field</t>
  </si>
  <si>
    <t>irradiated</t>
  </si>
  <si>
    <t>n°in 1 well(2ml)</t>
  </si>
  <si>
    <t>split in n°/1well:</t>
  </si>
  <si>
    <t>giorni</t>
  </si>
  <si>
    <t>n° counted/n°at beginning culture (for 1 well)</t>
  </si>
  <si>
    <t>n° wells new culture</t>
  </si>
  <si>
    <t>CTRL home</t>
  </si>
  <si>
    <t>CTRL  travel</t>
  </si>
  <si>
    <t>Field</t>
  </si>
  <si>
    <t>%umbra (rispetto &amp;al ctrl travel)</t>
  </si>
  <si>
    <t>%penumbra</t>
  </si>
  <si>
    <t>% field</t>
  </si>
  <si>
    <t>rispetto al ctrl travel</t>
  </si>
  <si>
    <t>decrease</t>
  </si>
  <si>
    <t>dcrease</t>
  </si>
  <si>
    <t>% decrease</t>
  </si>
  <si>
    <t>d</t>
  </si>
  <si>
    <t>d(rispetto al ctrl travel)</t>
  </si>
  <si>
    <t>tabella del grafico</t>
  </si>
  <si>
    <t>tabella relativa delle diminuzioni rispetto al ctrl travel</t>
  </si>
  <si>
    <t>dopo la prima settimana</t>
  </si>
  <si>
    <t>al giorno 13 finisce seconda settimana</t>
  </si>
  <si>
    <t>al giorno 20 finisce terza settimana</t>
  </si>
  <si>
    <t xml:space="preserve">ctrl travell </t>
  </si>
  <si>
    <t>secondo l'equazione</t>
  </si>
  <si>
    <t>DBs(20day)</t>
  </si>
  <si>
    <t>Distal umbra</t>
  </si>
  <si>
    <t>Penumbra +proximal umbra</t>
  </si>
  <si>
    <t>Proximal umbra +  penumbra</t>
  </si>
  <si>
    <t>ctrl H</t>
  </si>
  <si>
    <t>ctrl V</t>
  </si>
  <si>
    <t>p-value</t>
  </si>
  <si>
    <t>DS</t>
  </si>
  <si>
    <t>in plate</t>
  </si>
  <si>
    <t>DPs new</t>
  </si>
  <si>
    <t>DPs tot</t>
  </si>
  <si>
    <t>day10</t>
  </si>
  <si>
    <t xml:space="preserve">DS </t>
  </si>
  <si>
    <t>day 23</t>
  </si>
  <si>
    <t>UMBRA</t>
  </si>
  <si>
    <t>PENUMBRA</t>
  </si>
  <si>
    <t>FIELD</t>
  </si>
  <si>
    <t>day 18</t>
  </si>
  <si>
    <t>day 12</t>
  </si>
  <si>
    <t>day 9</t>
  </si>
  <si>
    <t>day 6</t>
  </si>
  <si>
    <t>day 3</t>
  </si>
  <si>
    <t>media</t>
  </si>
  <si>
    <t>DPs tot media</t>
  </si>
  <si>
    <t>CTRL  voyages</t>
  </si>
  <si>
    <t>tabella calcolata dalla media del numero di cellule</t>
  </si>
  <si>
    <t>tabella del grafico calcolata dalla media dei Dbs</t>
  </si>
  <si>
    <t>Deviazioni standard</t>
  </si>
  <si>
    <t xml:space="preserve">ctrl HOME </t>
  </si>
  <si>
    <t>day</t>
  </si>
  <si>
    <t>ctrl Voyage</t>
  </si>
  <si>
    <t>p tra ctrl v e field</t>
  </si>
  <si>
    <t>pvalue</t>
  </si>
  <si>
    <t>ctrl+ctrl</t>
  </si>
  <si>
    <t>ctrl v-umbra</t>
  </si>
  <si>
    <t>ctrl v-penumbra</t>
  </si>
  <si>
    <t>ctrl v-field</t>
  </si>
  <si>
    <t>ctrl-ctrl</t>
  </si>
  <si>
    <t>ctrl H-umbra</t>
  </si>
  <si>
    <t>ctrl V-umbra</t>
  </si>
  <si>
    <t>ctrl V-penumbra</t>
  </si>
  <si>
    <t>ctrl H-penumbra</t>
  </si>
  <si>
    <t>ctrlH-field</t>
  </si>
  <si>
    <t>pvalue penumbra et umbra</t>
  </si>
  <si>
    <t>pvalue penumbra et field</t>
  </si>
  <si>
    <t>day 8</t>
  </si>
  <si>
    <t>DBs(5day)</t>
  </si>
  <si>
    <t>**</t>
  </si>
  <si>
    <t>***</t>
  </si>
  <si>
    <t>*</t>
  </si>
  <si>
    <t>day6</t>
  </si>
  <si>
    <t>repeated p-value</t>
  </si>
  <si>
    <t>repeated p value t test</t>
  </si>
  <si>
    <t>umbra-penumbra</t>
  </si>
  <si>
    <t>field-umbra</t>
  </si>
  <si>
    <t>field-penumbra</t>
  </si>
  <si>
    <t>PTV</t>
  </si>
  <si>
    <t>Margin (+28 to +63mm)</t>
  </si>
  <si>
    <t>Margin (-13 to +22mm)</t>
  </si>
  <si>
    <t>Day</t>
  </si>
  <si>
    <t>Figure 1-Figure supplement 3-source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</si>
</sst>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4" fontId="0" fillId="0" borderId="0" xfId="0" applyNumberFormat="1"/>
    <xf numFmtId="16" fontId="0" fillId="0" borderId="0" xfId="0" applyNumberFormat="1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0" fillId="0" borderId="0" xfId="0" applyBorder="1"/>
    <xf numFmtId="0" fontId="0" fillId="0" borderId="1" xfId="0" applyBorder="1"/>
    <xf numFmtId="0" fontId="2" fillId="0" borderId="0" xfId="0" applyFont="1"/>
    <xf numFmtId="0" fontId="0" fillId="0" borderId="0" xfId="0" applyFont="1"/>
    <xf numFmtId="3" fontId="2" fillId="0" borderId="0" xfId="0" applyNumberFormat="1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0" fillId="2" borderId="0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3" fillId="0" borderId="1" xfId="0" applyFont="1" applyBorder="1"/>
    <xf numFmtId="0" fontId="0" fillId="0" borderId="12" xfId="0" applyBorder="1"/>
    <xf numFmtId="0" fontId="0" fillId="0" borderId="0" xfId="0" applyFill="1" applyBorder="1"/>
    <xf numFmtId="0" fontId="0" fillId="4" borderId="7" xfId="0" applyFill="1" applyBorder="1"/>
    <xf numFmtId="0" fontId="0" fillId="3" borderId="5" xfId="0" applyFill="1" applyBorder="1"/>
    <xf numFmtId="0" fontId="0" fillId="6" borderId="5" xfId="0" applyFill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13" xfId="0" applyFont="1" applyBorder="1"/>
    <xf numFmtId="0" fontId="1" fillId="0" borderId="14" xfId="0" applyFont="1" applyBorder="1"/>
    <xf numFmtId="0" fontId="0" fillId="6" borderId="15" xfId="0" applyFill="1" applyBorder="1"/>
    <xf numFmtId="0" fontId="0" fillId="6" borderId="16" xfId="0" applyFill="1" applyBorder="1"/>
    <xf numFmtId="0" fontId="1" fillId="0" borderId="3" xfId="0" applyFont="1" applyBorder="1"/>
    <xf numFmtId="0" fontId="1" fillId="0" borderId="1" xfId="0" applyFont="1" applyBorder="1"/>
    <xf numFmtId="0" fontId="0" fillId="6" borderId="0" xfId="0" applyFill="1" applyBorder="1"/>
    <xf numFmtId="0" fontId="0" fillId="3" borderId="8" xfId="0" applyFill="1" applyBorder="1"/>
    <xf numFmtId="0" fontId="0" fillId="3" borderId="7" xfId="0" applyFill="1" applyBorder="1"/>
    <xf numFmtId="0" fontId="0" fillId="0" borderId="5" xfId="0" applyFill="1" applyBorder="1"/>
    <xf numFmtId="0" fontId="0" fillId="4" borderId="8" xfId="0" applyFill="1" applyBorder="1"/>
    <xf numFmtId="0" fontId="0" fillId="0" borderId="7" xfId="0" applyFill="1" applyBorder="1"/>
    <xf numFmtId="0" fontId="0" fillId="0" borderId="8" xfId="0" applyFill="1" applyBorder="1"/>
    <xf numFmtId="0" fontId="0" fillId="4" borderId="5" xfId="0" applyFill="1" applyBorder="1"/>
    <xf numFmtId="0" fontId="0" fillId="4" borderId="0" xfId="0" applyFill="1" applyBorder="1"/>
    <xf numFmtId="0" fontId="0" fillId="3" borderId="0" xfId="0" applyFill="1" applyBorder="1"/>
    <xf numFmtId="0" fontId="0" fillId="5" borderId="8" xfId="0" applyFill="1" applyBorder="1"/>
    <xf numFmtId="0" fontId="0" fillId="5" borderId="9" xfId="0" applyFill="1" applyBorder="1"/>
    <xf numFmtId="0" fontId="0" fillId="4" borderId="9" xfId="0" applyFill="1" applyBorder="1"/>
    <xf numFmtId="0" fontId="0" fillId="4" borderId="6" xfId="0" applyFill="1" applyBorder="1"/>
    <xf numFmtId="0" fontId="1" fillId="0" borderId="4" xfId="0" applyFont="1" applyBorder="1"/>
    <xf numFmtId="0" fontId="1" fillId="0" borderId="5" xfId="0" applyFont="1" applyBorder="1"/>
    <xf numFmtId="0" fontId="0" fillId="5" borderId="0" xfId="0" applyFill="1" applyBorder="1"/>
    <xf numFmtId="0" fontId="0" fillId="5" borderId="6" xfId="0" applyFill="1" applyBorder="1"/>
    <xf numFmtId="49" fontId="0" fillId="0" borderId="11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618461526581833E-2"/>
          <c:y val="2.6417889164837758E-2"/>
          <c:w val="0.68015455081689447"/>
          <c:h val="0.88677847087295902"/>
        </c:manualLayout>
      </c:layout>
      <c:scatterChart>
        <c:scatterStyle val="lineMarker"/>
        <c:varyColors val="0"/>
        <c:ser>
          <c:idx val="1"/>
          <c:order val="0"/>
          <c:tx>
            <c:strRef>
              <c:f>F1MC!$Q$13</c:f>
              <c:strCache>
                <c:ptCount val="1"/>
                <c:pt idx="0">
                  <c:v>CTRL</c:v>
                </c:pt>
              </c:strCache>
            </c:strRef>
          </c:tx>
          <c:spPr>
            <a:ln w="12700"/>
          </c:spPr>
          <c:marker>
            <c:symbol val="circle"/>
            <c:size val="2"/>
          </c:marker>
          <c:errBars>
            <c:errDir val="y"/>
            <c:errBarType val="both"/>
            <c:errValType val="cust"/>
            <c:noEndCap val="0"/>
            <c:plus>
              <c:numRef>
                <c:f>F1MC!$S$90:$S$96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0.12768385938741358</c:v>
                  </c:pt>
                  <c:pt idx="2">
                    <c:v>0.41363095099977143</c:v>
                  </c:pt>
                  <c:pt idx="3">
                    <c:v>0.14598281543912936</c:v>
                  </c:pt>
                  <c:pt idx="4">
                    <c:v>5.7487853507376362E-2</c:v>
                  </c:pt>
                  <c:pt idx="5">
                    <c:v>0.18485727332222052</c:v>
                  </c:pt>
                  <c:pt idx="6">
                    <c:v>5.5519079600473933E-2</c:v>
                  </c:pt>
                </c:numCache>
              </c:numRef>
            </c:plus>
            <c:minus>
              <c:numRef>
                <c:f>F1MC!$S$90:$S$96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0.12768385938741358</c:v>
                  </c:pt>
                  <c:pt idx="2">
                    <c:v>0.41363095099977143</c:v>
                  </c:pt>
                  <c:pt idx="3">
                    <c:v>0.14598281543912936</c:v>
                  </c:pt>
                  <c:pt idx="4">
                    <c:v>5.7487853507376362E-2</c:v>
                  </c:pt>
                  <c:pt idx="5">
                    <c:v>0.18485727332222052</c:v>
                  </c:pt>
                  <c:pt idx="6">
                    <c:v>5.5519079600473933E-2</c:v>
                  </c:pt>
                </c:numCache>
              </c:numRef>
            </c:minus>
          </c:errBars>
          <c:xVal>
            <c:numRef>
              <c:f>F1MC!$O$14:$O$20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18</c:v>
                </c:pt>
                <c:pt idx="6">
                  <c:v>23</c:v>
                </c:pt>
              </c:numCache>
            </c:numRef>
          </c:xVal>
          <c:yVal>
            <c:numRef>
              <c:f>F1MC!$Q$14:$Q$20</c:f>
              <c:numCache>
                <c:formatCode>General</c:formatCode>
                <c:ptCount val="7"/>
                <c:pt idx="0">
                  <c:v>26.3</c:v>
                </c:pt>
                <c:pt idx="1">
                  <c:v>28.489821796371825</c:v>
                </c:pt>
                <c:pt idx="2">
                  <c:v>30.740482871037777</c:v>
                </c:pt>
                <c:pt idx="3">
                  <c:v>32.222219933025215</c:v>
                </c:pt>
                <c:pt idx="4">
                  <c:v>34.049466345966948</c:v>
                </c:pt>
                <c:pt idx="5">
                  <c:v>36.754191720818532</c:v>
                </c:pt>
                <c:pt idx="6">
                  <c:v>38.646564602120684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F1-4E31-BC24-BAB49497B4B2}"/>
            </c:ext>
          </c:extLst>
        </c:ser>
        <c:ser>
          <c:idx val="2"/>
          <c:order val="1"/>
          <c:tx>
            <c:strRef>
              <c:f>F1MC!$R$13</c:f>
              <c:strCache>
                <c:ptCount val="1"/>
                <c:pt idx="0">
                  <c:v>Margin (+28 to +63mm)</c:v>
                </c:pt>
              </c:strCache>
            </c:strRef>
          </c:tx>
          <c:spPr>
            <a:ln w="12700"/>
          </c:spPr>
          <c:marker>
            <c:symbol val="circle"/>
            <c:size val="2"/>
          </c:marker>
          <c:trendline>
            <c:trendlineType val="log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F1MC!$T$90:$T$96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0.32422171955716422</c:v>
                  </c:pt>
                  <c:pt idx="2">
                    <c:v>0.17416099951739153</c:v>
                  </c:pt>
                  <c:pt idx="3">
                    <c:v>0.22058664214823012</c:v>
                  </c:pt>
                  <c:pt idx="4">
                    <c:v>0.28397151756769023</c:v>
                  </c:pt>
                  <c:pt idx="5">
                    <c:v>0.22533709021954965</c:v>
                  </c:pt>
                  <c:pt idx="6">
                    <c:v>0.13204796565387841</c:v>
                  </c:pt>
                </c:numCache>
              </c:numRef>
            </c:plus>
            <c:minus>
              <c:numRef>
                <c:f>F1MC!$T$90:$T$96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0.32422171955716422</c:v>
                  </c:pt>
                  <c:pt idx="2">
                    <c:v>0.17416099951739153</c:v>
                  </c:pt>
                  <c:pt idx="3">
                    <c:v>0.22058664214823012</c:v>
                  </c:pt>
                  <c:pt idx="4">
                    <c:v>0.28397151756769023</c:v>
                  </c:pt>
                  <c:pt idx="5">
                    <c:v>0.22533709021954965</c:v>
                  </c:pt>
                  <c:pt idx="6">
                    <c:v>0.13204796565387841</c:v>
                  </c:pt>
                </c:numCache>
              </c:numRef>
            </c:minus>
          </c:errBars>
          <c:xVal>
            <c:numRef>
              <c:f>F1MC!$O$14:$O$20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18</c:v>
                </c:pt>
                <c:pt idx="6">
                  <c:v>23</c:v>
                </c:pt>
              </c:numCache>
            </c:numRef>
          </c:xVal>
          <c:yVal>
            <c:numRef>
              <c:f>F1MC!$R$14:$R$20</c:f>
              <c:numCache>
                <c:formatCode>General</c:formatCode>
                <c:ptCount val="7"/>
                <c:pt idx="0">
                  <c:v>26.3</c:v>
                </c:pt>
                <c:pt idx="1">
                  <c:v>28.772012034746549</c:v>
                </c:pt>
                <c:pt idx="2">
                  <c:v>30.169545672457378</c:v>
                </c:pt>
                <c:pt idx="3">
                  <c:v>31.5459561695247</c:v>
                </c:pt>
                <c:pt idx="4">
                  <c:v>32.972941607468385</c:v>
                </c:pt>
                <c:pt idx="5">
                  <c:v>35.519220979137749</c:v>
                </c:pt>
                <c:pt idx="6">
                  <c:v>37.480410819595711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F1-4E31-BC24-BAB49497B4B2}"/>
            </c:ext>
          </c:extLst>
        </c:ser>
        <c:ser>
          <c:idx val="3"/>
          <c:order val="2"/>
          <c:tx>
            <c:strRef>
              <c:f>F1MC!$S$13</c:f>
              <c:strCache>
                <c:ptCount val="1"/>
                <c:pt idx="0">
                  <c:v>Margin (-13 to +22mm)</c:v>
                </c:pt>
              </c:strCache>
            </c:strRef>
          </c:tx>
          <c:spPr>
            <a:ln w="12700"/>
          </c:spPr>
          <c:marker>
            <c:symbol val="circle"/>
            <c:size val="2"/>
          </c:marker>
          <c:trendline>
            <c:trendlineType val="power"/>
            <c:dispRSqr val="0"/>
            <c:dispEq val="0"/>
          </c:trendline>
          <c:trendline>
            <c:trendlineType val="power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trendline>
            <c:trendlineType val="log"/>
            <c:dispRSqr val="0"/>
            <c:dispEq val="0"/>
          </c:trendline>
          <c:errBars>
            <c:errDir val="y"/>
            <c:errBarType val="both"/>
            <c:errValType val="cust"/>
            <c:noEndCap val="0"/>
            <c:plus>
              <c:numRef>
                <c:f>F1MC!$U$89:$U$96</c:f>
                <c:numCache>
                  <c:formatCode>General</c:formatCode>
                  <c:ptCount val="8"/>
                  <c:pt idx="1">
                    <c:v>0</c:v>
                  </c:pt>
                  <c:pt idx="2">
                    <c:v>0.19651226255885645</c:v>
                  </c:pt>
                  <c:pt idx="3">
                    <c:v>0.10331120019327532</c:v>
                  </c:pt>
                  <c:pt idx="4">
                    <c:v>0.33411440461463804</c:v>
                  </c:pt>
                  <c:pt idx="5">
                    <c:v>0.18828294219074868</c:v>
                  </c:pt>
                  <c:pt idx="6">
                    <c:v>8.1760290584381112E-2</c:v>
                  </c:pt>
                  <c:pt idx="7">
                    <c:v>6.0151470141530279E-2</c:v>
                  </c:pt>
                </c:numCache>
              </c:numRef>
            </c:plus>
            <c:minus>
              <c:numRef>
                <c:f>F1MC!$U$90:$U$96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0.19651226255885645</c:v>
                  </c:pt>
                  <c:pt idx="2">
                    <c:v>0.10331120019327532</c:v>
                  </c:pt>
                  <c:pt idx="3">
                    <c:v>0.33411440461463804</c:v>
                  </c:pt>
                  <c:pt idx="4">
                    <c:v>0.18828294219074868</c:v>
                  </c:pt>
                  <c:pt idx="5">
                    <c:v>8.1760290584381112E-2</c:v>
                  </c:pt>
                  <c:pt idx="6">
                    <c:v>6.0151470141530279E-2</c:v>
                  </c:pt>
                </c:numCache>
              </c:numRef>
            </c:minus>
          </c:errBars>
          <c:xVal>
            <c:numRef>
              <c:f>F1MC!$O$14:$O$20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18</c:v>
                </c:pt>
                <c:pt idx="6">
                  <c:v>23</c:v>
                </c:pt>
              </c:numCache>
            </c:numRef>
          </c:xVal>
          <c:yVal>
            <c:numRef>
              <c:f>F1MC!$S$14:$S$20</c:f>
              <c:numCache>
                <c:formatCode>General</c:formatCode>
                <c:ptCount val="7"/>
                <c:pt idx="0">
                  <c:v>26.3</c:v>
                </c:pt>
                <c:pt idx="1">
                  <c:v>28.434721970625905</c:v>
                </c:pt>
                <c:pt idx="2">
                  <c:v>29.144251865216919</c:v>
                </c:pt>
                <c:pt idx="3">
                  <c:v>29.945284285727585</c:v>
                </c:pt>
                <c:pt idx="4">
                  <c:v>30.644926588447603</c:v>
                </c:pt>
                <c:pt idx="5">
                  <c:v>31.464413181637592</c:v>
                </c:pt>
                <c:pt idx="6">
                  <c:v>32.726611968934527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1F1-4E31-BC24-BAB49497B4B2}"/>
            </c:ext>
          </c:extLst>
        </c:ser>
        <c:ser>
          <c:idx val="4"/>
          <c:order val="3"/>
          <c:tx>
            <c:strRef>
              <c:f>F1MC!$T$13</c:f>
              <c:strCache>
                <c:ptCount val="1"/>
                <c:pt idx="0">
                  <c:v>PTV</c:v>
                </c:pt>
              </c:strCache>
            </c:strRef>
          </c:tx>
          <c:spPr>
            <a:ln w="12700"/>
          </c:spPr>
          <c:marker>
            <c:symbol val="circle"/>
            <c:size val="2"/>
          </c:marker>
          <c:errBars>
            <c:errDir val="y"/>
            <c:errBarType val="both"/>
            <c:errValType val="cust"/>
            <c:noEndCap val="0"/>
            <c:plus>
              <c:numRef>
                <c:f>F1MC!$V$90:$V$96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0.13669249625764734</c:v>
                  </c:pt>
                  <c:pt idx="2">
                    <c:v>0.1782163432076504</c:v>
                  </c:pt>
                  <c:pt idx="3">
                    <c:v>9.0799624876178597E-2</c:v>
                  </c:pt>
                  <c:pt idx="4">
                    <c:v>0.23831972500109086</c:v>
                  </c:pt>
                  <c:pt idx="5">
                    <c:v>0.25454227756435172</c:v>
                  </c:pt>
                  <c:pt idx="6">
                    <c:v>0.24635359736534129</c:v>
                  </c:pt>
                </c:numCache>
              </c:numRef>
            </c:plus>
            <c:minus>
              <c:numRef>
                <c:f>F1MC!$V$90:$V$96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0.13669249625764734</c:v>
                  </c:pt>
                  <c:pt idx="2">
                    <c:v>0.1782163432076504</c:v>
                  </c:pt>
                  <c:pt idx="3">
                    <c:v>9.0799624876178597E-2</c:v>
                  </c:pt>
                  <c:pt idx="4">
                    <c:v>0.23831972500109086</c:v>
                  </c:pt>
                  <c:pt idx="5">
                    <c:v>0.25454227756435172</c:v>
                  </c:pt>
                  <c:pt idx="6">
                    <c:v>0.24635359736534129</c:v>
                  </c:pt>
                </c:numCache>
              </c:numRef>
            </c:minus>
          </c:errBars>
          <c:xVal>
            <c:numRef>
              <c:f>F1MC!$O$14:$O$20</c:f>
              <c:numCache>
                <c:formatCode>General</c:formatCode>
                <c:ptCount val="7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18</c:v>
                </c:pt>
                <c:pt idx="6">
                  <c:v>23</c:v>
                </c:pt>
              </c:numCache>
            </c:numRef>
          </c:xVal>
          <c:yVal>
            <c:numRef>
              <c:f>F1MC!$T$14:$T$20</c:f>
              <c:numCache>
                <c:formatCode>General</c:formatCode>
                <c:ptCount val="7"/>
                <c:pt idx="0">
                  <c:v>26.3</c:v>
                </c:pt>
                <c:pt idx="1">
                  <c:v>28.598171819129657</c:v>
                </c:pt>
                <c:pt idx="2">
                  <c:v>28.124630888463354</c:v>
                </c:pt>
                <c:pt idx="3">
                  <c:v>27.830529236019938</c:v>
                </c:pt>
                <c:pt idx="4">
                  <c:v>26.925046148214946</c:v>
                </c:pt>
                <c:pt idx="5">
                  <c:v>26.462890032520921</c:v>
                </c:pt>
                <c:pt idx="6">
                  <c:v>26.001780486003753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1F1-4E31-BC24-BAB49497B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352320"/>
        <c:axId val="119366784"/>
      </c:scatterChart>
      <c:valAx>
        <c:axId val="119352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Days</a:t>
                </a:r>
              </a:p>
            </c:rich>
          </c:tx>
          <c:layout>
            <c:manualLayout>
              <c:xMode val="edge"/>
              <c:yMode val="edge"/>
              <c:x val="0.76361503446920698"/>
              <c:y val="0.9226549195934563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9366784"/>
        <c:crosses val="autoZero"/>
        <c:crossBetween val="midCat"/>
        <c:majorUnit val="1"/>
      </c:valAx>
      <c:valAx>
        <c:axId val="119366784"/>
        <c:scaling>
          <c:orientation val="minMax"/>
          <c:min val="26"/>
        </c:scaling>
        <c:delete val="0"/>
        <c:axPos val="l"/>
        <c:majorGridlines>
          <c:spPr>
            <a:ln>
              <a:solidFill>
                <a:schemeClr val="lt1">
                  <a:shade val="50000"/>
                </a:schemeClr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Population Doublings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9352320"/>
        <c:crosses val="autoZero"/>
        <c:crossBetween val="midCat"/>
        <c:majorUnit val="1"/>
      </c:valAx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5270270668442818"/>
          <c:y val="2.7501524218854975E-2"/>
          <c:w val="0.22814824192363078"/>
          <c:h val="0.75063578358662864"/>
        </c:manualLayout>
      </c:layout>
      <c:overlay val="0"/>
    </c:legend>
    <c:plotVisOnly val="1"/>
    <c:dispBlanksAs val="span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1147205</xdr:colOff>
      <xdr:row>35</xdr:row>
      <xdr:rowOff>56733</xdr:rowOff>
    </xdr:from>
    <xdr:to>
      <xdr:col>23</xdr:col>
      <xdr:colOff>416718</xdr:colOff>
      <xdr:row>58</xdr:row>
      <xdr:rowOff>51245</xdr:rowOff>
    </xdr:to>
    <xdr:graphicFrame macro="">
      <xdr:nvGraphicFramePr>
        <xdr:cNvPr id="2" name="Grafico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189"/>
  <sheetViews>
    <sheetView tabSelected="1" topLeftCell="E1" zoomScale="55" zoomScaleNormal="55" workbookViewId="0">
      <selection activeCell="R30" sqref="R30"/>
    </sheetView>
  </sheetViews>
  <sheetFormatPr baseColWidth="10" defaultColWidth="9.140625" defaultRowHeight="15" x14ac:dyDescent="0.25"/>
  <cols>
    <col min="1" max="1" width="7.5703125" customWidth="1"/>
    <col min="2" max="2" width="15.85546875" customWidth="1"/>
    <col min="3" max="3" width="10.7109375" customWidth="1"/>
    <col min="4" max="4" width="9.85546875" customWidth="1"/>
    <col min="5" max="5" width="11.5703125" customWidth="1"/>
    <col min="6" max="6" width="14.7109375" customWidth="1"/>
    <col min="7" max="7" width="14.85546875" customWidth="1"/>
    <col min="8" max="8" width="13.140625" customWidth="1"/>
    <col min="9" max="9" width="14" customWidth="1"/>
    <col min="10" max="10" width="15.5703125" customWidth="1"/>
    <col min="11" max="11" width="21.5703125" customWidth="1"/>
    <col min="12" max="12" width="15.28515625" customWidth="1"/>
    <col min="13" max="13" width="13.28515625" customWidth="1"/>
    <col min="14" max="14" width="17.42578125" customWidth="1"/>
    <col min="16" max="16" width="10.42578125" customWidth="1"/>
    <col min="17" max="17" width="11.5703125" customWidth="1"/>
    <col min="19" max="19" width="11.85546875" customWidth="1"/>
    <col min="21" max="21" width="11.42578125" customWidth="1"/>
    <col min="22" max="22" width="7.5703125" customWidth="1"/>
    <col min="23" max="23" width="10.85546875" customWidth="1"/>
    <col min="24" max="24" width="12" customWidth="1"/>
    <col min="25" max="25" width="10.42578125" customWidth="1"/>
    <col min="26" max="26" width="10.28515625" customWidth="1"/>
    <col min="27" max="27" width="12.140625" customWidth="1"/>
    <col min="28" max="28" width="11.5703125" customWidth="1"/>
    <col min="29" max="29" width="12.42578125" customWidth="1"/>
    <col min="30" max="30" width="10" customWidth="1"/>
  </cols>
  <sheetData>
    <row r="1" spans="1:31" x14ac:dyDescent="0.25">
      <c r="E1" t="s">
        <v>100</v>
      </c>
    </row>
    <row r="2" spans="1:31" x14ac:dyDescent="0.25">
      <c r="A2" t="s">
        <v>1</v>
      </c>
      <c r="B2" t="s">
        <v>2</v>
      </c>
      <c r="D2" t="s">
        <v>0</v>
      </c>
      <c r="E2" t="s">
        <v>6</v>
      </c>
      <c r="F2" t="s">
        <v>7</v>
      </c>
      <c r="G2" t="s">
        <v>16</v>
      </c>
      <c r="H2" t="s">
        <v>17</v>
      </c>
      <c r="I2" t="s">
        <v>20</v>
      </c>
      <c r="J2" t="s">
        <v>19</v>
      </c>
      <c r="K2" t="s">
        <v>9</v>
      </c>
      <c r="L2" t="s">
        <v>10</v>
      </c>
    </row>
    <row r="4" spans="1:31" x14ac:dyDescent="0.25">
      <c r="A4" s="1">
        <v>42203</v>
      </c>
      <c r="B4" t="s">
        <v>8</v>
      </c>
      <c r="D4">
        <v>0</v>
      </c>
      <c r="E4">
        <v>0</v>
      </c>
      <c r="G4">
        <v>35000</v>
      </c>
      <c r="L4">
        <v>26.3</v>
      </c>
    </row>
    <row r="5" spans="1:31" x14ac:dyDescent="0.25">
      <c r="A5" s="2">
        <v>42205</v>
      </c>
      <c r="D5">
        <v>2</v>
      </c>
      <c r="E5">
        <v>1</v>
      </c>
    </row>
    <row r="6" spans="1:31" x14ac:dyDescent="0.25">
      <c r="A6" s="2">
        <v>42206</v>
      </c>
      <c r="B6" t="s">
        <v>11</v>
      </c>
      <c r="C6" s="1" t="s">
        <v>4</v>
      </c>
      <c r="D6">
        <v>3</v>
      </c>
      <c r="F6">
        <v>80000</v>
      </c>
      <c r="G6">
        <f>F6*2</f>
        <v>160000</v>
      </c>
      <c r="H6">
        <v>28000</v>
      </c>
      <c r="I6">
        <v>4</v>
      </c>
      <c r="J6">
        <f>G6/G4</f>
        <v>4.5714285714285712</v>
      </c>
      <c r="K6">
        <f>LOG10(J6)/LOG10(2)</f>
        <v>2.1926450779423958</v>
      </c>
      <c r="L6">
        <f>L4+K6</f>
        <v>28.492645077942395</v>
      </c>
    </row>
    <row r="7" spans="1:31" x14ac:dyDescent="0.25">
      <c r="A7" s="2"/>
      <c r="C7" s="1" t="s">
        <v>5</v>
      </c>
      <c r="F7">
        <v>80000</v>
      </c>
      <c r="G7">
        <f>F7*2</f>
        <v>160000</v>
      </c>
      <c r="H7">
        <v>35000</v>
      </c>
      <c r="I7">
        <v>4</v>
      </c>
      <c r="J7">
        <f>G7/G4</f>
        <v>4.5714285714285712</v>
      </c>
      <c r="K7">
        <f>LOG10(J7)/LOG10(2)</f>
        <v>2.1926450779423958</v>
      </c>
      <c r="L7">
        <f>L4+K7</f>
        <v>28.492645077942395</v>
      </c>
    </row>
    <row r="8" spans="1:31" x14ac:dyDescent="0.25">
      <c r="A8" s="2"/>
      <c r="B8" s="4" t="s">
        <v>15</v>
      </c>
      <c r="C8" s="4" t="s">
        <v>12</v>
      </c>
      <c r="D8" s="4"/>
      <c r="E8" s="4">
        <v>2</v>
      </c>
      <c r="F8" s="4">
        <f>296000/3</f>
        <v>98666.666666666672</v>
      </c>
      <c r="G8" s="4">
        <f>F8*2</f>
        <v>197333.33333333334</v>
      </c>
      <c r="H8" s="4">
        <v>35000</v>
      </c>
      <c r="I8" s="4">
        <v>6</v>
      </c>
      <c r="J8" s="4">
        <f>G8/G4</f>
        <v>5.6380952380952385</v>
      </c>
      <c r="K8" s="4">
        <f t="shared" ref="K8:K10" si="0">LOG10(J8)/LOG10(2)</f>
        <v>2.4952078479628272</v>
      </c>
      <c r="L8" s="4">
        <f>L4+K8</f>
        <v>28.795207847962828</v>
      </c>
    </row>
    <row r="9" spans="1:31" x14ac:dyDescent="0.25">
      <c r="A9" s="2"/>
      <c r="B9" s="4"/>
      <c r="C9" s="4" t="s">
        <v>13</v>
      </c>
      <c r="D9" s="4"/>
      <c r="E9" s="4">
        <v>2</v>
      </c>
      <c r="F9" s="4">
        <f>232000/3</f>
        <v>77333.333333333328</v>
      </c>
      <c r="G9" s="4">
        <f t="shared" ref="G9:G10" si="1">F9*2</f>
        <v>154666.66666666666</v>
      </c>
      <c r="H9" s="4">
        <v>35000</v>
      </c>
      <c r="I9" s="4">
        <v>6</v>
      </c>
      <c r="J9" s="4">
        <f>G9/G4</f>
        <v>4.4190476190476184</v>
      </c>
      <c r="K9" s="4">
        <f t="shared" si="0"/>
        <v>2.143735477461449</v>
      </c>
      <c r="L9" s="4">
        <f>L4+K9</f>
        <v>28.443735477461448</v>
      </c>
    </row>
    <row r="10" spans="1:31" x14ac:dyDescent="0.25">
      <c r="A10" s="2"/>
      <c r="B10" s="4"/>
      <c r="C10" s="4" t="s">
        <v>14</v>
      </c>
      <c r="D10" s="4"/>
      <c r="E10" s="4">
        <v>2</v>
      </c>
      <c r="F10" s="4">
        <f>259000/3</f>
        <v>86333.333333333328</v>
      </c>
      <c r="G10" s="4">
        <f t="shared" si="1"/>
        <v>172666.66666666666</v>
      </c>
      <c r="H10" s="4">
        <v>35000</v>
      </c>
      <c r="I10" s="4">
        <v>6</v>
      </c>
      <c r="J10" s="4">
        <f>G10/G4</f>
        <v>4.9333333333333327</v>
      </c>
      <c r="K10" s="4">
        <f t="shared" si="0"/>
        <v>2.302562770020431</v>
      </c>
      <c r="L10" s="4">
        <f>L4+K10</f>
        <v>28.60256277002043</v>
      </c>
    </row>
    <row r="11" spans="1:31" ht="15.75" thickBot="1" x14ac:dyDescent="0.3">
      <c r="A11" s="2">
        <v>42207</v>
      </c>
      <c r="D11">
        <v>4</v>
      </c>
      <c r="E11">
        <v>3</v>
      </c>
    </row>
    <row r="12" spans="1:31" ht="15.75" thickBot="1" x14ac:dyDescent="0.3">
      <c r="A12" s="2">
        <v>42208</v>
      </c>
      <c r="D12">
        <v>5</v>
      </c>
      <c r="E12">
        <v>4</v>
      </c>
      <c r="Q12" t="s">
        <v>33</v>
      </c>
      <c r="U12" s="11"/>
      <c r="V12" s="7"/>
      <c r="W12" s="7" t="s">
        <v>27</v>
      </c>
      <c r="X12" s="12"/>
      <c r="Y12" s="11"/>
      <c r="Z12" s="25" t="s">
        <v>34</v>
      </c>
      <c r="AA12" s="7"/>
      <c r="AB12" s="7"/>
      <c r="AC12" s="7"/>
      <c r="AD12" s="7"/>
      <c r="AE12" s="12"/>
    </row>
    <row r="13" spans="1:31" ht="15.75" thickBot="1" x14ac:dyDescent="0.3">
      <c r="A13" s="2">
        <v>42209</v>
      </c>
      <c r="B13" t="s">
        <v>11</v>
      </c>
      <c r="C13" t="s">
        <v>4</v>
      </c>
      <c r="D13">
        <v>6</v>
      </c>
      <c r="F13">
        <v>76000</v>
      </c>
      <c r="G13">
        <f>F13*2</f>
        <v>152000</v>
      </c>
      <c r="H13" s="3">
        <v>40000</v>
      </c>
      <c r="I13">
        <v>4</v>
      </c>
      <c r="J13">
        <f>G13/H6</f>
        <v>5.4285714285714288</v>
      </c>
      <c r="K13">
        <f>LOG10(J13)/LOG10(2)</f>
        <v>2.4405725913859815</v>
      </c>
      <c r="L13">
        <f>L6+K13</f>
        <v>30.933217669328378</v>
      </c>
      <c r="O13" s="18" t="s">
        <v>99</v>
      </c>
      <c r="P13" s="19" t="s">
        <v>21</v>
      </c>
      <c r="Q13" s="20" t="s">
        <v>3</v>
      </c>
      <c r="R13" s="20" t="s">
        <v>97</v>
      </c>
      <c r="S13" s="59" t="s">
        <v>98</v>
      </c>
      <c r="T13" s="26" t="s">
        <v>96</v>
      </c>
      <c r="U13" s="13"/>
      <c r="V13" s="6" t="s">
        <v>24</v>
      </c>
      <c r="W13" s="6" t="s">
        <v>25</v>
      </c>
      <c r="X13" s="14" t="s">
        <v>26</v>
      </c>
      <c r="Y13" s="13" t="s">
        <v>18</v>
      </c>
      <c r="Z13" s="6"/>
      <c r="AA13" s="6" t="s">
        <v>21</v>
      </c>
      <c r="AB13" s="21" t="s">
        <v>22</v>
      </c>
      <c r="AC13" s="6" t="s">
        <v>41</v>
      </c>
      <c r="AD13" s="6" t="s">
        <v>42</v>
      </c>
      <c r="AE13" s="14" t="s">
        <v>23</v>
      </c>
    </row>
    <row r="14" spans="1:31" x14ac:dyDescent="0.25">
      <c r="A14" s="2"/>
      <c r="C14" t="s">
        <v>5</v>
      </c>
      <c r="F14">
        <v>85000</v>
      </c>
      <c r="G14">
        <f>F14*2</f>
        <v>170000</v>
      </c>
      <c r="H14" s="3">
        <v>40000</v>
      </c>
      <c r="I14">
        <v>4</v>
      </c>
      <c r="J14">
        <f>G14/H7</f>
        <v>4.8571428571428568</v>
      </c>
      <c r="K14">
        <f t="shared" ref="K14:K17" si="2">LOG10(J14)/LOG10(2)</f>
        <v>2.2801079191927349</v>
      </c>
      <c r="L14">
        <f>L7+K14</f>
        <v>30.772752997135129</v>
      </c>
      <c r="O14" s="13">
        <v>0</v>
      </c>
      <c r="P14" s="11">
        <v>26.3</v>
      </c>
      <c r="Q14" s="7">
        <v>26.3</v>
      </c>
      <c r="R14" s="7">
        <v>26.3</v>
      </c>
      <c r="S14" s="7">
        <v>26.3</v>
      </c>
      <c r="T14" s="7">
        <v>26.3</v>
      </c>
      <c r="U14" s="13"/>
      <c r="V14" s="6"/>
      <c r="W14" s="6"/>
      <c r="X14" s="14"/>
      <c r="Y14" s="13">
        <v>0</v>
      </c>
      <c r="Z14" s="6"/>
      <c r="AA14" s="6">
        <v>0</v>
      </c>
      <c r="AB14" s="6">
        <v>0</v>
      </c>
      <c r="AC14" s="6">
        <v>0</v>
      </c>
      <c r="AD14" s="6">
        <v>0</v>
      </c>
      <c r="AE14" s="14">
        <v>0</v>
      </c>
    </row>
    <row r="15" spans="1:31" x14ac:dyDescent="0.25">
      <c r="A15" s="2"/>
      <c r="B15" s="4" t="s">
        <v>15</v>
      </c>
      <c r="C15" s="4" t="s">
        <v>12</v>
      </c>
      <c r="D15" s="4"/>
      <c r="E15" s="4">
        <v>5</v>
      </c>
      <c r="F15" s="4">
        <f>139000/3</f>
        <v>46333.333333333336</v>
      </c>
      <c r="G15" s="4">
        <f>F15*2</f>
        <v>92666.666666666672</v>
      </c>
      <c r="H15" s="5">
        <v>40000</v>
      </c>
      <c r="I15" s="4">
        <v>6</v>
      </c>
      <c r="J15" s="4">
        <f>G15/H8</f>
        <v>2.6476190476190475</v>
      </c>
      <c r="K15" s="4">
        <f t="shared" si="2"/>
        <v>1.4046955550573847</v>
      </c>
      <c r="L15" s="4">
        <f>L8+K15</f>
        <v>30.199903403020212</v>
      </c>
      <c r="O15" s="13">
        <v>3</v>
      </c>
      <c r="P15" s="13">
        <v>28.489821796371825</v>
      </c>
      <c r="Q15" s="6">
        <v>28.489821796371825</v>
      </c>
      <c r="R15" s="6">
        <v>28.772012034746549</v>
      </c>
      <c r="S15" s="6">
        <v>28.434721970625905</v>
      </c>
      <c r="T15" s="6">
        <v>28.598171819129657</v>
      </c>
      <c r="U15" s="13"/>
      <c r="V15" s="6"/>
      <c r="W15" s="6"/>
      <c r="X15" s="14"/>
      <c r="Y15" s="13">
        <v>1</v>
      </c>
      <c r="Z15" s="6"/>
      <c r="AA15" s="6"/>
      <c r="AB15" s="6"/>
      <c r="AC15" s="6"/>
      <c r="AD15" s="6"/>
      <c r="AE15" s="14"/>
    </row>
    <row r="16" spans="1:31" x14ac:dyDescent="0.25">
      <c r="B16" s="4"/>
      <c r="C16" s="4" t="s">
        <v>13</v>
      </c>
      <c r="D16" s="4"/>
      <c r="E16" s="4">
        <v>5</v>
      </c>
      <c r="F16" s="4">
        <f>86000/3</f>
        <v>28666.666666666668</v>
      </c>
      <c r="G16" s="4">
        <f t="shared" ref="G16:G17" si="3">F16*2</f>
        <v>57333.333333333336</v>
      </c>
      <c r="H16" s="5">
        <v>40000</v>
      </c>
      <c r="I16" s="4">
        <v>6</v>
      </c>
      <c r="J16" s="4">
        <f>G16/H9</f>
        <v>1.6380952380952383</v>
      </c>
      <c r="K16" s="4">
        <f t="shared" si="2"/>
        <v>0.71201923703597536</v>
      </c>
      <c r="L16" s="4">
        <f>L9+K16</f>
        <v>29.155754714497423</v>
      </c>
      <c r="O16" s="13">
        <v>6</v>
      </c>
      <c r="P16" s="13">
        <v>30.928393422479058</v>
      </c>
      <c r="Q16" s="6">
        <v>30.740482871037777</v>
      </c>
      <c r="R16" s="6">
        <v>30.169545672457378</v>
      </c>
      <c r="S16" s="6">
        <v>29.144251865216919</v>
      </c>
      <c r="T16" s="6">
        <v>28.124630888463354</v>
      </c>
      <c r="U16" s="13"/>
      <c r="V16" s="6"/>
      <c r="W16" s="6"/>
      <c r="X16" s="14"/>
      <c r="Y16" s="13">
        <v>2</v>
      </c>
      <c r="Z16" s="6"/>
      <c r="AA16" s="6"/>
      <c r="AB16" s="6"/>
      <c r="AC16" s="6"/>
      <c r="AD16" s="6"/>
      <c r="AE16" s="14"/>
    </row>
    <row r="17" spans="1:32" x14ac:dyDescent="0.25">
      <c r="B17" s="4"/>
      <c r="C17" s="4" t="s">
        <v>14</v>
      </c>
      <c r="D17" s="4"/>
      <c r="E17" s="4">
        <v>5</v>
      </c>
      <c r="F17" s="4">
        <f>38000/3</f>
        <v>12666.666666666666</v>
      </c>
      <c r="G17" s="4">
        <f t="shared" si="3"/>
        <v>25333.333333333332</v>
      </c>
      <c r="H17" s="5">
        <v>40000</v>
      </c>
      <c r="I17" s="4">
        <v>3</v>
      </c>
      <c r="J17" s="4">
        <f>G17/H10</f>
        <v>0.72380952380952379</v>
      </c>
      <c r="K17" s="4">
        <f t="shared" si="2"/>
        <v>-0.46631800422253722</v>
      </c>
      <c r="L17" s="4">
        <f>L10+K17</f>
        <v>28.136244765797894</v>
      </c>
      <c r="O17" s="13">
        <v>9</v>
      </c>
      <c r="P17" s="13">
        <v>33.067385796128946</v>
      </c>
      <c r="Q17" s="6">
        <v>32.222219933025215</v>
      </c>
      <c r="R17" s="6">
        <v>31.5459561695247</v>
      </c>
      <c r="S17" s="6">
        <v>29.945284285727585</v>
      </c>
      <c r="T17" s="6">
        <v>27.830529236019938</v>
      </c>
      <c r="U17" s="13"/>
      <c r="V17" s="6">
        <f>R15*100/Q15</f>
        <v>100.99049492268379</v>
      </c>
      <c r="W17" s="6">
        <f>S15*100/Q15</f>
        <v>99.806598208512014</v>
      </c>
      <c r="X17" s="14">
        <f>T15*100/R15</f>
        <v>99.395800976980851</v>
      </c>
      <c r="Y17" s="13">
        <v>3</v>
      </c>
      <c r="Z17" s="6"/>
      <c r="AA17" s="6">
        <f>P15-P14</f>
        <v>2.1898217963718238</v>
      </c>
      <c r="AB17" s="6">
        <f>Q15-Q14</f>
        <v>2.1898217963718238</v>
      </c>
      <c r="AC17" s="6">
        <f>R15-R14</f>
        <v>2.4720120347465482</v>
      </c>
      <c r="AD17" s="6">
        <f>S15-S14</f>
        <v>2.134721970625904</v>
      </c>
      <c r="AE17" s="14">
        <f>T15-T14</f>
        <v>2.2981718191296565</v>
      </c>
    </row>
    <row r="18" spans="1:32" x14ac:dyDescent="0.25">
      <c r="A18" s="2">
        <v>42212</v>
      </c>
      <c r="B18" t="s">
        <v>11</v>
      </c>
      <c r="C18" s="1" t="s">
        <v>4</v>
      </c>
      <c r="D18">
        <v>9</v>
      </c>
      <c r="F18">
        <f>88.5*1000</f>
        <v>88500</v>
      </c>
      <c r="G18">
        <f>F18*2</f>
        <v>177000</v>
      </c>
      <c r="H18" s="3">
        <v>40000</v>
      </c>
      <c r="I18">
        <v>4</v>
      </c>
      <c r="J18">
        <f>G18/H13</f>
        <v>4.4249999999999998</v>
      </c>
      <c r="K18">
        <f>LOG10(J18)/LOG10(2)</f>
        <v>2.145677455195635</v>
      </c>
      <c r="L18">
        <f>L13+K18</f>
        <v>33.07889512452401</v>
      </c>
      <c r="O18" s="13">
        <v>12</v>
      </c>
      <c r="P18" s="13">
        <v>35.037704099729524</v>
      </c>
      <c r="Q18" s="6">
        <v>34.049466345966948</v>
      </c>
      <c r="R18" s="6">
        <v>32.972941607468385</v>
      </c>
      <c r="S18" s="6">
        <v>30.644926588447603</v>
      </c>
      <c r="T18" s="6">
        <v>26.925046148214946</v>
      </c>
      <c r="U18" s="13" t="s">
        <v>28</v>
      </c>
      <c r="V18" s="6"/>
      <c r="W18" s="6">
        <f>100-W17</f>
        <v>0.19340179148798597</v>
      </c>
      <c r="X18" s="14">
        <f>100-X17</f>
        <v>0.60419902301914874</v>
      </c>
      <c r="Y18" s="13"/>
      <c r="Z18" s="6" t="s">
        <v>31</v>
      </c>
      <c r="AA18" s="6"/>
      <c r="AB18" s="6"/>
      <c r="AC18" s="6">
        <f>AB17-AC17</f>
        <v>-0.28219023837472434</v>
      </c>
      <c r="AD18" s="6">
        <f>AB17-AD17</f>
        <v>5.5099825745919873E-2</v>
      </c>
      <c r="AE18" s="14">
        <f>AB17-AE17</f>
        <v>-0.10835002275783268</v>
      </c>
    </row>
    <row r="19" spans="1:32" x14ac:dyDescent="0.25">
      <c r="C19" s="1" t="s">
        <v>5</v>
      </c>
      <c r="F19">
        <v>56000</v>
      </c>
      <c r="G19">
        <f>F19*2</f>
        <v>112000</v>
      </c>
      <c r="H19" s="3">
        <v>40000</v>
      </c>
      <c r="I19">
        <v>4</v>
      </c>
      <c r="J19">
        <f>G19/H15</f>
        <v>2.8</v>
      </c>
      <c r="K19">
        <f>LOG10(J19)/LOG10(2)</f>
        <v>1.4854268271702418</v>
      </c>
      <c r="L19">
        <f>L14+K19</f>
        <v>32.258179824305373</v>
      </c>
      <c r="O19" s="13">
        <v>18</v>
      </c>
      <c r="P19" s="13">
        <v>37.874826874089031</v>
      </c>
      <c r="Q19" s="6">
        <v>36.754191720818532</v>
      </c>
      <c r="R19" s="6">
        <v>35.519220979137749</v>
      </c>
      <c r="S19" s="6">
        <v>31.464413181637592</v>
      </c>
      <c r="T19" s="6">
        <v>26.462890032520921</v>
      </c>
      <c r="U19" s="13"/>
      <c r="V19" s="6"/>
      <c r="W19" s="6"/>
      <c r="X19" s="14"/>
      <c r="Y19" s="13"/>
      <c r="Z19" s="6" t="s">
        <v>30</v>
      </c>
      <c r="AA19" s="6"/>
      <c r="AB19" s="6"/>
      <c r="AC19" s="6">
        <f>AC18*100/AB17</f>
        <v>-12.886447602369625</v>
      </c>
      <c r="AD19" s="6">
        <f>AD18*100/AB17</f>
        <v>2.5161785236228473</v>
      </c>
      <c r="AE19" s="14">
        <f>AE18*100/AB17</f>
        <v>-4.947892241156377</v>
      </c>
    </row>
    <row r="20" spans="1:32" ht="15.75" thickBot="1" x14ac:dyDescent="0.3">
      <c r="B20" s="4" t="s">
        <v>15</v>
      </c>
      <c r="C20" s="4" t="s">
        <v>12</v>
      </c>
      <c r="D20" s="4"/>
      <c r="E20" s="4">
        <v>6</v>
      </c>
      <c r="F20" s="4">
        <f xml:space="preserve"> 157/3*1000</f>
        <v>52333.333333333336</v>
      </c>
      <c r="G20" s="4">
        <f>F20*2</f>
        <v>104666.66666666667</v>
      </c>
      <c r="H20" s="5">
        <v>40000</v>
      </c>
      <c r="I20" s="4">
        <v>6</v>
      </c>
      <c r="J20" s="4">
        <f>G20/H15</f>
        <v>2.6166666666666667</v>
      </c>
      <c r="K20" s="4">
        <f>LOG10(J20)/LOG10(2)</f>
        <v>1.3877301532831086</v>
      </c>
      <c r="L20" s="4">
        <f>L15+K20</f>
        <v>31.58763355630332</v>
      </c>
      <c r="O20" s="15">
        <v>23</v>
      </c>
      <c r="P20" s="15">
        <v>39.853505854511702</v>
      </c>
      <c r="Q20" s="16">
        <v>38.646564602120684</v>
      </c>
      <c r="R20" s="16">
        <v>37.480410819595711</v>
      </c>
      <c r="S20" s="16">
        <v>32.726611968934527</v>
      </c>
      <c r="T20" s="16">
        <v>26.001780486003753</v>
      </c>
      <c r="U20" s="13"/>
      <c r="V20" s="6">
        <f>R16*100/Q16</f>
        <v>98.142718834393108</v>
      </c>
      <c r="W20" s="6">
        <f>S16*100/Q16</f>
        <v>94.807397748053106</v>
      </c>
      <c r="X20" s="14">
        <f>T16*100/Q16</f>
        <v>91.490530602435797</v>
      </c>
      <c r="Y20" s="13">
        <v>6</v>
      </c>
      <c r="Z20" s="6"/>
      <c r="AA20" s="6">
        <f>P16-P14</f>
        <v>4.6283934224790571</v>
      </c>
      <c r="AB20" s="6">
        <f>Q16-Q14</f>
        <v>4.4404828710377764</v>
      </c>
      <c r="AC20" s="6">
        <f>R16-R14</f>
        <v>3.8695456724573773</v>
      </c>
      <c r="AD20" s="6">
        <f>S16-S14</f>
        <v>2.8442518652169184</v>
      </c>
      <c r="AE20" s="14">
        <f>T16-T14</f>
        <v>1.8246308884633535</v>
      </c>
    </row>
    <row r="21" spans="1:32" x14ac:dyDescent="0.25">
      <c r="C21" s="4" t="s">
        <v>13</v>
      </c>
      <c r="D21" s="4"/>
      <c r="E21" s="4">
        <v>6</v>
      </c>
      <c r="F21" s="4">
        <f>106.5/3*1000</f>
        <v>35500</v>
      </c>
      <c r="G21" s="4">
        <f>F21*2</f>
        <v>71000</v>
      </c>
      <c r="H21" s="5">
        <v>40000</v>
      </c>
      <c r="I21" s="4">
        <v>6</v>
      </c>
      <c r="J21" s="4">
        <f>G21/H16</f>
        <v>1.7749999999999999</v>
      </c>
      <c r="K21" s="4">
        <f t="shared" ref="K21:K22" si="4">LOG10(J21)/LOG10(2)</f>
        <v>0.8278190246173196</v>
      </c>
      <c r="L21" s="4">
        <f>L16+K21</f>
        <v>29.983573739114743</v>
      </c>
      <c r="N21" s="6"/>
      <c r="O21" s="6"/>
      <c r="P21" s="6"/>
      <c r="Q21" s="6"/>
      <c r="R21" s="6"/>
      <c r="S21" s="6"/>
      <c r="T21" s="6"/>
      <c r="U21" s="13" t="s">
        <v>28</v>
      </c>
      <c r="V21" s="6">
        <f>100-V20</f>
        <v>1.8572811656068922</v>
      </c>
      <c r="W21" s="6">
        <f>100-W20</f>
        <v>5.1926022519468944</v>
      </c>
      <c r="X21" s="14">
        <f>100-X20</f>
        <v>8.5094693975642031</v>
      </c>
      <c r="Y21" s="13"/>
      <c r="Z21" s="6" t="s">
        <v>32</v>
      </c>
      <c r="AA21" s="6"/>
      <c r="AB21" s="6"/>
      <c r="AC21" s="6">
        <f>AB20-AC20</f>
        <v>0.57093719858039904</v>
      </c>
      <c r="AD21" s="6">
        <f>AB20-AD20</f>
        <v>1.596231005820858</v>
      </c>
      <c r="AE21" s="14">
        <f>AB20-AE20</f>
        <v>2.6158519825744229</v>
      </c>
    </row>
    <row r="22" spans="1:32" x14ac:dyDescent="0.25">
      <c r="C22" s="4" t="s">
        <v>14</v>
      </c>
      <c r="D22" s="4"/>
      <c r="E22" s="4">
        <v>6</v>
      </c>
      <c r="F22" s="4">
        <f>48.9/3*1000</f>
        <v>16300</v>
      </c>
      <c r="G22" s="4">
        <f>F22*2</f>
        <v>32600</v>
      </c>
      <c r="H22" s="5">
        <v>40000</v>
      </c>
      <c r="I22" s="4">
        <v>2</v>
      </c>
      <c r="J22" s="4">
        <f>G22/H17</f>
        <v>0.81499999999999995</v>
      </c>
      <c r="K22" s="4">
        <f t="shared" si="4"/>
        <v>-0.29512803554364725</v>
      </c>
      <c r="L22" s="4">
        <f>L17+K22</f>
        <v>27.841116730254246</v>
      </c>
      <c r="N22" s="6"/>
      <c r="O22" s="6"/>
      <c r="P22" s="6"/>
      <c r="Q22" s="6"/>
      <c r="R22" s="6"/>
      <c r="S22" s="6"/>
      <c r="T22" s="6">
        <f>T16-T15</f>
        <v>-0.47354093066630298</v>
      </c>
      <c r="U22" s="13"/>
      <c r="V22" s="6"/>
      <c r="W22" s="6"/>
      <c r="X22" s="14"/>
      <c r="Y22" s="13"/>
      <c r="Z22" s="21" t="s">
        <v>30</v>
      </c>
      <c r="AA22" s="21"/>
      <c r="AB22" s="21"/>
      <c r="AC22" s="21">
        <f>AC21*100/AB20</f>
        <v>12.857547594749903</v>
      </c>
      <c r="AD22" s="21">
        <f>AD21*100/AB20</f>
        <v>35.947239347143473</v>
      </c>
      <c r="AE22" s="22">
        <f>AE21*100/AB20</f>
        <v>58.909178540825614</v>
      </c>
      <c r="AF22" t="s">
        <v>35</v>
      </c>
    </row>
    <row r="23" spans="1:32" x14ac:dyDescent="0.25">
      <c r="A23" s="2">
        <v>42213</v>
      </c>
      <c r="D23">
        <v>10</v>
      </c>
      <c r="E23">
        <v>7</v>
      </c>
      <c r="N23" s="6"/>
      <c r="O23" s="6"/>
      <c r="P23" s="6"/>
      <c r="Q23">
        <f>29.9-Q15</f>
        <v>1.410178203628174</v>
      </c>
      <c r="R23">
        <f>29.7-R15</f>
        <v>0.9279879652534504</v>
      </c>
      <c r="S23">
        <f>29-S15</f>
        <v>0.56527802937409533</v>
      </c>
      <c r="T23">
        <f>2^(T22)</f>
        <v>0.72019479066552217</v>
      </c>
      <c r="U23" s="13"/>
      <c r="V23" s="6">
        <f>R17*100/Q17</f>
        <v>97.901250240032667</v>
      </c>
      <c r="W23" s="6">
        <f>S17*100/Q17</f>
        <v>92.933647489123018</v>
      </c>
      <c r="X23" s="14">
        <f>T17*100/Q17</f>
        <v>86.370614109972777</v>
      </c>
      <c r="Y23" s="13">
        <v>9</v>
      </c>
      <c r="Z23" s="6"/>
      <c r="AA23" s="6">
        <f>P17-P14</f>
        <v>6.767385796128945</v>
      </c>
      <c r="AB23" s="6">
        <f>Q17-Q14</f>
        <v>5.9222199330252145</v>
      </c>
      <c r="AC23" s="6">
        <f>R17-R14</f>
        <v>5.2459561695246997</v>
      </c>
      <c r="AD23" s="6">
        <f>S17-S14</f>
        <v>3.645284285727584</v>
      </c>
      <c r="AE23" s="14">
        <f>T17-T14</f>
        <v>1.5305292360199374</v>
      </c>
    </row>
    <row r="24" spans="1:32" x14ac:dyDescent="0.25">
      <c r="A24" s="2">
        <v>42214</v>
      </c>
      <c r="D24">
        <v>11</v>
      </c>
      <c r="E24">
        <v>8</v>
      </c>
      <c r="N24" s="6"/>
      <c r="O24" s="6"/>
      <c r="P24" s="6"/>
      <c r="Q24" s="6">
        <f>2^Q23</f>
        <v>2.6576998905771725</v>
      </c>
      <c r="R24" s="6">
        <f>2^(R23)</f>
        <v>1.9026206812198532</v>
      </c>
      <c r="S24" s="6">
        <f>2^(S23)</f>
        <v>1.4796726372955107</v>
      </c>
      <c r="T24" s="6"/>
      <c r="U24" s="13" t="s">
        <v>28</v>
      </c>
      <c r="V24" s="6">
        <f>100-V23</f>
        <v>2.0987497599673333</v>
      </c>
      <c r="W24" s="6">
        <f t="shared" ref="W24:X24" si="5">100-W23</f>
        <v>7.0663525108769818</v>
      </c>
      <c r="X24" s="14">
        <f t="shared" si="5"/>
        <v>13.629385890027223</v>
      </c>
      <c r="Y24" s="13"/>
      <c r="Z24" s="6" t="s">
        <v>31</v>
      </c>
      <c r="AA24" s="6"/>
      <c r="AB24" s="6"/>
      <c r="AC24" s="6">
        <f>AB23-AC23</f>
        <v>0.67626376350051487</v>
      </c>
      <c r="AD24" s="6">
        <f>AB23-AD23</f>
        <v>2.2769356472976305</v>
      </c>
      <c r="AE24" s="14">
        <f>AB23-AE23</f>
        <v>4.3916906970052771</v>
      </c>
    </row>
    <row r="25" spans="1:32" x14ac:dyDescent="0.25">
      <c r="A25" s="2">
        <v>42215</v>
      </c>
      <c r="B25" t="s">
        <v>11</v>
      </c>
      <c r="C25" t="s">
        <v>4</v>
      </c>
      <c r="D25">
        <v>12</v>
      </c>
      <c r="F25">
        <v>78500</v>
      </c>
      <c r="G25">
        <f>F25*2</f>
        <v>157000</v>
      </c>
      <c r="H25" s="3">
        <v>30000</v>
      </c>
      <c r="I25">
        <v>4</v>
      </c>
      <c r="J25">
        <f>G25/H18</f>
        <v>3.9249999999999998</v>
      </c>
      <c r="K25">
        <f>LOG10(J25)/LOG10(2)</f>
        <v>1.9726926540042644</v>
      </c>
      <c r="L25">
        <f>L18+K25</f>
        <v>35.051587778528273</v>
      </c>
      <c r="N25" s="6"/>
      <c r="O25" s="6"/>
      <c r="P25" s="6"/>
      <c r="Q25" s="6"/>
      <c r="R25" s="6"/>
      <c r="S25" s="6"/>
      <c r="T25" s="6"/>
      <c r="U25" s="13"/>
      <c r="V25" s="6"/>
      <c r="W25" s="6"/>
      <c r="X25" s="14"/>
      <c r="Y25" s="13"/>
      <c r="Z25" s="21" t="s">
        <v>30</v>
      </c>
      <c r="AA25" s="21"/>
      <c r="AB25" s="21"/>
      <c r="AC25" s="21">
        <f>AC24*100/AB23</f>
        <v>11.419092353009978</v>
      </c>
      <c r="AD25" s="21">
        <f>AD24*100/AB23</f>
        <v>38.447333483856561</v>
      </c>
      <c r="AE25" s="22">
        <f>AE24*100/AB23</f>
        <v>74.156156756608226</v>
      </c>
    </row>
    <row r="26" spans="1:32" x14ac:dyDescent="0.25">
      <c r="C26" t="s">
        <v>5</v>
      </c>
      <c r="F26">
        <v>71000</v>
      </c>
      <c r="G26">
        <f>F26*2</f>
        <v>142000</v>
      </c>
      <c r="H26" s="3">
        <v>30000</v>
      </c>
      <c r="I26">
        <v>4</v>
      </c>
      <c r="J26">
        <f>G26/H19</f>
        <v>3.55</v>
      </c>
      <c r="K26">
        <f t="shared" ref="K26:K35" si="6">LOG10(J26)/LOG10(2)</f>
        <v>1.8278190246173198</v>
      </c>
      <c r="L26">
        <f>L19+K26</f>
        <v>34.085998848922692</v>
      </c>
      <c r="N26" s="6"/>
      <c r="O26" s="6"/>
      <c r="P26" s="6"/>
      <c r="U26" s="13"/>
      <c r="V26" s="6">
        <f>R18*100/Q18</f>
        <v>96.838350629169042</v>
      </c>
      <c r="W26" s="6">
        <f>S18*100/Q18</f>
        <v>90.001194958749764</v>
      </c>
      <c r="X26" s="14">
        <f>T18*100/Q18</f>
        <v>79.076264733893936</v>
      </c>
      <c r="Y26" s="13">
        <v>12</v>
      </c>
      <c r="Z26" s="6"/>
      <c r="AA26" s="6">
        <f>P18-P14</f>
        <v>8.7377040997295232</v>
      </c>
      <c r="AB26" s="6">
        <f>Q18-Q14</f>
        <v>7.7494663459669475</v>
      </c>
      <c r="AC26" s="6">
        <f>R18-R14</f>
        <v>6.6729416074683847</v>
      </c>
      <c r="AD26" s="6">
        <f>S18-S14</f>
        <v>4.3449265884476027</v>
      </c>
      <c r="AE26" s="14">
        <f>T18-T14</f>
        <v>0.62504614821494542</v>
      </c>
    </row>
    <row r="27" spans="1:32" x14ac:dyDescent="0.25">
      <c r="H27" s="3"/>
      <c r="N27" s="6"/>
      <c r="O27" s="6"/>
      <c r="P27" s="6"/>
      <c r="Q27" s="6"/>
      <c r="R27" s="6"/>
      <c r="S27" s="6"/>
      <c r="T27" s="6"/>
      <c r="U27" s="13" t="s">
        <v>29</v>
      </c>
      <c r="V27" s="6">
        <f>100-V26</f>
        <v>3.1616493708309577</v>
      </c>
      <c r="W27" s="6">
        <f t="shared" ref="W27:X27" si="7">100-W26</f>
        <v>9.9988050412502361</v>
      </c>
      <c r="X27" s="14">
        <f t="shared" si="7"/>
        <v>20.923735266106064</v>
      </c>
      <c r="Y27" s="13"/>
      <c r="Z27" s="6" t="s">
        <v>31</v>
      </c>
      <c r="AA27" s="6"/>
      <c r="AB27" s="6"/>
      <c r="AC27" s="6">
        <f>AB26-AC26</f>
        <v>1.0765247384985628</v>
      </c>
      <c r="AD27" s="6">
        <f>AB26-AD26</f>
        <v>3.4045397575193448</v>
      </c>
      <c r="AE27" s="14">
        <f>AB26-AE26</f>
        <v>7.1244201977520021</v>
      </c>
    </row>
    <row r="28" spans="1:32" x14ac:dyDescent="0.25">
      <c r="H28" s="3"/>
      <c r="N28" s="6"/>
      <c r="O28" s="6"/>
      <c r="P28" s="6"/>
      <c r="Q28" s="6"/>
      <c r="R28" s="6"/>
      <c r="S28" s="6"/>
      <c r="T28" s="6"/>
      <c r="U28" s="13"/>
      <c r="V28" s="6"/>
      <c r="W28" s="6"/>
      <c r="X28" s="14"/>
      <c r="Y28" s="13"/>
      <c r="Z28" s="21" t="s">
        <v>30</v>
      </c>
      <c r="AA28" s="21"/>
      <c r="AB28" s="21"/>
      <c r="AC28" s="21">
        <f>AC27*100/AB26</f>
        <v>13.891598342882258</v>
      </c>
      <c r="AD28" s="21">
        <f>AD27*100/AB26</f>
        <v>43.932570392942843</v>
      </c>
      <c r="AE28" s="22">
        <f>AE27*100/AB26</f>
        <v>91.934333019715112</v>
      </c>
    </row>
    <row r="29" spans="1:32" x14ac:dyDescent="0.25">
      <c r="B29" s="4" t="s">
        <v>15</v>
      </c>
      <c r="C29" s="4" t="s">
        <v>12</v>
      </c>
      <c r="D29" s="4"/>
      <c r="E29" s="4">
        <v>9</v>
      </c>
      <c r="F29" s="4">
        <v>54500</v>
      </c>
      <c r="G29" s="4">
        <f t="shared" ref="G29:G33" si="8">F29*2</f>
        <v>109000</v>
      </c>
      <c r="H29" s="5">
        <v>30000</v>
      </c>
      <c r="I29" s="4">
        <v>6</v>
      </c>
      <c r="J29" s="4">
        <f>G29/H20</f>
        <v>2.7250000000000001</v>
      </c>
      <c r="K29" s="4">
        <f t="shared" si="6"/>
        <v>1.446256229889564</v>
      </c>
      <c r="L29" s="4">
        <f>L20+K29</f>
        <v>33.033889786192887</v>
      </c>
      <c r="N29" s="6"/>
      <c r="O29" s="6"/>
      <c r="P29" s="6"/>
      <c r="U29" s="13"/>
      <c r="V29" s="6">
        <f>R19*100/Q19</f>
        <v>96.639918649112161</v>
      </c>
      <c r="W29" s="6">
        <f>S19*100/Q19</f>
        <v>85.607686384830302</v>
      </c>
      <c r="X29" s="14">
        <f>T19*100/Q19</f>
        <v>71.999651722803776</v>
      </c>
      <c r="Y29" s="13">
        <v>18</v>
      </c>
      <c r="Z29" s="6"/>
      <c r="AA29" s="6">
        <f>P19-P14</f>
        <v>11.57482687408903</v>
      </c>
      <c r="AB29" s="6">
        <f>Q19-Q14</f>
        <v>10.454191720818532</v>
      </c>
      <c r="AC29" s="6">
        <f>R19-R14</f>
        <v>9.2192209791377486</v>
      </c>
      <c r="AD29" s="6">
        <f>S19-S14</f>
        <v>5.1644131816375918</v>
      </c>
      <c r="AE29" s="14">
        <f>T19-T14</f>
        <v>0.16289003252092016</v>
      </c>
    </row>
    <row r="30" spans="1:32" x14ac:dyDescent="0.25">
      <c r="B30" s="4"/>
      <c r="C30" s="4"/>
      <c r="D30" s="4"/>
      <c r="E30" s="4"/>
      <c r="F30" s="4"/>
      <c r="G30" s="4"/>
      <c r="H30" s="5"/>
      <c r="I30" s="4"/>
      <c r="J30" s="4"/>
      <c r="K30" s="4"/>
      <c r="L30" s="4"/>
      <c r="N30" s="6"/>
      <c r="O30" s="6"/>
      <c r="P30" s="6"/>
      <c r="Q30" s="6"/>
      <c r="R30" s="6"/>
      <c r="S30" s="6"/>
      <c r="T30" s="6"/>
      <c r="U30" s="13" t="s">
        <v>28</v>
      </c>
      <c r="V30" s="6">
        <f>100-V29</f>
        <v>3.3600813508878389</v>
      </c>
      <c r="W30" s="6">
        <f t="shared" ref="W30:X30" si="9">100-W29</f>
        <v>14.392313615169698</v>
      </c>
      <c r="X30" s="14">
        <f t="shared" si="9"/>
        <v>28.000348277196224</v>
      </c>
      <c r="Y30" s="13"/>
      <c r="Z30" s="6" t="s">
        <v>31</v>
      </c>
      <c r="AA30" s="6"/>
      <c r="AB30" s="6"/>
      <c r="AC30" s="6">
        <f>AB29-AC29</f>
        <v>1.2349707416807831</v>
      </c>
      <c r="AD30" s="6">
        <f>AB29-AD29</f>
        <v>5.28977853918094</v>
      </c>
      <c r="AE30" s="14">
        <f>AB29-AE29</f>
        <v>10.291301688297612</v>
      </c>
    </row>
    <row r="31" spans="1:32" x14ac:dyDescent="0.25">
      <c r="B31" s="4"/>
      <c r="C31" s="4"/>
      <c r="D31" s="4"/>
      <c r="E31" s="4"/>
      <c r="F31" s="4"/>
      <c r="G31" s="4"/>
      <c r="H31" s="5"/>
      <c r="I31" s="4"/>
      <c r="J31" s="4"/>
      <c r="K31" s="4"/>
      <c r="L31" s="4"/>
      <c r="N31" s="6"/>
      <c r="O31" s="6"/>
      <c r="P31" s="6"/>
      <c r="Q31" s="6"/>
      <c r="R31" s="6"/>
      <c r="S31" s="6"/>
      <c r="T31" s="6"/>
      <c r="U31" s="13"/>
      <c r="V31" s="6"/>
      <c r="W31" s="6"/>
      <c r="X31" s="14"/>
      <c r="Y31" s="13"/>
      <c r="Z31" s="21" t="s">
        <v>30</v>
      </c>
      <c r="AA31" s="21"/>
      <c r="AB31" s="21"/>
      <c r="AC31" s="21">
        <f>AC30*100/AB29</f>
        <v>11.813163319182831</v>
      </c>
      <c r="AD31" s="21">
        <f>AD30*100/AB29</f>
        <v>50.599593736614253</v>
      </c>
      <c r="AE31" s="22">
        <f>AE30*100/AB29</f>
        <v>98.441868708065314</v>
      </c>
    </row>
    <row r="32" spans="1:32" x14ac:dyDescent="0.25">
      <c r="B32" s="4"/>
      <c r="C32" s="4" t="s">
        <v>13</v>
      </c>
      <c r="D32" s="4"/>
      <c r="E32" s="4">
        <v>9</v>
      </c>
      <c r="F32" s="4">
        <f>(37+32.5+28.5)/3*1000</f>
        <v>32666.666666666664</v>
      </c>
      <c r="G32" s="4">
        <f t="shared" si="8"/>
        <v>65333.333333333328</v>
      </c>
      <c r="H32" s="5">
        <v>30000</v>
      </c>
      <c r="I32" s="4">
        <v>6</v>
      </c>
      <c r="J32" s="4">
        <f>G32/H21</f>
        <v>1.6333333333333333</v>
      </c>
      <c r="K32" s="4">
        <f t="shared" si="6"/>
        <v>0.70781924850668965</v>
      </c>
      <c r="L32" s="4">
        <f>L21+K32</f>
        <v>30.691392987621434</v>
      </c>
      <c r="N32" s="6"/>
      <c r="O32" s="6"/>
      <c r="P32" s="6"/>
      <c r="U32" s="13"/>
      <c r="V32" s="6">
        <f>R20*100/Q20</f>
        <v>96.982516312818717</v>
      </c>
      <c r="W32" s="6">
        <f>S20*100/Q20</f>
        <v>84.68181403927089</v>
      </c>
      <c r="X32" s="14">
        <f>T20*100/Q20</f>
        <v>67.280962108018613</v>
      </c>
      <c r="Y32" s="13">
        <v>23</v>
      </c>
      <c r="Z32" s="6"/>
      <c r="AA32" s="6">
        <f>P20-P14</f>
        <v>13.553505854511702</v>
      </c>
      <c r="AB32" s="6">
        <f>Q20-Q14</f>
        <v>12.346564602120683</v>
      </c>
      <c r="AC32" s="6">
        <f>R20-R14</f>
        <v>11.180410819595711</v>
      </c>
      <c r="AD32" s="6">
        <f>S20-S14</f>
        <v>6.4266119689345267</v>
      </c>
      <c r="AE32" s="14">
        <f>T20-T14</f>
        <v>-0.2982195139962478</v>
      </c>
    </row>
    <row r="33" spans="1:31" ht="15.75" thickBot="1" x14ac:dyDescent="0.3">
      <c r="B33" s="4"/>
      <c r="C33" s="4" t="s">
        <v>14</v>
      </c>
      <c r="D33" s="4"/>
      <c r="E33" s="4">
        <v>9</v>
      </c>
      <c r="F33" s="4">
        <v>10750</v>
      </c>
      <c r="G33" s="4">
        <f t="shared" si="8"/>
        <v>21500</v>
      </c>
      <c r="H33" s="5">
        <v>40000</v>
      </c>
      <c r="I33" s="4">
        <v>1</v>
      </c>
      <c r="J33" s="4">
        <f>G33/H22</f>
        <v>0.53749999999999998</v>
      </c>
      <c r="K33" s="4">
        <f t="shared" si="6"/>
        <v>-0.89566334018526439</v>
      </c>
      <c r="L33" s="4">
        <f>L22+K33</f>
        <v>26.94545339006898</v>
      </c>
      <c r="U33" s="15" t="s">
        <v>28</v>
      </c>
      <c r="V33" s="16">
        <f>100-V32</f>
        <v>3.0174836871812829</v>
      </c>
      <c r="W33" s="16">
        <f t="shared" ref="W33:X33" si="10">100-W32</f>
        <v>15.31818596072911</v>
      </c>
      <c r="X33" s="17">
        <f t="shared" si="10"/>
        <v>32.719037891981387</v>
      </c>
      <c r="Y33" s="13"/>
      <c r="Z33" s="6" t="s">
        <v>31</v>
      </c>
      <c r="AA33" s="6"/>
      <c r="AB33" s="6"/>
      <c r="AC33" s="6">
        <f>AB32-AC32</f>
        <v>1.1661537825249724</v>
      </c>
      <c r="AD33" s="6">
        <f>AB32-AD32</f>
        <v>5.9199526331861563</v>
      </c>
      <c r="AE33" s="14">
        <f>AB32-AE32</f>
        <v>12.644784116116931</v>
      </c>
    </row>
    <row r="34" spans="1:31" ht="15.75" thickBot="1" x14ac:dyDescent="0.3">
      <c r="A34" s="2">
        <v>42221</v>
      </c>
      <c r="B34" t="s">
        <v>11</v>
      </c>
      <c r="C34" s="8" t="s">
        <v>4</v>
      </c>
      <c r="D34">
        <v>18</v>
      </c>
      <c r="E34" s="4"/>
      <c r="F34">
        <f>(195+235+215)/3*1000</f>
        <v>215000</v>
      </c>
      <c r="G34" s="8">
        <f t="shared" ref="G34:G43" si="11">F34*1</f>
        <v>215000</v>
      </c>
      <c r="H34" s="10">
        <v>35000</v>
      </c>
      <c r="I34" s="8">
        <v>6</v>
      </c>
      <c r="J34" s="8">
        <f>G34/H25</f>
        <v>7.166666666666667</v>
      </c>
      <c r="K34" s="8">
        <f t="shared" si="6"/>
        <v>2.8413022539809418</v>
      </c>
      <c r="L34" s="8">
        <f>L25+K34</f>
        <v>37.892890032509214</v>
      </c>
      <c r="Y34" s="15"/>
      <c r="Z34" s="23" t="s">
        <v>30</v>
      </c>
      <c r="AA34" s="23"/>
      <c r="AB34" s="23"/>
      <c r="AC34" s="23">
        <f>AC33*100/AB32</f>
        <v>9.4451681103638361</v>
      </c>
      <c r="AD34" s="23">
        <f>AD33*100/AB32</f>
        <v>47.948176873179172</v>
      </c>
      <c r="AE34" s="24">
        <f>AE33*100/AB32</f>
        <v>102.41540479968836</v>
      </c>
    </row>
    <row r="35" spans="1:31" x14ac:dyDescent="0.25">
      <c r="A35" s="2"/>
      <c r="C35" s="8" t="s">
        <v>5</v>
      </c>
      <c r="E35" s="4"/>
      <c r="F35">
        <f>(225+175+190)/3*1000</f>
        <v>196666.66666666666</v>
      </c>
      <c r="G35" s="8">
        <f t="shared" si="11"/>
        <v>196666.66666666666</v>
      </c>
      <c r="H35" s="10">
        <v>35000</v>
      </c>
      <c r="I35" s="8">
        <v>6</v>
      </c>
      <c r="J35" s="8">
        <f>G35/H26</f>
        <v>6.5555555555555554</v>
      </c>
      <c r="K35" s="8">
        <f t="shared" si="6"/>
        <v>2.7127180479195285</v>
      </c>
      <c r="L35" s="8">
        <f>K35+L26</f>
        <v>36.798716896842222</v>
      </c>
    </row>
    <row r="36" spans="1:31" x14ac:dyDescent="0.25">
      <c r="A36" s="2"/>
      <c r="B36" t="s">
        <v>15</v>
      </c>
      <c r="C36" s="4" t="s">
        <v>12</v>
      </c>
      <c r="E36" s="4">
        <v>13</v>
      </c>
      <c r="F36" s="4">
        <f>(175+150+205)/3*1000</f>
        <v>176666.66666666666</v>
      </c>
      <c r="G36" s="4">
        <f t="shared" si="11"/>
        <v>176666.66666666666</v>
      </c>
      <c r="H36" s="5">
        <v>35000</v>
      </c>
      <c r="I36" s="8">
        <v>2</v>
      </c>
      <c r="J36" s="4">
        <f>G36/H29</f>
        <v>5.8888888888888884</v>
      </c>
      <c r="K36" s="4">
        <f>LOG10(J36)/LOG10(2)</f>
        <v>2.5579954531208866</v>
      </c>
      <c r="L36" s="4">
        <f>K36+L29</f>
        <v>35.591885239313775</v>
      </c>
    </row>
    <row r="37" spans="1:31" x14ac:dyDescent="0.25">
      <c r="C37" s="4" t="s">
        <v>13</v>
      </c>
      <c r="E37" s="4">
        <v>13</v>
      </c>
      <c r="F37" s="4">
        <f>(56+50+53)/3*1000</f>
        <v>53000</v>
      </c>
      <c r="G37" s="4">
        <f t="shared" si="11"/>
        <v>53000</v>
      </c>
      <c r="H37" s="5">
        <v>50000</v>
      </c>
      <c r="I37" s="8">
        <v>2</v>
      </c>
      <c r="J37" s="4">
        <f t="shared" ref="J37:J43" si="12">G37/H32</f>
        <v>1.7666666666666666</v>
      </c>
      <c r="K37" s="4">
        <f t="shared" ref="K37:K38" si="13">LOG10(J37)/LOG10(2)</f>
        <v>0.82102985895468061</v>
      </c>
      <c r="L37" s="4">
        <f>K37+L32</f>
        <v>31.512422846576115</v>
      </c>
    </row>
    <row r="38" spans="1:31" x14ac:dyDescent="0.25">
      <c r="C38" s="4" t="s">
        <v>14</v>
      </c>
      <c r="E38" s="4">
        <v>13</v>
      </c>
      <c r="F38" s="4">
        <f>(34+24+30)/3*1000</f>
        <v>29333.333333333332</v>
      </c>
      <c r="G38" s="4">
        <f t="shared" si="11"/>
        <v>29333.333333333332</v>
      </c>
      <c r="H38" s="5">
        <v>30000</v>
      </c>
      <c r="I38" s="8">
        <v>1</v>
      </c>
      <c r="J38" s="4">
        <f t="shared" si="12"/>
        <v>0.73333333333333328</v>
      </c>
      <c r="K38" s="4">
        <f t="shared" si="13"/>
        <v>-0.44745897697122139</v>
      </c>
      <c r="L38" s="4">
        <f>L33+K38</f>
        <v>26.497994413097757</v>
      </c>
    </row>
    <row r="39" spans="1:31" x14ac:dyDescent="0.25">
      <c r="A39" s="2">
        <v>42226</v>
      </c>
      <c r="B39" t="s">
        <v>11</v>
      </c>
      <c r="C39" s="8" t="s">
        <v>4</v>
      </c>
      <c r="D39">
        <v>23</v>
      </c>
      <c r="E39" s="4"/>
      <c r="F39">
        <f>(25+30+28)/3*1000*5</f>
        <v>138333.33333333334</v>
      </c>
      <c r="G39" s="8">
        <f t="shared" si="11"/>
        <v>138333.33333333334</v>
      </c>
      <c r="J39" s="8">
        <f t="shared" si="12"/>
        <v>3.9523809523809526</v>
      </c>
      <c r="K39" s="8">
        <f>LOG10(J39)/LOG10(2)</f>
        <v>1.9827220085681645</v>
      </c>
      <c r="L39" s="8">
        <f>L34+K39</f>
        <v>39.875612041077382</v>
      </c>
    </row>
    <row r="40" spans="1:31" x14ac:dyDescent="0.25">
      <c r="C40" s="8" t="s">
        <v>5</v>
      </c>
      <c r="F40">
        <f>(26+27+25)/3*1000*5</f>
        <v>130000</v>
      </c>
      <c r="G40" s="8">
        <f t="shared" si="11"/>
        <v>130000</v>
      </c>
      <c r="J40" s="8">
        <f t="shared" si="12"/>
        <v>3.7142857142857144</v>
      </c>
      <c r="K40" s="8">
        <f>LOG10(J40)/LOG10(2)</f>
        <v>1.8930847960834882</v>
      </c>
      <c r="L40" s="8">
        <f>K40+L35</f>
        <v>38.691801692925708</v>
      </c>
      <c r="Z40" t="s">
        <v>36</v>
      </c>
    </row>
    <row r="41" spans="1:31" x14ac:dyDescent="0.25">
      <c r="B41" t="s">
        <v>15</v>
      </c>
      <c r="C41" s="4" t="s">
        <v>12</v>
      </c>
      <c r="E41" s="4">
        <v>15</v>
      </c>
      <c r="F41" s="4">
        <f>(30+25+27)/3*1000*5</f>
        <v>136666.66666666666</v>
      </c>
      <c r="G41" s="4">
        <f t="shared" si="11"/>
        <v>136666.66666666666</v>
      </c>
      <c r="H41" s="4"/>
      <c r="I41" s="4"/>
      <c r="J41" s="4">
        <f t="shared" si="12"/>
        <v>3.9047619047619047</v>
      </c>
      <c r="K41" s="4">
        <f>LOG10(J41)/LOG10(2)</f>
        <v>1.9652345818393233</v>
      </c>
      <c r="L41" s="4">
        <f>K41+L36</f>
        <v>37.557119821153101</v>
      </c>
      <c r="X41" t="s">
        <v>39</v>
      </c>
      <c r="Z41" t="s">
        <v>38</v>
      </c>
      <c r="AA41" t="s">
        <v>12</v>
      </c>
      <c r="AB41" t="s">
        <v>13</v>
      </c>
      <c r="AC41" t="s">
        <v>14</v>
      </c>
    </row>
    <row r="42" spans="1:31" x14ac:dyDescent="0.25">
      <c r="C42" s="4" t="s">
        <v>13</v>
      </c>
      <c r="E42" s="4">
        <v>15</v>
      </c>
      <c r="F42" s="4">
        <f>(25+23+24)/3*1000*5</f>
        <v>120000</v>
      </c>
      <c r="G42" s="4">
        <f t="shared" si="11"/>
        <v>120000</v>
      </c>
      <c r="H42" s="4"/>
      <c r="I42" s="4"/>
      <c r="J42" s="4">
        <f t="shared" si="12"/>
        <v>2.4</v>
      </c>
      <c r="K42" s="4">
        <f>LOG10(J42)/LOG10(2)</f>
        <v>1.2630344058337939</v>
      </c>
      <c r="L42" s="4">
        <f>K42+L37</f>
        <v>32.775457252409907</v>
      </c>
      <c r="Y42" t="s">
        <v>86</v>
      </c>
      <c r="Z42">
        <f>-0.0098*(5)^2+0.7615*(5)+26.339</f>
        <v>29.901499999999999</v>
      </c>
      <c r="AA42">
        <f>0.0005*(5)^3-0.0224*(5)^2+ 0.7536*5+26.433</f>
        <v>29.703499999999998</v>
      </c>
    </row>
    <row r="43" spans="1:31" x14ac:dyDescent="0.25">
      <c r="C43" s="4" t="s">
        <v>14</v>
      </c>
      <c r="E43" s="4">
        <v>15</v>
      </c>
      <c r="F43" s="4">
        <f>(25+18+23)/3*1000</f>
        <v>22000</v>
      </c>
      <c r="G43" s="4">
        <f t="shared" si="11"/>
        <v>22000</v>
      </c>
      <c r="H43" s="4"/>
      <c r="I43" s="4"/>
      <c r="J43" s="4">
        <f t="shared" si="12"/>
        <v>0.73333333333333328</v>
      </c>
      <c r="K43" s="4">
        <f>LOG10(J43)/LOG10(2)</f>
        <v>-0.44745897697122139</v>
      </c>
      <c r="L43" s="4">
        <f>K43+L38</f>
        <v>26.050535436126538</v>
      </c>
      <c r="Y43" t="s">
        <v>85</v>
      </c>
      <c r="Z43">
        <f>-0.0098*(8)^2+0.7615*(8)+26.339</f>
        <v>31.803799999999999</v>
      </c>
      <c r="AA43">
        <f>0.0005*(8)^3-0.0224*(8)^2+ 0.7536*8+26.433</f>
        <v>31.284199999999998</v>
      </c>
    </row>
    <row r="44" spans="1:31" x14ac:dyDescent="0.25">
      <c r="Z44">
        <f>Z43-Z42</f>
        <v>1.9023000000000003</v>
      </c>
      <c r="AA44">
        <f>AA43-AA42</f>
        <v>1.5807000000000002</v>
      </c>
    </row>
    <row r="45" spans="1:31" x14ac:dyDescent="0.25">
      <c r="Z45">
        <f>2^Z44</f>
        <v>3.7380866199798479</v>
      </c>
      <c r="AA45">
        <f>2^AA44</f>
        <v>2.9911494600060418</v>
      </c>
      <c r="AC45">
        <f>2^(-0.5)</f>
        <v>0.70710678118654746</v>
      </c>
    </row>
    <row r="46" spans="1:31" x14ac:dyDescent="0.25">
      <c r="Y46" t="s">
        <v>51</v>
      </c>
      <c r="Z46">
        <f>-0.0098*100+0.7615*(10)+26.339</f>
        <v>32.973999999999997</v>
      </c>
      <c r="AA46">
        <f>0.0005*(10)^3-0.0224*(10)^2+ 0.7536*10+26.433</f>
        <v>32.228999999999999</v>
      </c>
    </row>
    <row r="47" spans="1:31" x14ac:dyDescent="0.25">
      <c r="Z47">
        <f>Z46-Z43</f>
        <v>1.1701999999999977</v>
      </c>
      <c r="AA47">
        <f>AA46-AA43</f>
        <v>0.94480000000000075</v>
      </c>
      <c r="AB47">
        <v>0.8</v>
      </c>
      <c r="AC47">
        <v>-1</v>
      </c>
    </row>
    <row r="48" spans="1:31" x14ac:dyDescent="0.25">
      <c r="Z48">
        <f>2^Z47</f>
        <v>2.2504289234467749</v>
      </c>
      <c r="AA48">
        <f>2^AA47</f>
        <v>1.9249220168522014</v>
      </c>
      <c r="AB48">
        <f>2^AB47</f>
        <v>1.7411011265922482</v>
      </c>
      <c r="AC48">
        <f>2^-1</f>
        <v>0.5</v>
      </c>
    </row>
    <row r="49" spans="1:29" x14ac:dyDescent="0.25">
      <c r="A49" s="4"/>
      <c r="B49" s="4"/>
    </row>
    <row r="50" spans="1:29" x14ac:dyDescent="0.25">
      <c r="Z50" t="s">
        <v>37</v>
      </c>
    </row>
    <row r="51" spans="1:29" x14ac:dyDescent="0.25">
      <c r="Z51" t="s">
        <v>38</v>
      </c>
      <c r="AA51" t="s">
        <v>12</v>
      </c>
      <c r="AB51" t="s">
        <v>13</v>
      </c>
      <c r="AC51" t="s">
        <v>14</v>
      </c>
    </row>
    <row r="52" spans="1:29" x14ac:dyDescent="0.25">
      <c r="Y52" t="s">
        <v>40</v>
      </c>
      <c r="Z52">
        <f>-0.0098*(20)^2+0.7615*(20)+26.339</f>
        <v>37.649000000000001</v>
      </c>
      <c r="AA52">
        <f>0.0005*(20)^3-0.0224*(20)^2+ 0.7536*20+26.433</f>
        <v>36.545000000000002</v>
      </c>
    </row>
    <row r="57" spans="1:29" x14ac:dyDescent="0.25">
      <c r="Z57">
        <f>2^-1.2</f>
        <v>0.43527528164806206</v>
      </c>
    </row>
    <row r="59" spans="1:29" x14ac:dyDescent="0.25">
      <c r="AB59">
        <f>2^(-1)</f>
        <v>0.5</v>
      </c>
    </row>
    <row r="61" spans="1:29" x14ac:dyDescent="0.25">
      <c r="Z61">
        <f>2^2.5</f>
        <v>5.6568542494923806</v>
      </c>
    </row>
    <row r="65" spans="1:28" ht="15.75" thickBot="1" x14ac:dyDescent="0.3">
      <c r="A65" t="s">
        <v>52</v>
      </c>
      <c r="D65" t="s">
        <v>48</v>
      </c>
      <c r="F65" t="s">
        <v>49</v>
      </c>
      <c r="G65" t="s">
        <v>50</v>
      </c>
      <c r="H65" t="s">
        <v>47</v>
      </c>
      <c r="I65" t="s">
        <v>63</v>
      </c>
    </row>
    <row r="66" spans="1:28" x14ac:dyDescent="0.25">
      <c r="A66" s="4" t="s">
        <v>53</v>
      </c>
      <c r="B66" t="s">
        <v>44</v>
      </c>
      <c r="D66">
        <v>125000</v>
      </c>
      <c r="E66">
        <f>D66/35000</f>
        <v>3.5714285714285716</v>
      </c>
      <c r="F66">
        <f>LOG10(E66)/LOG10(2)</f>
        <v>1.8365012677171206</v>
      </c>
      <c r="G66">
        <f>I89+F66</f>
        <v>39.711328141806149</v>
      </c>
      <c r="J66" s="11" t="s">
        <v>44</v>
      </c>
      <c r="K66" s="7" t="s">
        <v>45</v>
      </c>
      <c r="L66" s="7" t="s">
        <v>12</v>
      </c>
      <c r="M66" s="7" t="s">
        <v>13</v>
      </c>
      <c r="N66" s="12" t="s">
        <v>14</v>
      </c>
    </row>
    <row r="67" spans="1:28" ht="15.75" thickBot="1" x14ac:dyDescent="0.3">
      <c r="D67">
        <v>150000</v>
      </c>
      <c r="E67">
        <f t="shared" ref="E67:E68" si="14">D67/35000</f>
        <v>4.2857142857142856</v>
      </c>
      <c r="F67">
        <f t="shared" ref="F67:F128" si="15">LOG10(E67)/LOG10(2)</f>
        <v>2.0995356735509141</v>
      </c>
      <c r="G67">
        <f>I89+F67</f>
        <v>39.974362547639942</v>
      </c>
      <c r="J67" s="15">
        <v>39.853505854511702</v>
      </c>
      <c r="K67" s="16">
        <v>38.646564602120684</v>
      </c>
      <c r="L67" s="16">
        <v>37.480410819595711</v>
      </c>
      <c r="M67" s="16">
        <v>32.726611968934527</v>
      </c>
      <c r="N67" s="17">
        <v>26.001780486003753</v>
      </c>
      <c r="S67" t="s">
        <v>65</v>
      </c>
      <c r="Y67" t="s">
        <v>66</v>
      </c>
    </row>
    <row r="68" spans="1:28" x14ac:dyDescent="0.25">
      <c r="D68">
        <v>140000</v>
      </c>
      <c r="E68">
        <f t="shared" si="14"/>
        <v>4</v>
      </c>
      <c r="F68">
        <f t="shared" si="15"/>
        <v>2</v>
      </c>
      <c r="G68">
        <f>I89+F68</f>
        <v>39.874826874089031</v>
      </c>
      <c r="I68">
        <f>SUM(G66:G68)/3</f>
        <v>39.853505854511702</v>
      </c>
      <c r="J68" s="39" t="s">
        <v>72</v>
      </c>
      <c r="K68" s="40" t="s">
        <v>53</v>
      </c>
      <c r="L68" s="7"/>
      <c r="M68" s="12"/>
      <c r="Q68" t="s">
        <v>18</v>
      </c>
      <c r="R68" t="s">
        <v>21</v>
      </c>
      <c r="S68" t="s">
        <v>64</v>
      </c>
      <c r="T68" t="s">
        <v>12</v>
      </c>
      <c r="U68" t="s">
        <v>13</v>
      </c>
      <c r="V68" t="s">
        <v>14</v>
      </c>
      <c r="W68" t="s">
        <v>18</v>
      </c>
      <c r="X68" t="s">
        <v>21</v>
      </c>
      <c r="Y68" t="s">
        <v>22</v>
      </c>
      <c r="Z68" t="s">
        <v>41</v>
      </c>
      <c r="AA68" t="s">
        <v>43</v>
      </c>
      <c r="AB68" t="s">
        <v>23</v>
      </c>
    </row>
    <row r="69" spans="1:28" x14ac:dyDescent="0.25">
      <c r="C69" t="s">
        <v>62</v>
      </c>
      <c r="D69">
        <f>SUM(D66:D68)/3</f>
        <v>138333.33333333334</v>
      </c>
      <c r="G69" t="s">
        <v>47</v>
      </c>
      <c r="H69">
        <f>STDEV(G66:G68)</f>
        <v>0.13280705579880364</v>
      </c>
      <c r="J69" s="13" t="s">
        <v>73</v>
      </c>
      <c r="K69" s="6" t="s">
        <v>74</v>
      </c>
      <c r="L69" s="6" t="s">
        <v>75</v>
      </c>
      <c r="M69" s="14" t="s">
        <v>76</v>
      </c>
      <c r="Q69">
        <v>0</v>
      </c>
      <c r="R69">
        <v>26.3</v>
      </c>
      <c r="S69">
        <v>26.3</v>
      </c>
      <c r="T69">
        <v>26.3</v>
      </c>
      <c r="U69">
        <v>26.3</v>
      </c>
      <c r="V69">
        <v>26.3</v>
      </c>
      <c r="W69">
        <v>0</v>
      </c>
      <c r="X69">
        <v>26.3</v>
      </c>
      <c r="Y69">
        <v>26.3</v>
      </c>
      <c r="Z69">
        <v>26.3</v>
      </c>
      <c r="AA69">
        <v>26.3</v>
      </c>
      <c r="AB69">
        <v>26.3</v>
      </c>
    </row>
    <row r="70" spans="1:28" x14ac:dyDescent="0.25">
      <c r="B70" t="s">
        <v>45</v>
      </c>
      <c r="D70">
        <f>26000*5</f>
        <v>130000</v>
      </c>
      <c r="E70">
        <f>D70/35000</f>
        <v>3.7142857142857144</v>
      </c>
      <c r="F70">
        <f t="shared" si="15"/>
        <v>1.8930847960834882</v>
      </c>
      <c r="G70">
        <f>I93+F70</f>
        <v>38.647276516902018</v>
      </c>
      <c r="J70" s="48">
        <f>TTEST(G66:G68,G70:G72,2,3)</f>
        <v>1.2680962086192165E-3</v>
      </c>
      <c r="K70" s="49">
        <f>TTEST(G70:G72,G74:G76,2,3)</f>
        <v>1.3530633798729066E-3</v>
      </c>
      <c r="L70" s="57">
        <f>TTEST(G70:G72,G78:G80,2,3)</f>
        <v>2.679538219795051E-8</v>
      </c>
      <c r="M70" s="58">
        <f>TTEST(G70:G72,G82:G84,2,3)</f>
        <v>6.1819587345564056E-5</v>
      </c>
      <c r="Q70">
        <v>1</v>
      </c>
      <c r="W70">
        <v>1</v>
      </c>
    </row>
    <row r="71" spans="1:28" ht="15.75" thickBot="1" x14ac:dyDescent="0.3">
      <c r="D71">
        <f>27000*5</f>
        <v>135000</v>
      </c>
      <c r="E71">
        <f t="shared" ref="E71:E72" si="16">D71/35000</f>
        <v>3.8571428571428572</v>
      </c>
      <c r="F71">
        <f t="shared" si="15"/>
        <v>1.9475325801058643</v>
      </c>
      <c r="G71">
        <f>I93+F71</f>
        <v>38.701724300924397</v>
      </c>
      <c r="J71" s="28" t="s">
        <v>87</v>
      </c>
      <c r="K71" s="45" t="s">
        <v>87</v>
      </c>
      <c r="L71" s="51" t="s">
        <v>88</v>
      </c>
      <c r="M71" s="52" t="s">
        <v>88</v>
      </c>
      <c r="Q71">
        <v>2</v>
      </c>
      <c r="W71">
        <v>2</v>
      </c>
    </row>
    <row r="72" spans="1:28" x14ac:dyDescent="0.25">
      <c r="D72">
        <f>25000*5</f>
        <v>125000</v>
      </c>
      <c r="E72">
        <f t="shared" si="16"/>
        <v>3.5714285714285716</v>
      </c>
      <c r="F72">
        <f t="shared" si="15"/>
        <v>1.8365012677171206</v>
      </c>
      <c r="G72">
        <f>I93+F72</f>
        <v>38.59069298853565</v>
      </c>
      <c r="I72">
        <f>SUM(G70:G72)/3</f>
        <v>38.646564602120684</v>
      </c>
      <c r="J72" s="56" t="s">
        <v>91</v>
      </c>
      <c r="K72" s="6"/>
      <c r="L72" s="6"/>
      <c r="M72" s="14"/>
      <c r="Q72">
        <v>3</v>
      </c>
      <c r="R72">
        <v>28.492645077942395</v>
      </c>
      <c r="S72">
        <v>28.492645077942395</v>
      </c>
      <c r="T72">
        <v>28.795207847962828</v>
      </c>
      <c r="U72">
        <v>28.443735477461448</v>
      </c>
      <c r="V72">
        <v>28.60256277002043</v>
      </c>
      <c r="W72">
        <v>3</v>
      </c>
      <c r="X72">
        <v>28.489821796371825</v>
      </c>
      <c r="Y72">
        <v>28.489821796371825</v>
      </c>
      <c r="Z72">
        <v>28.772012034746549</v>
      </c>
      <c r="AA72">
        <v>28.434721970625905</v>
      </c>
      <c r="AB72">
        <v>28.598171819129657</v>
      </c>
    </row>
    <row r="73" spans="1:28" x14ac:dyDescent="0.25">
      <c r="C73" t="s">
        <v>62</v>
      </c>
      <c r="D73">
        <f>SUM(D70:D72)/3</f>
        <v>130000</v>
      </c>
      <c r="G73" t="s">
        <v>47</v>
      </c>
      <c r="H73">
        <f>STDEV(G70:G72)</f>
        <v>5.5519079600473933E-2</v>
      </c>
      <c r="J73" s="44" t="s">
        <v>73</v>
      </c>
      <c r="K73" s="27" t="s">
        <v>74</v>
      </c>
      <c r="L73" s="6" t="s">
        <v>75</v>
      </c>
      <c r="M73" s="14" t="s">
        <v>76</v>
      </c>
      <c r="Q73">
        <v>4</v>
      </c>
      <c r="W73">
        <v>4</v>
      </c>
    </row>
    <row r="74" spans="1:28" ht="15.75" thickBot="1" x14ac:dyDescent="0.3">
      <c r="B74" t="s">
        <v>54</v>
      </c>
      <c r="D74">
        <f>30*5*1000</f>
        <v>150000</v>
      </c>
      <c r="E74">
        <f>D74/35000</f>
        <v>4.2857142857142856</v>
      </c>
      <c r="F74">
        <f t="shared" si="15"/>
        <v>2.0995356735509141</v>
      </c>
      <c r="G74">
        <f>I97+F74</f>
        <v>37.61875665268866</v>
      </c>
      <c r="J74" s="46">
        <f>TTEST(G66:G68,G70:G72,2,3)</f>
        <v>1.2680962086192165E-3</v>
      </c>
      <c r="K74" s="47">
        <f>TTEST(G70:G72,G74:G76,2,3)</f>
        <v>1.3530633798729066E-3</v>
      </c>
      <c r="L74" s="16">
        <f>TTEST(G70:G72,G78:G80,2,3)</f>
        <v>2.679538219795051E-8</v>
      </c>
      <c r="M74" s="17">
        <f>TTEST(G70:G72,G82:G84,2,3)</f>
        <v>6.1819587345564056E-5</v>
      </c>
      <c r="Q74">
        <v>5</v>
      </c>
      <c r="W74">
        <v>5</v>
      </c>
    </row>
    <row r="75" spans="1:28" x14ac:dyDescent="0.25">
      <c r="D75">
        <f>25*5*1000</f>
        <v>125000</v>
      </c>
      <c r="E75">
        <f t="shared" ref="E75:E76" si="17">D75/35000</f>
        <v>3.5714285714285716</v>
      </c>
      <c r="F75">
        <f t="shared" si="15"/>
        <v>1.8365012677171206</v>
      </c>
      <c r="G75">
        <f>I97+F75</f>
        <v>37.355722246854867</v>
      </c>
      <c r="Q75">
        <v>6</v>
      </c>
      <c r="R75">
        <v>30.933217669328378</v>
      </c>
      <c r="S75">
        <v>30.772752997135129</v>
      </c>
      <c r="T75">
        <v>30.199903403020212</v>
      </c>
      <c r="U75">
        <v>29.155754714497423</v>
      </c>
      <c r="V75">
        <v>28.136244765797894</v>
      </c>
      <c r="W75">
        <v>6</v>
      </c>
      <c r="X75" s="6">
        <v>30.928393422479058</v>
      </c>
      <c r="Y75" s="6">
        <v>30.740482871037777</v>
      </c>
      <c r="Z75" s="6">
        <v>30.169545672457378</v>
      </c>
      <c r="AA75" s="6">
        <v>29.144251865216919</v>
      </c>
      <c r="AB75" s="6">
        <v>28.124630888463354</v>
      </c>
    </row>
    <row r="76" spans="1:28" x14ac:dyDescent="0.25">
      <c r="D76">
        <f>27*5*1000</f>
        <v>135000</v>
      </c>
      <c r="E76">
        <f t="shared" si="17"/>
        <v>3.8571428571428572</v>
      </c>
      <c r="F76">
        <f t="shared" si="15"/>
        <v>1.9475325801058643</v>
      </c>
      <c r="G76">
        <f>I97+F76</f>
        <v>37.466753559243614</v>
      </c>
      <c r="I76">
        <f>SUM(G74:G76)/3</f>
        <v>37.480410819595711</v>
      </c>
      <c r="Q76">
        <v>7</v>
      </c>
      <c r="W76">
        <v>7</v>
      </c>
    </row>
    <row r="77" spans="1:28" x14ac:dyDescent="0.25">
      <c r="C77" t="s">
        <v>62</v>
      </c>
      <c r="D77">
        <f>SUM(D74:D76)/3</f>
        <v>136666.66666666666</v>
      </c>
      <c r="G77" t="s">
        <v>47</v>
      </c>
      <c r="H77">
        <f>STDEV(G74:G76)</f>
        <v>0.13204796565387841</v>
      </c>
      <c r="Q77">
        <v>8</v>
      </c>
      <c r="W77">
        <v>8</v>
      </c>
    </row>
    <row r="78" spans="1:28" x14ac:dyDescent="0.25">
      <c r="B78" t="s">
        <v>55</v>
      </c>
      <c r="D78">
        <f>25*5*1000</f>
        <v>125000</v>
      </c>
      <c r="E78">
        <f>D78/50000</f>
        <v>2.5</v>
      </c>
      <c r="F78">
        <f t="shared" si="15"/>
        <v>1.3219280948873624</v>
      </c>
      <c r="G78">
        <f>I101+F78</f>
        <v>32.786341276524958</v>
      </c>
      <c r="Q78">
        <v>9</v>
      </c>
      <c r="R78">
        <v>33.07889512452401</v>
      </c>
      <c r="S78">
        <v>32.258179824305373</v>
      </c>
      <c r="T78">
        <v>31.58763355630332</v>
      </c>
      <c r="U78">
        <v>29.983573739114743</v>
      </c>
      <c r="V78">
        <v>27.841116730254246</v>
      </c>
      <c r="W78">
        <v>9</v>
      </c>
      <c r="X78">
        <v>33.067385796128946</v>
      </c>
      <c r="Y78">
        <v>32.222219933025215</v>
      </c>
      <c r="Z78">
        <v>31.5459561695247</v>
      </c>
      <c r="AA78">
        <v>29.945284285727585</v>
      </c>
      <c r="AB78">
        <v>27.830529236019938</v>
      </c>
    </row>
    <row r="79" spans="1:28" x14ac:dyDescent="0.25">
      <c r="D79">
        <f>23*5*1000</f>
        <v>115000</v>
      </c>
      <c r="E79">
        <f t="shared" ref="E79:E80" si="18">D79/50000</f>
        <v>2.2999999999999998</v>
      </c>
      <c r="F79">
        <f t="shared" si="15"/>
        <v>1.2016338611696504</v>
      </c>
      <c r="G79">
        <f>I101+F79</f>
        <v>32.666047042807243</v>
      </c>
      <c r="J79" s="27"/>
      <c r="K79" s="27"/>
      <c r="L79" s="27"/>
      <c r="Q79">
        <v>10</v>
      </c>
      <c r="W79">
        <v>10</v>
      </c>
    </row>
    <row r="80" spans="1:28" x14ac:dyDescent="0.25">
      <c r="D80">
        <f>24*5*1000</f>
        <v>120000</v>
      </c>
      <c r="E80">
        <f t="shared" si="18"/>
        <v>2.4</v>
      </c>
      <c r="F80">
        <f t="shared" si="15"/>
        <v>1.2630344058337939</v>
      </c>
      <c r="G80">
        <f>I101+F80</f>
        <v>32.727447587471389</v>
      </c>
      <c r="I80">
        <f>SUM(G78:G80)/3</f>
        <v>32.726611968934527</v>
      </c>
      <c r="J80" s="27"/>
      <c r="K80" s="27"/>
      <c r="L80" s="27"/>
      <c r="Q80">
        <v>11</v>
      </c>
      <c r="W80">
        <v>11</v>
      </c>
    </row>
    <row r="81" spans="1:28" x14ac:dyDescent="0.25">
      <c r="C81" t="s">
        <v>62</v>
      </c>
      <c r="D81">
        <f>SUM(D78:D80)/3</f>
        <v>120000</v>
      </c>
      <c r="G81" t="s">
        <v>47</v>
      </c>
      <c r="H81">
        <f>STDEV(G78:G80)</f>
        <v>6.0151470141530279E-2</v>
      </c>
      <c r="J81" s="27"/>
      <c r="K81" s="27"/>
      <c r="L81" s="27"/>
      <c r="Q81">
        <v>12</v>
      </c>
      <c r="R81">
        <v>35.051587778528273</v>
      </c>
      <c r="S81">
        <v>34.085998848922692</v>
      </c>
      <c r="T81">
        <v>33.033889786192887</v>
      </c>
      <c r="U81">
        <v>30.691392987621434</v>
      </c>
      <c r="V81">
        <v>26.94545339006898</v>
      </c>
      <c r="W81">
        <v>12</v>
      </c>
      <c r="X81">
        <v>35.037704099729524</v>
      </c>
      <c r="Y81">
        <v>34.049466345966948</v>
      </c>
      <c r="Z81">
        <v>32.972941607468385</v>
      </c>
      <c r="AA81" s="9">
        <v>30.644926588447603</v>
      </c>
      <c r="AB81">
        <v>26.925046148214946</v>
      </c>
    </row>
    <row r="82" spans="1:28" x14ac:dyDescent="0.25">
      <c r="B82" t="s">
        <v>56</v>
      </c>
      <c r="D82">
        <f>25*1000</f>
        <v>25000</v>
      </c>
      <c r="E82">
        <f>D82/30000</f>
        <v>0.83333333333333337</v>
      </c>
      <c r="F82">
        <f t="shared" si="15"/>
        <v>-0.26303440583379373</v>
      </c>
      <c r="G82">
        <f>I105+F82</f>
        <v>26.199855626687128</v>
      </c>
      <c r="J82" s="27"/>
      <c r="K82" s="27"/>
      <c r="L82" s="27"/>
      <c r="Q82">
        <v>18</v>
      </c>
      <c r="R82">
        <v>37.892890032509214</v>
      </c>
      <c r="S82">
        <v>36.798716896842222</v>
      </c>
      <c r="T82">
        <v>35.591885239313775</v>
      </c>
      <c r="U82">
        <v>31.512422846576115</v>
      </c>
      <c r="V82">
        <v>26.497994413097757</v>
      </c>
      <c r="W82">
        <v>18</v>
      </c>
      <c r="X82">
        <v>37.874826874089031</v>
      </c>
      <c r="Y82">
        <v>36.754191720818532</v>
      </c>
      <c r="Z82">
        <v>35.519220979137749</v>
      </c>
      <c r="AA82" s="9">
        <v>31.464413181637592</v>
      </c>
      <c r="AB82">
        <v>26.462890032520921</v>
      </c>
    </row>
    <row r="83" spans="1:28" x14ac:dyDescent="0.25">
      <c r="D83">
        <f>18*1000</f>
        <v>18000</v>
      </c>
      <c r="E83">
        <f t="shared" ref="E83:E84" si="19">D83/30000</f>
        <v>0.6</v>
      </c>
      <c r="F83">
        <f t="shared" si="15"/>
        <v>-0.73696559416620622</v>
      </c>
      <c r="G83">
        <f>I105+F83</f>
        <v>25.725924438354713</v>
      </c>
      <c r="J83" s="27"/>
      <c r="K83" s="27"/>
      <c r="L83" s="27"/>
      <c r="Q83">
        <v>23</v>
      </c>
      <c r="R83">
        <v>39.875612041077382</v>
      </c>
      <c r="S83">
        <v>38.691801692925708</v>
      </c>
      <c r="T83">
        <v>37.557119821153101</v>
      </c>
      <c r="U83">
        <v>32.775457252409907</v>
      </c>
      <c r="V83">
        <v>26.050535436126538</v>
      </c>
      <c r="W83">
        <v>23</v>
      </c>
      <c r="X83">
        <v>39.853505854511702</v>
      </c>
      <c r="Y83">
        <v>38.646564602120684</v>
      </c>
      <c r="Z83">
        <v>37.480410819595711</v>
      </c>
      <c r="AA83" s="9">
        <v>32.726611968934527</v>
      </c>
      <c r="AB83">
        <v>26.001780486003753</v>
      </c>
    </row>
    <row r="84" spans="1:28" x14ac:dyDescent="0.25">
      <c r="D84">
        <f>23*1000</f>
        <v>23000</v>
      </c>
      <c r="E84">
        <f t="shared" si="19"/>
        <v>0.76666666666666672</v>
      </c>
      <c r="F84">
        <f t="shared" si="15"/>
        <v>-0.38332863955150553</v>
      </c>
      <c r="G84">
        <f>I105+F84</f>
        <v>26.079561392969417</v>
      </c>
      <c r="I84">
        <f>SUM(G82:G84)/3</f>
        <v>26.001780486003753</v>
      </c>
      <c r="J84" s="27"/>
      <c r="K84" s="27"/>
      <c r="L84" s="27"/>
    </row>
    <row r="85" spans="1:28" x14ac:dyDescent="0.25">
      <c r="C85" t="s">
        <v>62</v>
      </c>
      <c r="D85">
        <f>SUM(D82:D84)/3</f>
        <v>22000</v>
      </c>
      <c r="G85" t="s">
        <v>47</v>
      </c>
      <c r="H85">
        <f>STDEV(G82:G84)</f>
        <v>0.24635359736534129</v>
      </c>
      <c r="J85" s="27"/>
      <c r="K85" s="27"/>
      <c r="L85" s="27"/>
    </row>
    <row r="86" spans="1:28" x14ac:dyDescent="0.25">
      <c r="J86" s="27"/>
      <c r="K86" s="27"/>
      <c r="L86" s="27"/>
    </row>
    <row r="87" spans="1:28" x14ac:dyDescent="0.25">
      <c r="A87" s="4" t="s">
        <v>57</v>
      </c>
      <c r="B87" t="s">
        <v>44</v>
      </c>
      <c r="C87">
        <v>195000</v>
      </c>
      <c r="E87">
        <f>C87/30000</f>
        <v>6.5</v>
      </c>
      <c r="F87">
        <f t="shared" si="15"/>
        <v>2.7004397181410922</v>
      </c>
      <c r="G87">
        <f>I109+F87</f>
        <v>37.738143817870615</v>
      </c>
      <c r="Q87" t="s">
        <v>67</v>
      </c>
    </row>
    <row r="88" spans="1:28" ht="15.75" thickBot="1" x14ac:dyDescent="0.3">
      <c r="C88">
        <v>235000</v>
      </c>
      <c r="E88">
        <f t="shared" ref="E88:E93" si="20">C88/30000</f>
        <v>7.833333333333333</v>
      </c>
      <c r="F88">
        <f t="shared" si="15"/>
        <v>2.9696263509564811</v>
      </c>
      <c r="G88">
        <f>I109+F88</f>
        <v>38.007330450686005</v>
      </c>
      <c r="Q88" t="s">
        <v>68</v>
      </c>
      <c r="S88" t="s">
        <v>70</v>
      </c>
      <c r="T88" t="s">
        <v>12</v>
      </c>
      <c r="U88" t="s">
        <v>13</v>
      </c>
      <c r="V88" t="s">
        <v>14</v>
      </c>
    </row>
    <row r="89" spans="1:28" x14ac:dyDescent="0.25">
      <c r="C89">
        <v>215000</v>
      </c>
      <c r="E89">
        <f t="shared" si="20"/>
        <v>7.166666666666667</v>
      </c>
      <c r="F89">
        <f t="shared" si="15"/>
        <v>2.8413022539809418</v>
      </c>
      <c r="G89">
        <f>I109+F89</f>
        <v>37.879006353710466</v>
      </c>
      <c r="I89">
        <f>SUM(G87:G89)/3</f>
        <v>37.874826874089031</v>
      </c>
      <c r="J89" s="11" t="s">
        <v>44</v>
      </c>
      <c r="K89" s="7" t="s">
        <v>45</v>
      </c>
      <c r="L89" s="7" t="s">
        <v>12</v>
      </c>
      <c r="M89" s="7" t="s">
        <v>13</v>
      </c>
      <c r="N89" s="12" t="s">
        <v>14</v>
      </c>
      <c r="Q89" t="s">
        <v>69</v>
      </c>
    </row>
    <row r="90" spans="1:28" ht="15.75" thickBot="1" x14ac:dyDescent="0.3">
      <c r="B90" t="s">
        <v>62</v>
      </c>
      <c r="C90">
        <f>SUM(C87:C89)/3</f>
        <v>215000</v>
      </c>
      <c r="G90" t="s">
        <v>47</v>
      </c>
      <c r="H90">
        <f>STDEV(G87:G89)</f>
        <v>0.13464197658624705</v>
      </c>
      <c r="J90" s="15">
        <v>37.874826874089031</v>
      </c>
      <c r="K90" s="16">
        <v>36.754191720818532</v>
      </c>
      <c r="L90" s="16">
        <v>35.519220979137749</v>
      </c>
      <c r="M90" s="16">
        <v>31.464413181637592</v>
      </c>
      <c r="N90" s="17">
        <v>26.462890032520921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</row>
    <row r="91" spans="1:28" x14ac:dyDescent="0.25">
      <c r="B91" t="s">
        <v>45</v>
      </c>
      <c r="C91">
        <v>225000</v>
      </c>
      <c r="E91">
        <f t="shared" si="20"/>
        <v>7.5</v>
      </c>
      <c r="F91">
        <f t="shared" si="15"/>
        <v>2.9068905956085187</v>
      </c>
      <c r="G91">
        <f>I113+F91</f>
        <v>36.956356941575464</v>
      </c>
      <c r="J91" s="39" t="s">
        <v>72</v>
      </c>
      <c r="K91" s="40" t="s">
        <v>57</v>
      </c>
      <c r="L91" s="7"/>
      <c r="M91" s="12"/>
      <c r="Q91">
        <v>3</v>
      </c>
      <c r="R91">
        <v>0.12768385938741358</v>
      </c>
      <c r="S91">
        <v>0.12768385938741358</v>
      </c>
      <c r="T91">
        <v>0.32422171955716422</v>
      </c>
      <c r="U91">
        <v>0.19651226255885645</v>
      </c>
      <c r="V91">
        <v>0.13669249625764734</v>
      </c>
    </row>
    <row r="92" spans="1:28" x14ac:dyDescent="0.25">
      <c r="C92">
        <v>175000</v>
      </c>
      <c r="E92">
        <f t="shared" si="20"/>
        <v>5.833333333333333</v>
      </c>
      <c r="F92">
        <f t="shared" si="15"/>
        <v>2.5443205162238098</v>
      </c>
      <c r="G92">
        <f>I113+F92</f>
        <v>36.593786862190761</v>
      </c>
      <c r="J92" s="13" t="s">
        <v>73</v>
      </c>
      <c r="K92" s="6" t="s">
        <v>74</v>
      </c>
      <c r="L92" s="6" t="s">
        <v>75</v>
      </c>
      <c r="M92" s="14" t="s">
        <v>76</v>
      </c>
      <c r="Q92">
        <v>6</v>
      </c>
      <c r="R92">
        <v>0.10748241813632953</v>
      </c>
      <c r="S92">
        <v>0.41363095099977143</v>
      </c>
      <c r="T92">
        <v>0.17416099951739153</v>
      </c>
      <c r="U92">
        <v>0.10331120019327532</v>
      </c>
      <c r="V92">
        <v>0.1782163432076504</v>
      </c>
    </row>
    <row r="93" spans="1:28" x14ac:dyDescent="0.25">
      <c r="C93">
        <v>190000</v>
      </c>
      <c r="E93">
        <f t="shared" si="20"/>
        <v>6.333333333333333</v>
      </c>
      <c r="F93">
        <f t="shared" si="15"/>
        <v>2.6629650127224291</v>
      </c>
      <c r="G93">
        <f>I113+F93</f>
        <v>36.712431358689379</v>
      </c>
      <c r="I93">
        <f>SUM(G91:G93)/3</f>
        <v>36.754191720818532</v>
      </c>
      <c r="J93" s="48">
        <f>TTEST(G87:G89,G91:G93,2,3)</f>
        <v>1.5570218597348083E-3</v>
      </c>
      <c r="K93" s="49">
        <f>TTEST(G91:G93,G95:G97,2,3)</f>
        <v>2.1206956779295026E-3</v>
      </c>
      <c r="L93" s="57">
        <f>TTEST(G91:G93,G99:G101,2,3)</f>
        <v>4.8677807705607592E-5</v>
      </c>
      <c r="M93" s="58">
        <f>TTEST(G91:G93,G103:G105,2,3)</f>
        <v>1.6467023160561606E-6</v>
      </c>
      <c r="Q93">
        <v>9</v>
      </c>
      <c r="R93">
        <v>0.19656489988209025</v>
      </c>
      <c r="S93">
        <v>0.14598281543912936</v>
      </c>
      <c r="T93">
        <v>0.22058664214823012</v>
      </c>
      <c r="U93">
        <v>0.33411440461463804</v>
      </c>
      <c r="V93">
        <v>9.0799624876178597E-2</v>
      </c>
    </row>
    <row r="94" spans="1:28" ht="15.75" thickBot="1" x14ac:dyDescent="0.3">
      <c r="B94" t="s">
        <v>62</v>
      </c>
      <c r="C94">
        <f>SUM(C91:C93)/3</f>
        <v>196666.66666666666</v>
      </c>
      <c r="G94" t="s">
        <v>47</v>
      </c>
      <c r="H94">
        <f>STDEV(G91:G93)</f>
        <v>0.18485727332222052</v>
      </c>
      <c r="J94" s="28" t="s">
        <v>87</v>
      </c>
      <c r="K94" s="45" t="s">
        <v>87</v>
      </c>
      <c r="L94" s="51" t="s">
        <v>88</v>
      </c>
      <c r="M94" s="52" t="s">
        <v>88</v>
      </c>
      <c r="Q94">
        <v>12</v>
      </c>
      <c r="R94">
        <v>0.11708702993918603</v>
      </c>
      <c r="S94">
        <v>5.7487853507376362E-2</v>
      </c>
      <c r="T94">
        <v>0.28397151756769023</v>
      </c>
      <c r="U94">
        <v>0.18828294219074868</v>
      </c>
      <c r="V94">
        <v>0.23831972500109086</v>
      </c>
    </row>
    <row r="95" spans="1:28" x14ac:dyDescent="0.25">
      <c r="B95" t="s">
        <v>54</v>
      </c>
      <c r="C95">
        <f>175*1000</f>
        <v>175000</v>
      </c>
      <c r="E95">
        <f>C95/30000</f>
        <v>5.833333333333333</v>
      </c>
      <c r="F95">
        <f t="shared" si="15"/>
        <v>2.5443205162238098</v>
      </c>
      <c r="G95">
        <f>I118+F95</f>
        <v>35.517262123692198</v>
      </c>
      <c r="J95" s="56" t="s">
        <v>91</v>
      </c>
      <c r="K95" s="6"/>
      <c r="L95" s="6"/>
      <c r="M95" s="14"/>
      <c r="Q95">
        <v>18</v>
      </c>
      <c r="R95">
        <v>0.13464197658624705</v>
      </c>
      <c r="S95">
        <v>0.18485727332222052</v>
      </c>
      <c r="T95">
        <v>0.22533709021954965</v>
      </c>
      <c r="U95">
        <v>8.1760290584381112E-2</v>
      </c>
      <c r="V95">
        <v>0.25454227756435172</v>
      </c>
    </row>
    <row r="96" spans="1:28" x14ac:dyDescent="0.25">
      <c r="C96">
        <f>150*1000</f>
        <v>150000</v>
      </c>
      <c r="E96">
        <f t="shared" ref="E96:E101" si="21">C96/30000</f>
        <v>5</v>
      </c>
      <c r="F96">
        <f t="shared" si="15"/>
        <v>2.3219280948873626</v>
      </c>
      <c r="G96">
        <f>I118+F96</f>
        <v>35.294869702355747</v>
      </c>
      <c r="J96" s="13" t="s">
        <v>73</v>
      </c>
      <c r="K96" s="6" t="s">
        <v>74</v>
      </c>
      <c r="L96" s="6" t="s">
        <v>75</v>
      </c>
      <c r="M96" s="14" t="s">
        <v>76</v>
      </c>
      <c r="Q96">
        <v>23</v>
      </c>
      <c r="R96">
        <v>0.13280705579880364</v>
      </c>
      <c r="S96">
        <v>5.5519079600473933E-2</v>
      </c>
      <c r="T96">
        <v>0.13204796565387841</v>
      </c>
      <c r="U96">
        <v>6.0151470141530279E-2</v>
      </c>
      <c r="V96">
        <v>0.24635359736534129</v>
      </c>
    </row>
    <row r="97" spans="1:14" ht="15.75" thickBot="1" x14ac:dyDescent="0.3">
      <c r="C97">
        <f>205*1000</f>
        <v>205000</v>
      </c>
      <c r="E97">
        <f t="shared" si="21"/>
        <v>6.833333333333333</v>
      </c>
      <c r="F97">
        <f t="shared" si="15"/>
        <v>2.7725895038969273</v>
      </c>
      <c r="G97">
        <f>I118+F97</f>
        <v>35.74553111136531</v>
      </c>
      <c r="I97">
        <f>SUM(G95:G97)/3</f>
        <v>35.519220979137749</v>
      </c>
      <c r="J97" s="15">
        <f>TTEST(G87:G89,G91:G93,2,3)</f>
        <v>1.5570218597348083E-3</v>
      </c>
      <c r="K97" s="16">
        <f>TTEST(G91:G93,G95:G97,2,3)</f>
        <v>2.1206956779295026E-3</v>
      </c>
      <c r="L97" s="16">
        <f>TTEST(G91:G93,G99:G101,2,3)</f>
        <v>4.8677807705607592E-5</v>
      </c>
      <c r="M97" s="17">
        <f>TTEST(G91:G93,G103:G105,2,3)</f>
        <v>1.6467023160561606E-6</v>
      </c>
    </row>
    <row r="98" spans="1:14" x14ac:dyDescent="0.25">
      <c r="B98" t="s">
        <v>62</v>
      </c>
      <c r="C98">
        <f>SUM(C95:C97)/3</f>
        <v>176666.66666666666</v>
      </c>
      <c r="G98" t="s">
        <v>47</v>
      </c>
      <c r="H98">
        <f>STDEV(G95:G97)</f>
        <v>0.22533709021954965</v>
      </c>
      <c r="J98" s="39" t="s">
        <v>72</v>
      </c>
      <c r="K98" s="7"/>
      <c r="L98" s="12"/>
    </row>
    <row r="99" spans="1:14" x14ac:dyDescent="0.25">
      <c r="B99" t="s">
        <v>55</v>
      </c>
      <c r="C99">
        <f>56*1000</f>
        <v>56000</v>
      </c>
      <c r="E99">
        <f t="shared" si="21"/>
        <v>1.8666666666666667</v>
      </c>
      <c r="F99">
        <f t="shared" si="15"/>
        <v>0.90046432644908558</v>
      </c>
      <c r="G99">
        <f>I122+F99</f>
        <v>31.545390914896689</v>
      </c>
      <c r="J99" s="13" t="s">
        <v>93</v>
      </c>
      <c r="K99" s="6" t="s">
        <v>94</v>
      </c>
      <c r="L99" s="14" t="s">
        <v>95</v>
      </c>
    </row>
    <row r="100" spans="1:14" x14ac:dyDescent="0.25">
      <c r="C100">
        <f>50*1000</f>
        <v>50000</v>
      </c>
      <c r="E100">
        <f t="shared" si="21"/>
        <v>1.6666666666666667</v>
      </c>
      <c r="F100">
        <f t="shared" si="15"/>
        <v>0.73696559416620622</v>
      </c>
      <c r="G100">
        <f>I122+F100</f>
        <v>31.381892182613811</v>
      </c>
      <c r="J100" s="13">
        <f>TTEST(G95:G97,G99:G101,2,3)</f>
        <v>2.950279463570581E-4</v>
      </c>
      <c r="K100" s="6">
        <f>TTEST(G95:G97,G103:G105,2,3)</f>
        <v>1.5479897424358049E-6</v>
      </c>
      <c r="L100" s="14">
        <f>TTEST(G103:G105,G99:G101,2,3)</f>
        <v>3.0749193630527541E-4</v>
      </c>
    </row>
    <row r="101" spans="1:14" ht="15.75" thickBot="1" x14ac:dyDescent="0.3">
      <c r="C101">
        <f>53*1000</f>
        <v>53000</v>
      </c>
      <c r="E101">
        <f t="shared" si="21"/>
        <v>1.7666666666666666</v>
      </c>
      <c r="F101">
        <f t="shared" si="15"/>
        <v>0.82102985895468061</v>
      </c>
      <c r="G101">
        <f>I122+F101</f>
        <v>31.465956447402284</v>
      </c>
      <c r="I101">
        <f>SUM(G99:G101)/3</f>
        <v>31.464413181637592</v>
      </c>
      <c r="J101" s="15" t="s">
        <v>88</v>
      </c>
      <c r="K101" s="16" t="s">
        <v>88</v>
      </c>
      <c r="L101" s="17" t="s">
        <v>88</v>
      </c>
    </row>
    <row r="102" spans="1:14" x14ac:dyDescent="0.25">
      <c r="B102" t="s">
        <v>62</v>
      </c>
      <c r="C102">
        <f>SUM(C99:C101)/3</f>
        <v>53000</v>
      </c>
      <c r="G102" t="s">
        <v>47</v>
      </c>
      <c r="H102">
        <f>STDEV(G99:G101)</f>
        <v>8.1760290584381112E-2</v>
      </c>
    </row>
    <row r="103" spans="1:14" x14ac:dyDescent="0.25">
      <c r="B103" t="s">
        <v>56</v>
      </c>
      <c r="C103">
        <f>34*1000</f>
        <v>34000</v>
      </c>
      <c r="E103">
        <f>C103/40000</f>
        <v>0.85</v>
      </c>
      <c r="F103">
        <f t="shared" si="15"/>
        <v>-0.234465253637023</v>
      </c>
      <c r="G103">
        <f>I125+F103</f>
        <v>26.690580894577923</v>
      </c>
    </row>
    <row r="104" spans="1:14" x14ac:dyDescent="0.25">
      <c r="C104">
        <f>24*1000</f>
        <v>24000</v>
      </c>
      <c r="E104">
        <f t="shared" ref="E104:E105" si="22">C104/40000</f>
        <v>0.6</v>
      </c>
      <c r="F104">
        <f t="shared" si="15"/>
        <v>-0.73696559416620622</v>
      </c>
      <c r="G104">
        <f>I125+F104</f>
        <v>26.188080554048739</v>
      </c>
    </row>
    <row r="105" spans="1:14" x14ac:dyDescent="0.25">
      <c r="C105">
        <f>30*1000</f>
        <v>30000</v>
      </c>
      <c r="E105">
        <f t="shared" si="22"/>
        <v>0.75</v>
      </c>
      <c r="F105">
        <f t="shared" si="15"/>
        <v>-0.41503749927884381</v>
      </c>
      <c r="G105">
        <f>I125+F105</f>
        <v>26.510008648936104</v>
      </c>
      <c r="I105">
        <f>SUM(G103:G105)/3</f>
        <v>26.462890032520921</v>
      </c>
    </row>
    <row r="106" spans="1:14" ht="15.75" thickBot="1" x14ac:dyDescent="0.3">
      <c r="B106" t="s">
        <v>62</v>
      </c>
      <c r="C106">
        <f>SUM(C103:C105)/3</f>
        <v>29333.333333333332</v>
      </c>
      <c r="G106" t="s">
        <v>47</v>
      </c>
      <c r="H106">
        <f>STDEV(G103:G105)</f>
        <v>0.25454227756435172</v>
      </c>
    </row>
    <row r="107" spans="1:14" x14ac:dyDescent="0.25">
      <c r="A107" s="4" t="s">
        <v>58</v>
      </c>
      <c r="J107" s="11" t="s">
        <v>44</v>
      </c>
      <c r="K107" s="7" t="s">
        <v>45</v>
      </c>
      <c r="L107" s="7" t="s">
        <v>12</v>
      </c>
      <c r="M107" s="7" t="s">
        <v>13</v>
      </c>
      <c r="N107" s="12" t="s">
        <v>14</v>
      </c>
    </row>
    <row r="108" spans="1:14" ht="15.75" thickBot="1" x14ac:dyDescent="0.3">
      <c r="B108" t="s">
        <v>44</v>
      </c>
      <c r="C108">
        <f>74*1000*2</f>
        <v>148000</v>
      </c>
      <c r="E108">
        <f>C108/40000</f>
        <v>3.7</v>
      </c>
      <c r="F108">
        <f t="shared" si="15"/>
        <v>1.8875252707415873</v>
      </c>
      <c r="G108">
        <f>I129+F108</f>
        <v>34.95491106687053</v>
      </c>
      <c r="J108" s="15">
        <v>35.037704099729524</v>
      </c>
      <c r="K108" s="16">
        <v>34.049466345966948</v>
      </c>
      <c r="L108" s="16">
        <v>32.972941607468385</v>
      </c>
      <c r="M108" s="16">
        <v>30.644926588447603</v>
      </c>
      <c r="N108" s="17">
        <v>26.925046148214946</v>
      </c>
    </row>
    <row r="109" spans="1:14" x14ac:dyDescent="0.25">
      <c r="C109">
        <f>83*2*1000</f>
        <v>166000</v>
      </c>
      <c r="E109">
        <f t="shared" ref="E109:E125" si="23">C109/40000</f>
        <v>4.1500000000000004</v>
      </c>
      <c r="F109">
        <f t="shared" si="15"/>
        <v>2.0531113364595623</v>
      </c>
      <c r="G109">
        <f>I129+F109</f>
        <v>35.120497132588511</v>
      </c>
      <c r="I109">
        <f>SUM(G108:G109)/2</f>
        <v>35.037704099729524</v>
      </c>
      <c r="J109" s="39" t="s">
        <v>72</v>
      </c>
      <c r="K109" s="40" t="s">
        <v>58</v>
      </c>
      <c r="L109" s="7"/>
      <c r="M109" s="12"/>
    </row>
    <row r="110" spans="1:14" x14ac:dyDescent="0.25">
      <c r="B110" t="s">
        <v>62</v>
      </c>
      <c r="C110">
        <f>SUM(C108:C109)/2</f>
        <v>157000</v>
      </c>
      <c r="J110" s="13" t="s">
        <v>73</v>
      </c>
      <c r="K110" s="6" t="s">
        <v>74</v>
      </c>
      <c r="L110" s="6" t="s">
        <v>75</v>
      </c>
      <c r="M110" s="14" t="s">
        <v>76</v>
      </c>
    </row>
    <row r="111" spans="1:14" x14ac:dyDescent="0.25">
      <c r="G111" t="s">
        <v>47</v>
      </c>
      <c r="H111">
        <f>STDEV(G108:G109)</f>
        <v>0.11708702993918603</v>
      </c>
      <c r="J111" s="29">
        <f>TTEST(G108:G109,G112:G113,2,3)</f>
        <v>2.3258888234426827E-2</v>
      </c>
      <c r="K111" s="50">
        <f>TTEST(G112:G113,G116:G118,2,3)</f>
        <v>1.7863902993580361E-2</v>
      </c>
      <c r="L111" s="57">
        <f>TTEST(G112:G113,G120:G122,2,3)</f>
        <v>3.0727898675201172E-4</v>
      </c>
      <c r="M111" s="54">
        <f>TTEST(G112:G113,G124:G125,2,3)</f>
        <v>1.0337266492955651E-2</v>
      </c>
    </row>
    <row r="112" spans="1:14" ht="15.75" thickBot="1" x14ac:dyDescent="0.3">
      <c r="B112" t="s">
        <v>45</v>
      </c>
      <c r="C112">
        <f>73*2*1000</f>
        <v>146000</v>
      </c>
      <c r="E112">
        <f t="shared" si="23"/>
        <v>3.65</v>
      </c>
      <c r="F112">
        <f t="shared" si="15"/>
        <v>1.867896463992655</v>
      </c>
      <c r="G112">
        <f>I133+F112</f>
        <v>34.090116397017873</v>
      </c>
      <c r="J112" s="43" t="s">
        <v>89</v>
      </c>
      <c r="K112" s="42" t="s">
        <v>89</v>
      </c>
      <c r="L112" s="51" t="s">
        <v>88</v>
      </c>
      <c r="M112" s="53" t="s">
        <v>87</v>
      </c>
    </row>
    <row r="113" spans="1:14" x14ac:dyDescent="0.25">
      <c r="C113">
        <f>69*2*1000</f>
        <v>138000</v>
      </c>
      <c r="E113">
        <f t="shared" si="23"/>
        <v>3.45</v>
      </c>
      <c r="F113">
        <f t="shared" si="15"/>
        <v>1.7865963618908069</v>
      </c>
      <c r="G113">
        <f>I133+F113</f>
        <v>34.008816294916024</v>
      </c>
      <c r="I113">
        <f>SUM(G112:G113)/2</f>
        <v>34.049466345966948</v>
      </c>
      <c r="J113" s="56" t="s">
        <v>91</v>
      </c>
      <c r="K113" s="6"/>
      <c r="L113" s="6"/>
      <c r="M113" s="14"/>
    </row>
    <row r="114" spans="1:14" x14ac:dyDescent="0.25">
      <c r="B114" t="s">
        <v>62</v>
      </c>
      <c r="C114">
        <f>SUM(C112:C113)/2</f>
        <v>142000</v>
      </c>
      <c r="G114" t="s">
        <v>47</v>
      </c>
      <c r="H114">
        <f>STDEV(G112:G113)</f>
        <v>5.7487853507376362E-2</v>
      </c>
      <c r="J114" s="13" t="s">
        <v>73</v>
      </c>
      <c r="K114" s="6" t="s">
        <v>74</v>
      </c>
      <c r="L114" s="6" t="s">
        <v>75</v>
      </c>
      <c r="M114" s="14" t="s">
        <v>76</v>
      </c>
    </row>
    <row r="115" spans="1:14" ht="15.75" thickBot="1" x14ac:dyDescent="0.3">
      <c r="J115" s="15">
        <f>TTEST(G108:G109,G112:G113,2,3)</f>
        <v>2.3258888234426827E-2</v>
      </c>
      <c r="K115" s="16">
        <f>TTEST(G112:G113,G116:G118,2,3)</f>
        <v>1.7863902993580361E-2</v>
      </c>
      <c r="L115" s="16">
        <f>TTEST(G112:G113,G120:G122,2,3)</f>
        <v>3.0727898675201172E-4</v>
      </c>
      <c r="M115" s="17">
        <f>TTEST(G112:G113,G124:G125,2,3)</f>
        <v>1.0337266492955651E-2</v>
      </c>
    </row>
    <row r="116" spans="1:14" x14ac:dyDescent="0.25">
      <c r="B116" t="s">
        <v>54</v>
      </c>
      <c r="C116">
        <f>48*2*1000</f>
        <v>96000</v>
      </c>
      <c r="E116">
        <f t="shared" si="23"/>
        <v>2.4</v>
      </c>
      <c r="F116">
        <f t="shared" si="15"/>
        <v>1.2630344058337939</v>
      </c>
      <c r="G116">
        <f>I137+F116</f>
        <v>32.808990575358493</v>
      </c>
    </row>
    <row r="117" spans="1:14" x14ac:dyDescent="0.25">
      <c r="C117">
        <f>48*2*1000</f>
        <v>96000</v>
      </c>
      <c r="E117">
        <f t="shared" si="23"/>
        <v>2.4</v>
      </c>
      <c r="F117">
        <f t="shared" si="15"/>
        <v>1.2630344058337939</v>
      </c>
      <c r="G117">
        <f>I137+F117</f>
        <v>32.808990575358493</v>
      </c>
    </row>
    <row r="118" spans="1:14" x14ac:dyDescent="0.25">
      <c r="C118">
        <f>67.5*2*1000</f>
        <v>135000</v>
      </c>
      <c r="E118">
        <f t="shared" si="23"/>
        <v>3.375</v>
      </c>
      <c r="F118">
        <f t="shared" si="15"/>
        <v>1.7548875021634684</v>
      </c>
      <c r="G118">
        <f>I137+F118</f>
        <v>33.30084367168817</v>
      </c>
      <c r="I118">
        <f>SUM(G116:G118)/3</f>
        <v>32.972941607468385</v>
      </c>
    </row>
    <row r="119" spans="1:14" x14ac:dyDescent="0.25">
      <c r="B119" t="s">
        <v>62</v>
      </c>
      <c r="C119">
        <f>SUM(C116:C118)/3</f>
        <v>109000</v>
      </c>
      <c r="G119" t="s">
        <v>47</v>
      </c>
      <c r="H119">
        <f>STDEV(G116:G118)</f>
        <v>0.28397151756769023</v>
      </c>
    </row>
    <row r="120" spans="1:14" x14ac:dyDescent="0.25">
      <c r="B120" t="s">
        <v>55</v>
      </c>
      <c r="C120">
        <f>37*1000*2</f>
        <v>74000</v>
      </c>
      <c r="E120">
        <f t="shared" si="23"/>
        <v>1.85</v>
      </c>
      <c r="F120">
        <f t="shared" si="15"/>
        <v>0.8875252707415876</v>
      </c>
      <c r="G120">
        <f>I141+F120</f>
        <v>30.832809556469172</v>
      </c>
    </row>
    <row r="121" spans="1:14" x14ac:dyDescent="0.25">
      <c r="C121">
        <f>32.5*2*1000</f>
        <v>65000</v>
      </c>
      <c r="E121">
        <f t="shared" si="23"/>
        <v>1.625</v>
      </c>
      <c r="F121">
        <f t="shared" si="15"/>
        <v>0.70043971814109218</v>
      </c>
      <c r="G121">
        <f>I141+F121</f>
        <v>30.645724003868676</v>
      </c>
    </row>
    <row r="122" spans="1:14" x14ac:dyDescent="0.25">
      <c r="C122">
        <f>28.5*2*1000</f>
        <v>57000</v>
      </c>
      <c r="E122">
        <f t="shared" si="23"/>
        <v>1.425</v>
      </c>
      <c r="F122">
        <f t="shared" si="15"/>
        <v>0.51096191927737933</v>
      </c>
      <c r="G122">
        <f>I141+F122</f>
        <v>30.456246205004962</v>
      </c>
      <c r="I122">
        <f>SUM(G120:G122)/3</f>
        <v>30.644926588447603</v>
      </c>
    </row>
    <row r="123" spans="1:14" x14ac:dyDescent="0.25">
      <c r="B123" t="s">
        <v>62</v>
      </c>
      <c r="C123">
        <f>SUM(C120:C122)/3</f>
        <v>65333.333333333336</v>
      </c>
      <c r="G123" t="s">
        <v>47</v>
      </c>
      <c r="H123">
        <f>STDEV(G120:G122)</f>
        <v>0.18828294219074868</v>
      </c>
    </row>
    <row r="124" spans="1:14" x14ac:dyDescent="0.25">
      <c r="B124" t="s">
        <v>56</v>
      </c>
      <c r="C124">
        <f>9.5*1000*2</f>
        <v>19000</v>
      </c>
      <c r="E124">
        <f t="shared" si="23"/>
        <v>0.47499999999999998</v>
      </c>
      <c r="F124">
        <f t="shared" si="15"/>
        <v>-1.0740005814437767</v>
      </c>
      <c r="G124">
        <f>I145+F124</f>
        <v>26.756528654576162</v>
      </c>
    </row>
    <row r="125" spans="1:14" x14ac:dyDescent="0.25">
      <c r="C125">
        <f>12*2*1000</f>
        <v>24000</v>
      </c>
      <c r="E125">
        <f t="shared" si="23"/>
        <v>0.6</v>
      </c>
      <c r="F125">
        <f t="shared" si="15"/>
        <v>-0.73696559416620622</v>
      </c>
      <c r="G125">
        <f>I145+F125</f>
        <v>27.093563641853731</v>
      </c>
      <c r="I125">
        <f>SUM(G124:G125)/2</f>
        <v>26.925046148214946</v>
      </c>
    </row>
    <row r="126" spans="1:14" ht="15.75" thickBot="1" x14ac:dyDescent="0.3">
      <c r="B126" t="s">
        <v>62</v>
      </c>
      <c r="C126">
        <f>SUM(C124:C125)/2</f>
        <v>21500</v>
      </c>
      <c r="G126" t="s">
        <v>47</v>
      </c>
      <c r="H126">
        <f>STDEV(G124:G125)</f>
        <v>0.23831972500109086</v>
      </c>
    </row>
    <row r="127" spans="1:14" x14ac:dyDescent="0.25">
      <c r="A127" s="4" t="s">
        <v>59</v>
      </c>
      <c r="B127" t="s">
        <v>44</v>
      </c>
      <c r="C127">
        <f>97*2*1000</f>
        <v>194000</v>
      </c>
      <c r="E127">
        <f>C127/40000</f>
        <v>4.8499999999999996</v>
      </c>
      <c r="F127">
        <f t="shared" si="15"/>
        <v>2.2779847472997652</v>
      </c>
      <c r="G127">
        <f>I148+F127</f>
        <v>33.206378169778823</v>
      </c>
      <c r="J127" s="11" t="s">
        <v>44</v>
      </c>
      <c r="K127" s="7" t="s">
        <v>45</v>
      </c>
      <c r="L127" s="7" t="s">
        <v>12</v>
      </c>
      <c r="M127" s="7" t="s">
        <v>13</v>
      </c>
      <c r="N127" s="12" t="s">
        <v>14</v>
      </c>
    </row>
    <row r="128" spans="1:14" ht="15.75" thickBot="1" x14ac:dyDescent="0.3">
      <c r="C128">
        <f>80*2*1000</f>
        <v>160000</v>
      </c>
      <c r="E128">
        <f t="shared" ref="E128:E145" si="24">C128/40000</f>
        <v>4</v>
      </c>
      <c r="F128">
        <f t="shared" si="15"/>
        <v>2</v>
      </c>
      <c r="G128">
        <f>I148+F128</f>
        <v>32.928393422479061</v>
      </c>
      <c r="J128" s="13">
        <v>33.067385796128946</v>
      </c>
      <c r="K128" s="6">
        <v>32.222219933025215</v>
      </c>
      <c r="L128" s="6">
        <v>31.5459561695247</v>
      </c>
      <c r="M128" s="6">
        <v>29.945284285727585</v>
      </c>
      <c r="N128" s="17">
        <v>27.830529236019938</v>
      </c>
    </row>
    <row r="129" spans="2:13" x14ac:dyDescent="0.25">
      <c r="B129" t="s">
        <v>62</v>
      </c>
      <c r="C129">
        <f>SUM(C127:C128)/2</f>
        <v>177000</v>
      </c>
      <c r="G129" t="s">
        <v>47</v>
      </c>
      <c r="H129">
        <f>STDEV(G127:G128)</f>
        <v>0.19656489988209025</v>
      </c>
      <c r="I129">
        <f>(G127+G128)/2</f>
        <v>33.067385796128946</v>
      </c>
      <c r="J129" s="39" t="s">
        <v>72</v>
      </c>
      <c r="K129" s="40" t="s">
        <v>59</v>
      </c>
      <c r="L129" s="7"/>
      <c r="M129" s="12"/>
    </row>
    <row r="130" spans="2:13" x14ac:dyDescent="0.25">
      <c r="J130" s="13" t="s">
        <v>73</v>
      </c>
      <c r="K130" s="6" t="s">
        <v>74</v>
      </c>
      <c r="L130" s="6" t="s">
        <v>75</v>
      </c>
      <c r="M130" s="14" t="s">
        <v>76</v>
      </c>
    </row>
    <row r="131" spans="2:13" x14ac:dyDescent="0.25">
      <c r="B131" t="s">
        <v>45</v>
      </c>
      <c r="C131">
        <f>52*2*1000</f>
        <v>104000</v>
      </c>
      <c r="E131">
        <f t="shared" si="24"/>
        <v>2.6</v>
      </c>
      <c r="F131">
        <f t="shared" ref="F131:F189" si="25">LOG10(E131)/LOG10(2)</f>
        <v>1.3785116232537298</v>
      </c>
      <c r="G131">
        <f>I152+F131</f>
        <v>32.118994494291506</v>
      </c>
      <c r="J131" s="29">
        <f>TTEST(G127:G128,G131:G132,2,3)</f>
        <v>4.6216321705424279E-2</v>
      </c>
      <c r="K131" s="50">
        <f>TTEST(G131:G132,G135:G137,2,3)</f>
        <v>2.6730302303408646E-2</v>
      </c>
      <c r="L131" s="49">
        <f>TTEST(G131:G132,G139:G141,2,3)</f>
        <v>2.385179429691988E-3</v>
      </c>
      <c r="M131" s="54">
        <f>TTEST(G131:G132,G143:G145,2,3)</f>
        <v>2.9209791357089365E-3</v>
      </c>
    </row>
    <row r="132" spans="2:13" ht="15.75" thickBot="1" x14ac:dyDescent="0.3">
      <c r="C132">
        <f>60*2*1000</f>
        <v>120000</v>
      </c>
      <c r="E132">
        <f t="shared" si="24"/>
        <v>3</v>
      </c>
      <c r="F132">
        <f t="shared" si="25"/>
        <v>1.5849625007211561</v>
      </c>
      <c r="G132">
        <f>I152+F132</f>
        <v>32.325445371758931</v>
      </c>
      <c r="J132" s="43" t="s">
        <v>89</v>
      </c>
      <c r="K132" s="42" t="s">
        <v>89</v>
      </c>
      <c r="L132" s="45" t="s">
        <v>87</v>
      </c>
      <c r="M132" s="53" t="s">
        <v>87</v>
      </c>
    </row>
    <row r="133" spans="2:13" x14ac:dyDescent="0.25">
      <c r="B133" t="s">
        <v>62</v>
      </c>
      <c r="C133">
        <f>SUM(C131:C132)/2</f>
        <v>112000</v>
      </c>
      <c r="G133" t="s">
        <v>47</v>
      </c>
      <c r="H133">
        <f>STDEV(G131:G132)</f>
        <v>0.14598281543912936</v>
      </c>
      <c r="I133">
        <f>(G131+G132)/2</f>
        <v>32.222219933025215</v>
      </c>
      <c r="J133" s="39" t="s">
        <v>91</v>
      </c>
      <c r="K133" s="7"/>
      <c r="L133" s="7"/>
      <c r="M133" s="12"/>
    </row>
    <row r="134" spans="2:13" ht="15.75" thickBot="1" x14ac:dyDescent="0.3">
      <c r="J134" s="15">
        <f>TTEST(G127:G128,G131:G132,2,3)</f>
        <v>4.6216321705424279E-2</v>
      </c>
      <c r="K134" s="16">
        <f>TTEST(G131:G132,G135:G137,2,3)</f>
        <v>2.6730302303408646E-2</v>
      </c>
      <c r="L134" s="16">
        <f>TTEST(G131:G132,G139:G141,2,3)</f>
        <v>2.385179429691988E-3</v>
      </c>
      <c r="M134" s="17">
        <f>TTEST(G131:G132,G143:G145,2,3)</f>
        <v>2.9209791357089365E-3</v>
      </c>
    </row>
    <row r="135" spans="2:13" x14ac:dyDescent="0.25">
      <c r="B135" t="s">
        <v>54</v>
      </c>
      <c r="C135">
        <f>51*2*1000</f>
        <v>102000</v>
      </c>
      <c r="E135">
        <f t="shared" si="24"/>
        <v>2.5499999999999998</v>
      </c>
      <c r="F135">
        <f t="shared" si="25"/>
        <v>1.350497247084133</v>
      </c>
      <c r="G135">
        <f>I157+F135</f>
        <v>31.52004291954151</v>
      </c>
    </row>
    <row r="136" spans="2:13" x14ac:dyDescent="0.25">
      <c r="C136">
        <f>61*2*1000</f>
        <v>122000</v>
      </c>
      <c r="E136">
        <f t="shared" si="24"/>
        <v>3.05</v>
      </c>
      <c r="F136">
        <f t="shared" si="25"/>
        <v>1.6088092426755238</v>
      </c>
      <c r="G136">
        <f>I157+F136</f>
        <v>31.778354915132901</v>
      </c>
    </row>
    <row r="137" spans="2:13" x14ac:dyDescent="0.25">
      <c r="C137">
        <f>45*2*1000</f>
        <v>90000</v>
      </c>
      <c r="E137">
        <f t="shared" si="24"/>
        <v>2.25</v>
      </c>
      <c r="F137">
        <f t="shared" si="25"/>
        <v>1.1699250014423124</v>
      </c>
      <c r="G137">
        <f>I157+F137</f>
        <v>31.33947067389969</v>
      </c>
      <c r="I137">
        <f>SUM(G135:G137)/3</f>
        <v>31.5459561695247</v>
      </c>
    </row>
    <row r="138" spans="2:13" x14ac:dyDescent="0.25">
      <c r="B138" t="s">
        <v>62</v>
      </c>
      <c r="C138">
        <f>SUM(C135:C137)/2</f>
        <v>157000</v>
      </c>
      <c r="G138" t="s">
        <v>47</v>
      </c>
      <c r="H138">
        <f>STDEV(G135:G137)</f>
        <v>0.22058664214823012</v>
      </c>
    </row>
    <row r="139" spans="2:13" x14ac:dyDescent="0.25">
      <c r="B139" t="s">
        <v>55</v>
      </c>
      <c r="C139">
        <f>31*2*1000</f>
        <v>62000</v>
      </c>
      <c r="E139">
        <f t="shared" si="24"/>
        <v>1.55</v>
      </c>
      <c r="F139">
        <f t="shared" si="25"/>
        <v>0.63226821549951284</v>
      </c>
      <c r="G139">
        <f>I161+F139</f>
        <v>29.776520080716431</v>
      </c>
    </row>
    <row r="140" spans="2:13" x14ac:dyDescent="0.25">
      <c r="C140">
        <f>30*2*1000</f>
        <v>60000</v>
      </c>
      <c r="E140">
        <f t="shared" si="24"/>
        <v>1.5</v>
      </c>
      <c r="F140">
        <f t="shared" si="25"/>
        <v>0.58496250072115619</v>
      </c>
      <c r="G140">
        <f>I161+F140</f>
        <v>29.729214365938077</v>
      </c>
    </row>
    <row r="141" spans="2:13" x14ac:dyDescent="0.25">
      <c r="C141">
        <f>45.5*2*1000</f>
        <v>91000</v>
      </c>
      <c r="E141">
        <f t="shared" si="24"/>
        <v>2.2749999999999999</v>
      </c>
      <c r="F141">
        <f t="shared" si="25"/>
        <v>1.185866545311334</v>
      </c>
      <c r="G141">
        <f>I161+F141</f>
        <v>30.330118410528254</v>
      </c>
      <c r="I141">
        <f>SUM(G139:G141)/3</f>
        <v>29.945284285727585</v>
      </c>
    </row>
    <row r="142" spans="2:13" x14ac:dyDescent="0.25">
      <c r="B142" t="s">
        <v>62</v>
      </c>
      <c r="C142">
        <f>SUM(C139:C141)/2</f>
        <v>106500</v>
      </c>
      <c r="G142" t="s">
        <v>47</v>
      </c>
      <c r="H142">
        <f>STDEV(G139:G141)</f>
        <v>0.33411440461463804</v>
      </c>
    </row>
    <row r="143" spans="2:13" x14ac:dyDescent="0.25">
      <c r="B143" t="s">
        <v>56</v>
      </c>
      <c r="C143">
        <f>15.5*2*1000</f>
        <v>31000</v>
      </c>
      <c r="E143">
        <f t="shared" si="24"/>
        <v>0.77500000000000002</v>
      </c>
      <c r="F143">
        <f t="shared" si="25"/>
        <v>-0.3677317845004871</v>
      </c>
      <c r="G143">
        <f>I165+F143</f>
        <v>27.756899103962866</v>
      </c>
    </row>
    <row r="144" spans="2:13" x14ac:dyDescent="0.25">
      <c r="C144">
        <f>16*2*1000</f>
        <v>32000</v>
      </c>
      <c r="E144">
        <f t="shared" si="24"/>
        <v>0.8</v>
      </c>
      <c r="F144">
        <f t="shared" si="25"/>
        <v>-0.32192809488736229</v>
      </c>
      <c r="G144">
        <f>I165+F144</f>
        <v>27.802702793575993</v>
      </c>
    </row>
    <row r="145" spans="1:14" x14ac:dyDescent="0.25">
      <c r="C145">
        <f>17.5*2*1000</f>
        <v>35000</v>
      </c>
      <c r="E145">
        <f t="shared" si="24"/>
        <v>0.875</v>
      </c>
      <c r="F145">
        <f t="shared" si="25"/>
        <v>-0.19264507794239588</v>
      </c>
      <c r="G145">
        <f>I165+F145</f>
        <v>27.93198581052096</v>
      </c>
      <c r="I145">
        <f>SUM(G143:G145)/3</f>
        <v>27.830529236019938</v>
      </c>
    </row>
    <row r="146" spans="1:14" ht="15.75" thickBot="1" x14ac:dyDescent="0.3">
      <c r="B146" t="s">
        <v>62</v>
      </c>
      <c r="C146">
        <f>SUM(C143:C145)/2</f>
        <v>49000</v>
      </c>
      <c r="G146" t="s">
        <v>47</v>
      </c>
      <c r="H146">
        <f>STDEV(G143:G145)</f>
        <v>9.0799624876178597E-2</v>
      </c>
    </row>
    <row r="147" spans="1:14" x14ac:dyDescent="0.25">
      <c r="A147" s="4" t="s">
        <v>60</v>
      </c>
      <c r="B147" t="s">
        <v>44</v>
      </c>
      <c r="C147">
        <f>36*4*1000</f>
        <v>144000</v>
      </c>
      <c r="E147">
        <f>C147/28000</f>
        <v>5.1428571428571432</v>
      </c>
      <c r="F147">
        <f t="shared" si="25"/>
        <v>2.3625700793847084</v>
      </c>
      <c r="G147">
        <f>I169+F147</f>
        <v>30.852391875756531</v>
      </c>
      <c r="J147" s="11" t="s">
        <v>44</v>
      </c>
      <c r="K147" s="7" t="s">
        <v>45</v>
      </c>
      <c r="L147" s="7" t="s">
        <v>12</v>
      </c>
      <c r="M147" s="7" t="s">
        <v>13</v>
      </c>
      <c r="N147" s="12" t="s">
        <v>14</v>
      </c>
    </row>
    <row r="148" spans="1:14" ht="15.75" thickBot="1" x14ac:dyDescent="0.3">
      <c r="C148">
        <f>40*4*1000</f>
        <v>160000</v>
      </c>
      <c r="E148">
        <f>C148/28000</f>
        <v>5.7142857142857144</v>
      </c>
      <c r="F148">
        <f t="shared" si="25"/>
        <v>2.5145731728297585</v>
      </c>
      <c r="G148">
        <f>I169+F148</f>
        <v>31.004394969201584</v>
      </c>
      <c r="I148">
        <f>(G147+G148)/2</f>
        <v>30.928393422479058</v>
      </c>
      <c r="J148" s="15">
        <v>30.928393422479058</v>
      </c>
      <c r="K148" s="16">
        <v>30.740482871037777</v>
      </c>
      <c r="L148" s="16">
        <v>30.169545672457378</v>
      </c>
      <c r="M148" s="16">
        <v>29.144251865216919</v>
      </c>
      <c r="N148" s="17">
        <v>28.124630888463354</v>
      </c>
    </row>
    <row r="149" spans="1:14" x14ac:dyDescent="0.25">
      <c r="B149" t="s">
        <v>62</v>
      </c>
      <c r="C149">
        <f>(C147+C148)/2</f>
        <v>152000</v>
      </c>
      <c r="G149" t="s">
        <v>47</v>
      </c>
      <c r="H149">
        <f>STDEV(G147:G148)</f>
        <v>0.10748241813632953</v>
      </c>
      <c r="J149" s="39" t="s">
        <v>46</v>
      </c>
      <c r="K149" s="40" t="s">
        <v>90</v>
      </c>
      <c r="L149" s="12"/>
      <c r="M149" s="39" t="s">
        <v>92</v>
      </c>
      <c r="N149" s="55"/>
    </row>
    <row r="150" spans="1:14" x14ac:dyDescent="0.25">
      <c r="J150" s="13" t="s">
        <v>77</v>
      </c>
      <c r="K150" s="6" t="s">
        <v>79</v>
      </c>
      <c r="L150" s="14" t="s">
        <v>78</v>
      </c>
      <c r="M150" s="13" t="s">
        <v>77</v>
      </c>
      <c r="N150" s="14" t="s">
        <v>79</v>
      </c>
    </row>
    <row r="151" spans="1:14" x14ac:dyDescent="0.25">
      <c r="B151" t="s">
        <v>45</v>
      </c>
      <c r="C151">
        <f>34*4*1000</f>
        <v>136000</v>
      </c>
      <c r="E151">
        <f>C151/35000</f>
        <v>3.8857142857142857</v>
      </c>
      <c r="F151">
        <f t="shared" si="25"/>
        <v>1.958179824305373</v>
      </c>
      <c r="G151">
        <f>I173+F151</f>
        <v>30.448001620677196</v>
      </c>
      <c r="J151" s="30">
        <f>TTEST(G147:G148,G151:G152,2,3)</f>
        <v>0.63557505398091418</v>
      </c>
      <c r="K151" s="41">
        <f>TTEST(G151:G152,G155:G157,2,3)</f>
        <v>0.27704319265527738</v>
      </c>
      <c r="L151" s="14">
        <f>TTEST(G147:G148,G155:G157,2,3)</f>
        <v>9.2924581997700182E-3</v>
      </c>
      <c r="M151" s="13">
        <f>TTEST(G147:G148,G151:G152,2,3)</f>
        <v>0.63557505398091418</v>
      </c>
      <c r="N151" s="14">
        <f>TTEST(G151:G152,G155:G157,2,3)</f>
        <v>0.27704319265527738</v>
      </c>
    </row>
    <row r="152" spans="1:14" x14ac:dyDescent="0.25">
      <c r="C152">
        <f>51*4*1000</f>
        <v>204000</v>
      </c>
      <c r="E152">
        <f t="shared" ref="E152:E165" si="26">C152/35000</f>
        <v>5.8285714285714283</v>
      </c>
      <c r="F152">
        <f t="shared" si="25"/>
        <v>2.5431423250265293</v>
      </c>
      <c r="G152">
        <f>I173+F152</f>
        <v>31.032964121398354</v>
      </c>
      <c r="I152">
        <f>(G151+G152)/2</f>
        <v>30.740482871037777</v>
      </c>
      <c r="J152" s="13"/>
      <c r="K152" s="6" t="s">
        <v>80</v>
      </c>
      <c r="L152" s="14" t="s">
        <v>81</v>
      </c>
      <c r="M152" s="13"/>
      <c r="N152" s="14" t="s">
        <v>80</v>
      </c>
    </row>
    <row r="153" spans="1:14" x14ac:dyDescent="0.25">
      <c r="B153" t="s">
        <v>62</v>
      </c>
      <c r="C153">
        <f>(C151+C152)/2</f>
        <v>170000</v>
      </c>
      <c r="G153" t="s">
        <v>47</v>
      </c>
      <c r="H153">
        <f>STDEV(G151:G152)</f>
        <v>0.41363095099977143</v>
      </c>
      <c r="J153" s="13"/>
      <c r="K153" s="41">
        <f>TTEST(G151:G152,G159:G161,2,3)</f>
        <v>0.10392216957943211</v>
      </c>
      <c r="L153" s="14">
        <f>TTEST(G147:G148,G159:G161,2,3)</f>
        <v>1.8877688200099581E-3</v>
      </c>
      <c r="M153" s="13"/>
      <c r="N153" s="14">
        <f>TTEST(G151:G152,G159:G161,2,3)</f>
        <v>0.10392216957943211</v>
      </c>
    </row>
    <row r="154" spans="1:14" x14ac:dyDescent="0.25">
      <c r="J154" s="13"/>
      <c r="K154" s="6" t="s">
        <v>71</v>
      </c>
      <c r="L154" s="14" t="s">
        <v>82</v>
      </c>
      <c r="M154" s="13"/>
      <c r="N154" s="14" t="s">
        <v>71</v>
      </c>
    </row>
    <row r="155" spans="1:14" ht="15.75" thickBot="1" x14ac:dyDescent="0.3">
      <c r="B155" t="s">
        <v>54</v>
      </c>
      <c r="C155">
        <f>43*2*1000</f>
        <v>86000</v>
      </c>
      <c r="E155">
        <f t="shared" si="26"/>
        <v>2.4571428571428573</v>
      </c>
      <c r="F155">
        <f t="shared" si="25"/>
        <v>1.2969817377571315</v>
      </c>
      <c r="G155">
        <f>I178+F155</f>
        <v>30.068993772503681</v>
      </c>
      <c r="J155" s="43" t="s">
        <v>89</v>
      </c>
      <c r="K155" s="42">
        <f>TTEST(G151:G152,G163:G165,2,3)</f>
        <v>4.6753016996531734E-2</v>
      </c>
      <c r="L155" s="17">
        <f>TTEST(G147:G148,G163:G165,2,3)</f>
        <v>2.1025732038820925E-4</v>
      </c>
      <c r="M155" s="15"/>
      <c r="N155" s="17">
        <f>TTEST(G151:G152,G163:G165,2,3)</f>
        <v>4.6753016996531734E-2</v>
      </c>
    </row>
    <row r="156" spans="1:14" x14ac:dyDescent="0.25">
      <c r="C156">
        <f>43*1000*2</f>
        <v>86000</v>
      </c>
      <c r="E156">
        <f t="shared" si="26"/>
        <v>2.4571428571428573</v>
      </c>
      <c r="F156">
        <f t="shared" si="25"/>
        <v>1.2969817377571315</v>
      </c>
      <c r="G156">
        <f>I178+F156</f>
        <v>30.068993772503681</v>
      </c>
    </row>
    <row r="157" spans="1:14" x14ac:dyDescent="0.25">
      <c r="C157">
        <f>53*2*1000</f>
        <v>106000</v>
      </c>
      <c r="E157">
        <f t="shared" si="26"/>
        <v>3.0285714285714285</v>
      </c>
      <c r="F157">
        <f t="shared" si="25"/>
        <v>1.5986374376182326</v>
      </c>
      <c r="G157">
        <f>I178+F157</f>
        <v>30.370649472364782</v>
      </c>
      <c r="I157">
        <f t="shared" ref="I157:I161" si="27">SUM(G155:G157)/3</f>
        <v>30.169545672457378</v>
      </c>
    </row>
    <row r="158" spans="1:14" x14ac:dyDescent="0.25">
      <c r="B158" t="s">
        <v>62</v>
      </c>
      <c r="C158">
        <f>SUM(C155:C157)/3</f>
        <v>92666.666666666672</v>
      </c>
      <c r="G158" t="s">
        <v>47</v>
      </c>
      <c r="H158">
        <f>STDEV(G155:G157)</f>
        <v>0.17416099951739153</v>
      </c>
      <c r="J158" t="s">
        <v>83</v>
      </c>
    </row>
    <row r="159" spans="1:14" x14ac:dyDescent="0.25">
      <c r="B159" t="s">
        <v>55</v>
      </c>
      <c r="C159">
        <f>27*2*1000</f>
        <v>54000</v>
      </c>
      <c r="E159">
        <f t="shared" si="26"/>
        <v>1.5428571428571429</v>
      </c>
      <c r="F159">
        <f t="shared" si="25"/>
        <v>0.62560448521850209</v>
      </c>
      <c r="G159">
        <f>I182+F159</f>
        <v>29.060326455844407</v>
      </c>
      <c r="J159">
        <f>TTEST(G155:G157,G159:G161,2,3)</f>
        <v>2.2655386731975451E-3</v>
      </c>
    </row>
    <row r="160" spans="1:14" x14ac:dyDescent="0.25">
      <c r="C160">
        <f>31*2*1000</f>
        <v>62000</v>
      </c>
      <c r="E160">
        <f t="shared" si="26"/>
        <v>1.7714285714285714</v>
      </c>
      <c r="F160">
        <f t="shared" si="25"/>
        <v>0.82491329344190867</v>
      </c>
      <c r="G160">
        <f>I182+F160</f>
        <v>29.259635264067814</v>
      </c>
      <c r="J160" t="s">
        <v>84</v>
      </c>
    </row>
    <row r="161" spans="1:14" x14ac:dyDescent="0.25">
      <c r="C161">
        <f>28*2*1000</f>
        <v>56000</v>
      </c>
      <c r="E161">
        <f t="shared" si="26"/>
        <v>1.6</v>
      </c>
      <c r="F161">
        <f t="shared" si="25"/>
        <v>0.67807190511263771</v>
      </c>
      <c r="G161">
        <f>I182+F161</f>
        <v>29.112793875738543</v>
      </c>
      <c r="I161">
        <f t="shared" si="27"/>
        <v>29.144251865216919</v>
      </c>
      <c r="J161">
        <f>TTEST(G163:G165,G159:G161,2,3)</f>
        <v>2.5703736731534977E-3</v>
      </c>
    </row>
    <row r="162" spans="1:14" x14ac:dyDescent="0.25">
      <c r="B162" t="s">
        <v>62</v>
      </c>
      <c r="C162">
        <f>SUM(C159:C161)/3</f>
        <v>57333.333333333336</v>
      </c>
      <c r="G162" t="s">
        <v>47</v>
      </c>
      <c r="H162">
        <f>STDEV(G159:G161)</f>
        <v>0.10331120019327532</v>
      </c>
    </row>
    <row r="163" spans="1:14" x14ac:dyDescent="0.25">
      <c r="B163" t="s">
        <v>56</v>
      </c>
      <c r="C163">
        <f>14*2*1000</f>
        <v>28000</v>
      </c>
      <c r="E163">
        <f t="shared" si="26"/>
        <v>0.8</v>
      </c>
      <c r="F163">
        <f t="shared" si="25"/>
        <v>-0.32192809488736229</v>
      </c>
      <c r="G163">
        <f>I187+F163</f>
        <v>28.276243724242295</v>
      </c>
    </row>
    <row r="164" spans="1:14" x14ac:dyDescent="0.25">
      <c r="C164">
        <f>11*2*1000</f>
        <v>22000</v>
      </c>
      <c r="E164">
        <f t="shared" si="26"/>
        <v>0.62857142857142856</v>
      </c>
      <c r="F164">
        <f t="shared" si="25"/>
        <v>-0.66985139830766927</v>
      </c>
      <c r="G164">
        <f>I187+F164</f>
        <v>27.928320420821986</v>
      </c>
    </row>
    <row r="165" spans="1:14" x14ac:dyDescent="0.25">
      <c r="C165">
        <f>13*2*1000</f>
        <v>26000</v>
      </c>
      <c r="E165">
        <f t="shared" si="26"/>
        <v>0.74285714285714288</v>
      </c>
      <c r="F165">
        <f t="shared" si="25"/>
        <v>-0.42884329880387428</v>
      </c>
      <c r="G165">
        <f>I187+F165</f>
        <v>28.169328520325784</v>
      </c>
      <c r="I165">
        <f>SUM(G163:G165)/3</f>
        <v>28.124630888463354</v>
      </c>
    </row>
    <row r="166" spans="1:14" x14ac:dyDescent="0.25">
      <c r="B166" t="s">
        <v>62</v>
      </c>
      <c r="C166">
        <f>SUM(C163:C165)/3</f>
        <v>25333.333333333332</v>
      </c>
      <c r="G166" t="s">
        <v>47</v>
      </c>
      <c r="H166">
        <f>STDEV(G163:G165)</f>
        <v>0.1782163432076504</v>
      </c>
    </row>
    <row r="167" spans="1:14" ht="15.75" thickBot="1" x14ac:dyDescent="0.3"/>
    <row r="168" spans="1:14" x14ac:dyDescent="0.25">
      <c r="A168" s="4" t="s">
        <v>61</v>
      </c>
      <c r="B168" t="s">
        <v>44</v>
      </c>
      <c r="C168">
        <f>75*2*1000</f>
        <v>150000</v>
      </c>
      <c r="E168">
        <f>C168/35000</f>
        <v>4.2857142857142856</v>
      </c>
      <c r="F168">
        <f t="shared" si="25"/>
        <v>2.0995356735509141</v>
      </c>
      <c r="G168">
        <f>L4+F168</f>
        <v>28.399535673550915</v>
      </c>
      <c r="J168" s="11" t="s">
        <v>44</v>
      </c>
      <c r="K168" s="7" t="s">
        <v>45</v>
      </c>
      <c r="L168" s="7" t="s">
        <v>12</v>
      </c>
      <c r="M168" s="7" t="s">
        <v>13</v>
      </c>
      <c r="N168" s="12" t="s">
        <v>14</v>
      </c>
    </row>
    <row r="169" spans="1:14" ht="15.75" thickBot="1" x14ac:dyDescent="0.3">
      <c r="C169">
        <f>85*2*1000</f>
        <v>170000</v>
      </c>
      <c r="E169">
        <f t="shared" ref="E169:E189" si="28">C169/35000</f>
        <v>4.8571428571428568</v>
      </c>
      <c r="F169">
        <f t="shared" si="25"/>
        <v>2.2801079191927349</v>
      </c>
      <c r="G169">
        <f>L4+F169</f>
        <v>28.580107919192734</v>
      </c>
      <c r="I169" s="6">
        <v>28.489821796371825</v>
      </c>
      <c r="J169" s="15">
        <f>SUM(G168:G169)/2</f>
        <v>28.489821796371825</v>
      </c>
      <c r="K169" s="16">
        <v>28.489821796371825</v>
      </c>
      <c r="L169" s="16">
        <v>28.772012034746549</v>
      </c>
      <c r="M169" s="16">
        <v>28.434721970625905</v>
      </c>
      <c r="N169" s="17">
        <v>28.598171819129657</v>
      </c>
    </row>
    <row r="170" spans="1:14" x14ac:dyDescent="0.25">
      <c r="B170" t="s">
        <v>62</v>
      </c>
      <c r="C170">
        <f>(C168+C169)/2</f>
        <v>160000</v>
      </c>
      <c r="G170" t="s">
        <v>47</v>
      </c>
      <c r="H170">
        <f>STDEV(G168:G169)</f>
        <v>0.12768385938741358</v>
      </c>
    </row>
    <row r="172" spans="1:14" x14ac:dyDescent="0.25">
      <c r="B172" t="s">
        <v>45</v>
      </c>
      <c r="C172">
        <f>75*2*1000</f>
        <v>150000</v>
      </c>
      <c r="E172">
        <f t="shared" si="28"/>
        <v>4.2857142857142856</v>
      </c>
      <c r="F172">
        <f t="shared" si="25"/>
        <v>2.0995356735509141</v>
      </c>
      <c r="G172">
        <f>L4+F172</f>
        <v>28.399535673550915</v>
      </c>
      <c r="J172" s="35" t="s">
        <v>46</v>
      </c>
      <c r="K172" s="36" t="s">
        <v>61</v>
      </c>
    </row>
    <row r="173" spans="1:14" x14ac:dyDescent="0.25">
      <c r="C173">
        <f>85*2*1000</f>
        <v>170000</v>
      </c>
      <c r="E173">
        <f t="shared" si="28"/>
        <v>4.8571428571428568</v>
      </c>
      <c r="F173">
        <f t="shared" si="25"/>
        <v>2.2801079191927349</v>
      </c>
      <c r="G173">
        <f>L4+F173</f>
        <v>28.580107919192734</v>
      </c>
      <c r="I173">
        <f>SUM(G172:G173)/2</f>
        <v>28.489821796371825</v>
      </c>
      <c r="J173" s="31" t="s">
        <v>77</v>
      </c>
      <c r="K173" s="32" t="s">
        <v>79</v>
      </c>
    </row>
    <row r="174" spans="1:14" x14ac:dyDescent="0.25">
      <c r="B174" t="s">
        <v>62</v>
      </c>
      <c r="C174">
        <f>(C172+C173)/2</f>
        <v>160000</v>
      </c>
      <c r="G174" t="s">
        <v>47</v>
      </c>
      <c r="H174">
        <f>STDEV(G172:G173)</f>
        <v>0.12768385938741358</v>
      </c>
      <c r="J174" s="37">
        <f>TTEST(G168:G169,G172:G173,2,3)</f>
        <v>1</v>
      </c>
      <c r="K174" s="38">
        <f>TTEST(G172:G173,G176:G178,2,3)</f>
        <v>0.27544514529984115</v>
      </c>
    </row>
    <row r="175" spans="1:14" x14ac:dyDescent="0.25">
      <c r="J175" s="31"/>
      <c r="K175" s="32" t="s">
        <v>80</v>
      </c>
    </row>
    <row r="176" spans="1:14" x14ac:dyDescent="0.25">
      <c r="B176" t="s">
        <v>54</v>
      </c>
      <c r="C176">
        <f>75*2*1000</f>
        <v>150000</v>
      </c>
      <c r="E176">
        <f t="shared" si="28"/>
        <v>4.2857142857142856</v>
      </c>
      <c r="F176">
        <f t="shared" si="25"/>
        <v>2.0995356735509141</v>
      </c>
      <c r="G176">
        <f>L4+F176</f>
        <v>28.399535673550915</v>
      </c>
      <c r="J176" s="31"/>
      <c r="K176" s="38">
        <f>TTEST(G172:G173,G180:G182,2,3)</f>
        <v>0.7295591380336347</v>
      </c>
    </row>
    <row r="177" spans="2:11" x14ac:dyDescent="0.25">
      <c r="C177">
        <f>113*2*1000</f>
        <v>226000</v>
      </c>
      <c r="E177">
        <f t="shared" si="28"/>
        <v>6.4571428571428573</v>
      </c>
      <c r="F177">
        <f t="shared" si="25"/>
        <v>2.6908959454702215</v>
      </c>
      <c r="G177">
        <f>L4+F177</f>
        <v>28.990895945470221</v>
      </c>
      <c r="J177" s="31"/>
      <c r="K177" s="32" t="s">
        <v>71</v>
      </c>
    </row>
    <row r="178" spans="2:11" x14ac:dyDescent="0.25">
      <c r="C178">
        <f>108*2*1000</f>
        <v>216000</v>
      </c>
      <c r="E178">
        <f t="shared" si="28"/>
        <v>6.1714285714285717</v>
      </c>
      <c r="F178">
        <f t="shared" si="25"/>
        <v>2.6256044852185019</v>
      </c>
      <c r="G178">
        <f>L4+F178</f>
        <v>28.925604485218503</v>
      </c>
      <c r="I178">
        <f>SUM(G176:G178)/3</f>
        <v>28.772012034746549</v>
      </c>
      <c r="J178" s="31"/>
      <c r="K178" s="38">
        <f>TTEST(G172:G173,G185:G187,2,3)</f>
        <v>0.44732291329962059</v>
      </c>
    </row>
    <row r="179" spans="2:11" x14ac:dyDescent="0.25">
      <c r="B179" t="s">
        <v>62</v>
      </c>
      <c r="C179">
        <f>SUM(C176:C178)/3</f>
        <v>197333.33333333334</v>
      </c>
      <c r="G179" t="s">
        <v>47</v>
      </c>
      <c r="H179">
        <f>STDEV(G176:G178)</f>
        <v>0.32422171955716422</v>
      </c>
      <c r="J179" s="33"/>
      <c r="K179" s="34"/>
    </row>
    <row r="180" spans="2:11" x14ac:dyDescent="0.25">
      <c r="B180" t="s">
        <v>55</v>
      </c>
      <c r="C180">
        <f>75*2*1000</f>
        <v>150000</v>
      </c>
      <c r="E180">
        <f t="shared" si="28"/>
        <v>4.2857142857142856</v>
      </c>
      <c r="F180">
        <f t="shared" si="25"/>
        <v>2.0995356735509141</v>
      </c>
      <c r="G180">
        <f>L4+F180</f>
        <v>28.399535673550915</v>
      </c>
    </row>
    <row r="181" spans="2:11" x14ac:dyDescent="0.25">
      <c r="C181">
        <f>89*2*1000</f>
        <v>178000</v>
      </c>
      <c r="E181">
        <f t="shared" si="28"/>
        <v>5.0857142857142854</v>
      </c>
      <c r="F181">
        <f t="shared" si="25"/>
        <v>2.3464504140214308</v>
      </c>
      <c r="G181">
        <f>L4+F181</f>
        <v>28.64645041402143</v>
      </c>
    </row>
    <row r="182" spans="2:11" x14ac:dyDescent="0.25">
      <c r="C182">
        <f>68*2*1000</f>
        <v>136000</v>
      </c>
      <c r="E182">
        <f t="shared" si="28"/>
        <v>3.8857142857142857</v>
      </c>
      <c r="F182">
        <f t="shared" si="25"/>
        <v>1.958179824305373</v>
      </c>
      <c r="G182">
        <f>L4+F182</f>
        <v>28.258179824305373</v>
      </c>
      <c r="I182">
        <f>SUM(G180:G182)/3</f>
        <v>28.434721970625905</v>
      </c>
    </row>
    <row r="183" spans="2:11" x14ac:dyDescent="0.25">
      <c r="B183" t="s">
        <v>62</v>
      </c>
      <c r="C183">
        <f>SUM(C180:C182)/3</f>
        <v>154666.66666666666</v>
      </c>
      <c r="G183" t="s">
        <v>47</v>
      </c>
      <c r="H183">
        <f>STDEV(G180:G182)</f>
        <v>0.19651226255885645</v>
      </c>
    </row>
    <row r="184" spans="2:11" x14ac:dyDescent="0.25">
      <c r="G184" t="s">
        <v>50</v>
      </c>
    </row>
    <row r="185" spans="2:11" x14ac:dyDescent="0.25">
      <c r="B185" t="s">
        <v>56</v>
      </c>
      <c r="C185">
        <f>81*2*1000</f>
        <v>162000</v>
      </c>
      <c r="E185">
        <f t="shared" si="28"/>
        <v>4.628571428571429</v>
      </c>
      <c r="F185">
        <f t="shared" si="25"/>
        <v>2.2105669859396584</v>
      </c>
      <c r="G185">
        <f>L4+F185</f>
        <v>28.510566985939658</v>
      </c>
    </row>
    <row r="186" spans="2:11" x14ac:dyDescent="0.25">
      <c r="C186">
        <f>96*1000*2</f>
        <v>192000</v>
      </c>
      <c r="E186">
        <f t="shared" si="28"/>
        <v>5.4857142857142858</v>
      </c>
      <c r="F186">
        <f t="shared" si="25"/>
        <v>2.4556794837761897</v>
      </c>
      <c r="G186">
        <f>L4+F186</f>
        <v>28.755679483776191</v>
      </c>
    </row>
    <row r="187" spans="2:11" x14ac:dyDescent="0.25">
      <c r="C187">
        <f>82*2*1000</f>
        <v>164000</v>
      </c>
      <c r="E187">
        <f t="shared" si="28"/>
        <v>4.6857142857142859</v>
      </c>
      <c r="F187">
        <f t="shared" si="25"/>
        <v>2.2282689876731174</v>
      </c>
      <c r="G187">
        <f>L4+F187</f>
        <v>28.528268987673119</v>
      </c>
      <c r="I187">
        <f>SUM(G185:G187)/3</f>
        <v>28.598171819129657</v>
      </c>
    </row>
    <row r="188" spans="2:11" x14ac:dyDescent="0.25">
      <c r="G188" t="s">
        <v>47</v>
      </c>
      <c r="H188">
        <f>STDEV(G185:G187)</f>
        <v>0.13669249625764734</v>
      </c>
    </row>
    <row r="189" spans="2:11" x14ac:dyDescent="0.25">
      <c r="B189" t="s">
        <v>62</v>
      </c>
      <c r="C189">
        <f>SUM(C185:C187)/3</f>
        <v>172666.66666666666</v>
      </c>
      <c r="E189">
        <f t="shared" si="28"/>
        <v>4.9333333333333327</v>
      </c>
      <c r="F189">
        <f t="shared" si="25"/>
        <v>2.302562770020431</v>
      </c>
      <c r="G189">
        <f>L4+F189</f>
        <v>28.60256277002043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F1MC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2021-11-06T16:23:51Z</dcterms:modified>
</cp:coreProperties>
</file>