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Figure 6-source data" sheetId="1" r:id="rId1"/>
  </sheets>
  <calcPr calcId="145621"/>
</workbook>
</file>

<file path=xl/calcChain.xml><?xml version="1.0" encoding="utf-8"?>
<calcChain xmlns="http://schemas.openxmlformats.org/spreadsheetml/2006/main">
  <c r="W49" i="1" l="1"/>
  <c r="V49" i="1"/>
  <c r="W48" i="1"/>
  <c r="W50" i="1" s="1"/>
  <c r="V48" i="1"/>
  <c r="V50" i="1" s="1"/>
  <c r="H48" i="1"/>
  <c r="W47" i="1"/>
  <c r="V47" i="1"/>
  <c r="E47" i="1"/>
  <c r="I46" i="1"/>
  <c r="I45" i="1"/>
  <c r="I44" i="1"/>
  <c r="I43" i="1"/>
  <c r="I42" i="1"/>
  <c r="I41" i="1"/>
  <c r="H40" i="1"/>
  <c r="F40" i="1"/>
  <c r="I39" i="1"/>
  <c r="H37" i="1"/>
  <c r="F37" i="1"/>
  <c r="H36" i="1"/>
  <c r="F36" i="1"/>
  <c r="I35" i="1"/>
  <c r="H35" i="1"/>
  <c r="F35" i="1"/>
  <c r="H34" i="1"/>
  <c r="F34" i="1"/>
  <c r="I34" i="1" s="1"/>
  <c r="H33" i="1"/>
  <c r="F33" i="1"/>
  <c r="I33" i="1" s="1"/>
  <c r="I32" i="1"/>
  <c r="H32" i="1"/>
  <c r="F32" i="1"/>
  <c r="I31" i="1"/>
  <c r="H31" i="1"/>
  <c r="F31" i="1"/>
  <c r="H30" i="1"/>
  <c r="F30" i="1"/>
  <c r="I30" i="1" s="1"/>
  <c r="H29" i="1"/>
  <c r="F29" i="1"/>
  <c r="I29" i="1" s="1"/>
  <c r="I28" i="1"/>
  <c r="H28" i="1"/>
  <c r="F28" i="1"/>
  <c r="I26" i="1"/>
  <c r="H26" i="1"/>
  <c r="F26" i="1"/>
  <c r="H25" i="1"/>
  <c r="F25" i="1"/>
  <c r="I25" i="1" s="1"/>
  <c r="H24" i="1"/>
  <c r="F24" i="1"/>
  <c r="I24" i="1" s="1"/>
  <c r="I23" i="1"/>
  <c r="H23" i="1"/>
  <c r="F23" i="1"/>
  <c r="I22" i="1"/>
  <c r="H22" i="1"/>
  <c r="F22" i="1"/>
  <c r="H21" i="1"/>
  <c r="F21" i="1"/>
  <c r="I21" i="1" s="1"/>
  <c r="H20" i="1"/>
  <c r="F20" i="1"/>
  <c r="I20" i="1" s="1"/>
  <c r="H19" i="1"/>
  <c r="F19" i="1"/>
  <c r="H18" i="1"/>
  <c r="F18" i="1"/>
  <c r="H17" i="1"/>
  <c r="F17" i="1"/>
  <c r="I17" i="1" s="1"/>
  <c r="H16" i="1"/>
  <c r="F16" i="1"/>
  <c r="M15" i="1"/>
  <c r="I15" i="1"/>
  <c r="H15" i="1"/>
  <c r="F15" i="1"/>
  <c r="M14" i="1"/>
  <c r="P14" i="1" s="1"/>
  <c r="H14" i="1"/>
  <c r="F14" i="1"/>
  <c r="I14" i="1" s="1"/>
  <c r="N13" i="1"/>
  <c r="M13" i="1"/>
  <c r="P13" i="1" s="1"/>
  <c r="I13" i="1"/>
  <c r="H13" i="1"/>
  <c r="F13" i="1"/>
  <c r="N12" i="1"/>
  <c r="M12" i="1"/>
  <c r="I12" i="1"/>
  <c r="H12" i="1"/>
  <c r="F12" i="1"/>
  <c r="N11" i="1"/>
  <c r="N5" i="1" s="1"/>
  <c r="M11" i="1"/>
  <c r="M5" i="1" s="1"/>
  <c r="H11" i="1"/>
  <c r="F11" i="1"/>
  <c r="I11" i="1" s="1"/>
  <c r="N10" i="1"/>
  <c r="Q10" i="1" s="1"/>
  <c r="M10" i="1"/>
  <c r="P10" i="1" s="1"/>
  <c r="H10" i="1"/>
  <c r="F10" i="1"/>
  <c r="I10" i="1" s="1"/>
  <c r="Q9" i="1"/>
  <c r="N9" i="1"/>
  <c r="Q14" i="1" s="1"/>
  <c r="M9" i="1"/>
  <c r="P16" i="1" s="1"/>
  <c r="I9" i="1"/>
  <c r="H9" i="1"/>
  <c r="F9" i="1"/>
  <c r="I8" i="1"/>
  <c r="H8" i="1"/>
  <c r="F8" i="1"/>
  <c r="I7" i="1"/>
  <c r="H7" i="1"/>
  <c r="N6" i="1"/>
  <c r="I6" i="1"/>
  <c r="H6" i="1"/>
  <c r="F6" i="1"/>
  <c r="I5" i="1"/>
  <c r="H5" i="1"/>
  <c r="H49" i="1" s="1"/>
  <c r="F5" i="1"/>
  <c r="N4" i="1"/>
  <c r="H4" i="1"/>
  <c r="I48" i="1" s="1"/>
  <c r="F4" i="1"/>
  <c r="I4" i="1" s="1"/>
  <c r="I47" i="1" l="1"/>
  <c r="I49" i="1"/>
  <c r="I50" i="1"/>
  <c r="H50" i="1"/>
  <c r="P12" i="1"/>
  <c r="H47" i="1"/>
  <c r="M6" i="1"/>
  <c r="P11" i="1"/>
  <c r="Q4" i="1"/>
  <c r="Q11" i="1"/>
  <c r="Q13" i="1"/>
  <c r="Q15" i="1"/>
  <c r="Q6" i="1" s="1"/>
  <c r="Q12" i="1"/>
  <c r="Q17" i="1" s="1"/>
  <c r="M4" i="1"/>
  <c r="P9" i="1"/>
  <c r="P15" i="1"/>
  <c r="P6" i="1" s="1"/>
  <c r="P5" i="1" l="1"/>
  <c r="P17" i="1"/>
  <c r="P4" i="1"/>
  <c r="Q5" i="1"/>
</calcChain>
</file>

<file path=xl/sharedStrings.xml><?xml version="1.0" encoding="utf-8"?>
<sst xmlns="http://schemas.openxmlformats.org/spreadsheetml/2006/main" count="136" uniqueCount="113">
  <si>
    <t>Figure 6B</t>
  </si>
  <si>
    <t>Figure 6C</t>
  </si>
  <si>
    <t>Figure 6D</t>
  </si>
  <si>
    <t>density of anti-SdpI clusters (&gt;=3 labels) in labels per µm2</t>
  </si>
  <si>
    <t>image</t>
  </si>
  <si>
    <t>Sdp1 labels in dendritic protrusion</t>
  </si>
  <si>
    <t>area of dendritic protrusion [sqµm]</t>
  </si>
  <si>
    <t>Sdp1 cluster in dendritic protrusion</t>
  </si>
  <si>
    <t>Sdp1 in normal dendrite (cylindrical)</t>
  </si>
  <si>
    <t>area of normal dendrite [sqµm]</t>
  </si>
  <si>
    <t>Sdp1 cluster in normal dendrite (cylindrical)</t>
  </si>
  <si>
    <t>Sdp1/sqµm in dendritic protrusion areas</t>
  </si>
  <si>
    <t>Sdp1/sqµm in normal dendrite (clyindrical)</t>
  </si>
  <si>
    <t>protrusive</t>
  </si>
  <si>
    <t>normal</t>
  </si>
  <si>
    <t>in percent of total</t>
  </si>
  <si>
    <t>Protrusive</t>
  </si>
  <si>
    <t>Cylindrical</t>
  </si>
  <si>
    <t>223_(1)_...02</t>
  </si>
  <si>
    <t>1;1;7</t>
  </si>
  <si>
    <t>2;2;2</t>
  </si>
  <si>
    <t>1 bis 2</t>
  </si>
  <si>
    <t>223_(1)_...04</t>
  </si>
  <si>
    <t>1;1;2;4</t>
  </si>
  <si>
    <t>1;5</t>
  </si>
  <si>
    <t>3 bis 5</t>
  </si>
  <si>
    <t>223_(1)_...06</t>
  </si>
  <si>
    <t>2;2;5;6</t>
  </si>
  <si>
    <t>6 und mehr</t>
  </si>
  <si>
    <t>223_(1)_...10</t>
  </si>
  <si>
    <t>1;2;3;3;5</t>
  </si>
  <si>
    <t>1;1;2;2;3;4;5</t>
  </si>
  <si>
    <t>223_(1)_...12</t>
  </si>
  <si>
    <t>5;</t>
  </si>
  <si>
    <t>cluster/total</t>
  </si>
  <si>
    <t>relativ</t>
  </si>
  <si>
    <t>223_(1)_...14</t>
  </si>
  <si>
    <t>1;1;2</t>
  </si>
  <si>
    <t>223_(1)_...26</t>
  </si>
  <si>
    <t>1;2;2;3;4</t>
  </si>
  <si>
    <t>1;1</t>
  </si>
  <si>
    <t>223_(1)_...32</t>
  </si>
  <si>
    <t>2;2;2;3;3</t>
  </si>
  <si>
    <t>223_(1)_...36</t>
  </si>
  <si>
    <t>1;1;1;3</t>
  </si>
  <si>
    <t>223_(3)_...06</t>
  </si>
  <si>
    <t>1;1;1;7</t>
  </si>
  <si>
    <t>2;2</t>
  </si>
  <si>
    <t>223_(3)_...10</t>
  </si>
  <si>
    <t>1;2;3</t>
  </si>
  <si>
    <t>223_(3)_...18</t>
  </si>
  <si>
    <t>2;</t>
  </si>
  <si>
    <t>223_(4)_...15</t>
  </si>
  <si>
    <t>2;3</t>
  </si>
  <si>
    <t>223_(4)_...21</t>
  </si>
  <si>
    <t>4;4</t>
  </si>
  <si>
    <t>1;2</t>
  </si>
  <si>
    <t>sum</t>
  </si>
  <si>
    <t>Sum</t>
  </si>
  <si>
    <t>percent</t>
  </si>
  <si>
    <t>224_(1)_...04</t>
  </si>
  <si>
    <t>1;3;6</t>
  </si>
  <si>
    <t>224_(1)_...06</t>
  </si>
  <si>
    <t>1;2;2;3</t>
  </si>
  <si>
    <t>224_(1)_...09</t>
  </si>
  <si>
    <t>224_(1)_...10</t>
  </si>
  <si>
    <t>223_(5)_...03</t>
  </si>
  <si>
    <t>1;1;1;2;2;2</t>
  </si>
  <si>
    <t>223_(5)_...07</t>
  </si>
  <si>
    <t>1;1,2;2;3</t>
  </si>
  <si>
    <t>223_(5)_...09</t>
  </si>
  <si>
    <t>2;4</t>
  </si>
  <si>
    <t>223_(5)_...11</t>
  </si>
  <si>
    <t>1;1;2;2;7</t>
  </si>
  <si>
    <t>223_(5)_...15</t>
  </si>
  <si>
    <t>2.Assay</t>
  </si>
  <si>
    <t>291_(1)_...02</t>
  </si>
  <si>
    <t>1;1;1;1;2;2;2</t>
  </si>
  <si>
    <t>1;2;2</t>
  </si>
  <si>
    <t>291_(1)_...04</t>
  </si>
  <si>
    <t>291_(1)_...08</t>
  </si>
  <si>
    <t>1;2;2;2;3;3</t>
  </si>
  <si>
    <t>291_(1)_...10</t>
  </si>
  <si>
    <t>1;1;1;1;1;2;2;4</t>
  </si>
  <si>
    <t>291_(1)_...12</t>
  </si>
  <si>
    <t>1;1;1;2;2;2;3;3;3</t>
  </si>
  <si>
    <t>291_(1)_...14</t>
  </si>
  <si>
    <t>1;1;1;1;2;3;4;4;6;6</t>
  </si>
  <si>
    <t>291_(1)_...18</t>
  </si>
  <si>
    <t>2;4;5</t>
  </si>
  <si>
    <t>291_(1)_...22</t>
  </si>
  <si>
    <t>1;1;1;1;1;2;2;2;7</t>
  </si>
  <si>
    <t>291_(1)_...27</t>
  </si>
  <si>
    <t>291_(2)_...02</t>
  </si>
  <si>
    <t>2;2;2;2;8</t>
  </si>
  <si>
    <t>223_(6)_...03</t>
  </si>
  <si>
    <t>1;1;1;2</t>
  </si>
  <si>
    <t>223_(6)_...06</t>
  </si>
  <si>
    <t>2;2;5</t>
  </si>
  <si>
    <t>223_(6)_...08</t>
  </si>
  <si>
    <t>223_(6)_...12</t>
  </si>
  <si>
    <t>223_(6)_...14</t>
  </si>
  <si>
    <t>223_(6)_...16</t>
  </si>
  <si>
    <t>223_(6)_...18</t>
  </si>
  <si>
    <t>1;1;1;1;1;4</t>
  </si>
  <si>
    <t>291_(2)_...02(2)</t>
  </si>
  <si>
    <t>1;1;1;2;2;2;2;2</t>
  </si>
  <si>
    <t>Sum label in total</t>
  </si>
  <si>
    <t>Mittelwerte</t>
  </si>
  <si>
    <t>Mean</t>
  </si>
  <si>
    <t>SD</t>
  </si>
  <si>
    <t>n</t>
  </si>
  <si>
    <t>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</si>
</sst>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2" fillId="0" borderId="2" xfId="0" applyFont="1" applyBorder="1" applyAlignment="1">
      <alignment vertical="center"/>
    </xf>
    <xf numFmtId="0" fontId="0" fillId="2" borderId="2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4" borderId="0" xfId="0" applyFill="1" applyAlignment="1">
      <alignment vertical="center" wrapText="1"/>
    </xf>
    <xf numFmtId="0" fontId="3" fillId="4" borderId="2" xfId="0" applyFont="1" applyFill="1" applyBorder="1" applyAlignment="1">
      <alignment horizontal="center" vertical="center" wrapText="1"/>
    </xf>
    <xf numFmtId="2" fontId="4" fillId="4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164" fontId="4" fillId="6" borderId="4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0"/>
  <sheetViews>
    <sheetView tabSelected="1" topLeftCell="L1" workbookViewId="0">
      <selection activeCell="R32" sqref="R32"/>
    </sheetView>
  </sheetViews>
  <sheetFormatPr defaultColWidth="14.42578125" defaultRowHeight="15" x14ac:dyDescent="0.25"/>
  <cols>
    <col min="1" max="16384" width="14.42578125" style="2"/>
  </cols>
  <sheetData>
    <row r="1" spans="1:2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L1" s="1" t="s">
        <v>1</v>
      </c>
      <c r="M1" s="1"/>
      <c r="N1" s="1"/>
      <c r="O1" s="1"/>
      <c r="P1" s="1"/>
      <c r="Q1" s="1"/>
      <c r="R1" s="1"/>
      <c r="S1" s="1"/>
      <c r="V1" s="3" t="s">
        <v>2</v>
      </c>
      <c r="W1" s="3"/>
    </row>
    <row r="2" spans="1:23" ht="15.75" customHeight="1" thickBot="1" x14ac:dyDescent="0.3">
      <c r="V2" s="4" t="s">
        <v>3</v>
      </c>
      <c r="W2" s="4"/>
    </row>
    <row r="3" spans="1:23" ht="60.75" thickBot="1" x14ac:dyDescent="0.3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L3" s="6"/>
      <c r="M3" s="6" t="s">
        <v>13</v>
      </c>
      <c r="N3" s="6" t="s">
        <v>14</v>
      </c>
      <c r="O3" s="6"/>
      <c r="P3" s="6" t="s">
        <v>13</v>
      </c>
      <c r="Q3" s="6" t="s">
        <v>14</v>
      </c>
      <c r="R3" s="6" t="s">
        <v>15</v>
      </c>
      <c r="S3" s="6"/>
      <c r="V3" s="7" t="s">
        <v>16</v>
      </c>
      <c r="W3" s="7" t="s">
        <v>17</v>
      </c>
    </row>
    <row r="4" spans="1:23" x14ac:dyDescent="0.25">
      <c r="A4" s="8" t="s">
        <v>18</v>
      </c>
      <c r="B4" s="9">
        <v>9</v>
      </c>
      <c r="C4" s="9">
        <v>4.97</v>
      </c>
      <c r="D4" s="9" t="s">
        <v>19</v>
      </c>
      <c r="E4" s="2">
        <v>6</v>
      </c>
      <c r="F4" s="2">
        <f>1.05+1.43</f>
        <v>2.48</v>
      </c>
      <c r="G4" s="2" t="s">
        <v>20</v>
      </c>
      <c r="H4" s="10">
        <f t="shared" ref="H4:H26" si="0">B4/C4</f>
        <v>1.8108651911468814</v>
      </c>
      <c r="I4" s="10">
        <f t="shared" ref="I4:I12" si="1">E4/F4</f>
        <v>2.4193548387096775</v>
      </c>
      <c r="L4" s="6" t="s">
        <v>21</v>
      </c>
      <c r="M4" s="6">
        <f>M9+M10</f>
        <v>146</v>
      </c>
      <c r="N4" s="6">
        <f>N9+N10</f>
        <v>92</v>
      </c>
      <c r="O4" s="6"/>
      <c r="P4" s="6">
        <f>P9+P10</f>
        <v>43.582089552238806</v>
      </c>
      <c r="Q4" s="6">
        <f>Q9+Q10</f>
        <v>71.31782945736434</v>
      </c>
      <c r="R4" s="6"/>
      <c r="S4" s="6"/>
      <c r="V4" s="11">
        <v>0.2012072</v>
      </c>
      <c r="W4" s="11">
        <v>0</v>
      </c>
    </row>
    <row r="5" spans="1:23" x14ac:dyDescent="0.25">
      <c r="A5" s="8" t="s">
        <v>22</v>
      </c>
      <c r="B5" s="9">
        <v>8</v>
      </c>
      <c r="C5" s="9">
        <v>2.92</v>
      </c>
      <c r="D5" s="9" t="s">
        <v>23</v>
      </c>
      <c r="E5" s="2">
        <v>6</v>
      </c>
      <c r="F5" s="2">
        <f>2.1+1.21</f>
        <v>3.31</v>
      </c>
      <c r="G5" s="2" t="s">
        <v>24</v>
      </c>
      <c r="H5" s="10">
        <f t="shared" si="0"/>
        <v>2.7397260273972601</v>
      </c>
      <c r="I5" s="10">
        <f t="shared" si="1"/>
        <v>1.8126888217522659</v>
      </c>
      <c r="L5" s="6" t="s">
        <v>25</v>
      </c>
      <c r="M5" s="6">
        <f>M11+M12+M13</f>
        <v>129</v>
      </c>
      <c r="N5" s="6">
        <f>N11+N12+N13</f>
        <v>30</v>
      </c>
      <c r="O5" s="6"/>
      <c r="P5" s="6">
        <f>P11+P12+P13</f>
        <v>38.507462686567166</v>
      </c>
      <c r="Q5" s="6">
        <f>Q11+Q12+Q13</f>
        <v>23.255813953488371</v>
      </c>
      <c r="R5" s="6"/>
      <c r="S5" s="6"/>
      <c r="V5" s="11">
        <v>0.34246579999999999</v>
      </c>
      <c r="W5" s="11">
        <v>0.30211480000000002</v>
      </c>
    </row>
    <row r="6" spans="1:23" x14ac:dyDescent="0.25">
      <c r="A6" s="8" t="s">
        <v>26</v>
      </c>
      <c r="B6" s="9">
        <v>15</v>
      </c>
      <c r="C6" s="9">
        <v>4.37</v>
      </c>
      <c r="D6" s="9" t="s">
        <v>27</v>
      </c>
      <c r="E6" s="2">
        <v>0</v>
      </c>
      <c r="F6" s="2">
        <f>0.621+0.623</f>
        <v>1.244</v>
      </c>
      <c r="G6" s="2">
        <v>0</v>
      </c>
      <c r="H6" s="10">
        <f t="shared" si="0"/>
        <v>3.4324942791762014</v>
      </c>
      <c r="I6" s="10">
        <f t="shared" si="1"/>
        <v>0</v>
      </c>
      <c r="L6" s="6" t="s">
        <v>28</v>
      </c>
      <c r="M6" s="12">
        <f>M14+M15+M16</f>
        <v>60</v>
      </c>
      <c r="N6" s="12">
        <f>N14+N15</f>
        <v>7</v>
      </c>
      <c r="O6" s="6"/>
      <c r="P6" s="6">
        <f>P14+P15</f>
        <v>15.522388059701495</v>
      </c>
      <c r="Q6" s="6">
        <f>Q14+Q15</f>
        <v>5.4263565891472867</v>
      </c>
      <c r="R6" s="6"/>
      <c r="S6" s="6"/>
      <c r="V6" s="11">
        <v>0.45766590000000001</v>
      </c>
      <c r="W6" s="11">
        <v>0</v>
      </c>
    </row>
    <row r="7" spans="1:23" x14ac:dyDescent="0.25">
      <c r="A7" s="8" t="s">
        <v>29</v>
      </c>
      <c r="B7" s="9">
        <v>14</v>
      </c>
      <c r="C7" s="9">
        <v>1.73</v>
      </c>
      <c r="D7" s="9" t="s">
        <v>30</v>
      </c>
      <c r="E7" s="2">
        <v>18</v>
      </c>
      <c r="F7" s="2">
        <v>3.53</v>
      </c>
      <c r="G7" s="2" t="s">
        <v>31</v>
      </c>
      <c r="H7" s="10">
        <f t="shared" si="0"/>
        <v>8.0924855491329488</v>
      </c>
      <c r="I7" s="10">
        <f t="shared" si="1"/>
        <v>5.0991501416430598</v>
      </c>
      <c r="L7" s="6"/>
      <c r="M7" s="6"/>
      <c r="N7" s="6"/>
      <c r="O7" s="6"/>
      <c r="P7" s="6"/>
      <c r="Q7" s="6"/>
      <c r="R7" s="6"/>
      <c r="S7" s="6"/>
      <c r="V7" s="11">
        <v>1.7341040000000001</v>
      </c>
      <c r="W7" s="11">
        <v>0.84985829999999996</v>
      </c>
    </row>
    <row r="8" spans="1:23" ht="30" x14ac:dyDescent="0.25">
      <c r="A8" s="8" t="s">
        <v>32</v>
      </c>
      <c r="B8" s="9">
        <v>5</v>
      </c>
      <c r="C8" s="9">
        <v>1.52</v>
      </c>
      <c r="D8" s="9" t="s">
        <v>33</v>
      </c>
      <c r="E8" s="2">
        <v>0</v>
      </c>
      <c r="F8" s="2">
        <f>0.58+0.77</f>
        <v>1.35</v>
      </c>
      <c r="G8" s="2">
        <v>0</v>
      </c>
      <c r="H8" s="13">
        <f t="shared" si="0"/>
        <v>3.2894736842105261</v>
      </c>
      <c r="I8" s="10">
        <f t="shared" si="1"/>
        <v>0</v>
      </c>
      <c r="L8" s="6" t="s">
        <v>34</v>
      </c>
      <c r="M8" s="6"/>
      <c r="N8" s="6"/>
      <c r="O8" s="6" t="s">
        <v>35</v>
      </c>
      <c r="P8" s="6" t="s">
        <v>13</v>
      </c>
      <c r="Q8" s="6" t="s">
        <v>14</v>
      </c>
      <c r="R8" s="6" t="s">
        <v>15</v>
      </c>
      <c r="S8" s="6"/>
      <c r="V8" s="11">
        <v>0.65789470000000005</v>
      </c>
      <c r="W8" s="11">
        <v>0</v>
      </c>
    </row>
    <row r="9" spans="1:23" x14ac:dyDescent="0.25">
      <c r="A9" s="8" t="s">
        <v>36</v>
      </c>
      <c r="B9" s="9">
        <v>4</v>
      </c>
      <c r="C9" s="9">
        <v>2.48</v>
      </c>
      <c r="D9" s="9" t="s">
        <v>37</v>
      </c>
      <c r="E9" s="2">
        <v>1</v>
      </c>
      <c r="F9" s="2">
        <f>0.38+0.76</f>
        <v>1.1400000000000001</v>
      </c>
      <c r="G9" s="2">
        <v>1</v>
      </c>
      <c r="H9" s="13">
        <f t="shared" si="0"/>
        <v>1.6129032258064517</v>
      </c>
      <c r="I9" s="10">
        <f t="shared" si="1"/>
        <v>0.8771929824561403</v>
      </c>
      <c r="L9" s="12">
        <v>1</v>
      </c>
      <c r="M9" s="12">
        <f>17+23+8</f>
        <v>48</v>
      </c>
      <c r="N9" s="6">
        <f>12+8+3+17</f>
        <v>40</v>
      </c>
      <c r="O9" s="6"/>
      <c r="P9" s="14">
        <f>M9/SUM(M9:M16)*100</f>
        <v>14.328358208955224</v>
      </c>
      <c r="Q9" s="14">
        <f>N9/SUM(N9:N16)*100</f>
        <v>31.007751937984494</v>
      </c>
      <c r="R9" s="15"/>
      <c r="S9" s="6"/>
      <c r="V9" s="11">
        <v>0</v>
      </c>
      <c r="W9" s="11">
        <v>0</v>
      </c>
    </row>
    <row r="10" spans="1:23" x14ac:dyDescent="0.25">
      <c r="A10" s="8" t="s">
        <v>38</v>
      </c>
      <c r="B10" s="9">
        <v>12</v>
      </c>
      <c r="C10" s="9">
        <v>0.91</v>
      </c>
      <c r="D10" s="9" t="s">
        <v>39</v>
      </c>
      <c r="E10" s="2">
        <v>2</v>
      </c>
      <c r="F10" s="2">
        <f>0.08+0.36</f>
        <v>0.44</v>
      </c>
      <c r="G10" s="2" t="s">
        <v>40</v>
      </c>
      <c r="H10" s="13">
        <f t="shared" si="0"/>
        <v>13.186813186813186</v>
      </c>
      <c r="I10" s="10">
        <f t="shared" si="1"/>
        <v>4.5454545454545459</v>
      </c>
      <c r="L10" s="6">
        <v>2</v>
      </c>
      <c r="M10" s="6">
        <f>(17*2)+(18*2)+(12*2)+(2*2)</f>
        <v>98</v>
      </c>
      <c r="N10" s="6">
        <f>10*2+5*2+2+2*10</f>
        <v>52</v>
      </c>
      <c r="O10" s="6"/>
      <c r="P10" s="14">
        <f>M10/SUM(M9:M16)*100</f>
        <v>29.253731343283583</v>
      </c>
      <c r="Q10" s="14">
        <f>N10/SUM(N9:N16)*100</f>
        <v>40.310077519379846</v>
      </c>
      <c r="R10" s="6"/>
      <c r="S10" s="6"/>
      <c r="V10" s="11">
        <v>2.1978019999999998</v>
      </c>
      <c r="W10" s="11">
        <v>0</v>
      </c>
    </row>
    <row r="11" spans="1:23" x14ac:dyDescent="0.25">
      <c r="A11" s="8" t="s">
        <v>41</v>
      </c>
      <c r="B11" s="9">
        <v>12</v>
      </c>
      <c r="C11" s="9">
        <v>0.98</v>
      </c>
      <c r="D11" s="9" t="s">
        <v>42</v>
      </c>
      <c r="E11" s="2">
        <v>4</v>
      </c>
      <c r="F11" s="2">
        <f>0.05+0.14</f>
        <v>0.19</v>
      </c>
      <c r="G11" s="2" t="s">
        <v>37</v>
      </c>
      <c r="H11" s="13">
        <f t="shared" si="0"/>
        <v>12.244897959183673</v>
      </c>
      <c r="I11" s="10">
        <f t="shared" si="1"/>
        <v>21.05263157894737</v>
      </c>
      <c r="L11" s="12">
        <v>3</v>
      </c>
      <c r="M11" s="12">
        <f>12*3+8*3+3</f>
        <v>63</v>
      </c>
      <c r="N11" s="6">
        <f>1*3+3+3*2</f>
        <v>12</v>
      </c>
      <c r="O11" s="6"/>
      <c r="P11" s="14">
        <f>M11/SUM(M9:M16)*100</f>
        <v>18.805970149253731</v>
      </c>
      <c r="Q11" s="14">
        <f>N11/SUM(N9:N16)*100</f>
        <v>9.3023255813953494</v>
      </c>
      <c r="R11" s="6"/>
      <c r="S11" s="6"/>
      <c r="V11" s="11">
        <v>2.040816</v>
      </c>
      <c r="W11" s="11">
        <v>0</v>
      </c>
    </row>
    <row r="12" spans="1:23" x14ac:dyDescent="0.25">
      <c r="A12" s="8" t="s">
        <v>43</v>
      </c>
      <c r="B12" s="9">
        <v>6</v>
      </c>
      <c r="C12" s="9">
        <v>0.37</v>
      </c>
      <c r="D12" s="9" t="s">
        <v>44</v>
      </c>
      <c r="E12" s="2">
        <v>7</v>
      </c>
      <c r="F12" s="2">
        <f>0.92+0.21</f>
        <v>1.1300000000000001</v>
      </c>
      <c r="G12" s="2">
        <v>7</v>
      </c>
      <c r="H12" s="13">
        <f t="shared" si="0"/>
        <v>16.216216216216218</v>
      </c>
      <c r="I12" s="10">
        <f t="shared" si="1"/>
        <v>6.1946902654867246</v>
      </c>
      <c r="L12" s="12">
        <v>4</v>
      </c>
      <c r="M12" s="12">
        <f>4*4+4*4+4</f>
        <v>36</v>
      </c>
      <c r="N12" s="6">
        <f>1*4+4</f>
        <v>8</v>
      </c>
      <c r="O12" s="6"/>
      <c r="P12" s="14">
        <f>M12/SUM(M9:M16)*100</f>
        <v>10.746268656716417</v>
      </c>
      <c r="Q12" s="14">
        <f>N12/SUM(N9:N16)*100</f>
        <v>6.2015503875968996</v>
      </c>
      <c r="R12" s="6"/>
      <c r="S12" s="6"/>
      <c r="V12" s="11">
        <v>2.7027030000000001</v>
      </c>
      <c r="W12" s="11">
        <v>0.88495579999999996</v>
      </c>
    </row>
    <row r="13" spans="1:23" x14ac:dyDescent="0.25">
      <c r="A13" s="8" t="s">
        <v>45</v>
      </c>
      <c r="B13" s="9">
        <v>10</v>
      </c>
      <c r="C13" s="9">
        <v>0.9</v>
      </c>
      <c r="D13" s="9" t="s">
        <v>46</v>
      </c>
      <c r="E13" s="2">
        <v>4</v>
      </c>
      <c r="F13" s="2">
        <f>0.22+0.06</f>
        <v>0.28000000000000003</v>
      </c>
      <c r="G13" s="2" t="s">
        <v>47</v>
      </c>
      <c r="H13" s="13">
        <f t="shared" si="0"/>
        <v>11.111111111111111</v>
      </c>
      <c r="I13" s="10">
        <f>E13/F13</f>
        <v>14.285714285714285</v>
      </c>
      <c r="L13" s="6">
        <v>5</v>
      </c>
      <c r="M13" s="6">
        <f>3*5+1*5+5+5</f>
        <v>30</v>
      </c>
      <c r="N13" s="6">
        <f>2*5</f>
        <v>10</v>
      </c>
      <c r="O13" s="6"/>
      <c r="P13" s="14">
        <f>M13/SUM(M9:M16)*100</f>
        <v>8.9552238805970141</v>
      </c>
      <c r="Q13" s="14">
        <f>N13/SUM(N9:N16)*100</f>
        <v>7.7519379844961236</v>
      </c>
      <c r="R13" s="6"/>
      <c r="S13" s="6"/>
      <c r="V13" s="11">
        <v>1.111111</v>
      </c>
      <c r="W13" s="11">
        <v>0</v>
      </c>
    </row>
    <row r="14" spans="1:23" x14ac:dyDescent="0.25">
      <c r="A14" s="8" t="s">
        <v>48</v>
      </c>
      <c r="B14" s="9">
        <v>6</v>
      </c>
      <c r="C14" s="9">
        <v>0.46</v>
      </c>
      <c r="D14" s="9" t="s">
        <v>49</v>
      </c>
      <c r="E14" s="2">
        <v>2</v>
      </c>
      <c r="F14" s="2">
        <f>0.32+0.13</f>
        <v>0.45</v>
      </c>
      <c r="G14" s="2">
        <v>2</v>
      </c>
      <c r="H14" s="13">
        <f t="shared" si="0"/>
        <v>13.043478260869565</v>
      </c>
      <c r="I14" s="10">
        <f>E14/F14</f>
        <v>4.4444444444444446</v>
      </c>
      <c r="L14" s="12">
        <v>6</v>
      </c>
      <c r="M14" s="12">
        <f>2*6+2*6</f>
        <v>24</v>
      </c>
      <c r="N14" s="12">
        <v>0</v>
      </c>
      <c r="O14" s="6"/>
      <c r="P14" s="14">
        <f>M14/SUM(M9:M16)*100</f>
        <v>7.1641791044776122</v>
      </c>
      <c r="Q14" s="14">
        <f>N14/SUM(N9:N16)*100</f>
        <v>0</v>
      </c>
      <c r="R14" s="6"/>
      <c r="S14" s="6"/>
      <c r="V14" s="11">
        <v>2.1739130000000002</v>
      </c>
      <c r="W14" s="11">
        <v>0</v>
      </c>
    </row>
    <row r="15" spans="1:23" x14ac:dyDescent="0.25">
      <c r="A15" s="8" t="s">
        <v>50</v>
      </c>
      <c r="B15" s="9">
        <v>2</v>
      </c>
      <c r="C15" s="9">
        <v>0.48</v>
      </c>
      <c r="D15" s="9" t="s">
        <v>51</v>
      </c>
      <c r="E15" s="2">
        <v>1</v>
      </c>
      <c r="F15" s="2">
        <f>0.37+0.13</f>
        <v>0.5</v>
      </c>
      <c r="H15" s="13">
        <f t="shared" si="0"/>
        <v>4.166666666666667</v>
      </c>
      <c r="I15" s="10">
        <f>E15/F15</f>
        <v>2</v>
      </c>
      <c r="L15" s="12">
        <v>7</v>
      </c>
      <c r="M15" s="12">
        <f>2*7+1*7+7</f>
        <v>28</v>
      </c>
      <c r="N15" s="12">
        <v>7</v>
      </c>
      <c r="O15" s="6"/>
      <c r="P15" s="14">
        <f>M15/SUM(M9:M16)*100</f>
        <v>8.3582089552238816</v>
      </c>
      <c r="Q15" s="14">
        <f>N15/SUM(N9:N16)*100</f>
        <v>5.4263565891472867</v>
      </c>
      <c r="R15" s="6"/>
      <c r="S15" s="6"/>
      <c r="V15" s="11">
        <v>0</v>
      </c>
      <c r="W15" s="11">
        <v>0</v>
      </c>
    </row>
    <row r="16" spans="1:23" x14ac:dyDescent="0.25">
      <c r="A16" s="8" t="s">
        <v>52</v>
      </c>
      <c r="B16" s="9">
        <v>4</v>
      </c>
      <c r="C16" s="9">
        <v>0.88</v>
      </c>
      <c r="D16" s="9" t="s">
        <v>53</v>
      </c>
      <c r="E16" s="2">
        <v>0</v>
      </c>
      <c r="F16" s="2">
        <f>0.24+0.19</f>
        <v>0.43</v>
      </c>
      <c r="G16" s="2">
        <v>0</v>
      </c>
      <c r="H16" s="13">
        <f t="shared" si="0"/>
        <v>4.5454545454545459</v>
      </c>
      <c r="I16" s="10">
        <v>0</v>
      </c>
      <c r="L16" s="12">
        <v>8</v>
      </c>
      <c r="M16" s="12">
        <v>8</v>
      </c>
      <c r="N16" s="12">
        <v>0</v>
      </c>
      <c r="O16" s="6"/>
      <c r="P16" s="14">
        <f>M16/SUM(M9:M16)*100</f>
        <v>2.3880597014925375</v>
      </c>
      <c r="Q16" s="14">
        <v>0</v>
      </c>
      <c r="R16" s="6"/>
      <c r="S16" s="6"/>
      <c r="V16" s="11">
        <v>1.1363639999999999</v>
      </c>
      <c r="W16" s="11">
        <v>0</v>
      </c>
    </row>
    <row r="17" spans="1:23" x14ac:dyDescent="0.25">
      <c r="A17" s="8" t="s">
        <v>54</v>
      </c>
      <c r="B17" s="9">
        <v>8</v>
      </c>
      <c r="C17" s="9">
        <v>1.06</v>
      </c>
      <c r="D17" s="9" t="s">
        <v>55</v>
      </c>
      <c r="E17" s="2">
        <v>3</v>
      </c>
      <c r="F17" s="2">
        <f>0.45+0.2</f>
        <v>0.65</v>
      </c>
      <c r="G17" s="2" t="s">
        <v>56</v>
      </c>
      <c r="H17" s="13">
        <f t="shared" si="0"/>
        <v>7.5471698113207539</v>
      </c>
      <c r="I17" s="10">
        <f>E17/F17</f>
        <v>4.615384615384615</v>
      </c>
      <c r="L17" s="6" t="s">
        <v>57</v>
      </c>
      <c r="M17" s="6"/>
      <c r="N17" s="6"/>
      <c r="O17" s="6" t="s">
        <v>58</v>
      </c>
      <c r="P17" s="14">
        <f>SUM(P9:P16)</f>
        <v>100.00000000000001</v>
      </c>
      <c r="Q17" s="14">
        <f>SUM(Q9:Q16)</f>
        <v>100</v>
      </c>
      <c r="R17" s="6" t="s">
        <v>59</v>
      </c>
      <c r="S17" s="6"/>
      <c r="V17" s="11">
        <v>1.886792</v>
      </c>
      <c r="W17" s="11">
        <v>0</v>
      </c>
    </row>
    <row r="18" spans="1:23" x14ac:dyDescent="0.25">
      <c r="A18" s="8" t="s">
        <v>60</v>
      </c>
      <c r="B18" s="9">
        <v>10</v>
      </c>
      <c r="C18" s="9">
        <v>0.28000000000000003</v>
      </c>
      <c r="D18" s="9" t="s">
        <v>61</v>
      </c>
      <c r="E18" s="2">
        <v>0</v>
      </c>
      <c r="F18" s="2">
        <f>0.18+0.18</f>
        <v>0.36</v>
      </c>
      <c r="G18" s="2">
        <v>0</v>
      </c>
      <c r="H18" s="13">
        <f t="shared" si="0"/>
        <v>35.714285714285708</v>
      </c>
      <c r="I18" s="10">
        <v>0</v>
      </c>
      <c r="V18" s="11">
        <v>7.1428570000000002</v>
      </c>
      <c r="W18" s="11">
        <v>0</v>
      </c>
    </row>
    <row r="19" spans="1:23" x14ac:dyDescent="0.25">
      <c r="A19" s="8" t="s">
        <v>62</v>
      </c>
      <c r="B19" s="9">
        <v>8</v>
      </c>
      <c r="C19" s="9">
        <v>0.36</v>
      </c>
      <c r="D19" s="9" t="s">
        <v>63</v>
      </c>
      <c r="E19" s="2">
        <v>0</v>
      </c>
      <c r="F19" s="2">
        <f>0.26+0.14</f>
        <v>0.4</v>
      </c>
      <c r="G19" s="2">
        <v>0</v>
      </c>
      <c r="H19" s="13">
        <f t="shared" si="0"/>
        <v>22.222222222222221</v>
      </c>
      <c r="I19" s="10">
        <v>0</v>
      </c>
      <c r="V19" s="11">
        <v>2.7777780000000001</v>
      </c>
      <c r="W19" s="11">
        <v>0</v>
      </c>
    </row>
    <row r="20" spans="1:23" x14ac:dyDescent="0.25">
      <c r="A20" s="8" t="s">
        <v>64</v>
      </c>
      <c r="B20" s="9">
        <v>5</v>
      </c>
      <c r="C20" s="9">
        <v>0.24</v>
      </c>
      <c r="D20" s="9" t="s">
        <v>53</v>
      </c>
      <c r="E20" s="2">
        <v>2</v>
      </c>
      <c r="F20" s="2">
        <f>0.24+0.24</f>
        <v>0.48</v>
      </c>
      <c r="G20" s="2" t="s">
        <v>40</v>
      </c>
      <c r="H20" s="13">
        <f t="shared" si="0"/>
        <v>20.833333333333336</v>
      </c>
      <c r="I20" s="10">
        <f t="shared" ref="I20:I26" si="2">E20/F20</f>
        <v>4.166666666666667</v>
      </c>
      <c r="V20" s="11">
        <v>4.1666670000000003</v>
      </c>
      <c r="W20" s="11">
        <v>0</v>
      </c>
    </row>
    <row r="21" spans="1:23" x14ac:dyDescent="0.25">
      <c r="A21" s="8" t="s">
        <v>65</v>
      </c>
      <c r="B21" s="9">
        <v>5</v>
      </c>
      <c r="C21" s="9">
        <v>0.18</v>
      </c>
      <c r="D21" s="9" t="s">
        <v>53</v>
      </c>
      <c r="E21" s="2">
        <v>1</v>
      </c>
      <c r="F21" s="2">
        <f>0.18+0.22</f>
        <v>0.4</v>
      </c>
      <c r="G21" s="2">
        <v>1</v>
      </c>
      <c r="H21" s="13">
        <f t="shared" si="0"/>
        <v>27.777777777777779</v>
      </c>
      <c r="I21" s="10">
        <f t="shared" si="2"/>
        <v>2.5</v>
      </c>
      <c r="V21" s="11">
        <v>5.555555</v>
      </c>
      <c r="W21" s="11">
        <v>0</v>
      </c>
    </row>
    <row r="22" spans="1:23" x14ac:dyDescent="0.25">
      <c r="A22" s="8" t="s">
        <v>66</v>
      </c>
      <c r="B22" s="9">
        <v>11</v>
      </c>
      <c r="C22" s="9">
        <v>0.95</v>
      </c>
      <c r="D22" s="9" t="s">
        <v>67</v>
      </c>
      <c r="E22" s="2">
        <v>0</v>
      </c>
      <c r="F22" s="2">
        <f>0.21+0.27</f>
        <v>0.48</v>
      </c>
      <c r="G22" s="2">
        <v>0</v>
      </c>
      <c r="H22" s="13">
        <f t="shared" si="0"/>
        <v>11.578947368421053</v>
      </c>
      <c r="I22" s="10">
        <f t="shared" si="2"/>
        <v>0</v>
      </c>
      <c r="V22" s="11">
        <v>0</v>
      </c>
      <c r="W22" s="11">
        <v>0</v>
      </c>
    </row>
    <row r="23" spans="1:23" x14ac:dyDescent="0.25">
      <c r="A23" s="8" t="s">
        <v>68</v>
      </c>
      <c r="B23" s="9">
        <v>9</v>
      </c>
      <c r="C23" s="9">
        <v>0.75</v>
      </c>
      <c r="D23" s="9" t="s">
        <v>69</v>
      </c>
      <c r="E23" s="2">
        <v>2</v>
      </c>
      <c r="F23" s="2">
        <f>0.17+0.15</f>
        <v>0.32</v>
      </c>
      <c r="G23" s="2">
        <v>2</v>
      </c>
      <c r="H23" s="13">
        <f t="shared" si="0"/>
        <v>12</v>
      </c>
      <c r="I23" s="10">
        <f t="shared" si="2"/>
        <v>6.25</v>
      </c>
      <c r="V23" s="11">
        <v>1.3333330000000001</v>
      </c>
      <c r="W23" s="11">
        <v>0</v>
      </c>
    </row>
    <row r="24" spans="1:23" x14ac:dyDescent="0.25">
      <c r="A24" s="8" t="s">
        <v>70</v>
      </c>
      <c r="B24" s="9">
        <v>6</v>
      </c>
      <c r="C24" s="9">
        <v>0.27</v>
      </c>
      <c r="D24" s="9" t="s">
        <v>71</v>
      </c>
      <c r="E24" s="2">
        <v>6</v>
      </c>
      <c r="F24" s="2">
        <f>0.16+0.16</f>
        <v>0.32</v>
      </c>
      <c r="G24" s="2" t="s">
        <v>44</v>
      </c>
      <c r="H24" s="13">
        <f t="shared" si="0"/>
        <v>22.222222222222221</v>
      </c>
      <c r="I24" s="10">
        <f t="shared" si="2"/>
        <v>18.75</v>
      </c>
      <c r="V24" s="11">
        <v>3.7037040000000001</v>
      </c>
      <c r="W24" s="11">
        <v>3.125</v>
      </c>
    </row>
    <row r="25" spans="1:23" x14ac:dyDescent="0.25">
      <c r="A25" s="8" t="s">
        <v>72</v>
      </c>
      <c r="B25" s="9">
        <v>13</v>
      </c>
      <c r="C25" s="9">
        <v>0.77</v>
      </c>
      <c r="D25" s="9" t="s">
        <v>73</v>
      </c>
      <c r="E25" s="2">
        <v>0</v>
      </c>
      <c r="F25" s="2">
        <f>0.21+0.21</f>
        <v>0.42</v>
      </c>
      <c r="G25" s="2">
        <v>0</v>
      </c>
      <c r="H25" s="13">
        <f t="shared" si="0"/>
        <v>16.883116883116884</v>
      </c>
      <c r="I25" s="10">
        <f t="shared" si="2"/>
        <v>0</v>
      </c>
      <c r="V25" s="11">
        <v>1.2987010000000001</v>
      </c>
      <c r="W25" s="11">
        <v>0</v>
      </c>
    </row>
    <row r="26" spans="1:23" x14ac:dyDescent="0.25">
      <c r="A26" s="8" t="s">
        <v>74</v>
      </c>
      <c r="B26" s="9">
        <v>6</v>
      </c>
      <c r="C26" s="9">
        <v>0.52</v>
      </c>
      <c r="D26" s="9" t="s">
        <v>24</v>
      </c>
      <c r="E26" s="2">
        <v>0</v>
      </c>
      <c r="F26" s="2">
        <f>0.11+0.11</f>
        <v>0.22</v>
      </c>
      <c r="G26" s="2">
        <v>0</v>
      </c>
      <c r="H26" s="13">
        <f t="shared" si="0"/>
        <v>11.538461538461538</v>
      </c>
      <c r="I26" s="10">
        <f t="shared" si="2"/>
        <v>0</v>
      </c>
      <c r="V26" s="11">
        <v>1.9230769999999999</v>
      </c>
      <c r="W26" s="11">
        <v>0</v>
      </c>
    </row>
    <row r="27" spans="1:23" x14ac:dyDescent="0.25">
      <c r="A27" s="8" t="s">
        <v>75</v>
      </c>
      <c r="B27" s="9"/>
      <c r="C27" s="9"/>
      <c r="D27" s="9"/>
      <c r="H27" s="10"/>
      <c r="I27" s="10"/>
      <c r="V27" s="11"/>
      <c r="W27" s="11"/>
    </row>
    <row r="28" spans="1:23" x14ac:dyDescent="0.25">
      <c r="A28" s="8" t="s">
        <v>76</v>
      </c>
      <c r="B28" s="9">
        <v>10</v>
      </c>
      <c r="C28" s="9">
        <v>0.67</v>
      </c>
      <c r="D28" s="9" t="s">
        <v>77</v>
      </c>
      <c r="E28" s="2">
        <v>5</v>
      </c>
      <c r="F28" s="2">
        <f>0.25+0.37</f>
        <v>0.62</v>
      </c>
      <c r="G28" s="2" t="s">
        <v>78</v>
      </c>
      <c r="H28" s="13">
        <f t="shared" ref="H28:H37" si="3">B28/C28</f>
        <v>14.925373134328357</v>
      </c>
      <c r="I28" s="10">
        <f t="shared" ref="I28:I35" si="4">E28/F28</f>
        <v>8.064516129032258</v>
      </c>
      <c r="V28" s="11">
        <v>0</v>
      </c>
      <c r="W28" s="11">
        <v>0</v>
      </c>
    </row>
    <row r="29" spans="1:23" x14ac:dyDescent="0.25">
      <c r="A29" s="8" t="s">
        <v>79</v>
      </c>
      <c r="B29" s="9">
        <v>5</v>
      </c>
      <c r="C29" s="9">
        <v>0.24</v>
      </c>
      <c r="D29" s="9" t="s">
        <v>53</v>
      </c>
      <c r="E29" s="2">
        <v>1</v>
      </c>
      <c r="F29" s="2">
        <f>0.22+0.08</f>
        <v>0.3</v>
      </c>
      <c r="G29" s="2">
        <v>1</v>
      </c>
      <c r="H29" s="13">
        <f t="shared" si="3"/>
        <v>20.833333333333336</v>
      </c>
      <c r="I29" s="10">
        <f t="shared" si="4"/>
        <v>3.3333333333333335</v>
      </c>
      <c r="V29" s="11">
        <v>4.1666670000000003</v>
      </c>
      <c r="W29" s="11">
        <v>0</v>
      </c>
    </row>
    <row r="30" spans="1:23" x14ac:dyDescent="0.25">
      <c r="A30" s="8" t="s">
        <v>80</v>
      </c>
      <c r="B30" s="9">
        <v>13</v>
      </c>
      <c r="C30" s="9">
        <v>1.1499999999999999</v>
      </c>
      <c r="D30" s="9" t="s">
        <v>81</v>
      </c>
      <c r="E30" s="2">
        <v>3</v>
      </c>
      <c r="F30" s="2">
        <f>0.66+0.1</f>
        <v>0.76</v>
      </c>
      <c r="G30" s="2" t="s">
        <v>56</v>
      </c>
      <c r="H30" s="13">
        <f t="shared" si="3"/>
        <v>11.304347826086957</v>
      </c>
      <c r="I30" s="10">
        <f t="shared" si="4"/>
        <v>3.9473684210526314</v>
      </c>
      <c r="V30" s="11">
        <v>1.7391300000000001</v>
      </c>
      <c r="W30" s="11">
        <v>0</v>
      </c>
    </row>
    <row r="31" spans="1:23" x14ac:dyDescent="0.25">
      <c r="A31" s="8" t="s">
        <v>82</v>
      </c>
      <c r="B31" s="9">
        <v>13</v>
      </c>
      <c r="C31" s="9">
        <v>1.05</v>
      </c>
      <c r="D31" s="9" t="s">
        <v>83</v>
      </c>
      <c r="E31" s="2">
        <v>3</v>
      </c>
      <c r="F31" s="2">
        <f>0.32+0.25</f>
        <v>0.57000000000000006</v>
      </c>
      <c r="G31" s="2" t="s">
        <v>56</v>
      </c>
      <c r="H31" s="13">
        <f t="shared" si="3"/>
        <v>12.38095238095238</v>
      </c>
      <c r="I31" s="10">
        <f t="shared" si="4"/>
        <v>5.2631578947368416</v>
      </c>
      <c r="V31" s="11">
        <v>0.95238100000000003</v>
      </c>
      <c r="W31" s="11">
        <v>0</v>
      </c>
    </row>
    <row r="32" spans="1:23" ht="30" x14ac:dyDescent="0.25">
      <c r="A32" s="8" t="s">
        <v>84</v>
      </c>
      <c r="B32" s="9">
        <v>18</v>
      </c>
      <c r="C32" s="9">
        <v>1.07</v>
      </c>
      <c r="D32" s="9" t="s">
        <v>85</v>
      </c>
      <c r="E32" s="2">
        <v>1</v>
      </c>
      <c r="F32" s="2">
        <f>0.18+0.17</f>
        <v>0.35</v>
      </c>
      <c r="G32" s="2">
        <v>1</v>
      </c>
      <c r="H32" s="13">
        <f t="shared" si="3"/>
        <v>16.822429906542055</v>
      </c>
      <c r="I32" s="10">
        <f t="shared" si="4"/>
        <v>2.8571428571428572</v>
      </c>
      <c r="V32" s="11">
        <v>2.8037380000000001</v>
      </c>
      <c r="W32" s="11">
        <v>0</v>
      </c>
    </row>
    <row r="33" spans="1:23" ht="30" x14ac:dyDescent="0.25">
      <c r="A33" s="8" t="s">
        <v>86</v>
      </c>
      <c r="B33" s="9">
        <v>28</v>
      </c>
      <c r="C33" s="9">
        <v>1.95</v>
      </c>
      <c r="D33" s="9" t="s">
        <v>87</v>
      </c>
      <c r="E33" s="2">
        <v>3</v>
      </c>
      <c r="F33" s="2">
        <f>0.41</f>
        <v>0.41</v>
      </c>
      <c r="G33" s="2" t="s">
        <v>56</v>
      </c>
      <c r="H33" s="13">
        <f t="shared" si="3"/>
        <v>14.358974358974359</v>
      </c>
      <c r="I33" s="10">
        <f t="shared" si="4"/>
        <v>7.3170731707317076</v>
      </c>
      <c r="V33" s="11">
        <v>2.5641029999999998</v>
      </c>
      <c r="W33" s="11">
        <v>0</v>
      </c>
    </row>
    <row r="34" spans="1:23" x14ac:dyDescent="0.25">
      <c r="A34" s="8" t="s">
        <v>88</v>
      </c>
      <c r="B34" s="9">
        <v>11</v>
      </c>
      <c r="C34" s="9">
        <v>1.03</v>
      </c>
      <c r="D34" s="9" t="s">
        <v>89</v>
      </c>
      <c r="E34" s="2">
        <v>1</v>
      </c>
      <c r="F34" s="2">
        <f>0.07+0.01</f>
        <v>0.08</v>
      </c>
      <c r="G34" s="2">
        <v>1</v>
      </c>
      <c r="H34" s="13">
        <f t="shared" si="3"/>
        <v>10.679611650485437</v>
      </c>
      <c r="I34" s="10">
        <f t="shared" si="4"/>
        <v>12.5</v>
      </c>
      <c r="V34" s="11">
        <v>1.941748</v>
      </c>
      <c r="W34" s="11">
        <v>0</v>
      </c>
    </row>
    <row r="35" spans="1:23" ht="30" x14ac:dyDescent="0.25">
      <c r="A35" s="8" t="s">
        <v>90</v>
      </c>
      <c r="B35" s="9">
        <v>18</v>
      </c>
      <c r="C35" s="9">
        <v>1.07</v>
      </c>
      <c r="D35" s="9" t="s">
        <v>91</v>
      </c>
      <c r="E35" s="2">
        <v>1</v>
      </c>
      <c r="F35" s="2">
        <f>0.06+0.02</f>
        <v>0.08</v>
      </c>
      <c r="G35" s="2">
        <v>1</v>
      </c>
      <c r="H35" s="13">
        <f t="shared" si="3"/>
        <v>16.822429906542055</v>
      </c>
      <c r="I35" s="10">
        <f t="shared" si="4"/>
        <v>12.5</v>
      </c>
      <c r="V35" s="11">
        <v>0.93457939999999995</v>
      </c>
      <c r="W35" s="11">
        <v>0</v>
      </c>
    </row>
    <row r="36" spans="1:23" x14ac:dyDescent="0.25">
      <c r="A36" s="8" t="s">
        <v>92</v>
      </c>
      <c r="B36" s="9">
        <v>6</v>
      </c>
      <c r="C36" s="9">
        <v>0.67</v>
      </c>
      <c r="D36" s="9" t="s">
        <v>49</v>
      </c>
      <c r="E36" s="2">
        <v>0</v>
      </c>
      <c r="F36" s="2">
        <f>0.01+0.07</f>
        <v>0.08</v>
      </c>
      <c r="G36" s="2">
        <v>0</v>
      </c>
      <c r="H36" s="13">
        <f t="shared" si="3"/>
        <v>8.9552238805970141</v>
      </c>
      <c r="I36" s="10">
        <v>0</v>
      </c>
      <c r="V36" s="11">
        <v>1.492537</v>
      </c>
      <c r="W36" s="11">
        <v>0</v>
      </c>
    </row>
    <row r="37" spans="1:23" x14ac:dyDescent="0.25">
      <c r="A37" s="8" t="s">
        <v>93</v>
      </c>
      <c r="B37" s="9">
        <v>16</v>
      </c>
      <c r="C37" s="9">
        <v>0.54</v>
      </c>
      <c r="D37" s="9" t="s">
        <v>94</v>
      </c>
      <c r="E37" s="2">
        <v>0</v>
      </c>
      <c r="F37" s="2">
        <f>0.05+0.03</f>
        <v>0.08</v>
      </c>
      <c r="G37" s="2">
        <v>0</v>
      </c>
      <c r="H37" s="13">
        <f t="shared" si="3"/>
        <v>29.629629629629626</v>
      </c>
      <c r="I37" s="10">
        <v>0</v>
      </c>
      <c r="V37" s="11">
        <v>1.8518520000000001</v>
      </c>
      <c r="W37" s="11">
        <v>0</v>
      </c>
    </row>
    <row r="38" spans="1:23" x14ac:dyDescent="0.25">
      <c r="A38" s="8"/>
      <c r="B38" s="9"/>
      <c r="C38" s="9"/>
      <c r="D38" s="9"/>
      <c r="H38" s="10"/>
      <c r="I38" s="10"/>
      <c r="V38" s="11"/>
      <c r="W38" s="11"/>
    </row>
    <row r="39" spans="1:23" x14ac:dyDescent="0.25">
      <c r="A39" s="8" t="s">
        <v>95</v>
      </c>
      <c r="B39" s="9"/>
      <c r="C39" s="9"/>
      <c r="D39" s="9"/>
      <c r="E39" s="2">
        <v>5</v>
      </c>
      <c r="F39" s="2">
        <v>0.81</v>
      </c>
      <c r="G39" s="2" t="s">
        <v>96</v>
      </c>
      <c r="H39" s="10"/>
      <c r="I39" s="10">
        <f t="shared" ref="I39:I46" si="5">E39/F39</f>
        <v>6.1728395061728394</v>
      </c>
      <c r="V39" s="11"/>
      <c r="W39" s="11">
        <v>0</v>
      </c>
    </row>
    <row r="40" spans="1:23" x14ac:dyDescent="0.25">
      <c r="A40" s="8" t="s">
        <v>97</v>
      </c>
      <c r="B40" s="9">
        <v>9</v>
      </c>
      <c r="C40" s="9">
        <v>0.28999999999999998</v>
      </c>
      <c r="D40" s="9" t="s">
        <v>98</v>
      </c>
      <c r="E40" s="2">
        <v>0</v>
      </c>
      <c r="F40" s="2">
        <f>0.26+0.17</f>
        <v>0.43000000000000005</v>
      </c>
      <c r="G40" s="2">
        <v>0</v>
      </c>
      <c r="H40" s="10">
        <f>B40/C40</f>
        <v>31.03448275862069</v>
      </c>
      <c r="I40" s="10">
        <v>0</v>
      </c>
      <c r="V40" s="11">
        <v>3.4482759999999999</v>
      </c>
      <c r="W40" s="11">
        <v>0</v>
      </c>
    </row>
    <row r="41" spans="1:23" x14ac:dyDescent="0.25">
      <c r="A41" s="8" t="s">
        <v>99</v>
      </c>
      <c r="B41" s="9"/>
      <c r="C41" s="9"/>
      <c r="D41" s="9"/>
      <c r="E41" s="2">
        <v>2</v>
      </c>
      <c r="F41" s="2">
        <v>0.85</v>
      </c>
      <c r="G41" s="2" t="s">
        <v>40</v>
      </c>
      <c r="H41" s="10"/>
      <c r="I41" s="10">
        <f t="shared" si="5"/>
        <v>2.3529411764705883</v>
      </c>
      <c r="V41" s="11"/>
      <c r="W41" s="11">
        <v>0</v>
      </c>
    </row>
    <row r="42" spans="1:23" x14ac:dyDescent="0.25">
      <c r="A42" s="8" t="s">
        <v>100</v>
      </c>
      <c r="B42" s="9"/>
      <c r="C42" s="9"/>
      <c r="D42" s="9"/>
      <c r="E42" s="2">
        <v>6</v>
      </c>
      <c r="F42" s="2">
        <v>0.95</v>
      </c>
      <c r="G42" s="2" t="s">
        <v>49</v>
      </c>
      <c r="H42" s="10"/>
      <c r="I42" s="10">
        <f t="shared" si="5"/>
        <v>6.3157894736842106</v>
      </c>
      <c r="V42" s="11"/>
      <c r="W42" s="11">
        <v>1.052632</v>
      </c>
    </row>
    <row r="43" spans="1:23" x14ac:dyDescent="0.25">
      <c r="A43" s="8" t="s">
        <v>101</v>
      </c>
      <c r="B43" s="9"/>
      <c r="C43" s="9"/>
      <c r="D43" s="9"/>
      <c r="E43" s="2">
        <v>8</v>
      </c>
      <c r="F43" s="2">
        <v>1.36</v>
      </c>
      <c r="G43" s="2" t="s">
        <v>63</v>
      </c>
      <c r="H43" s="10"/>
      <c r="I43" s="10">
        <f t="shared" si="5"/>
        <v>5.8823529411764701</v>
      </c>
      <c r="V43" s="11"/>
      <c r="W43" s="11">
        <v>0.73529409999999995</v>
      </c>
    </row>
    <row r="44" spans="1:23" x14ac:dyDescent="0.25">
      <c r="A44" s="8" t="s">
        <v>102</v>
      </c>
      <c r="B44" s="9"/>
      <c r="C44" s="9"/>
      <c r="D44" s="9"/>
      <c r="E44" s="2">
        <v>4</v>
      </c>
      <c r="F44" s="2">
        <v>1.07</v>
      </c>
      <c r="G44" s="2" t="s">
        <v>37</v>
      </c>
      <c r="H44" s="10"/>
      <c r="I44" s="10">
        <f t="shared" si="5"/>
        <v>3.7383177570093458</v>
      </c>
      <c r="V44" s="11"/>
      <c r="W44" s="11">
        <v>0</v>
      </c>
    </row>
    <row r="45" spans="1:23" x14ac:dyDescent="0.25">
      <c r="A45" s="8" t="s">
        <v>103</v>
      </c>
      <c r="B45" s="9"/>
      <c r="C45" s="9"/>
      <c r="D45" s="9"/>
      <c r="E45" s="2">
        <v>9</v>
      </c>
      <c r="F45" s="2">
        <v>1.1100000000000001</v>
      </c>
      <c r="G45" s="2" t="s">
        <v>104</v>
      </c>
      <c r="H45" s="10"/>
      <c r="I45" s="10">
        <f t="shared" si="5"/>
        <v>8.108108108108107</v>
      </c>
      <c r="V45" s="11"/>
      <c r="W45" s="11">
        <v>0.9009009</v>
      </c>
    </row>
    <row r="46" spans="1:23" ht="30" x14ac:dyDescent="0.25">
      <c r="A46" s="8" t="s">
        <v>105</v>
      </c>
      <c r="B46" s="9"/>
      <c r="C46" s="9"/>
      <c r="D46" s="9"/>
      <c r="E46" s="2">
        <v>13</v>
      </c>
      <c r="F46" s="2">
        <v>0.85</v>
      </c>
      <c r="G46" s="2" t="s">
        <v>106</v>
      </c>
      <c r="H46" s="10"/>
      <c r="I46" s="10">
        <f t="shared" si="5"/>
        <v>15.294117647058824</v>
      </c>
      <c r="V46" s="11"/>
      <c r="W46" s="11">
        <v>0</v>
      </c>
    </row>
    <row r="47" spans="1:23" ht="30" x14ac:dyDescent="0.25">
      <c r="A47" s="8" t="s">
        <v>107</v>
      </c>
      <c r="B47" s="2">
        <v>335</v>
      </c>
      <c r="E47" s="2">
        <f>SUM(E4:E46)</f>
        <v>130</v>
      </c>
      <c r="G47" s="16" t="s">
        <v>108</v>
      </c>
      <c r="H47" s="16">
        <f>AVERAGE(H4:H46)</f>
        <v>13.86932092765997</v>
      </c>
      <c r="I47" s="16">
        <f>AVERAGE(I4:I46)</f>
        <v>4.9429373561553609</v>
      </c>
      <c r="U47" s="17" t="s">
        <v>109</v>
      </c>
      <c r="V47" s="18">
        <f>AVERAGE(V4:V46)</f>
        <v>1.9541035882352944</v>
      </c>
      <c r="W47" s="18">
        <f>AVERAGE(W4:W46)</f>
        <v>0.19148185121951217</v>
      </c>
    </row>
    <row r="48" spans="1:23" x14ac:dyDescent="0.25">
      <c r="G48" s="19" t="s">
        <v>110</v>
      </c>
      <c r="H48" s="20">
        <f>STDEV(G4:G46)</f>
        <v>1.5985190514644287</v>
      </c>
      <c r="I48" s="20">
        <f>STDEV(H4:H46)</f>
        <v>8.6112302706606734</v>
      </c>
      <c r="U48" s="19" t="s">
        <v>110</v>
      </c>
      <c r="V48" s="20">
        <f>STDEV(V14:V46)</f>
        <v>1.7361341929348522</v>
      </c>
      <c r="W48" s="20">
        <f>STDEV(W14:W46)</f>
        <v>0.60925083889247289</v>
      </c>
    </row>
    <row r="49" spans="7:23" x14ac:dyDescent="0.25">
      <c r="G49" s="21" t="s">
        <v>111</v>
      </c>
      <c r="H49" s="22">
        <f>COUNT(H4:H46)</f>
        <v>34</v>
      </c>
      <c r="I49" s="22">
        <f>COUNT(I4:I46)</f>
        <v>41</v>
      </c>
      <c r="U49" s="21" t="s">
        <v>111</v>
      </c>
      <c r="V49" s="22">
        <f>COUNT(V4:V46)</f>
        <v>34</v>
      </c>
      <c r="W49" s="22">
        <f>COUNT(W4:W46)</f>
        <v>41</v>
      </c>
    </row>
    <row r="50" spans="7:23" x14ac:dyDescent="0.25">
      <c r="G50" s="23" t="s">
        <v>112</v>
      </c>
      <c r="H50" s="24">
        <f>H48/SQRT(H49)</f>
        <v>0.27414375564949478</v>
      </c>
      <c r="I50" s="24">
        <f>I48/SQRT(I49)</f>
        <v>1.3448482258581167</v>
      </c>
      <c r="U50" s="23" t="s">
        <v>112</v>
      </c>
      <c r="V50" s="24">
        <f>V48/SQRT(V49)</f>
        <v>0.29774455770585861</v>
      </c>
      <c r="W50" s="24">
        <f>W48/SQRT(W49)</f>
        <v>9.5148995443626552E-2</v>
      </c>
    </row>
  </sheetData>
  <mergeCells count="4">
    <mergeCell ref="A1:I1"/>
    <mergeCell ref="L1:S1"/>
    <mergeCell ref="V1:W1"/>
    <mergeCell ref="V2:W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6-source data</vt:lpstr>
    </vt:vector>
  </TitlesOfParts>
  <Company>Universitätsklinikum Jena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Izadi, Maryam</dc:creator>
  <cp:lastModifiedBy>Izadi, Maryam</cp:lastModifiedBy>
  <dcterms:created xsi:type="dcterms:W3CDTF">2021-06-14T09:36:28Z</dcterms:created>
  <dcterms:modified xsi:type="dcterms:W3CDTF">2021-06-14T09:36:34Z</dcterms:modified>
</cp:coreProperties>
</file>