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B4CDC374-54B7-3642-AF03-243EC295B108}" xr6:coauthVersionLast="47" xr6:coauthVersionMax="47" xr10:uidLastSave="{00000000-0000-0000-0000-000000000000}"/>
  <bookViews>
    <workbookView xWindow="4480" yWindow="460" windowWidth="25040" windowHeight="14020" xr2:uid="{549C11B0-2712-4942-83F4-A84C393B91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2" i="1" l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Z41" i="1"/>
  <c r="J85" i="1" s="1"/>
  <c r="AY41" i="1"/>
  <c r="J84" i="1" s="1"/>
  <c r="AX41" i="1"/>
  <c r="J82" i="1" s="1"/>
  <c r="AW41" i="1"/>
  <c r="J81" i="1" s="1"/>
  <c r="AV41" i="1"/>
  <c r="J80" i="1" s="1"/>
  <c r="AU41" i="1"/>
  <c r="J79" i="1" s="1"/>
  <c r="AT41" i="1"/>
  <c r="J77" i="1" s="1"/>
  <c r="AS41" i="1"/>
  <c r="J76" i="1" s="1"/>
  <c r="AR41" i="1"/>
  <c r="J74" i="1" s="1"/>
  <c r="AQ41" i="1"/>
  <c r="J72" i="1" s="1"/>
  <c r="AP41" i="1"/>
  <c r="J71" i="1" s="1"/>
  <c r="AO41" i="1"/>
  <c r="J70" i="1" s="1"/>
  <c r="AN41" i="1"/>
  <c r="J68" i="1" s="1"/>
  <c r="AM41" i="1"/>
  <c r="J66" i="1" s="1"/>
  <c r="AL41" i="1"/>
  <c r="J65" i="1" s="1"/>
  <c r="AK41" i="1"/>
  <c r="J63" i="1" s="1"/>
  <c r="AJ41" i="1"/>
  <c r="J61" i="1" s="1"/>
  <c r="AI41" i="1"/>
  <c r="J60" i="1" s="1"/>
  <c r="AH41" i="1"/>
  <c r="J57" i="1" s="1"/>
  <c r="AG41" i="1"/>
  <c r="J56" i="1" s="1"/>
  <c r="AF41" i="1"/>
  <c r="J55" i="1" s="1"/>
  <c r="AE41" i="1"/>
  <c r="J54" i="1" s="1"/>
  <c r="AD41" i="1"/>
  <c r="J53" i="1" s="1"/>
  <c r="AZ40" i="1"/>
  <c r="E85" i="1" s="1"/>
  <c r="AY40" i="1"/>
  <c r="E84" i="1" s="1"/>
  <c r="AX40" i="1"/>
  <c r="E82" i="1" s="1"/>
  <c r="AW40" i="1"/>
  <c r="E81" i="1" s="1"/>
  <c r="AV40" i="1"/>
  <c r="E80" i="1" s="1"/>
  <c r="AU40" i="1"/>
  <c r="E79" i="1" s="1"/>
  <c r="AT40" i="1"/>
  <c r="E77" i="1" s="1"/>
  <c r="AS40" i="1"/>
  <c r="E76" i="1" s="1"/>
  <c r="AR40" i="1"/>
  <c r="E74" i="1" s="1"/>
  <c r="AQ40" i="1"/>
  <c r="E72" i="1" s="1"/>
  <c r="AP40" i="1"/>
  <c r="E71" i="1" s="1"/>
  <c r="AO40" i="1"/>
  <c r="E70" i="1" s="1"/>
  <c r="AN40" i="1"/>
  <c r="E68" i="1" s="1"/>
  <c r="AM40" i="1"/>
  <c r="E66" i="1" s="1"/>
  <c r="AL40" i="1"/>
  <c r="E65" i="1" s="1"/>
  <c r="AK40" i="1"/>
  <c r="E63" i="1" s="1"/>
  <c r="AJ40" i="1"/>
  <c r="E61" i="1" s="1"/>
  <c r="AI40" i="1"/>
  <c r="E60" i="1" s="1"/>
  <c r="AH40" i="1"/>
  <c r="E57" i="1" s="1"/>
  <c r="AG40" i="1"/>
  <c r="E56" i="1" s="1"/>
  <c r="AF40" i="1"/>
  <c r="E55" i="1" s="1"/>
  <c r="AE40" i="1"/>
  <c r="E54" i="1" s="1"/>
  <c r="AD40" i="1"/>
  <c r="E53" i="1" s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X31" i="1"/>
  <c r="W31" i="1"/>
  <c r="V31" i="1"/>
  <c r="U31" i="1"/>
  <c r="T31" i="1"/>
  <c r="S31" i="1"/>
  <c r="R31" i="1"/>
  <c r="Q31" i="1"/>
  <c r="P31" i="1"/>
  <c r="L31" i="1"/>
  <c r="K31" i="1"/>
  <c r="J31" i="1"/>
  <c r="I31" i="1"/>
  <c r="H31" i="1"/>
  <c r="G31" i="1"/>
  <c r="F31" i="1"/>
  <c r="E31" i="1"/>
  <c r="D31" i="1"/>
  <c r="C31" i="1"/>
  <c r="X30" i="1"/>
  <c r="K86" i="1" s="1"/>
  <c r="W30" i="1"/>
  <c r="K84" i="1" s="1"/>
  <c r="V30" i="1"/>
  <c r="K83" i="1" s="1"/>
  <c r="U30" i="1"/>
  <c r="K78" i="1" s="1"/>
  <c r="T30" i="1"/>
  <c r="K76" i="1" s="1"/>
  <c r="S30" i="1"/>
  <c r="K72" i="1" s="1"/>
  <c r="R30" i="1"/>
  <c r="K67" i="1" s="1"/>
  <c r="Q30" i="1"/>
  <c r="K62" i="1" s="1"/>
  <c r="P30" i="1"/>
  <c r="K53" i="1" s="1"/>
  <c r="L30" i="1"/>
  <c r="K30" i="1"/>
  <c r="J30" i="1"/>
  <c r="I30" i="1"/>
  <c r="H30" i="1"/>
  <c r="G30" i="1"/>
  <c r="F30" i="1"/>
  <c r="E30" i="1"/>
  <c r="D30" i="1"/>
  <c r="C30" i="1"/>
  <c r="X29" i="1"/>
  <c r="F86" i="1" s="1"/>
  <c r="W29" i="1"/>
  <c r="F84" i="1" s="1"/>
  <c r="V29" i="1"/>
  <c r="F83" i="1" s="1"/>
  <c r="U29" i="1"/>
  <c r="F78" i="1" s="1"/>
  <c r="T29" i="1"/>
  <c r="F76" i="1" s="1"/>
  <c r="S29" i="1"/>
  <c r="F72" i="1" s="1"/>
  <c r="R29" i="1"/>
  <c r="F67" i="1" s="1"/>
  <c r="Q29" i="1"/>
  <c r="F62" i="1" s="1"/>
  <c r="P29" i="1"/>
  <c r="F53" i="1" s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L41" i="1" s="1"/>
  <c r="I75" i="1" s="1"/>
  <c r="K18" i="1"/>
  <c r="K42" i="1" s="1"/>
  <c r="J18" i="1"/>
  <c r="J42" i="1" s="1"/>
  <c r="I18" i="1"/>
  <c r="I40" i="1" s="1"/>
  <c r="D68" i="1" s="1"/>
  <c r="H18" i="1"/>
  <c r="H41" i="1" s="1"/>
  <c r="I67" i="1" s="1"/>
  <c r="G18" i="1"/>
  <c r="G42" i="1" s="1"/>
  <c r="F18" i="1"/>
  <c r="F42" i="1" s="1"/>
  <c r="E18" i="1"/>
  <c r="E40" i="1" s="1"/>
  <c r="D59" i="1" s="1"/>
  <c r="D18" i="1"/>
  <c r="D41" i="1" s="1"/>
  <c r="I58" i="1" s="1"/>
  <c r="C18" i="1"/>
  <c r="C42" i="1" s="1"/>
  <c r="F40" i="1" l="1"/>
  <c r="D62" i="1" s="1"/>
  <c r="J40" i="1"/>
  <c r="D69" i="1" s="1"/>
  <c r="E41" i="1"/>
  <c r="I59" i="1" s="1"/>
  <c r="I41" i="1"/>
  <c r="I68" i="1" s="1"/>
  <c r="D42" i="1"/>
  <c r="H42" i="1"/>
  <c r="L42" i="1"/>
  <c r="C40" i="1"/>
  <c r="D53" i="1" s="1"/>
  <c r="G40" i="1"/>
  <c r="D64" i="1" s="1"/>
  <c r="K40" i="1"/>
  <c r="D73" i="1" s="1"/>
  <c r="F41" i="1"/>
  <c r="I62" i="1" s="1"/>
  <c r="J41" i="1"/>
  <c r="I69" i="1" s="1"/>
  <c r="E42" i="1"/>
  <c r="I42" i="1"/>
  <c r="D40" i="1"/>
  <c r="D58" i="1" s="1"/>
  <c r="H40" i="1"/>
  <c r="D67" i="1" s="1"/>
  <c r="L40" i="1"/>
  <c r="D75" i="1" s="1"/>
  <c r="C41" i="1"/>
  <c r="I53" i="1" s="1"/>
  <c r="G41" i="1"/>
  <c r="I64" i="1" s="1"/>
  <c r="K41" i="1"/>
  <c r="I73" i="1" s="1"/>
</calcChain>
</file>

<file path=xl/sharedStrings.xml><?xml version="1.0" encoding="utf-8"?>
<sst xmlns="http://schemas.openxmlformats.org/spreadsheetml/2006/main" count="47" uniqueCount="19">
  <si>
    <t>AVG</t>
  </si>
  <si>
    <t>Unamputated Limb</t>
  </si>
  <si>
    <t>Early Tiny Limb</t>
  </si>
  <si>
    <t>Late Tiny Limb</t>
  </si>
  <si>
    <t>Fully Regenerated Limbs</t>
  </si>
  <si>
    <t>4cm Animals</t>
  </si>
  <si>
    <t>10cm Animals</t>
  </si>
  <si>
    <t>20cm Animals</t>
  </si>
  <si>
    <t>SEM</t>
  </si>
  <si>
    <t>DPA</t>
  </si>
  <si>
    <t>Body Length (cm)</t>
  </si>
  <si>
    <t>StDev</t>
  </si>
  <si>
    <t>Avg. Body Length (cm)</t>
  </si>
  <si>
    <t>4cm</t>
  </si>
  <si>
    <t>10cm</t>
  </si>
  <si>
    <t>20cm</t>
  </si>
  <si>
    <t>Figure S2A</t>
  </si>
  <si>
    <t>note: raw data for Figure 1 -figure supplement 2A is located in Figure 1 -source data 1 and 2</t>
  </si>
  <si>
    <t>Figure 1 -figure supplement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</si>
</sst>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0" borderId="0" xfId="1"/>
    <xf numFmtId="0" fontId="4" fillId="0" borderId="1" xfId="1" applyFont="1" applyBorder="1" applyAlignment="1">
      <alignment horizontal="center"/>
    </xf>
    <xf numFmtId="0" fontId="1" fillId="0" borderId="0" xfId="2"/>
    <xf numFmtId="0" fontId="2" fillId="0" borderId="1" xfId="2" applyFont="1" applyBorder="1" applyAlignment="1">
      <alignment horizontal="center"/>
    </xf>
    <xf numFmtId="14" fontId="3" fillId="0" borderId="1" xfId="1" applyNumberFormat="1" applyBorder="1"/>
    <xf numFmtId="0" fontId="3" fillId="0" borderId="1" xfId="1" applyBorder="1"/>
    <xf numFmtId="0" fontId="1" fillId="0" borderId="1" xfId="2" applyBorder="1"/>
    <xf numFmtId="0" fontId="3" fillId="0" borderId="3" xfId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64" fontId="3" fillId="0" borderId="0" xfId="1" applyNumberFormat="1"/>
    <xf numFmtId="164" fontId="3" fillId="2" borderId="0" xfId="1" applyNumberFormat="1" applyFill="1"/>
    <xf numFmtId="0" fontId="3" fillId="0" borderId="1" xfId="1" applyBorder="1" applyAlignment="1">
      <alignment horizontal="center"/>
    </xf>
    <xf numFmtId="0" fontId="5" fillId="0" borderId="0" xfId="1" applyFont="1"/>
    <xf numFmtId="0" fontId="1" fillId="0" borderId="0" xfId="1" applyFont="1"/>
  </cellXfs>
  <cellStyles count="3">
    <cellStyle name="Normal" xfId="0" builtinId="0"/>
    <cellStyle name="Normal 2" xfId="2" xr:uid="{E5ADE591-5A68-E34A-8DEA-523A1D84F223}"/>
    <cellStyle name="Normal 3" xfId="1" xr:uid="{AE0AD108-11FA-8A46-AB74-87D47DFBF6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259D3-F207-3046-BF2D-0D7FED266E8F}">
  <dimension ref="A1:AZ86"/>
  <sheetViews>
    <sheetView tabSelected="1" workbookViewId="0">
      <selection activeCell="G14" sqref="G14"/>
    </sheetView>
  </sheetViews>
  <sheetFormatPr baseColWidth="10" defaultRowHeight="16" x14ac:dyDescent="0.2"/>
  <sheetData>
    <row r="1" spans="1:52" x14ac:dyDescent="0.2">
      <c r="A1" s="1" t="s">
        <v>17</v>
      </c>
    </row>
    <row r="3" spans="1:52" x14ac:dyDescent="0.2">
      <c r="A3" s="2" t="s">
        <v>16</v>
      </c>
      <c r="B3" s="2"/>
      <c r="C3" s="2"/>
      <c r="D3" s="2"/>
      <c r="E3" s="2"/>
    </row>
    <row r="4" spans="1:52" x14ac:dyDescent="0.2">
      <c r="A4" s="3" t="s">
        <v>0</v>
      </c>
      <c r="B4" s="4" t="s">
        <v>1</v>
      </c>
      <c r="C4" s="3" t="s">
        <v>2</v>
      </c>
      <c r="D4" s="3" t="s">
        <v>3</v>
      </c>
      <c r="E4" s="3" t="s">
        <v>4</v>
      </c>
    </row>
    <row r="5" spans="1:52" x14ac:dyDescent="0.2">
      <c r="A5" s="3" t="s">
        <v>5</v>
      </c>
      <c r="B5">
        <v>2.2142857142857145E-2</v>
      </c>
      <c r="C5">
        <v>5.7000000000000009E-2</v>
      </c>
      <c r="D5">
        <v>3.625730994152046E-2</v>
      </c>
      <c r="E5">
        <v>2.1804511278195483E-2</v>
      </c>
    </row>
    <row r="6" spans="1:52" x14ac:dyDescent="0.2">
      <c r="A6" s="3" t="s">
        <v>6</v>
      </c>
      <c r="B6">
        <v>2.2448979591836726E-2</v>
      </c>
      <c r="C6">
        <v>4.0595238095238101E-2</v>
      </c>
      <c r="D6">
        <v>2.1428571428571415E-2</v>
      </c>
      <c r="E6">
        <v>3.055555555555547E-3</v>
      </c>
    </row>
    <row r="7" spans="1:52" x14ac:dyDescent="0.2">
      <c r="A7" s="3" t="s">
        <v>7</v>
      </c>
      <c r="B7">
        <v>5.6666666666666645E-3</v>
      </c>
      <c r="C7">
        <v>2.9210526315789472E-2</v>
      </c>
      <c r="D7">
        <v>2.3333333333333331E-2</v>
      </c>
      <c r="E7">
        <v>3.6666666666666701E-3</v>
      </c>
    </row>
    <row r="9" spans="1:52" x14ac:dyDescent="0.2">
      <c r="A9" s="3" t="s">
        <v>8</v>
      </c>
      <c r="B9" s="4" t="s">
        <v>1</v>
      </c>
      <c r="C9" s="3" t="s">
        <v>2</v>
      </c>
      <c r="D9" s="3" t="s">
        <v>3</v>
      </c>
      <c r="E9" s="3" t="s">
        <v>4</v>
      </c>
    </row>
    <row r="10" spans="1:52" x14ac:dyDescent="0.2">
      <c r="A10" s="3" t="s">
        <v>5</v>
      </c>
      <c r="B10">
        <v>1.770823460935812E-3</v>
      </c>
      <c r="C10">
        <v>2.819107734914113E-3</v>
      </c>
      <c r="D10">
        <v>1.3679989130232161E-3</v>
      </c>
      <c r="E10">
        <v>3.8420325104651376E-3</v>
      </c>
    </row>
    <row r="11" spans="1:52" x14ac:dyDescent="0.2">
      <c r="A11" s="3" t="s">
        <v>6</v>
      </c>
      <c r="B11">
        <v>2.4672266319468962E-3</v>
      </c>
      <c r="C11">
        <v>1.1952575295373817E-3</v>
      </c>
      <c r="D11">
        <v>2.784798384231135E-3</v>
      </c>
      <c r="E11">
        <v>8.7351677148672093E-4</v>
      </c>
    </row>
    <row r="12" spans="1:52" x14ac:dyDescent="0.2">
      <c r="A12" s="3" t="s">
        <v>7</v>
      </c>
      <c r="B12">
        <v>1.7950549357115013E-3</v>
      </c>
      <c r="C12">
        <v>3.7309070733573179E-3</v>
      </c>
      <c r="D12">
        <v>3.6851386559504456E-3</v>
      </c>
      <c r="E12">
        <v>9.5581391856029371E-4</v>
      </c>
    </row>
    <row r="14" spans="1:52" x14ac:dyDescent="0.2">
      <c r="A14" s="1" t="s">
        <v>18</v>
      </c>
    </row>
    <row r="15" spans="1:5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">
      <c r="A16" s="5"/>
      <c r="B16" s="6" t="s">
        <v>5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5"/>
      <c r="N16" s="5"/>
      <c r="O16" s="6" t="s">
        <v>7</v>
      </c>
      <c r="P16" s="6"/>
      <c r="Q16" s="6"/>
      <c r="R16" s="6"/>
      <c r="S16" s="6"/>
      <c r="T16" s="6"/>
      <c r="U16" s="6"/>
      <c r="V16" s="6"/>
      <c r="W16" s="6"/>
      <c r="X16" s="6"/>
      <c r="Y16" s="5"/>
      <c r="Z16" s="5"/>
      <c r="AA16" s="5"/>
      <c r="AB16" s="7"/>
      <c r="AC16" s="8" t="s">
        <v>6</v>
      </c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">
      <c r="A17" s="5"/>
      <c r="B17" s="9" t="s">
        <v>9</v>
      </c>
      <c r="C17" s="10">
        <v>0</v>
      </c>
      <c r="D17" s="10">
        <v>21</v>
      </c>
      <c r="E17" s="10">
        <v>23</v>
      </c>
      <c r="F17" s="10">
        <v>30</v>
      </c>
      <c r="G17" s="10">
        <v>34</v>
      </c>
      <c r="H17" s="10">
        <v>44</v>
      </c>
      <c r="I17" s="10">
        <v>48</v>
      </c>
      <c r="J17" s="10">
        <v>51</v>
      </c>
      <c r="K17" s="10">
        <v>69</v>
      </c>
      <c r="L17" s="10">
        <v>76</v>
      </c>
      <c r="M17" s="5"/>
      <c r="N17" s="5"/>
      <c r="O17" s="9" t="s">
        <v>9</v>
      </c>
      <c r="P17" s="10">
        <v>0</v>
      </c>
      <c r="Q17" s="10">
        <v>30</v>
      </c>
      <c r="R17" s="10">
        <v>44</v>
      </c>
      <c r="S17" s="10">
        <v>63</v>
      </c>
      <c r="T17" s="10">
        <v>77</v>
      </c>
      <c r="U17" s="10">
        <v>89</v>
      </c>
      <c r="V17" s="10">
        <v>112</v>
      </c>
      <c r="W17" s="10">
        <v>128</v>
      </c>
      <c r="X17" s="10">
        <v>200</v>
      </c>
      <c r="Y17" s="5"/>
      <c r="Z17" s="5"/>
      <c r="AA17" s="5"/>
      <c r="AB17" s="7"/>
      <c r="AC17" s="11" t="s">
        <v>9</v>
      </c>
      <c r="AD17" s="11">
        <v>0</v>
      </c>
      <c r="AE17" s="11">
        <v>2</v>
      </c>
      <c r="AF17" s="11">
        <v>7</v>
      </c>
      <c r="AG17" s="11">
        <v>14</v>
      </c>
      <c r="AH17" s="11">
        <v>20</v>
      </c>
      <c r="AI17" s="11">
        <v>24</v>
      </c>
      <c r="AJ17" s="11">
        <v>28</v>
      </c>
      <c r="AK17" s="11">
        <v>31</v>
      </c>
      <c r="AL17" s="11">
        <v>35</v>
      </c>
      <c r="AM17" s="11">
        <v>38</v>
      </c>
      <c r="AN17" s="11">
        <v>48</v>
      </c>
      <c r="AO17" s="11">
        <v>52</v>
      </c>
      <c r="AP17" s="11">
        <v>56</v>
      </c>
      <c r="AQ17" s="11">
        <v>63</v>
      </c>
      <c r="AR17" s="11">
        <v>72</v>
      </c>
      <c r="AS17" s="11">
        <v>77</v>
      </c>
      <c r="AT17" s="11">
        <v>84</v>
      </c>
      <c r="AU17" s="11">
        <v>91</v>
      </c>
      <c r="AV17" s="11">
        <v>97</v>
      </c>
      <c r="AW17" s="11">
        <v>104</v>
      </c>
      <c r="AX17" s="11">
        <v>111</v>
      </c>
      <c r="AY17" s="11">
        <v>128</v>
      </c>
      <c r="AZ17" s="11">
        <v>146</v>
      </c>
    </row>
    <row r="18" spans="1:52" x14ac:dyDescent="0.2">
      <c r="A18" s="5"/>
      <c r="B18" s="12" t="s">
        <v>10</v>
      </c>
      <c r="C18" s="5">
        <f>41/10</f>
        <v>4.0999999999999996</v>
      </c>
      <c r="D18" s="5">
        <f>65/10</f>
        <v>6.5</v>
      </c>
      <c r="E18" s="5">
        <f>66/10</f>
        <v>6.6</v>
      </c>
      <c r="F18" s="5">
        <f>69/10</f>
        <v>6.9</v>
      </c>
      <c r="G18" s="5">
        <f>74/10</f>
        <v>7.4</v>
      </c>
      <c r="H18" s="5">
        <f>84/10</f>
        <v>8.4</v>
      </c>
      <c r="I18" s="5">
        <f>87/10</f>
        <v>8.6999999999999993</v>
      </c>
      <c r="J18" s="5">
        <f>89/10</f>
        <v>8.9</v>
      </c>
      <c r="K18" s="5">
        <f>110/10</f>
        <v>11</v>
      </c>
      <c r="L18" s="5">
        <f>113/10</f>
        <v>11.3</v>
      </c>
      <c r="M18" s="5"/>
      <c r="N18" s="5"/>
      <c r="O18" s="13" t="s">
        <v>10</v>
      </c>
      <c r="P18" s="5">
        <v>19.2</v>
      </c>
      <c r="Q18" s="5">
        <v>19</v>
      </c>
      <c r="R18" s="5">
        <v>19.5</v>
      </c>
      <c r="S18" s="5">
        <v>20</v>
      </c>
      <c r="T18" s="5">
        <v>20.5</v>
      </c>
      <c r="U18" s="14">
        <v>21</v>
      </c>
      <c r="V18" s="14">
        <v>21.6</v>
      </c>
      <c r="W18" s="14">
        <v>21.8</v>
      </c>
      <c r="X18" s="5">
        <v>24</v>
      </c>
      <c r="Y18" s="5"/>
      <c r="Z18" s="5"/>
      <c r="AA18" s="5"/>
      <c r="AB18" s="5"/>
      <c r="AC18" s="13" t="s">
        <v>10</v>
      </c>
      <c r="AD18" s="5">
        <v>10.199999999999999</v>
      </c>
      <c r="AE18" s="5">
        <v>10.199999999999999</v>
      </c>
      <c r="AF18" s="5">
        <v>11.4</v>
      </c>
      <c r="AG18" s="5">
        <v>12</v>
      </c>
      <c r="AH18" s="5">
        <v>12.4</v>
      </c>
      <c r="AI18" s="5">
        <v>12.75</v>
      </c>
      <c r="AJ18" s="5">
        <v>13.1</v>
      </c>
      <c r="AK18" s="5">
        <v>13.2</v>
      </c>
      <c r="AL18" s="5">
        <v>13.3</v>
      </c>
      <c r="AM18" s="5">
        <v>13.5</v>
      </c>
      <c r="AN18" s="5">
        <v>14.1</v>
      </c>
      <c r="AO18" s="5">
        <v>14.2</v>
      </c>
      <c r="AP18" s="5">
        <v>14.2</v>
      </c>
      <c r="AQ18" s="5">
        <v>14.9</v>
      </c>
      <c r="AR18" s="5">
        <v>15.6</v>
      </c>
      <c r="AS18" s="5">
        <v>15.9</v>
      </c>
      <c r="AT18" s="5">
        <v>16.100000000000001</v>
      </c>
      <c r="AU18" s="5">
        <v>16.600000000000001</v>
      </c>
      <c r="AV18" s="5">
        <v>16.899999999999999</v>
      </c>
      <c r="AW18" s="5">
        <v>17.399999999999999</v>
      </c>
      <c r="AX18" s="5">
        <v>17.899999999999999</v>
      </c>
      <c r="AY18" s="5">
        <v>18.7</v>
      </c>
      <c r="AZ18" s="5">
        <v>19.3</v>
      </c>
    </row>
    <row r="19" spans="1:52" x14ac:dyDescent="0.2">
      <c r="A19" s="5"/>
      <c r="B19" s="13"/>
      <c r="C19" s="5">
        <f>45/10</f>
        <v>4.5</v>
      </c>
      <c r="D19" s="5">
        <f>62/10</f>
        <v>6.2</v>
      </c>
      <c r="E19" s="5">
        <f>63/10</f>
        <v>6.3</v>
      </c>
      <c r="F19" s="5">
        <f>67/10</f>
        <v>6.7</v>
      </c>
      <c r="G19" s="5">
        <f>72/10</f>
        <v>7.2</v>
      </c>
      <c r="H19" s="5">
        <f>85/10</f>
        <v>8.5</v>
      </c>
      <c r="I19" s="5">
        <f>90/10</f>
        <v>9</v>
      </c>
      <c r="J19" s="5">
        <f>93/10</f>
        <v>9.3000000000000007</v>
      </c>
      <c r="K19" s="5">
        <f>112/10</f>
        <v>11.2</v>
      </c>
      <c r="L19" s="5">
        <f>116/10</f>
        <v>11.6</v>
      </c>
      <c r="M19" s="5"/>
      <c r="N19" s="5"/>
      <c r="O19" s="13"/>
      <c r="P19" s="5">
        <v>20.8</v>
      </c>
      <c r="Q19" s="5">
        <v>21</v>
      </c>
      <c r="R19" s="5">
        <v>21.3</v>
      </c>
      <c r="S19" s="5">
        <v>21.1</v>
      </c>
      <c r="T19" s="5">
        <v>21.7</v>
      </c>
      <c r="U19" s="5">
        <v>21.9</v>
      </c>
      <c r="V19" s="5">
        <v>22.2</v>
      </c>
      <c r="W19" s="5">
        <v>22.5</v>
      </c>
      <c r="X19" s="5">
        <v>22.3</v>
      </c>
      <c r="Y19" s="5"/>
      <c r="Z19" s="5"/>
      <c r="AA19" s="5"/>
      <c r="AB19" s="5"/>
      <c r="AC19" s="13"/>
      <c r="AD19" s="5">
        <v>11</v>
      </c>
      <c r="AE19" s="5">
        <v>11</v>
      </c>
      <c r="AF19" s="5">
        <v>11.3</v>
      </c>
      <c r="AG19" s="5">
        <v>12.1</v>
      </c>
      <c r="AH19" s="5">
        <v>12.6</v>
      </c>
      <c r="AI19" s="5">
        <v>13.4</v>
      </c>
      <c r="AJ19" s="5">
        <v>13.6</v>
      </c>
      <c r="AK19" s="5">
        <v>13.8</v>
      </c>
      <c r="AL19" s="5">
        <v>13.9</v>
      </c>
      <c r="AM19" s="5">
        <v>13.9</v>
      </c>
      <c r="AN19" s="5">
        <v>14.5</v>
      </c>
      <c r="AO19" s="5">
        <v>14.7</v>
      </c>
      <c r="AP19" s="5">
        <v>14.9</v>
      </c>
      <c r="AQ19" s="5">
        <v>15.3</v>
      </c>
      <c r="AR19" s="5">
        <v>15.8</v>
      </c>
      <c r="AS19" s="5">
        <v>16.100000000000001</v>
      </c>
      <c r="AT19" s="5">
        <v>16.5</v>
      </c>
      <c r="AU19" s="5">
        <v>16.899999999999999</v>
      </c>
      <c r="AV19" s="5">
        <v>17.2</v>
      </c>
      <c r="AW19" s="5">
        <v>17.5</v>
      </c>
      <c r="AX19" s="5">
        <v>17.8</v>
      </c>
      <c r="AY19" s="5">
        <v>18.399999999999999</v>
      </c>
      <c r="AZ19" s="5">
        <v>18.899999999999999</v>
      </c>
    </row>
    <row r="20" spans="1:52" x14ac:dyDescent="0.2">
      <c r="A20" s="5"/>
      <c r="B20" s="13"/>
      <c r="C20" s="14">
        <f>40/10</f>
        <v>4</v>
      </c>
      <c r="D20" s="14">
        <f>53/10</f>
        <v>5.3</v>
      </c>
      <c r="E20" s="14">
        <f>58/10</f>
        <v>5.8</v>
      </c>
      <c r="F20" s="14">
        <f>63/10</f>
        <v>6.3</v>
      </c>
      <c r="G20" s="14">
        <f>68/10</f>
        <v>6.8</v>
      </c>
      <c r="H20" s="14">
        <f>79/10</f>
        <v>7.9</v>
      </c>
      <c r="I20" s="14">
        <f>84/10</f>
        <v>8.4</v>
      </c>
      <c r="J20" s="14">
        <f>87/10</f>
        <v>8.6999999999999993</v>
      </c>
      <c r="K20" s="14">
        <f>109/10</f>
        <v>10.9</v>
      </c>
      <c r="L20" s="14">
        <f>114/10</f>
        <v>11.4</v>
      </c>
      <c r="M20" s="5"/>
      <c r="N20" s="5"/>
      <c r="O20" s="13"/>
      <c r="P20" s="5">
        <v>19.399999999999999</v>
      </c>
      <c r="Q20" s="5">
        <v>19.5</v>
      </c>
      <c r="R20" s="5">
        <v>20.2</v>
      </c>
      <c r="S20" s="5">
        <v>19.5</v>
      </c>
      <c r="T20" s="5">
        <v>20</v>
      </c>
      <c r="U20" s="5">
        <v>20.100000000000001</v>
      </c>
      <c r="V20" s="5">
        <v>20.100000000000001</v>
      </c>
      <c r="W20" s="5">
        <v>21</v>
      </c>
      <c r="X20" s="5">
        <v>24</v>
      </c>
      <c r="Y20" s="5"/>
      <c r="Z20" s="5"/>
      <c r="AA20" s="5"/>
      <c r="AB20" s="5"/>
      <c r="AC20" s="13"/>
      <c r="AD20" s="5">
        <v>10.5</v>
      </c>
      <c r="AE20" s="5">
        <v>10.6</v>
      </c>
      <c r="AF20" s="5">
        <v>10.9</v>
      </c>
      <c r="AG20" s="5">
        <v>11.2</v>
      </c>
      <c r="AH20" s="5">
        <v>11.6</v>
      </c>
      <c r="AI20" s="5">
        <v>12.2</v>
      </c>
      <c r="AJ20" s="5">
        <v>12.6</v>
      </c>
      <c r="AK20" s="5">
        <v>12.6</v>
      </c>
      <c r="AL20" s="5">
        <v>12.9</v>
      </c>
      <c r="AM20" s="5">
        <v>13</v>
      </c>
      <c r="AN20" s="5">
        <v>13.4</v>
      </c>
      <c r="AO20" s="5">
        <v>13.8</v>
      </c>
      <c r="AP20" s="5">
        <v>14</v>
      </c>
      <c r="AQ20" s="5">
        <v>15.2</v>
      </c>
      <c r="AR20" s="5">
        <v>15.8</v>
      </c>
      <c r="AS20" s="5">
        <v>16.100000000000001</v>
      </c>
      <c r="AT20" s="5">
        <v>16.600000000000001</v>
      </c>
      <c r="AU20" s="5">
        <v>16.899999999999999</v>
      </c>
      <c r="AV20" s="5">
        <v>16.899999999999999</v>
      </c>
      <c r="AW20" s="5">
        <v>17.100000000000001</v>
      </c>
      <c r="AX20" s="5">
        <v>17.399999999999999</v>
      </c>
      <c r="AY20" s="5">
        <v>18.5</v>
      </c>
      <c r="AZ20" s="5">
        <v>19</v>
      </c>
    </row>
    <row r="21" spans="1:52" x14ac:dyDescent="0.2">
      <c r="A21" s="5"/>
      <c r="B21" s="13"/>
      <c r="C21" s="5">
        <f>43/10</f>
        <v>4.3</v>
      </c>
      <c r="D21" s="5">
        <f>63/10</f>
        <v>6.3</v>
      </c>
      <c r="E21" s="5">
        <f>67/10</f>
        <v>6.7</v>
      </c>
      <c r="F21" s="5">
        <f>73/10</f>
        <v>7.3</v>
      </c>
      <c r="G21" s="5">
        <f>75/10</f>
        <v>7.5</v>
      </c>
      <c r="H21" s="5">
        <f>86/10</f>
        <v>8.6</v>
      </c>
      <c r="I21" s="5">
        <f>90/10</f>
        <v>9</v>
      </c>
      <c r="J21" s="5">
        <f>92/10</f>
        <v>9.1999999999999993</v>
      </c>
      <c r="K21" s="5">
        <f>112/10</f>
        <v>11.2</v>
      </c>
      <c r="L21" s="5">
        <f>115/10</f>
        <v>11.5</v>
      </c>
      <c r="M21" s="5"/>
      <c r="N21" s="5"/>
      <c r="O21" s="13"/>
      <c r="P21" s="5">
        <v>19.8</v>
      </c>
      <c r="Q21" s="5">
        <v>21</v>
      </c>
      <c r="R21" s="5">
        <v>21.4</v>
      </c>
      <c r="S21" s="5">
        <v>21.6</v>
      </c>
      <c r="T21" s="5">
        <v>22</v>
      </c>
      <c r="U21" s="5">
        <v>22.5</v>
      </c>
      <c r="V21" s="5">
        <v>22.4</v>
      </c>
      <c r="W21" s="5">
        <v>22.7</v>
      </c>
      <c r="X21" s="5">
        <v>25.1</v>
      </c>
      <c r="Y21" s="5"/>
      <c r="Z21" s="5"/>
      <c r="AA21" s="5"/>
      <c r="AB21" s="5"/>
      <c r="AC21" s="13"/>
      <c r="AD21" s="5">
        <v>10.1</v>
      </c>
      <c r="AE21" s="5">
        <v>10.199999999999999</v>
      </c>
      <c r="AF21" s="5">
        <v>11.7</v>
      </c>
      <c r="AG21" s="5">
        <v>12.4</v>
      </c>
      <c r="AH21" s="5">
        <v>12.7</v>
      </c>
      <c r="AI21" s="5">
        <v>13.3</v>
      </c>
      <c r="AJ21" s="5">
        <v>13.4</v>
      </c>
      <c r="AK21" s="5">
        <v>13.7</v>
      </c>
      <c r="AL21" s="5">
        <v>13.8</v>
      </c>
      <c r="AM21" s="5">
        <v>14</v>
      </c>
      <c r="AN21" s="5">
        <v>14.6</v>
      </c>
      <c r="AO21" s="5">
        <v>14.8</v>
      </c>
      <c r="AP21" s="5">
        <v>14.9</v>
      </c>
      <c r="AQ21" s="5">
        <v>14.8</v>
      </c>
      <c r="AR21" s="5">
        <v>15.65</v>
      </c>
      <c r="AS21" s="5">
        <v>15.9</v>
      </c>
      <c r="AT21" s="5">
        <v>16.45</v>
      </c>
      <c r="AU21" s="5">
        <v>16.7</v>
      </c>
      <c r="AV21" s="5">
        <v>17.5</v>
      </c>
      <c r="AW21" s="5">
        <v>17.3</v>
      </c>
      <c r="AX21" s="5">
        <v>17.7</v>
      </c>
      <c r="AY21" s="5">
        <v>18.600000000000001</v>
      </c>
      <c r="AZ21" s="5">
        <v>18.899999999999999</v>
      </c>
    </row>
    <row r="22" spans="1:52" x14ac:dyDescent="0.2">
      <c r="A22" s="5"/>
      <c r="B22" s="13"/>
      <c r="C22" s="5">
        <f>48/10</f>
        <v>4.8</v>
      </c>
      <c r="D22" s="5">
        <f>59/10</f>
        <v>5.9</v>
      </c>
      <c r="E22" s="5">
        <f>58/10</f>
        <v>5.8</v>
      </c>
      <c r="F22" s="5">
        <f>67/10</f>
        <v>6.7</v>
      </c>
      <c r="G22" s="5">
        <f>69/10</f>
        <v>6.9</v>
      </c>
      <c r="H22" s="5">
        <f>79/10</f>
        <v>7.9</v>
      </c>
      <c r="I22" s="5">
        <f>83/10</f>
        <v>8.3000000000000007</v>
      </c>
      <c r="J22" s="5">
        <f>84/10</f>
        <v>8.4</v>
      </c>
      <c r="K22" s="5">
        <f>101/10</f>
        <v>10.1</v>
      </c>
      <c r="L22" s="5">
        <f>107/10</f>
        <v>10.7</v>
      </c>
      <c r="M22" s="5"/>
      <c r="N22" s="5"/>
      <c r="O22" s="13"/>
      <c r="P22" s="5">
        <v>18.600000000000001</v>
      </c>
      <c r="Q22" s="5">
        <v>19.5</v>
      </c>
      <c r="R22" s="5">
        <v>20</v>
      </c>
      <c r="S22" s="5">
        <v>20</v>
      </c>
      <c r="T22" s="5">
        <v>19.7</v>
      </c>
      <c r="U22" s="5">
        <v>20.399999999999999</v>
      </c>
      <c r="V22" s="5">
        <v>20.3</v>
      </c>
      <c r="W22" s="5">
        <v>20.7</v>
      </c>
      <c r="X22" s="5">
        <v>24.9</v>
      </c>
      <c r="Y22" s="5"/>
      <c r="Z22" s="5"/>
      <c r="AA22" s="5"/>
      <c r="AB22" s="5"/>
      <c r="AC22" s="13"/>
      <c r="AD22" s="5">
        <v>10.6</v>
      </c>
      <c r="AE22" s="5">
        <v>10.6</v>
      </c>
      <c r="AF22" s="5">
        <v>12</v>
      </c>
      <c r="AG22" s="5">
        <v>12.7</v>
      </c>
      <c r="AH22" s="5">
        <v>13.1</v>
      </c>
      <c r="AI22" s="5">
        <v>13.6</v>
      </c>
      <c r="AJ22" s="5">
        <v>14.2</v>
      </c>
      <c r="AK22" s="5">
        <v>14.3</v>
      </c>
      <c r="AL22" s="5">
        <v>14.3</v>
      </c>
      <c r="AM22" s="5">
        <v>14.4</v>
      </c>
      <c r="AN22" s="5">
        <v>15</v>
      </c>
      <c r="AO22" s="5">
        <v>15.2</v>
      </c>
      <c r="AP22" s="5">
        <v>15.3</v>
      </c>
      <c r="AQ22" s="5">
        <v>14.8</v>
      </c>
      <c r="AR22" s="5">
        <v>15.4</v>
      </c>
      <c r="AS22" s="5">
        <v>15.7</v>
      </c>
      <c r="AT22" s="5">
        <v>16.2</v>
      </c>
      <c r="AU22" s="5">
        <v>16.5</v>
      </c>
      <c r="AV22" s="5">
        <v>17.399999999999999</v>
      </c>
      <c r="AW22" s="5">
        <v>15.2</v>
      </c>
      <c r="AX22" s="5">
        <v>15.6</v>
      </c>
      <c r="AY22" s="5">
        <v>16.45</v>
      </c>
      <c r="AZ22" s="5">
        <v>17</v>
      </c>
    </row>
    <row r="23" spans="1:52" x14ac:dyDescent="0.2">
      <c r="A23" s="5"/>
      <c r="B23" s="13"/>
      <c r="C23" s="5">
        <f>41/10</f>
        <v>4.0999999999999996</v>
      </c>
      <c r="D23" s="14">
        <f>50/10</f>
        <v>5</v>
      </c>
      <c r="E23" s="14">
        <f>54/10</f>
        <v>5.4</v>
      </c>
      <c r="F23" s="14">
        <f>59/10</f>
        <v>5.9</v>
      </c>
      <c r="G23" s="14">
        <f>61/10</f>
        <v>6.1</v>
      </c>
      <c r="H23" s="14">
        <f>67/10</f>
        <v>6.7</v>
      </c>
      <c r="I23" s="14">
        <f>74/10</f>
        <v>7.4</v>
      </c>
      <c r="J23" s="14">
        <f>74/10</f>
        <v>7.4</v>
      </c>
      <c r="K23" s="14">
        <f>87/10</f>
        <v>8.6999999999999993</v>
      </c>
      <c r="L23" s="14">
        <f>91/10</f>
        <v>9.1</v>
      </c>
      <c r="M23" s="5"/>
      <c r="N23" s="5"/>
      <c r="O23" s="13"/>
      <c r="P23" s="5">
        <v>19.2</v>
      </c>
      <c r="Q23" s="5">
        <v>20.100000000000001</v>
      </c>
      <c r="R23" s="5">
        <v>20.100000000000001</v>
      </c>
      <c r="S23" s="5">
        <v>20.399999999999999</v>
      </c>
      <c r="T23" s="5">
        <v>20.7</v>
      </c>
      <c r="U23" s="5">
        <v>20.5</v>
      </c>
      <c r="V23" s="5">
        <v>21.2</v>
      </c>
      <c r="W23" s="5">
        <v>21.5</v>
      </c>
      <c r="X23" s="5">
        <v>21.8</v>
      </c>
      <c r="Y23" s="5"/>
      <c r="Z23" s="5"/>
      <c r="AA23" s="5"/>
      <c r="AB23" s="5"/>
      <c r="AC23" s="13"/>
      <c r="AD23" s="5">
        <v>9.4</v>
      </c>
      <c r="AE23" s="5">
        <v>9.6</v>
      </c>
      <c r="AF23" s="5">
        <v>11.6</v>
      </c>
      <c r="AG23" s="5">
        <v>12.4</v>
      </c>
      <c r="AH23" s="5">
        <v>12.9</v>
      </c>
      <c r="AI23" s="5">
        <v>13.6</v>
      </c>
      <c r="AJ23" s="5">
        <v>13.5</v>
      </c>
      <c r="AK23" s="5">
        <v>13.7</v>
      </c>
      <c r="AL23" s="5">
        <v>13.9</v>
      </c>
      <c r="AM23" s="5">
        <v>14</v>
      </c>
      <c r="AN23" s="5">
        <v>14.5</v>
      </c>
      <c r="AO23" s="5">
        <v>14.8</v>
      </c>
      <c r="AP23" s="5">
        <v>14.8</v>
      </c>
      <c r="AQ23" s="5">
        <v>14.5</v>
      </c>
      <c r="AR23" s="5">
        <v>15.3</v>
      </c>
      <c r="AS23" s="5">
        <v>15.6</v>
      </c>
      <c r="AT23" s="5">
        <v>16.100000000000001</v>
      </c>
      <c r="AU23" s="5">
        <v>16.5</v>
      </c>
      <c r="AV23" s="5">
        <v>17.2</v>
      </c>
      <c r="AW23" s="5"/>
      <c r="AX23" s="5"/>
      <c r="AY23" s="5"/>
      <c r="AZ23" s="5"/>
    </row>
    <row r="24" spans="1:52" x14ac:dyDescent="0.2">
      <c r="A24" s="5"/>
      <c r="B24" s="13"/>
      <c r="C24" s="5">
        <f>52/10</f>
        <v>5.2</v>
      </c>
      <c r="D24" s="14">
        <f>70/10</f>
        <v>7</v>
      </c>
      <c r="E24" s="14">
        <f>72/10</f>
        <v>7.2</v>
      </c>
      <c r="F24" s="14">
        <f>78/10</f>
        <v>7.8</v>
      </c>
      <c r="G24" s="14">
        <f>81/10</f>
        <v>8.1</v>
      </c>
      <c r="H24" s="14">
        <f>93/10</f>
        <v>9.3000000000000007</v>
      </c>
      <c r="I24" s="14">
        <f>98/10</f>
        <v>9.8000000000000007</v>
      </c>
      <c r="J24" s="14">
        <f>100/10</f>
        <v>10</v>
      </c>
      <c r="K24" s="14">
        <f>116/10</f>
        <v>11.6</v>
      </c>
      <c r="L24" s="14">
        <f>122/10</f>
        <v>12.2</v>
      </c>
      <c r="M24" s="5"/>
      <c r="N24" s="5"/>
      <c r="O24" s="13"/>
      <c r="P24" s="5">
        <v>20.2</v>
      </c>
      <c r="Q24" s="5">
        <v>21</v>
      </c>
      <c r="R24" s="5">
        <v>21.7</v>
      </c>
      <c r="S24" s="5">
        <v>22</v>
      </c>
      <c r="T24" s="5">
        <v>22</v>
      </c>
      <c r="U24" s="5">
        <v>22.4</v>
      </c>
      <c r="V24" s="5">
        <v>22.7</v>
      </c>
      <c r="W24" s="5">
        <v>22.9</v>
      </c>
      <c r="X24" s="5">
        <v>22.9</v>
      </c>
      <c r="Y24" s="5"/>
      <c r="Z24" s="5"/>
      <c r="AA24" s="5"/>
      <c r="AB24" s="5"/>
      <c r="AC24" s="13"/>
      <c r="AD24" s="5">
        <v>10.8</v>
      </c>
      <c r="AE24" s="5">
        <v>10.9</v>
      </c>
      <c r="AF24" s="5">
        <v>11.3</v>
      </c>
      <c r="AG24" s="5">
        <v>12.2</v>
      </c>
      <c r="AH24" s="5">
        <v>12.5</v>
      </c>
      <c r="AI24" s="5">
        <v>12.8</v>
      </c>
      <c r="AJ24" s="5">
        <v>13.3</v>
      </c>
      <c r="AK24" s="5">
        <v>13.5</v>
      </c>
      <c r="AL24" s="5">
        <v>13.5</v>
      </c>
      <c r="AM24" s="5">
        <v>13.7</v>
      </c>
      <c r="AN24" s="5">
        <v>14.3</v>
      </c>
      <c r="AO24" s="5">
        <v>14.5</v>
      </c>
      <c r="AP24" s="5">
        <v>14.5</v>
      </c>
      <c r="AQ24" s="5">
        <v>15</v>
      </c>
      <c r="AR24" s="5">
        <v>15.8</v>
      </c>
      <c r="AS24" s="5">
        <v>16.2</v>
      </c>
      <c r="AT24" s="5">
        <v>16.7</v>
      </c>
      <c r="AU24" s="5">
        <v>17.2</v>
      </c>
      <c r="AV24" s="5">
        <v>17.100000000000001</v>
      </c>
      <c r="AW24" s="5"/>
      <c r="AX24" s="5"/>
      <c r="AY24" s="5"/>
      <c r="AZ24" s="5"/>
    </row>
    <row r="25" spans="1:52" x14ac:dyDescent="0.2">
      <c r="A25" s="5"/>
      <c r="B25" s="13"/>
      <c r="C25" s="5">
        <f>47/10</f>
        <v>4.7</v>
      </c>
      <c r="D25" s="5">
        <f>67/10</f>
        <v>6.7</v>
      </c>
      <c r="E25" s="5">
        <f>73/10</f>
        <v>7.3</v>
      </c>
      <c r="F25" s="14">
        <f>80/10</f>
        <v>8</v>
      </c>
      <c r="G25" s="14">
        <f>82/10</f>
        <v>8.1999999999999993</v>
      </c>
      <c r="H25" s="14">
        <f>91/10</f>
        <v>9.1</v>
      </c>
      <c r="I25" s="14">
        <f>97/10</f>
        <v>9.6999999999999993</v>
      </c>
      <c r="J25" s="14">
        <f>101/10</f>
        <v>10.1</v>
      </c>
      <c r="K25" s="14">
        <f>114/10</f>
        <v>11.4</v>
      </c>
      <c r="L25" s="14">
        <f>119/10</f>
        <v>11.9</v>
      </c>
      <c r="M25" s="5"/>
      <c r="N25" s="5"/>
      <c r="O25" s="13"/>
      <c r="P25" s="5">
        <v>20.6</v>
      </c>
      <c r="Q25" s="5">
        <v>22.1</v>
      </c>
      <c r="R25" s="5">
        <v>22.5</v>
      </c>
      <c r="S25" s="5">
        <v>23</v>
      </c>
      <c r="T25" s="5">
        <v>23.3</v>
      </c>
      <c r="U25" s="5">
        <v>23.8</v>
      </c>
      <c r="V25" s="5">
        <v>24.1</v>
      </c>
      <c r="W25" s="5">
        <v>24.1</v>
      </c>
      <c r="X25" s="5">
        <v>22.1</v>
      </c>
      <c r="Y25" s="5"/>
      <c r="Z25" s="5"/>
      <c r="AA25" s="5"/>
      <c r="AB25" s="5"/>
      <c r="AC25" s="13"/>
      <c r="AD25" s="5">
        <v>9.9</v>
      </c>
      <c r="AE25" s="5">
        <v>10</v>
      </c>
      <c r="AF25" s="5">
        <v>11.1</v>
      </c>
      <c r="AG25" s="5">
        <v>11.8</v>
      </c>
      <c r="AH25" s="5">
        <v>12.1</v>
      </c>
      <c r="AI25" s="5">
        <v>12.6</v>
      </c>
      <c r="AJ25" s="5">
        <v>13</v>
      </c>
      <c r="AK25" s="5">
        <v>13.2</v>
      </c>
      <c r="AL25" s="5">
        <v>13.2</v>
      </c>
      <c r="AM25" s="5">
        <v>13.3</v>
      </c>
      <c r="AN25" s="5">
        <v>13.6</v>
      </c>
      <c r="AO25" s="5">
        <v>13.8</v>
      </c>
      <c r="AP25" s="5">
        <v>13.9</v>
      </c>
      <c r="AQ25" s="5">
        <v>15.1</v>
      </c>
      <c r="AR25" s="5">
        <v>13.9</v>
      </c>
      <c r="AS25" s="5">
        <v>16.2</v>
      </c>
      <c r="AT25" s="5">
        <v>16.7</v>
      </c>
      <c r="AU25" s="5">
        <v>17</v>
      </c>
      <c r="AV25" s="5">
        <v>16.600000000000001</v>
      </c>
      <c r="AW25" s="5"/>
      <c r="AX25" s="5"/>
      <c r="AY25" s="5"/>
      <c r="AZ25" s="5"/>
    </row>
    <row r="26" spans="1:52" x14ac:dyDescent="0.2">
      <c r="A26" s="5"/>
      <c r="B26" s="13"/>
      <c r="C26" s="14">
        <f>50/10</f>
        <v>5</v>
      </c>
      <c r="D26" s="14">
        <f>73/10</f>
        <v>7.3</v>
      </c>
      <c r="E26" s="14">
        <f>75/10</f>
        <v>7.5</v>
      </c>
      <c r="F26" s="14">
        <f>82/10</f>
        <v>8.1999999999999993</v>
      </c>
      <c r="G26" s="14">
        <f>83/10</f>
        <v>8.3000000000000007</v>
      </c>
      <c r="H26" s="14">
        <f>96/10</f>
        <v>9.6</v>
      </c>
      <c r="I26" s="14">
        <f>100/10</f>
        <v>10</v>
      </c>
      <c r="J26" s="14">
        <f>101/10</f>
        <v>10.1</v>
      </c>
      <c r="K26" s="14">
        <f>115/10</f>
        <v>11.5</v>
      </c>
      <c r="L26" s="14">
        <f>120/10</f>
        <v>12</v>
      </c>
      <c r="M26" s="5"/>
      <c r="N26" s="5"/>
      <c r="O26" s="13"/>
      <c r="P26" s="5">
        <v>21.6</v>
      </c>
      <c r="Q26" s="5">
        <v>22</v>
      </c>
      <c r="R26" s="5">
        <v>22.5</v>
      </c>
      <c r="S26" s="5">
        <v>22.7</v>
      </c>
      <c r="T26" s="5">
        <v>22.7</v>
      </c>
      <c r="U26" s="5">
        <v>23.3</v>
      </c>
      <c r="V26" s="5">
        <v>23.5</v>
      </c>
      <c r="W26" s="5">
        <v>24.2</v>
      </c>
      <c r="X26" s="5">
        <v>21.9</v>
      </c>
      <c r="Y26" s="5"/>
      <c r="Z26" s="5"/>
      <c r="AA26" s="5"/>
      <c r="AB26" s="5"/>
      <c r="AC26" s="13"/>
      <c r="AD26" s="5">
        <v>9.8000000000000007</v>
      </c>
      <c r="AE26" s="5">
        <v>9.9</v>
      </c>
      <c r="AF26" s="5">
        <v>10.6</v>
      </c>
      <c r="AG26" s="5">
        <v>11.6</v>
      </c>
      <c r="AH26" s="5">
        <v>12.2</v>
      </c>
      <c r="AI26" s="5">
        <v>12.8</v>
      </c>
      <c r="AJ26" s="5">
        <v>12.9</v>
      </c>
      <c r="AK26" s="5">
        <v>13</v>
      </c>
      <c r="AL26" s="5">
        <v>13</v>
      </c>
      <c r="AM26" s="5">
        <v>13.3</v>
      </c>
      <c r="AN26" s="5">
        <v>13.8</v>
      </c>
      <c r="AO26" s="5">
        <v>14</v>
      </c>
      <c r="AP26" s="5">
        <v>14.1</v>
      </c>
      <c r="AQ26" s="5">
        <v>14.9</v>
      </c>
      <c r="AR26" s="5">
        <v>15.7</v>
      </c>
      <c r="AS26" s="5">
        <v>15.9</v>
      </c>
      <c r="AT26" s="5">
        <v>16.2</v>
      </c>
      <c r="AU26" s="5">
        <v>16.600000000000001</v>
      </c>
      <c r="AV26" s="5">
        <v>16.7</v>
      </c>
      <c r="AW26" s="5"/>
      <c r="AX26" s="5"/>
      <c r="AY26" s="5"/>
      <c r="AZ26" s="5"/>
    </row>
    <row r="27" spans="1:52" x14ac:dyDescent="0.2">
      <c r="A27" s="5"/>
      <c r="B27" s="13"/>
      <c r="C27" s="5">
        <f>49/10</f>
        <v>4.9000000000000004</v>
      </c>
      <c r="D27" s="5">
        <f>68/10</f>
        <v>6.8</v>
      </c>
      <c r="E27" s="5">
        <f>69/10</f>
        <v>6.9</v>
      </c>
      <c r="F27" s="14">
        <f>80/10</f>
        <v>8</v>
      </c>
      <c r="G27" s="14">
        <f>82/10</f>
        <v>8.1999999999999993</v>
      </c>
      <c r="H27" s="14">
        <f>94/10</f>
        <v>9.4</v>
      </c>
      <c r="I27" s="14">
        <f>95/10</f>
        <v>9.5</v>
      </c>
      <c r="J27" s="14">
        <f>100/10</f>
        <v>10</v>
      </c>
      <c r="K27" s="14">
        <f>115/10</f>
        <v>11.5</v>
      </c>
      <c r="L27" s="14">
        <f>119/10</f>
        <v>11.9</v>
      </c>
      <c r="M27" s="5"/>
      <c r="N27" s="5"/>
      <c r="O27" s="13"/>
      <c r="P27" s="5">
        <v>18.5</v>
      </c>
      <c r="Q27" s="5">
        <v>19.2</v>
      </c>
      <c r="R27" s="5">
        <v>20</v>
      </c>
      <c r="S27" s="5">
        <v>20</v>
      </c>
      <c r="T27" s="5">
        <v>20.100000000000001</v>
      </c>
      <c r="U27" s="5">
        <v>20.5</v>
      </c>
      <c r="V27" s="5">
        <v>20.7</v>
      </c>
      <c r="W27" s="5">
        <v>21.5</v>
      </c>
      <c r="X27" s="5">
        <v>24.3</v>
      </c>
      <c r="Y27" s="5"/>
      <c r="Z27" s="5"/>
      <c r="AA27" s="5"/>
      <c r="AB27" s="5"/>
      <c r="AC27" s="13"/>
      <c r="AD27" s="5">
        <v>11.1</v>
      </c>
      <c r="AE27" s="5">
        <v>11.2</v>
      </c>
      <c r="AF27" s="5">
        <v>10.9</v>
      </c>
      <c r="AG27" s="5">
        <v>11.6</v>
      </c>
      <c r="AH27" s="5">
        <v>12.1</v>
      </c>
      <c r="AI27" s="5">
        <v>12.5</v>
      </c>
      <c r="AJ27" s="5">
        <v>12.8</v>
      </c>
      <c r="AK27" s="5">
        <v>13</v>
      </c>
      <c r="AL27" s="5">
        <v>13.1</v>
      </c>
      <c r="AM27" s="5">
        <v>13.4</v>
      </c>
      <c r="AN27" s="5">
        <v>13.9</v>
      </c>
      <c r="AO27" s="5">
        <v>14.1</v>
      </c>
      <c r="AP27" s="5">
        <v>14.3</v>
      </c>
      <c r="AQ27" s="5">
        <v>13.1</v>
      </c>
      <c r="AR27" s="5">
        <v>13.6</v>
      </c>
      <c r="AS27" s="5">
        <v>13.9</v>
      </c>
      <c r="AT27" s="5">
        <v>16.2</v>
      </c>
      <c r="AU27" s="5">
        <v>14.6</v>
      </c>
      <c r="AV27" s="5">
        <v>14.8</v>
      </c>
      <c r="AW27" s="5"/>
      <c r="AX27" s="5"/>
      <c r="AY27" s="5"/>
      <c r="AZ27" s="5"/>
    </row>
    <row r="28" spans="1:52" x14ac:dyDescent="0.2">
      <c r="A28" s="5"/>
      <c r="B28" s="13"/>
      <c r="C28" s="14">
        <f>40/10</f>
        <v>4</v>
      </c>
      <c r="D28" s="14">
        <f>55/10</f>
        <v>5.5</v>
      </c>
      <c r="E28" s="14">
        <f>59/10</f>
        <v>5.9</v>
      </c>
      <c r="F28" s="14">
        <f>69/10</f>
        <v>6.9</v>
      </c>
      <c r="G28" s="14">
        <f>70/10</f>
        <v>7</v>
      </c>
      <c r="H28" s="14">
        <f>83/10</f>
        <v>8.3000000000000007</v>
      </c>
      <c r="I28" s="14">
        <f>85/10</f>
        <v>8.5</v>
      </c>
      <c r="J28" s="14">
        <f>92/10</f>
        <v>9.1999999999999993</v>
      </c>
      <c r="K28" s="14">
        <f>112/10</f>
        <v>11.2</v>
      </c>
      <c r="L28" s="14">
        <f>116/10</f>
        <v>11.6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13"/>
      <c r="AD28" s="5">
        <v>10.9</v>
      </c>
      <c r="AE28" s="5">
        <v>11.1</v>
      </c>
      <c r="AF28" s="5">
        <v>11.1</v>
      </c>
      <c r="AG28" s="5">
        <v>11.9</v>
      </c>
      <c r="AH28" s="5">
        <v>12.6</v>
      </c>
      <c r="AI28" s="5">
        <v>13</v>
      </c>
      <c r="AJ28" s="5">
        <v>13.3</v>
      </c>
      <c r="AK28" s="5">
        <v>13.5</v>
      </c>
      <c r="AL28" s="5">
        <v>13.6</v>
      </c>
      <c r="AM28" s="5">
        <v>13.7</v>
      </c>
      <c r="AN28" s="5">
        <v>14.4</v>
      </c>
      <c r="AO28" s="5">
        <v>14.6</v>
      </c>
      <c r="AP28" s="5">
        <v>14.6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">
      <c r="A29" s="5"/>
      <c r="B29" s="13"/>
      <c r="C29" s="5">
        <f>53/10</f>
        <v>5.3</v>
      </c>
      <c r="D29" s="5">
        <f>74/10</f>
        <v>7.4</v>
      </c>
      <c r="E29" s="14">
        <f>80/10</f>
        <v>8</v>
      </c>
      <c r="F29" s="14">
        <f>85/10</f>
        <v>8.5</v>
      </c>
      <c r="G29" s="14">
        <f>90/10</f>
        <v>9</v>
      </c>
      <c r="H29" s="14">
        <f>100/10</f>
        <v>10</v>
      </c>
      <c r="I29" s="14">
        <f>103/10</f>
        <v>10.3</v>
      </c>
      <c r="J29" s="15"/>
      <c r="K29" s="5"/>
      <c r="L29" s="5"/>
      <c r="M29" s="5"/>
      <c r="N29" s="5"/>
      <c r="O29" s="10" t="s">
        <v>0</v>
      </c>
      <c r="P29" s="5">
        <f>AVERAGE(P18:P27)</f>
        <v>19.79</v>
      </c>
      <c r="Q29" s="5">
        <f t="shared" ref="Q29:X29" si="0">AVERAGE(Q18:Q27)</f>
        <v>20.439999999999998</v>
      </c>
      <c r="R29" s="5">
        <f t="shared" si="0"/>
        <v>20.919999999999998</v>
      </c>
      <c r="S29" s="5">
        <f t="shared" si="0"/>
        <v>21.029999999999998</v>
      </c>
      <c r="T29" s="5">
        <f t="shared" si="0"/>
        <v>21.270000000000003</v>
      </c>
      <c r="U29" s="5">
        <f t="shared" si="0"/>
        <v>21.640000000000004</v>
      </c>
      <c r="V29" s="5">
        <f t="shared" si="0"/>
        <v>21.88</v>
      </c>
      <c r="W29" s="5">
        <f t="shared" si="0"/>
        <v>22.29</v>
      </c>
      <c r="X29" s="5">
        <f t="shared" si="0"/>
        <v>23.330000000000005</v>
      </c>
      <c r="Y29" s="5"/>
      <c r="Z29" s="5"/>
      <c r="AA29" s="5"/>
      <c r="AB29" s="5"/>
      <c r="AC29" s="13"/>
      <c r="AD29" s="5">
        <v>10</v>
      </c>
      <c r="AE29" s="5">
        <v>10.199999999999999</v>
      </c>
      <c r="AF29" s="5">
        <v>10.8</v>
      </c>
      <c r="AG29" s="5">
        <v>11.4</v>
      </c>
      <c r="AH29" s="5">
        <v>12.2</v>
      </c>
      <c r="AI29" s="5">
        <v>12.5</v>
      </c>
      <c r="AJ29" s="5">
        <v>12.9</v>
      </c>
      <c r="AK29" s="5">
        <v>13.2</v>
      </c>
      <c r="AL29" s="5">
        <v>13.5</v>
      </c>
      <c r="AM29" s="5">
        <v>13.6</v>
      </c>
      <c r="AN29" s="5">
        <v>14.2</v>
      </c>
      <c r="AO29" s="5">
        <v>14.3</v>
      </c>
      <c r="AP29" s="5">
        <v>14.3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">
      <c r="A30" s="5"/>
      <c r="B30" s="13"/>
      <c r="C30" s="5">
        <f>46/10</f>
        <v>4.5999999999999996</v>
      </c>
      <c r="D30" s="5">
        <f>69/10</f>
        <v>6.9</v>
      </c>
      <c r="E30" s="5">
        <f>71/10</f>
        <v>7.1</v>
      </c>
      <c r="F30" s="5">
        <f>78/10</f>
        <v>7.8</v>
      </c>
      <c r="G30" s="5">
        <f>82/10</f>
        <v>8.1999999999999993</v>
      </c>
      <c r="H30" s="5">
        <f>92/10</f>
        <v>9.1999999999999993</v>
      </c>
      <c r="I30" s="5">
        <f>96/10</f>
        <v>9.6</v>
      </c>
      <c r="J30" s="5">
        <f>97/10</f>
        <v>9.6999999999999993</v>
      </c>
      <c r="K30" s="5">
        <f>116/10</f>
        <v>11.6</v>
      </c>
      <c r="L30" s="5">
        <f>121/10</f>
        <v>12.1</v>
      </c>
      <c r="M30" s="5"/>
      <c r="N30" s="5"/>
      <c r="O30" s="10" t="s">
        <v>11</v>
      </c>
      <c r="P30" s="5">
        <f>STDEV(P18:P27)</f>
        <v>1.0027185270276227</v>
      </c>
      <c r="Q30" s="5">
        <f t="shared" ref="Q30:X30" si="1">STDEV(Q18:Q27)</f>
        <v>1.1364662579925355</v>
      </c>
      <c r="R30" s="5">
        <f t="shared" si="1"/>
        <v>1.0992927018971992</v>
      </c>
      <c r="S30" s="5">
        <f t="shared" si="1"/>
        <v>1.2410121317340581</v>
      </c>
      <c r="T30" s="5">
        <f t="shared" si="1"/>
        <v>1.2374256431083939</v>
      </c>
      <c r="U30" s="5">
        <f t="shared" si="1"/>
        <v>1.3217833071691862</v>
      </c>
      <c r="V30" s="5">
        <f t="shared" si="1"/>
        <v>1.3414751416092492</v>
      </c>
      <c r="W30" s="5">
        <f t="shared" si="1"/>
        <v>1.2105554280760731</v>
      </c>
      <c r="X30" s="5">
        <f t="shared" si="1"/>
        <v>1.2728358539541189</v>
      </c>
      <c r="Y30" s="5"/>
      <c r="Z30" s="5"/>
      <c r="AA30" s="5"/>
      <c r="AB30" s="5"/>
      <c r="AC30" s="13"/>
      <c r="AD30" s="5">
        <v>10.5</v>
      </c>
      <c r="AE30" s="5">
        <v>10.5</v>
      </c>
      <c r="AF30" s="5">
        <v>11.1</v>
      </c>
      <c r="AG30" s="5">
        <v>12</v>
      </c>
      <c r="AH30" s="5">
        <v>12.5</v>
      </c>
      <c r="AI30" s="5">
        <v>13</v>
      </c>
      <c r="AJ30" s="5">
        <v>13.4</v>
      </c>
      <c r="AK30" s="5">
        <v>13.4</v>
      </c>
      <c r="AL30" s="5">
        <v>13.7</v>
      </c>
      <c r="AM30" s="5">
        <v>13.7</v>
      </c>
      <c r="AN30" s="5">
        <v>14.4</v>
      </c>
      <c r="AO30" s="5">
        <v>14.6</v>
      </c>
      <c r="AP30" s="5">
        <v>14.6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">
      <c r="A31" s="5"/>
      <c r="B31" s="13"/>
      <c r="C31" s="14">
        <f>40/10</f>
        <v>4</v>
      </c>
      <c r="D31" s="14">
        <f>56/10</f>
        <v>5.6</v>
      </c>
      <c r="E31" s="14">
        <f>59/10</f>
        <v>5.9</v>
      </c>
      <c r="F31" s="14">
        <f>69/10</f>
        <v>6.9</v>
      </c>
      <c r="G31" s="14">
        <f>71/10</f>
        <v>7.1</v>
      </c>
      <c r="H31" s="14">
        <f>83/10</f>
        <v>8.3000000000000007</v>
      </c>
      <c r="I31" s="14">
        <f>87/10</f>
        <v>8.6999999999999993</v>
      </c>
      <c r="J31" s="14">
        <f>88/10</f>
        <v>8.8000000000000007</v>
      </c>
      <c r="K31" s="14">
        <f>107/10</f>
        <v>10.7</v>
      </c>
      <c r="L31" s="14">
        <f>111/10</f>
        <v>11.1</v>
      </c>
      <c r="M31" s="5"/>
      <c r="N31" s="5"/>
      <c r="O31" s="10" t="s">
        <v>8</v>
      </c>
      <c r="P31" s="5">
        <f>STDEV(P18:P27)/(SQRT(COUNT(P18:P26)))</f>
        <v>0.33423950900920757</v>
      </c>
      <c r="Q31" s="5">
        <f t="shared" ref="Q31:X31" si="2">STDEV(Q18:Q27)/(SQRT(COUNT(Q18:Q26)))</f>
        <v>0.37882208599751183</v>
      </c>
      <c r="R31" s="5">
        <f t="shared" si="2"/>
        <v>0.36643090063239975</v>
      </c>
      <c r="S31" s="5">
        <f t="shared" si="2"/>
        <v>0.41367071057801935</v>
      </c>
      <c r="T31" s="5">
        <f t="shared" si="2"/>
        <v>0.4124752143694646</v>
      </c>
      <c r="U31" s="5">
        <f t="shared" si="2"/>
        <v>0.44059443572306206</v>
      </c>
      <c r="V31" s="5">
        <f t="shared" si="2"/>
        <v>0.44715838053641638</v>
      </c>
      <c r="W31" s="5">
        <f t="shared" si="2"/>
        <v>0.40351847602535768</v>
      </c>
      <c r="X31" s="5">
        <f t="shared" si="2"/>
        <v>0.42427861798470629</v>
      </c>
      <c r="Y31" s="5"/>
      <c r="Z31" s="5"/>
      <c r="AA31" s="5"/>
      <c r="AB31" s="5"/>
      <c r="AC31" s="13"/>
      <c r="AD31" s="5">
        <v>10.5</v>
      </c>
      <c r="AE31" s="5">
        <v>10.6</v>
      </c>
      <c r="AF31" s="5">
        <v>11.3</v>
      </c>
      <c r="AG31" s="5">
        <v>11.8</v>
      </c>
      <c r="AH31" s="5">
        <v>12.6</v>
      </c>
      <c r="AI31" s="5">
        <v>12.9</v>
      </c>
      <c r="AJ31" s="5">
        <v>13.3</v>
      </c>
      <c r="AK31" s="5">
        <v>13.5</v>
      </c>
      <c r="AL31" s="5">
        <v>13.6</v>
      </c>
      <c r="AM31" s="5">
        <v>13.9</v>
      </c>
      <c r="AN31" s="5">
        <v>14.4</v>
      </c>
      <c r="AO31" s="5">
        <v>14.5</v>
      </c>
      <c r="AP31" s="5">
        <v>14.7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">
      <c r="A32" s="5"/>
      <c r="B32" s="13"/>
      <c r="C32" s="5">
        <f>41/10</f>
        <v>4.0999999999999996</v>
      </c>
      <c r="D32" s="5">
        <f>59/10</f>
        <v>5.9</v>
      </c>
      <c r="E32" s="5">
        <f>64/10</f>
        <v>6.4</v>
      </c>
      <c r="F32" s="5">
        <f>71/10</f>
        <v>7.1</v>
      </c>
      <c r="G32" s="5">
        <f>75/10</f>
        <v>7.5</v>
      </c>
      <c r="H32" s="5">
        <f>85/10</f>
        <v>8.5</v>
      </c>
      <c r="I32" s="5">
        <f>88/10</f>
        <v>8.8000000000000007</v>
      </c>
      <c r="J32" s="5">
        <f>91/10</f>
        <v>9.1</v>
      </c>
      <c r="K32" s="5">
        <f>107/10</f>
        <v>10.7</v>
      </c>
      <c r="L32" s="5">
        <f>113/10</f>
        <v>11.3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13"/>
      <c r="AD32" s="5">
        <v>10.1</v>
      </c>
      <c r="AE32" s="5">
        <v>10.3</v>
      </c>
      <c r="AF32" s="5">
        <v>10.3</v>
      </c>
      <c r="AG32" s="5">
        <v>11</v>
      </c>
      <c r="AH32" s="5">
        <v>12</v>
      </c>
      <c r="AI32" s="5">
        <v>12.4</v>
      </c>
      <c r="AJ32" s="5">
        <v>12.7</v>
      </c>
      <c r="AK32" s="5">
        <v>13</v>
      </c>
      <c r="AL32" s="5">
        <v>13.1</v>
      </c>
      <c r="AM32" s="5">
        <v>13.4</v>
      </c>
      <c r="AN32" s="5">
        <v>13.8</v>
      </c>
      <c r="AO32" s="5">
        <v>14.1</v>
      </c>
      <c r="AP32" s="5">
        <v>14.3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">
      <c r="A33" s="5"/>
      <c r="B33" s="13"/>
      <c r="C33" s="5">
        <f>42/10</f>
        <v>4.2</v>
      </c>
      <c r="D33" s="5">
        <f>54/10</f>
        <v>5.4</v>
      </c>
      <c r="E33" s="5">
        <f>56/10</f>
        <v>5.6</v>
      </c>
      <c r="F33" s="5">
        <f>63/10</f>
        <v>6.3</v>
      </c>
      <c r="G33" s="5">
        <f>66/10</f>
        <v>6.6</v>
      </c>
      <c r="H33" s="5">
        <f>75/10</f>
        <v>7.5</v>
      </c>
      <c r="I33" s="5">
        <f>81/10</f>
        <v>8.1</v>
      </c>
      <c r="J33" s="5">
        <f>83/10</f>
        <v>8.3000000000000007</v>
      </c>
      <c r="K33" s="5">
        <f>99/10</f>
        <v>9.9</v>
      </c>
      <c r="L33" s="5">
        <f>103/10</f>
        <v>10.3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3"/>
      <c r="AD33" s="5">
        <v>10.3</v>
      </c>
      <c r="AE33" s="5">
        <v>10.4</v>
      </c>
      <c r="AF33" s="5">
        <v>10.7</v>
      </c>
      <c r="AG33" s="5">
        <v>11.3</v>
      </c>
      <c r="AH33" s="5">
        <v>12.2</v>
      </c>
      <c r="AI33" s="5">
        <v>12.5</v>
      </c>
      <c r="AJ33" s="5">
        <v>12.7</v>
      </c>
      <c r="AK33" s="5">
        <v>13</v>
      </c>
      <c r="AL33" s="5">
        <v>13.1</v>
      </c>
      <c r="AM33" s="5">
        <v>13.3</v>
      </c>
      <c r="AN33" s="5">
        <v>14</v>
      </c>
      <c r="AO33" s="5">
        <v>14</v>
      </c>
      <c r="AP33" s="5">
        <v>14.2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2">
      <c r="A34" s="5"/>
      <c r="B34" s="13"/>
      <c r="C34" s="5">
        <f>44/10</f>
        <v>4.4000000000000004</v>
      </c>
      <c r="D34" s="5">
        <f>61/10</f>
        <v>6.1</v>
      </c>
      <c r="E34" s="5">
        <f>66/10</f>
        <v>6.6</v>
      </c>
      <c r="F34" s="5">
        <f>71/10</f>
        <v>7.1</v>
      </c>
      <c r="G34" s="5">
        <f>78/10</f>
        <v>7.8</v>
      </c>
      <c r="H34" s="5">
        <f>87/10</f>
        <v>8.6999999999999993</v>
      </c>
      <c r="I34" s="5">
        <f>93/10</f>
        <v>9.3000000000000007</v>
      </c>
      <c r="J34" s="5">
        <f>95/10</f>
        <v>9.5</v>
      </c>
      <c r="K34" s="5">
        <f>112/10</f>
        <v>11.2</v>
      </c>
      <c r="L34" s="5">
        <f>118/10</f>
        <v>11.8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13"/>
      <c r="AD34" s="5">
        <v>9.8000000000000007</v>
      </c>
      <c r="AE34" s="5">
        <v>9.9</v>
      </c>
      <c r="AF34" s="5">
        <v>10.5</v>
      </c>
      <c r="AG34" s="5">
        <v>11.2</v>
      </c>
      <c r="AH34" s="5">
        <v>12</v>
      </c>
      <c r="AI34" s="5">
        <v>12.3</v>
      </c>
      <c r="AJ34" s="5">
        <v>12.8</v>
      </c>
      <c r="AK34" s="5">
        <v>13</v>
      </c>
      <c r="AL34" s="5">
        <v>13.2</v>
      </c>
      <c r="AM34" s="5">
        <v>13.3</v>
      </c>
      <c r="AN34" s="5">
        <v>13.9</v>
      </c>
      <c r="AO34" s="5">
        <v>14.1</v>
      </c>
      <c r="AP34" s="5">
        <v>14.1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x14ac:dyDescent="0.2">
      <c r="A35" s="5"/>
      <c r="B35" s="13"/>
      <c r="C35" s="5">
        <f>42/10</f>
        <v>4.2</v>
      </c>
      <c r="D35" s="5">
        <f>71/10</f>
        <v>7.1</v>
      </c>
      <c r="E35" s="5">
        <f>74/10</f>
        <v>7.4</v>
      </c>
      <c r="F35" s="5">
        <f>84/10</f>
        <v>8.4</v>
      </c>
      <c r="G35" s="5">
        <f>87/10</f>
        <v>8.6999999999999993</v>
      </c>
      <c r="H35" s="5">
        <f>95/10</f>
        <v>9.5</v>
      </c>
      <c r="I35" s="5">
        <f>99/10</f>
        <v>9.9</v>
      </c>
      <c r="J35" s="5">
        <f>104/10</f>
        <v>10.4</v>
      </c>
      <c r="K35" s="5">
        <f>118/10</f>
        <v>11.8</v>
      </c>
      <c r="L35" s="5">
        <f>126/10</f>
        <v>12.6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13"/>
      <c r="AD35" s="5">
        <v>9.9</v>
      </c>
      <c r="AE35" s="5">
        <v>10</v>
      </c>
      <c r="AF35" s="5">
        <v>10.5</v>
      </c>
      <c r="AG35" s="5">
        <v>11.3</v>
      </c>
      <c r="AH35" s="5">
        <v>12.2</v>
      </c>
      <c r="AI35" s="5">
        <v>12.7</v>
      </c>
      <c r="AJ35" s="5">
        <v>13</v>
      </c>
      <c r="AK35" s="5">
        <v>13.2</v>
      </c>
      <c r="AL35" s="5">
        <v>13.3</v>
      </c>
      <c r="AM35" s="5">
        <v>13.45</v>
      </c>
      <c r="AN35" s="5">
        <v>14</v>
      </c>
      <c r="AO35" s="5">
        <v>14.3</v>
      </c>
      <c r="AP35" s="5">
        <v>14.3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">
      <c r="A36" s="5"/>
      <c r="B36" s="13"/>
      <c r="C36" s="5">
        <f>48/10</f>
        <v>4.8</v>
      </c>
      <c r="D36" s="5">
        <f>67/10</f>
        <v>6.7</v>
      </c>
      <c r="E36" s="14">
        <f>70/10</f>
        <v>7</v>
      </c>
      <c r="F36" s="14">
        <f>75/10</f>
        <v>7.5</v>
      </c>
      <c r="G36" s="14">
        <f>78/10</f>
        <v>7.8</v>
      </c>
      <c r="H36" s="14">
        <f>90/10</f>
        <v>9</v>
      </c>
      <c r="I36" s="14">
        <f>95/10</f>
        <v>9.5</v>
      </c>
      <c r="J36" s="14">
        <f>98/10</f>
        <v>9.8000000000000007</v>
      </c>
      <c r="K36" s="14">
        <f>113/10</f>
        <v>11.3</v>
      </c>
      <c r="L36" s="14">
        <f>117/10</f>
        <v>11.7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13"/>
      <c r="AD36" s="5">
        <v>10.4</v>
      </c>
      <c r="AE36" s="5">
        <v>10.5</v>
      </c>
      <c r="AF36" s="5">
        <v>10.6</v>
      </c>
      <c r="AG36" s="5">
        <v>11.6</v>
      </c>
      <c r="AH36" s="5">
        <v>12.4</v>
      </c>
      <c r="AI36" s="5">
        <v>12.7</v>
      </c>
      <c r="AJ36" s="5">
        <v>13.1</v>
      </c>
      <c r="AK36" s="5">
        <v>13.3</v>
      </c>
      <c r="AL36" s="5">
        <v>13.5</v>
      </c>
      <c r="AM36" s="5">
        <v>13.6</v>
      </c>
      <c r="AN36" s="5">
        <v>14.2</v>
      </c>
      <c r="AO36" s="5">
        <v>14.5</v>
      </c>
      <c r="AP36" s="5">
        <v>14.6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">
      <c r="A37" s="5"/>
      <c r="B37" s="13"/>
      <c r="C37" s="5">
        <f>36/10</f>
        <v>3.6</v>
      </c>
      <c r="D37" s="5">
        <f>47/10</f>
        <v>4.7</v>
      </c>
      <c r="E37" s="14">
        <f>50/10</f>
        <v>5</v>
      </c>
      <c r="F37" s="14">
        <f>53/10</f>
        <v>5.3</v>
      </c>
      <c r="G37" s="14">
        <f>58/10</f>
        <v>5.8</v>
      </c>
      <c r="H37" s="14">
        <f>66/10</f>
        <v>6.6</v>
      </c>
      <c r="I37" s="14">
        <f>70/10</f>
        <v>7</v>
      </c>
      <c r="J37" s="14">
        <f>74/10</f>
        <v>7.4</v>
      </c>
      <c r="K37" s="14">
        <f>89/10</f>
        <v>8.9</v>
      </c>
      <c r="L37" s="14">
        <f>96/10</f>
        <v>9.6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13"/>
      <c r="AD37" s="5">
        <v>10</v>
      </c>
      <c r="AE37" s="5">
        <v>10.1</v>
      </c>
      <c r="AF37" s="5">
        <v>10.9</v>
      </c>
      <c r="AG37" s="5">
        <v>11.5</v>
      </c>
      <c r="AH37" s="5">
        <v>12.3</v>
      </c>
      <c r="AI37" s="5">
        <v>12.8</v>
      </c>
      <c r="AJ37" s="5">
        <v>13.1</v>
      </c>
      <c r="AK37" s="5">
        <v>13.2</v>
      </c>
      <c r="AL37" s="5">
        <v>13.3</v>
      </c>
      <c r="AM37" s="5">
        <v>13.3</v>
      </c>
      <c r="AN37" s="5">
        <v>14</v>
      </c>
      <c r="AO37" s="5">
        <v>14.3</v>
      </c>
      <c r="AP37" s="5">
        <v>14.3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13"/>
      <c r="AD38" s="5">
        <v>8.9</v>
      </c>
      <c r="AE38" s="5">
        <v>8.9</v>
      </c>
      <c r="AF38" s="5">
        <v>9.3000000000000007</v>
      </c>
      <c r="AG38" s="5">
        <v>10</v>
      </c>
      <c r="AH38" s="5">
        <v>10.5</v>
      </c>
      <c r="AI38" s="5">
        <v>10.9</v>
      </c>
      <c r="AJ38" s="5">
        <v>11.1</v>
      </c>
      <c r="AK38" s="5">
        <v>11.3</v>
      </c>
      <c r="AL38" s="5">
        <v>11.3</v>
      </c>
      <c r="AM38" s="5">
        <v>11.5</v>
      </c>
      <c r="AN38" s="5">
        <v>12.2</v>
      </c>
      <c r="AO38" s="5">
        <v>12.5</v>
      </c>
      <c r="AP38" s="5">
        <v>12.6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">
      <c r="A40" s="5"/>
      <c r="B40" s="10" t="s">
        <v>0</v>
      </c>
      <c r="C40" s="5">
        <f>AVERAGE(C18:C37)</f>
        <v>4.4399999999999995</v>
      </c>
      <c r="D40" s="5">
        <f t="shared" ref="D40:J40" si="3">AVERAGE(D18:D37)</f>
        <v>6.2150000000000007</v>
      </c>
      <c r="E40" s="5">
        <f t="shared" si="3"/>
        <v>6.5200000000000005</v>
      </c>
      <c r="F40" s="5">
        <f t="shared" si="3"/>
        <v>7.18</v>
      </c>
      <c r="G40" s="5">
        <f t="shared" si="3"/>
        <v>7.5100000000000007</v>
      </c>
      <c r="H40" s="5">
        <f t="shared" si="3"/>
        <v>8.5499999999999989</v>
      </c>
      <c r="I40" s="5">
        <f t="shared" si="3"/>
        <v>8.9750000000000014</v>
      </c>
      <c r="J40" s="5">
        <f t="shared" si="3"/>
        <v>9.1736842105263179</v>
      </c>
      <c r="K40" s="5">
        <f>AVERAGE(K18:K37)</f>
        <v>10.863157894736842</v>
      </c>
      <c r="L40" s="5">
        <f>AVERAGE(L18:L37)</f>
        <v>11.352631578947369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10" t="s">
        <v>0</v>
      </c>
      <c r="AD40" s="5">
        <f>AVERAGE(AD18:AD38)</f>
        <v>10.223809523809527</v>
      </c>
      <c r="AE40" s="5">
        <f t="shared" ref="AE40:AZ40" si="4">AVERAGE(AE18:AE38)</f>
        <v>10.31904761904762</v>
      </c>
      <c r="AF40" s="5">
        <f t="shared" si="4"/>
        <v>10.947619047619048</v>
      </c>
      <c r="AG40" s="5">
        <f t="shared" si="4"/>
        <v>11.666666666666666</v>
      </c>
      <c r="AH40" s="5">
        <f t="shared" si="4"/>
        <v>12.271428571428569</v>
      </c>
      <c r="AI40" s="5">
        <f t="shared" si="4"/>
        <v>12.726190476190473</v>
      </c>
      <c r="AJ40" s="5">
        <f t="shared" si="4"/>
        <v>13.038095238095242</v>
      </c>
      <c r="AK40" s="5">
        <f t="shared" si="4"/>
        <v>13.21904761904762</v>
      </c>
      <c r="AL40" s="5">
        <f t="shared" si="4"/>
        <v>13.338095238095237</v>
      </c>
      <c r="AM40" s="5">
        <f t="shared" si="4"/>
        <v>13.488095238095237</v>
      </c>
      <c r="AN40" s="5">
        <f t="shared" si="4"/>
        <v>14.057142857142857</v>
      </c>
      <c r="AO40" s="5">
        <f t="shared" si="4"/>
        <v>14.27142857142857</v>
      </c>
      <c r="AP40" s="5">
        <f t="shared" si="4"/>
        <v>14.357142857142859</v>
      </c>
      <c r="AQ40" s="5">
        <f t="shared" si="4"/>
        <v>14.76</v>
      </c>
      <c r="AR40" s="5">
        <f t="shared" si="4"/>
        <v>15.254999999999999</v>
      </c>
      <c r="AS40" s="5">
        <f t="shared" si="4"/>
        <v>15.75</v>
      </c>
      <c r="AT40" s="5">
        <f t="shared" si="4"/>
        <v>16.375</v>
      </c>
      <c r="AU40" s="5">
        <f t="shared" si="4"/>
        <v>16.55</v>
      </c>
      <c r="AV40" s="5">
        <f t="shared" si="4"/>
        <v>16.830000000000002</v>
      </c>
      <c r="AW40" s="5">
        <f t="shared" si="4"/>
        <v>16.899999999999999</v>
      </c>
      <c r="AX40" s="5">
        <f t="shared" si="4"/>
        <v>17.279999999999998</v>
      </c>
      <c r="AY40" s="5">
        <f t="shared" si="4"/>
        <v>18.13</v>
      </c>
      <c r="AZ40" s="5">
        <f t="shared" si="4"/>
        <v>18.619999999999997</v>
      </c>
    </row>
    <row r="41" spans="1:52" x14ac:dyDescent="0.2">
      <c r="A41" s="5"/>
      <c r="B41" s="10" t="s">
        <v>11</v>
      </c>
      <c r="C41" s="5">
        <f>STDEV(C18:C37)</f>
        <v>0.45699245646198355</v>
      </c>
      <c r="D41" s="5">
        <f t="shared" ref="D41:J41" si="5">STDEV(D18:D37)</f>
        <v>0.78557722659669627</v>
      </c>
      <c r="E41" s="5">
        <f t="shared" si="5"/>
        <v>0.79577833464774905</v>
      </c>
      <c r="F41" s="5">
        <f t="shared" si="5"/>
        <v>0.85630786396875846</v>
      </c>
      <c r="G41" s="5">
        <f t="shared" si="5"/>
        <v>0.83848233826296703</v>
      </c>
      <c r="H41" s="5">
        <f t="shared" si="5"/>
        <v>0.90815023102198844</v>
      </c>
      <c r="I41" s="5">
        <f t="shared" si="5"/>
        <v>0.86625327522734674</v>
      </c>
      <c r="J41" s="5">
        <f t="shared" si="5"/>
        <v>0.86528229514557697</v>
      </c>
      <c r="K41" s="5">
        <f>STDEV(K18:K37)</f>
        <v>0.87636276501596799</v>
      </c>
      <c r="L41" s="5">
        <f>STDEV(L18:L37)</f>
        <v>0.88403646295628413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10" t="s">
        <v>11</v>
      </c>
      <c r="AD41" s="5">
        <f>STDEV(AD18:AD38)</f>
        <v>0.53376470649974761</v>
      </c>
      <c r="AE41" s="5">
        <f t="shared" ref="AE41:AZ41" si="6">STDEV(AE18:AE38)</f>
        <v>0.53255896163621874</v>
      </c>
      <c r="AF41" s="5">
        <f t="shared" si="6"/>
        <v>0.57499482399326651</v>
      </c>
      <c r="AG41" s="5">
        <f t="shared" si="6"/>
        <v>0.59019770698752583</v>
      </c>
      <c r="AH41" s="5">
        <f t="shared" si="6"/>
        <v>0.52644359350537939</v>
      </c>
      <c r="AI41" s="5">
        <f t="shared" si="6"/>
        <v>0.57350218997381508</v>
      </c>
      <c r="AJ41" s="5">
        <f t="shared" si="6"/>
        <v>0.57833916560802845</v>
      </c>
      <c r="AK41" s="5">
        <f t="shared" si="6"/>
        <v>0.57238016005016068</v>
      </c>
      <c r="AL41" s="5">
        <f t="shared" si="6"/>
        <v>0.58264585339311425</v>
      </c>
      <c r="AM41" s="5">
        <f t="shared" si="6"/>
        <v>0.55854828840145099</v>
      </c>
      <c r="AN41" s="5">
        <f t="shared" si="6"/>
        <v>0.56175744638716518</v>
      </c>
      <c r="AO41" s="5">
        <f t="shared" si="6"/>
        <v>0.53864910390982468</v>
      </c>
      <c r="AP41" s="5">
        <f t="shared" si="6"/>
        <v>0.52968993625651284</v>
      </c>
      <c r="AQ41" s="5">
        <f t="shared" si="6"/>
        <v>0.62574400161372357</v>
      </c>
      <c r="AR41" s="5">
        <f t="shared" si="6"/>
        <v>0.81392396587287108</v>
      </c>
      <c r="AS41" s="5">
        <f t="shared" si="6"/>
        <v>0.68027772106528506</v>
      </c>
      <c r="AT41" s="5">
        <f t="shared" si="6"/>
        <v>0.2418103021424482</v>
      </c>
      <c r="AU41" s="5">
        <f t="shared" si="6"/>
        <v>0.72303373211612854</v>
      </c>
      <c r="AV41" s="5">
        <f t="shared" si="6"/>
        <v>0.76890976208019468</v>
      </c>
      <c r="AW41" s="5">
        <f t="shared" si="6"/>
        <v>0.9617692030835675</v>
      </c>
      <c r="AX41" s="5">
        <f t="shared" si="6"/>
        <v>0.95760116958992891</v>
      </c>
      <c r="AY41" s="5">
        <f t="shared" si="6"/>
        <v>0.94578010129205003</v>
      </c>
      <c r="AZ41" s="5">
        <f t="shared" si="6"/>
        <v>0.92032602918748296</v>
      </c>
    </row>
    <row r="42" spans="1:52" x14ac:dyDescent="0.2">
      <c r="A42" s="5"/>
      <c r="B42" s="10" t="s">
        <v>8</v>
      </c>
      <c r="C42" s="5">
        <f>STDEV(C18:C37)/SQRT(COUNT(C18:C37))</f>
        <v>0.10218661978536082</v>
      </c>
      <c r="D42" s="5">
        <f t="shared" ref="D42:J42" si="7">STDEV(D18:D37)/SQRT(COUNT(D18:D37))</f>
        <v>0.17566040802459684</v>
      </c>
      <c r="E42" s="5">
        <f t="shared" si="7"/>
        <v>0.1779414451293943</v>
      </c>
      <c r="F42" s="5">
        <f t="shared" si="7"/>
        <v>0.19147625935017867</v>
      </c>
      <c r="G42" s="5">
        <f t="shared" si="7"/>
        <v>0.18749035062889671</v>
      </c>
      <c r="H42" s="5">
        <f t="shared" si="7"/>
        <v>0.20306856503473045</v>
      </c>
      <c r="I42" s="5">
        <f t="shared" si="7"/>
        <v>0.19370012091401817</v>
      </c>
      <c r="J42" s="5">
        <f t="shared" si="7"/>
        <v>0.19850937274602654</v>
      </c>
      <c r="K42" s="5">
        <f>STDEV(K18:K37)/SQRT(COUNT(K18:K37))</f>
        <v>0.20105140687297296</v>
      </c>
      <c r="L42" s="5">
        <f>STDEV(L18:L37)/SQRT(COUNT(L18:L37))</f>
        <v>0.20281187391745159</v>
      </c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10" t="s">
        <v>8</v>
      </c>
      <c r="AD42" s="5">
        <f>STDEV(AD18:AD38)/SQRT(COUNT(AD18:AD38))</f>
        <v>0.11647700813480862</v>
      </c>
      <c r="AE42" s="5">
        <f t="shared" ref="AE42:AZ42" si="8">STDEV(AE18:AE38)/SQRT(COUNT(AE18:AE38))</f>
        <v>0.11621389303452646</v>
      </c>
      <c r="AF42" s="5">
        <f t="shared" si="8"/>
        <v>0.1254741573884264</v>
      </c>
      <c r="AG42" s="5">
        <f t="shared" si="8"/>
        <v>0.1287916984409383</v>
      </c>
      <c r="AH42" s="5">
        <f t="shared" si="8"/>
        <v>0.11487941030299828</v>
      </c>
      <c r="AI42" s="5">
        <f t="shared" si="8"/>
        <v>0.12514843794180724</v>
      </c>
      <c r="AJ42" s="5">
        <f t="shared" si="8"/>
        <v>0.12620395255982816</v>
      </c>
      <c r="AK42" s="5">
        <f t="shared" si="8"/>
        <v>0.12490359093908572</v>
      </c>
      <c r="AL42" s="5">
        <f t="shared" si="8"/>
        <v>0.12714374888219471</v>
      </c>
      <c r="AM42" s="5">
        <f t="shared" si="8"/>
        <v>0.12188522908988925</v>
      </c>
      <c r="AN42" s="5">
        <f t="shared" si="8"/>
        <v>0.12258552477496579</v>
      </c>
      <c r="AO42" s="5">
        <f t="shared" si="8"/>
        <v>0.11754287103270979</v>
      </c>
      <c r="AP42" s="5">
        <f t="shared" si="8"/>
        <v>0.11558782036913352</v>
      </c>
      <c r="AQ42" s="5">
        <f t="shared" si="8"/>
        <v>0.19787762772874443</v>
      </c>
      <c r="AR42" s="5">
        <f t="shared" si="8"/>
        <v>0.25738535743554303</v>
      </c>
      <c r="AS42" s="5">
        <f t="shared" si="8"/>
        <v>0.2151227040035007</v>
      </c>
      <c r="AT42" s="5">
        <f t="shared" si="8"/>
        <v>7.6467131646362985E-2</v>
      </c>
      <c r="AU42" s="5">
        <f t="shared" si="8"/>
        <v>0.22864334186190016</v>
      </c>
      <c r="AV42" s="5">
        <f t="shared" si="8"/>
        <v>0.24315061633115831</v>
      </c>
      <c r="AW42" s="5">
        <f t="shared" si="8"/>
        <v>0.43011626335213143</v>
      </c>
      <c r="AX42" s="5">
        <f t="shared" si="8"/>
        <v>0.42825226210727707</v>
      </c>
      <c r="AY42" s="5">
        <f t="shared" si="8"/>
        <v>0.42296571965113211</v>
      </c>
      <c r="AZ42" s="5">
        <f t="shared" si="8"/>
        <v>0.41158231254513344</v>
      </c>
    </row>
    <row r="43" spans="1:5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">
      <c r="A51" s="5"/>
      <c r="B51" s="5"/>
      <c r="C51" s="16" t="s">
        <v>12</v>
      </c>
      <c r="D51" s="16"/>
      <c r="E51" s="16"/>
      <c r="F51" s="16"/>
      <c r="G51" s="5"/>
      <c r="H51" s="16" t="s">
        <v>8</v>
      </c>
      <c r="I51" s="16"/>
      <c r="J51" s="16"/>
      <c r="K51" s="16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">
      <c r="A52" s="5"/>
      <c r="B52" s="5"/>
      <c r="C52" s="10" t="s">
        <v>9</v>
      </c>
      <c r="D52" s="10" t="s">
        <v>13</v>
      </c>
      <c r="E52" s="10" t="s">
        <v>14</v>
      </c>
      <c r="F52" s="10" t="s">
        <v>15</v>
      </c>
      <c r="G52" s="5"/>
      <c r="H52" s="10" t="s">
        <v>9</v>
      </c>
      <c r="I52" s="10" t="s">
        <v>13</v>
      </c>
      <c r="J52" s="10" t="s">
        <v>14</v>
      </c>
      <c r="K52" s="10" t="s">
        <v>15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">
      <c r="A53" s="5"/>
      <c r="B53" s="5"/>
      <c r="C53" s="5">
        <v>0</v>
      </c>
      <c r="D53" s="5">
        <f>C40</f>
        <v>4.4399999999999995</v>
      </c>
      <c r="E53" s="5">
        <f>AD40</f>
        <v>10.223809523809527</v>
      </c>
      <c r="F53" s="5">
        <f>P29</f>
        <v>19.79</v>
      </c>
      <c r="G53" s="5"/>
      <c r="H53" s="5">
        <v>0</v>
      </c>
      <c r="I53" s="5">
        <f>C41</f>
        <v>0.45699245646198355</v>
      </c>
      <c r="J53" s="5">
        <f>AD41</f>
        <v>0.53376470649974761</v>
      </c>
      <c r="K53" s="5">
        <f>P30</f>
        <v>1.0027185270276227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">
      <c r="A54" s="5"/>
      <c r="B54" s="5"/>
      <c r="C54" s="5">
        <v>2</v>
      </c>
      <c r="D54" s="5"/>
      <c r="E54" s="5">
        <f>AE40</f>
        <v>10.31904761904762</v>
      </c>
      <c r="F54" s="5"/>
      <c r="G54" s="5"/>
      <c r="H54" s="5">
        <v>2</v>
      </c>
      <c r="I54" s="5"/>
      <c r="J54" s="5">
        <f>AE41</f>
        <v>0.53255896163621874</v>
      </c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">
      <c r="A55" s="5"/>
      <c r="B55" s="5"/>
      <c r="C55" s="5">
        <v>7</v>
      </c>
      <c r="D55" s="5"/>
      <c r="E55" s="5">
        <f>AF40</f>
        <v>10.947619047619048</v>
      </c>
      <c r="F55" s="5"/>
      <c r="G55" s="5"/>
      <c r="H55" s="5">
        <v>7</v>
      </c>
      <c r="I55" s="5"/>
      <c r="J55" s="5">
        <f>AF41</f>
        <v>0.57499482399326651</v>
      </c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">
      <c r="A56" s="5"/>
      <c r="B56" s="5"/>
      <c r="C56" s="5">
        <v>14</v>
      </c>
      <c r="D56" s="5"/>
      <c r="E56" s="5">
        <f>AG40</f>
        <v>11.666666666666666</v>
      </c>
      <c r="F56" s="5"/>
      <c r="G56" s="5"/>
      <c r="H56" s="5">
        <v>14</v>
      </c>
      <c r="I56" s="5"/>
      <c r="J56" s="5">
        <f>AG41</f>
        <v>0.59019770698752583</v>
      </c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">
      <c r="A57" s="5"/>
      <c r="B57" s="5"/>
      <c r="C57" s="5">
        <v>20</v>
      </c>
      <c r="D57" s="5"/>
      <c r="E57" s="5">
        <f>AH40</f>
        <v>12.271428571428569</v>
      </c>
      <c r="F57" s="5"/>
      <c r="G57" s="5"/>
      <c r="H57" s="5">
        <v>20</v>
      </c>
      <c r="I57" s="5"/>
      <c r="J57" s="5">
        <f>AH41</f>
        <v>0.52644359350537939</v>
      </c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">
      <c r="A58" s="5"/>
      <c r="B58" s="5"/>
      <c r="C58" s="5">
        <v>21</v>
      </c>
      <c r="D58" s="5">
        <f>D40</f>
        <v>6.2150000000000007</v>
      </c>
      <c r="E58" s="5"/>
      <c r="F58" s="5"/>
      <c r="G58" s="5"/>
      <c r="H58" s="5">
        <v>21</v>
      </c>
      <c r="I58" s="5">
        <f>D41</f>
        <v>0.78557722659669627</v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">
      <c r="A59" s="5"/>
      <c r="B59" s="5"/>
      <c r="C59" s="5">
        <v>23</v>
      </c>
      <c r="D59" s="5">
        <f>E40</f>
        <v>6.5200000000000005</v>
      </c>
      <c r="E59" s="5"/>
      <c r="F59" s="5"/>
      <c r="G59" s="5"/>
      <c r="H59" s="5">
        <v>23</v>
      </c>
      <c r="I59" s="5">
        <f>E41</f>
        <v>0.79577833464774905</v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">
      <c r="A60" s="5"/>
      <c r="B60" s="5"/>
      <c r="C60" s="5">
        <v>24</v>
      </c>
      <c r="D60" s="5"/>
      <c r="E60" s="5">
        <f>AI40</f>
        <v>12.726190476190473</v>
      </c>
      <c r="F60" s="5"/>
      <c r="G60" s="5"/>
      <c r="H60" s="5">
        <v>24</v>
      </c>
      <c r="I60" s="5"/>
      <c r="J60" s="5">
        <f>AI41</f>
        <v>0.57350218997381508</v>
      </c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">
      <c r="A61" s="5"/>
      <c r="B61" s="5"/>
      <c r="C61" s="5">
        <v>28</v>
      </c>
      <c r="D61" s="5"/>
      <c r="E61" s="5">
        <f>AJ40</f>
        <v>13.038095238095242</v>
      </c>
      <c r="F61" s="5"/>
      <c r="G61" s="5"/>
      <c r="H61" s="5">
        <v>28</v>
      </c>
      <c r="I61" s="5"/>
      <c r="J61" s="5">
        <f>AJ41</f>
        <v>0.57833916560802845</v>
      </c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">
      <c r="A62" s="5"/>
      <c r="B62" s="5"/>
      <c r="C62" s="5">
        <v>30</v>
      </c>
      <c r="D62" s="5">
        <f>F40</f>
        <v>7.18</v>
      </c>
      <c r="E62" s="5"/>
      <c r="F62" s="5">
        <f>Q29</f>
        <v>20.439999999999998</v>
      </c>
      <c r="G62" s="5"/>
      <c r="H62" s="5">
        <v>30</v>
      </c>
      <c r="I62" s="5">
        <f>F41</f>
        <v>0.85630786396875846</v>
      </c>
      <c r="J62" s="5"/>
      <c r="K62" s="5">
        <f>Q30</f>
        <v>1.1364662579925355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">
      <c r="A63" s="5"/>
      <c r="B63" s="5"/>
      <c r="C63" s="5">
        <v>31</v>
      </c>
      <c r="D63" s="5"/>
      <c r="E63" s="5">
        <f>AK40</f>
        <v>13.21904761904762</v>
      </c>
      <c r="F63" s="5"/>
      <c r="G63" s="5"/>
      <c r="H63" s="5">
        <v>31</v>
      </c>
      <c r="I63" s="5"/>
      <c r="J63" s="5">
        <f>AK41</f>
        <v>0.57238016005016068</v>
      </c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">
      <c r="A64" s="5"/>
      <c r="B64" s="5"/>
      <c r="C64" s="5">
        <v>34</v>
      </c>
      <c r="D64" s="5">
        <f>G40</f>
        <v>7.5100000000000007</v>
      </c>
      <c r="E64" s="5"/>
      <c r="F64" s="5"/>
      <c r="G64" s="5"/>
      <c r="H64" s="5">
        <v>34</v>
      </c>
      <c r="I64" s="5">
        <f>G41</f>
        <v>0.83848233826296703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">
      <c r="A65" s="5"/>
      <c r="B65" s="5"/>
      <c r="C65" s="5">
        <v>35</v>
      </c>
      <c r="D65" s="5"/>
      <c r="E65" s="5">
        <f>AL40</f>
        <v>13.338095238095237</v>
      </c>
      <c r="F65" s="5"/>
      <c r="G65" s="5"/>
      <c r="H65" s="5">
        <v>35</v>
      </c>
      <c r="I65" s="5"/>
      <c r="J65" s="5">
        <f>AL41</f>
        <v>0.58264585339311425</v>
      </c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">
      <c r="A66" s="5"/>
      <c r="B66" s="5"/>
      <c r="C66" s="5">
        <v>38</v>
      </c>
      <c r="D66" s="5"/>
      <c r="E66" s="5">
        <f>AM40</f>
        <v>13.488095238095237</v>
      </c>
      <c r="F66" s="5"/>
      <c r="G66" s="5"/>
      <c r="H66" s="5">
        <v>38</v>
      </c>
      <c r="I66" s="5"/>
      <c r="J66" s="5">
        <f>AM41</f>
        <v>0.55854828840145099</v>
      </c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">
      <c r="A67" s="5"/>
      <c r="B67" s="5"/>
      <c r="C67" s="5">
        <v>44</v>
      </c>
      <c r="D67" s="5">
        <f>H40</f>
        <v>8.5499999999999989</v>
      </c>
      <c r="E67" s="5"/>
      <c r="F67" s="5">
        <f>R29</f>
        <v>20.919999999999998</v>
      </c>
      <c r="G67" s="5"/>
      <c r="H67" s="5">
        <v>44</v>
      </c>
      <c r="I67" s="5">
        <f>H41</f>
        <v>0.90815023102198844</v>
      </c>
      <c r="J67" s="5"/>
      <c r="K67" s="5">
        <f>R30</f>
        <v>1.0992927018971992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">
      <c r="A68" s="5"/>
      <c r="B68" s="17"/>
      <c r="C68" s="5">
        <v>48</v>
      </c>
      <c r="D68" s="5">
        <f>I40</f>
        <v>8.9750000000000014</v>
      </c>
      <c r="E68" s="5">
        <f>AN40</f>
        <v>14.057142857142857</v>
      </c>
      <c r="F68" s="5"/>
      <c r="G68" s="5"/>
      <c r="H68" s="5">
        <v>48</v>
      </c>
      <c r="I68" s="5">
        <f>I41</f>
        <v>0.86625327522734674</v>
      </c>
      <c r="J68" s="5">
        <f>AN41</f>
        <v>0.56175744638716518</v>
      </c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">
      <c r="A69" s="5"/>
      <c r="B69" s="5"/>
      <c r="C69" s="5">
        <v>51</v>
      </c>
      <c r="D69" s="5">
        <f>J40</f>
        <v>9.1736842105263179</v>
      </c>
      <c r="E69" s="5"/>
      <c r="F69" s="5"/>
      <c r="G69" s="5"/>
      <c r="H69" s="5">
        <v>51</v>
      </c>
      <c r="I69" s="5">
        <f>J41</f>
        <v>0.86528229514557697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">
      <c r="A70" s="5"/>
      <c r="B70" s="5"/>
      <c r="C70" s="18">
        <v>52</v>
      </c>
      <c r="D70" s="5"/>
      <c r="E70" s="5">
        <f>AO40</f>
        <v>14.27142857142857</v>
      </c>
      <c r="F70" s="5"/>
      <c r="G70" s="5"/>
      <c r="H70" s="18">
        <v>52</v>
      </c>
      <c r="I70" s="5"/>
      <c r="J70" s="5">
        <f>AO41</f>
        <v>0.53864910390982468</v>
      </c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">
      <c r="A71" s="5"/>
      <c r="B71" s="5"/>
      <c r="C71" s="5">
        <v>56</v>
      </c>
      <c r="D71" s="5"/>
      <c r="E71" s="5">
        <f>AP40</f>
        <v>14.357142857142859</v>
      </c>
      <c r="F71" s="5"/>
      <c r="G71" s="5"/>
      <c r="H71" s="5">
        <v>56</v>
      </c>
      <c r="I71" s="5"/>
      <c r="J71" s="5">
        <f>AP41</f>
        <v>0.52968993625651284</v>
      </c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">
      <c r="A72" s="5"/>
      <c r="B72" s="5"/>
      <c r="C72" s="5">
        <v>63</v>
      </c>
      <c r="D72" s="5"/>
      <c r="E72" s="5">
        <f>AQ40</f>
        <v>14.76</v>
      </c>
      <c r="F72" s="5">
        <f>S29</f>
        <v>21.029999999999998</v>
      </c>
      <c r="G72" s="5"/>
      <c r="H72" s="5">
        <v>63</v>
      </c>
      <c r="I72" s="5"/>
      <c r="J72" s="5">
        <f>AQ41</f>
        <v>0.62574400161372357</v>
      </c>
      <c r="K72" s="5">
        <f>S30</f>
        <v>1.2410121317340581</v>
      </c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">
      <c r="A73" s="5"/>
      <c r="B73" s="5"/>
      <c r="C73" s="5">
        <v>69</v>
      </c>
      <c r="D73" s="5">
        <f>K40</f>
        <v>10.863157894736842</v>
      </c>
      <c r="E73" s="5"/>
      <c r="F73" s="5"/>
      <c r="G73" s="5"/>
      <c r="H73" s="5">
        <v>69</v>
      </c>
      <c r="I73" s="5">
        <f>K41</f>
        <v>0.87636276501596799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">
      <c r="A74" s="5"/>
      <c r="B74" s="5"/>
      <c r="C74" s="5">
        <v>72</v>
      </c>
      <c r="D74" s="5"/>
      <c r="E74" s="5">
        <f>AR40</f>
        <v>15.254999999999999</v>
      </c>
      <c r="F74" s="5"/>
      <c r="G74" s="5"/>
      <c r="H74" s="5">
        <v>72</v>
      </c>
      <c r="I74" s="5"/>
      <c r="J74" s="5">
        <f>AR41</f>
        <v>0.81392396587287108</v>
      </c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">
      <c r="A75" s="5"/>
      <c r="B75" s="5"/>
      <c r="C75" s="5">
        <v>76</v>
      </c>
      <c r="D75" s="5">
        <f>L40</f>
        <v>11.352631578947369</v>
      </c>
      <c r="E75" s="5"/>
      <c r="F75" s="5"/>
      <c r="G75" s="5"/>
      <c r="H75" s="5">
        <v>76</v>
      </c>
      <c r="I75" s="5">
        <f>L41</f>
        <v>0.88403646295628413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">
      <c r="A76" s="5"/>
      <c r="B76" s="5"/>
      <c r="C76" s="5">
        <v>77</v>
      </c>
      <c r="D76" s="5"/>
      <c r="E76" s="5">
        <f>AS40</f>
        <v>15.75</v>
      </c>
      <c r="F76" s="5">
        <f>T29</f>
        <v>21.270000000000003</v>
      </c>
      <c r="G76" s="5"/>
      <c r="H76" s="5">
        <v>77</v>
      </c>
      <c r="I76" s="5"/>
      <c r="J76" s="5">
        <f>AS41</f>
        <v>0.68027772106528506</v>
      </c>
      <c r="K76" s="5">
        <f>T30</f>
        <v>1.2374256431083939</v>
      </c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">
      <c r="A77" s="5"/>
      <c r="B77" s="5"/>
      <c r="C77" s="5">
        <v>84</v>
      </c>
      <c r="D77" s="5"/>
      <c r="E77" s="5">
        <f>AT40</f>
        <v>16.375</v>
      </c>
      <c r="F77" s="5"/>
      <c r="G77" s="5"/>
      <c r="H77" s="5">
        <v>84</v>
      </c>
      <c r="I77" s="5"/>
      <c r="J77" s="5">
        <f>AT41</f>
        <v>0.2418103021424482</v>
      </c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">
      <c r="A78" s="5"/>
      <c r="B78" s="5"/>
      <c r="C78" s="5">
        <v>89</v>
      </c>
      <c r="D78" s="5"/>
      <c r="E78" s="5"/>
      <c r="F78" s="5">
        <f>U29</f>
        <v>21.640000000000004</v>
      </c>
      <c r="G78" s="5"/>
      <c r="H78" s="5">
        <v>89</v>
      </c>
      <c r="I78" s="5"/>
      <c r="J78" s="5"/>
      <c r="K78" s="5">
        <f>U30</f>
        <v>1.3217833071691862</v>
      </c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">
      <c r="A79" s="5"/>
      <c r="B79" s="5"/>
      <c r="C79" s="5">
        <v>91</v>
      </c>
      <c r="D79" s="5"/>
      <c r="E79" s="5">
        <f>AU40</f>
        <v>16.55</v>
      </c>
      <c r="F79" s="5"/>
      <c r="G79" s="5"/>
      <c r="H79" s="5">
        <v>91</v>
      </c>
      <c r="I79" s="5"/>
      <c r="J79" s="5">
        <f>AU41</f>
        <v>0.72303373211612854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">
      <c r="A80" s="5"/>
      <c r="B80" s="5"/>
      <c r="C80" s="5">
        <v>97</v>
      </c>
      <c r="D80" s="5"/>
      <c r="E80" s="5">
        <f>AV40</f>
        <v>16.830000000000002</v>
      </c>
      <c r="F80" s="5"/>
      <c r="G80" s="5"/>
      <c r="H80" s="5">
        <v>97</v>
      </c>
      <c r="I80" s="5"/>
      <c r="J80" s="5">
        <f>AV41</f>
        <v>0.76890976208019468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">
      <c r="A81" s="5"/>
      <c r="B81" s="5"/>
      <c r="C81" s="5">
        <v>104</v>
      </c>
      <c r="D81" s="5"/>
      <c r="E81" s="5">
        <f>AW40</f>
        <v>16.899999999999999</v>
      </c>
      <c r="F81" s="5"/>
      <c r="G81" s="5"/>
      <c r="H81" s="5">
        <v>104</v>
      </c>
      <c r="I81" s="5"/>
      <c r="J81" s="5">
        <f>AW41</f>
        <v>0.9617692030835675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">
      <c r="A82" s="5"/>
      <c r="B82" s="5"/>
      <c r="C82" s="5">
        <v>111</v>
      </c>
      <c r="D82" s="5"/>
      <c r="E82" s="5">
        <f>AX40</f>
        <v>17.279999999999998</v>
      </c>
      <c r="F82" s="5"/>
      <c r="G82" s="5"/>
      <c r="H82" s="5">
        <v>111</v>
      </c>
      <c r="I82" s="5"/>
      <c r="J82" s="5">
        <f>AX41</f>
        <v>0.95760116958992891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">
      <c r="A83" s="5"/>
      <c r="B83" s="5"/>
      <c r="C83" s="5">
        <v>112</v>
      </c>
      <c r="D83" s="5"/>
      <c r="E83" s="5"/>
      <c r="F83" s="5">
        <f>V29</f>
        <v>21.88</v>
      </c>
      <c r="G83" s="5"/>
      <c r="H83" s="5">
        <v>112</v>
      </c>
      <c r="I83" s="5"/>
      <c r="J83" s="5"/>
      <c r="K83" s="5">
        <f>V30</f>
        <v>1.3414751416092492</v>
      </c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">
      <c r="A84" s="5"/>
      <c r="B84" s="5"/>
      <c r="C84" s="5">
        <v>128</v>
      </c>
      <c r="D84" s="5"/>
      <c r="E84" s="5">
        <f>AY40</f>
        <v>18.13</v>
      </c>
      <c r="F84" s="5">
        <f>W29</f>
        <v>22.29</v>
      </c>
      <c r="G84" s="5"/>
      <c r="H84" s="5">
        <v>128</v>
      </c>
      <c r="I84" s="5"/>
      <c r="J84" s="5">
        <f>AY41</f>
        <v>0.94578010129205003</v>
      </c>
      <c r="K84" s="5">
        <f>W30</f>
        <v>1.2105554280760731</v>
      </c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">
      <c r="A85" s="5"/>
      <c r="B85" s="5"/>
      <c r="C85" s="5">
        <v>146</v>
      </c>
      <c r="D85" s="5"/>
      <c r="E85" s="5">
        <f>AZ40</f>
        <v>18.619999999999997</v>
      </c>
      <c r="F85" s="5"/>
      <c r="G85" s="5"/>
      <c r="H85" s="5">
        <v>146</v>
      </c>
      <c r="I85" s="5"/>
      <c r="J85" s="5">
        <f>AZ41</f>
        <v>0.92032602918748296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">
      <c r="A86" s="5"/>
      <c r="B86" s="5"/>
      <c r="C86" s="5">
        <v>200</v>
      </c>
      <c r="D86" s="5"/>
      <c r="E86" s="5"/>
      <c r="F86" s="5">
        <f>X29</f>
        <v>23.330000000000005</v>
      </c>
      <c r="G86" s="5"/>
      <c r="H86" s="5">
        <v>200</v>
      </c>
      <c r="I86" s="5"/>
      <c r="J86" s="5"/>
      <c r="K86" s="5">
        <f>X30</f>
        <v>1.2728358539541189</v>
      </c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</sheetData>
  <mergeCells count="9">
    <mergeCell ref="C51:F51"/>
    <mergeCell ref="H51:K51"/>
    <mergeCell ref="A3:E3"/>
    <mergeCell ref="B16:L16"/>
    <mergeCell ref="O16:X16"/>
    <mergeCell ref="AC16:AZ16"/>
    <mergeCell ref="B18:B37"/>
    <mergeCell ref="O18:O27"/>
    <mergeCell ref="AC18:AC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2021-11-08T20:17:22Z</dcterms:created>
  <dcterms:modified xsi:type="dcterms:W3CDTF">2021-11-08T20:21:51Z</dcterms:modified>
</cp:coreProperties>
</file>