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BB2FB0BA-AC0A-874B-9DE7-E12A0E1B57B7}" xr6:coauthVersionLast="47" xr6:coauthVersionMax="47" xr10:uidLastSave="{00000000-0000-0000-0000-000000000000}"/>
  <bookViews>
    <workbookView xWindow="7500" yWindow="760" windowWidth="24640" windowHeight="13540" xr2:uid="{AE4CFEAD-B973-BD44-8FC0-FACE4DEF209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1" l="1"/>
  <c r="L86" i="1"/>
  <c r="K86" i="1"/>
  <c r="L85" i="1"/>
  <c r="K85" i="1"/>
  <c r="N83" i="1"/>
  <c r="N82" i="1"/>
  <c r="N81" i="1"/>
  <c r="N79" i="1"/>
  <c r="N77" i="1"/>
  <c r="O76" i="1"/>
  <c r="N76" i="1"/>
  <c r="O75" i="1"/>
  <c r="N74" i="1"/>
  <c r="O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O86" i="1" s="1"/>
  <c r="N65" i="1"/>
  <c r="N87" i="1" s="1"/>
  <c r="AT59" i="1"/>
  <c r="AS59" i="1"/>
  <c r="AQ59" i="1"/>
  <c r="AP59" i="1"/>
  <c r="AF59" i="1"/>
  <c r="AE59" i="1"/>
  <c r="AC59" i="1"/>
  <c r="AB59" i="1"/>
  <c r="R59" i="1"/>
  <c r="Q59" i="1"/>
  <c r="O59" i="1"/>
  <c r="N59" i="1"/>
  <c r="F59" i="1"/>
  <c r="E59" i="1"/>
  <c r="C59" i="1"/>
  <c r="B59" i="1"/>
  <c r="AT58" i="1"/>
  <c r="AS58" i="1"/>
  <c r="AQ58" i="1"/>
  <c r="AP58" i="1"/>
  <c r="AF58" i="1"/>
  <c r="AE58" i="1"/>
  <c r="AC58" i="1"/>
  <c r="AB58" i="1"/>
  <c r="R58" i="1"/>
  <c r="Q58" i="1"/>
  <c r="O58" i="1"/>
  <c r="N58" i="1"/>
  <c r="F58" i="1"/>
  <c r="E58" i="1"/>
  <c r="C58" i="1"/>
  <c r="B58" i="1"/>
  <c r="AT57" i="1"/>
  <c r="AS57" i="1"/>
  <c r="AQ57" i="1"/>
  <c r="AP57" i="1"/>
  <c r="AF57" i="1"/>
  <c r="AE57" i="1"/>
  <c r="AC57" i="1"/>
  <c r="AB57" i="1"/>
  <c r="R57" i="1"/>
  <c r="Q57" i="1"/>
  <c r="O57" i="1"/>
  <c r="N57" i="1"/>
  <c r="F57" i="1"/>
  <c r="E57" i="1"/>
  <c r="C57" i="1"/>
  <c r="B57" i="1"/>
  <c r="EO52" i="1"/>
  <c r="ER52" i="1" s="1"/>
  <c r="EM52" i="1"/>
  <c r="EA52" i="1"/>
  <c r="ED52" i="1" s="1"/>
  <c r="DY52" i="1"/>
  <c r="DM52" i="1"/>
  <c r="DP52" i="1" s="1"/>
  <c r="DK52" i="1"/>
  <c r="DO52" i="1" s="1"/>
  <c r="CY52" i="1"/>
  <c r="CW52" i="1"/>
  <c r="CK52" i="1"/>
  <c r="CN52" i="1" s="1"/>
  <c r="CI52" i="1"/>
  <c r="CO52" i="1" s="1"/>
  <c r="BZ52" i="1"/>
  <c r="BW52" i="1"/>
  <c r="BU52" i="1"/>
  <c r="BK52" i="1"/>
  <c r="BI52" i="1"/>
  <c r="BL52" i="1" s="1"/>
  <c r="BG52" i="1"/>
  <c r="AU52" i="1"/>
  <c r="AS52" i="1"/>
  <c r="AY52" i="1" s="1"/>
  <c r="AG52" i="1"/>
  <c r="AJ52" i="1" s="1"/>
  <c r="AE52" i="1"/>
  <c r="S52" i="1"/>
  <c r="V52" i="1" s="1"/>
  <c r="Q52" i="1"/>
  <c r="G52" i="1"/>
  <c r="J52" i="1" s="1"/>
  <c r="E52" i="1"/>
  <c r="I52" i="1" s="1"/>
  <c r="EO51" i="1"/>
  <c r="ER51" i="1" s="1"/>
  <c r="EM51" i="1"/>
  <c r="EA51" i="1"/>
  <c r="ED51" i="1" s="1"/>
  <c r="DY51" i="1"/>
  <c r="EE51" i="1" s="1"/>
  <c r="DO51" i="1"/>
  <c r="DM51" i="1"/>
  <c r="DP51" i="1" s="1"/>
  <c r="DK51" i="1"/>
  <c r="DB51" i="1"/>
  <c r="CY51" i="1"/>
  <c r="CW51" i="1"/>
  <c r="CK51" i="1"/>
  <c r="CN51" i="1" s="1"/>
  <c r="CI51" i="1"/>
  <c r="BZ51" i="1"/>
  <c r="BW51" i="1"/>
  <c r="BU51" i="1"/>
  <c r="CA51" i="1" s="1"/>
  <c r="BK51" i="1"/>
  <c r="BI51" i="1"/>
  <c r="BL51" i="1" s="1"/>
  <c r="BG51" i="1"/>
  <c r="AU51" i="1"/>
  <c r="AX51" i="1" s="1"/>
  <c r="AS51" i="1"/>
  <c r="AG51" i="1"/>
  <c r="AJ51" i="1" s="1"/>
  <c r="AE51" i="1"/>
  <c r="V51" i="1"/>
  <c r="S51" i="1"/>
  <c r="Q51" i="1"/>
  <c r="G51" i="1"/>
  <c r="J51" i="1" s="1"/>
  <c r="E51" i="1"/>
  <c r="I51" i="1" s="1"/>
  <c r="EO50" i="1"/>
  <c r="ER50" i="1" s="1"/>
  <c r="EM50" i="1"/>
  <c r="EQ50" i="1" s="1"/>
  <c r="EA50" i="1"/>
  <c r="DY50" i="1"/>
  <c r="DM50" i="1"/>
  <c r="DP50" i="1" s="1"/>
  <c r="DK50" i="1"/>
  <c r="DQ50" i="1" s="1"/>
  <c r="DB50" i="1"/>
  <c r="CY50" i="1"/>
  <c r="CW50" i="1"/>
  <c r="CM50" i="1"/>
  <c r="CK50" i="1"/>
  <c r="CN50" i="1" s="1"/>
  <c r="CI50" i="1"/>
  <c r="BW50" i="1"/>
  <c r="BU50" i="1"/>
  <c r="BI50" i="1"/>
  <c r="BL50" i="1" s="1"/>
  <c r="BG50" i="1"/>
  <c r="AU50" i="1"/>
  <c r="AX50" i="1" s="1"/>
  <c r="AS50" i="1"/>
  <c r="AG50" i="1"/>
  <c r="AJ50" i="1" s="1"/>
  <c r="AE50" i="1"/>
  <c r="AI50" i="1" s="1"/>
  <c r="S50" i="1"/>
  <c r="Q50" i="1"/>
  <c r="G50" i="1"/>
  <c r="J50" i="1" s="1"/>
  <c r="E50" i="1"/>
  <c r="I50" i="1" s="1"/>
  <c r="EO49" i="1"/>
  <c r="ER49" i="1" s="1"/>
  <c r="EM49" i="1"/>
  <c r="EQ49" i="1" s="1"/>
  <c r="ED49" i="1"/>
  <c r="EA49" i="1"/>
  <c r="DY49" i="1"/>
  <c r="EC49" i="1" s="1"/>
  <c r="DM49" i="1"/>
  <c r="DP49" i="1" s="1"/>
  <c r="DK49" i="1"/>
  <c r="DO49" i="1" s="1"/>
  <c r="CY49" i="1"/>
  <c r="DB49" i="1" s="1"/>
  <c r="CW49" i="1"/>
  <c r="DA49" i="1" s="1"/>
  <c r="CK49" i="1"/>
  <c r="CN49" i="1" s="1"/>
  <c r="CI49" i="1"/>
  <c r="CM49" i="1" s="1"/>
  <c r="BZ49" i="1"/>
  <c r="BW49" i="1"/>
  <c r="BU49" i="1"/>
  <c r="BY49" i="1" s="1"/>
  <c r="BN49" i="1"/>
  <c r="BI49" i="1"/>
  <c r="BL49" i="1" s="1"/>
  <c r="BG49" i="1"/>
  <c r="BK49" i="1" s="1"/>
  <c r="AU49" i="1"/>
  <c r="AX49" i="1" s="1"/>
  <c r="AS49" i="1"/>
  <c r="AW49" i="1" s="1"/>
  <c r="AG49" i="1"/>
  <c r="AJ49" i="1" s="1"/>
  <c r="AE49" i="1"/>
  <c r="AI49" i="1" s="1"/>
  <c r="S49" i="1"/>
  <c r="AL49" i="1" s="1"/>
  <c r="Q49" i="1"/>
  <c r="U49" i="1" s="1"/>
  <c r="G49" i="1"/>
  <c r="J49" i="1" s="1"/>
  <c r="E49" i="1"/>
  <c r="I49" i="1" s="1"/>
  <c r="EQ48" i="1"/>
  <c r="EO48" i="1"/>
  <c r="ER48" i="1" s="1"/>
  <c r="EM48" i="1"/>
  <c r="EA48" i="1"/>
  <c r="ED48" i="1" s="1"/>
  <c r="DY48" i="1"/>
  <c r="DM48" i="1"/>
  <c r="DP48" i="1" s="1"/>
  <c r="DK48" i="1"/>
  <c r="DO48" i="1" s="1"/>
  <c r="DB48" i="1"/>
  <c r="CY48" i="1"/>
  <c r="CW48" i="1"/>
  <c r="CK48" i="1"/>
  <c r="CP48" i="1" s="1"/>
  <c r="CI48" i="1"/>
  <c r="CM48" i="1" s="1"/>
  <c r="BW48" i="1"/>
  <c r="BU48" i="1"/>
  <c r="BI48" i="1"/>
  <c r="BG48" i="1"/>
  <c r="BK48" i="1" s="1"/>
  <c r="AU48" i="1"/>
  <c r="AX48" i="1" s="1"/>
  <c r="AS48" i="1"/>
  <c r="AI48" i="1"/>
  <c r="AG48" i="1"/>
  <c r="AE48" i="1"/>
  <c r="S48" i="1"/>
  <c r="X48" i="1" s="1"/>
  <c r="Q48" i="1"/>
  <c r="G48" i="1"/>
  <c r="J48" i="1" s="1"/>
  <c r="E48" i="1"/>
  <c r="ET47" i="1"/>
  <c r="ES47" i="1"/>
  <c r="ER47" i="1"/>
  <c r="EQ47" i="1"/>
  <c r="EF47" i="1"/>
  <c r="ED47" i="1"/>
  <c r="EC47" i="1"/>
  <c r="DR47" i="1"/>
  <c r="DP47" i="1"/>
  <c r="DK47" i="1"/>
  <c r="EE47" i="1" s="1"/>
  <c r="DD47" i="1"/>
  <c r="DC47" i="1"/>
  <c r="DB47" i="1"/>
  <c r="DA47" i="1"/>
  <c r="CP47" i="1"/>
  <c r="CO47" i="1"/>
  <c r="CN47" i="1"/>
  <c r="CM47" i="1"/>
  <c r="CB47" i="1"/>
  <c r="CA47" i="1"/>
  <c r="BZ47" i="1"/>
  <c r="BY47" i="1"/>
  <c r="BN47" i="1"/>
  <c r="BM47" i="1"/>
  <c r="BL47" i="1"/>
  <c r="BK47" i="1"/>
  <c r="AZ47" i="1"/>
  <c r="AY47" i="1"/>
  <c r="AX47" i="1"/>
  <c r="AW47" i="1"/>
  <c r="AL47" i="1"/>
  <c r="AK47" i="1"/>
  <c r="AJ47" i="1"/>
  <c r="AI47" i="1"/>
  <c r="X47" i="1"/>
  <c r="W47" i="1"/>
  <c r="V47" i="1"/>
  <c r="U47" i="1"/>
  <c r="J47" i="1"/>
  <c r="I47" i="1"/>
  <c r="EO46" i="1"/>
  <c r="ER46" i="1" s="1"/>
  <c r="EM46" i="1"/>
  <c r="EA46" i="1"/>
  <c r="DY46" i="1"/>
  <c r="EC46" i="1" s="1"/>
  <c r="DM46" i="1"/>
  <c r="DP46" i="1" s="1"/>
  <c r="DK46" i="1"/>
  <c r="DQ46" i="1" s="1"/>
  <c r="DC46" i="1"/>
  <c r="DA46" i="1"/>
  <c r="CY46" i="1"/>
  <c r="DD46" i="1" s="1"/>
  <c r="CP46" i="1"/>
  <c r="CO46" i="1"/>
  <c r="CN46" i="1"/>
  <c r="CM46" i="1"/>
  <c r="CB46" i="1"/>
  <c r="CA46" i="1"/>
  <c r="BZ46" i="1"/>
  <c r="BY46" i="1"/>
  <c r="BN46" i="1"/>
  <c r="BM46" i="1"/>
  <c r="BL46" i="1"/>
  <c r="BK46" i="1"/>
  <c r="AZ46" i="1"/>
  <c r="AY46" i="1"/>
  <c r="AX46" i="1"/>
  <c r="AW46" i="1"/>
  <c r="AL46" i="1"/>
  <c r="AK46" i="1"/>
  <c r="AJ46" i="1"/>
  <c r="AI46" i="1"/>
  <c r="X46" i="1"/>
  <c r="W46" i="1"/>
  <c r="V46" i="1"/>
  <c r="U46" i="1"/>
  <c r="J46" i="1"/>
  <c r="I46" i="1"/>
  <c r="EO45" i="1"/>
  <c r="ET45" i="1" s="1"/>
  <c r="EM45" i="1"/>
  <c r="EF45" i="1"/>
  <c r="ED45" i="1"/>
  <c r="DY45" i="1"/>
  <c r="EC45" i="1" s="1"/>
  <c r="DR45" i="1"/>
  <c r="DP45" i="1"/>
  <c r="DK45" i="1"/>
  <c r="DD45" i="1"/>
  <c r="DB45" i="1"/>
  <c r="CW45" i="1"/>
  <c r="DC45" i="1" s="1"/>
  <c r="CN45" i="1"/>
  <c r="CM45" i="1"/>
  <c r="BW45" i="1"/>
  <c r="CP45" i="1" s="1"/>
  <c r="BU45" i="1"/>
  <c r="BY45" i="1" s="1"/>
  <c r="BN45" i="1"/>
  <c r="BM45" i="1"/>
  <c r="BL45" i="1"/>
  <c r="BK45" i="1"/>
  <c r="AZ45" i="1"/>
  <c r="AY45" i="1"/>
  <c r="AX45" i="1"/>
  <c r="AW45" i="1"/>
  <c r="AL45" i="1"/>
  <c r="AK45" i="1"/>
  <c r="AJ45" i="1"/>
  <c r="AI45" i="1"/>
  <c r="X45" i="1"/>
  <c r="W45" i="1"/>
  <c r="V45" i="1"/>
  <c r="U45" i="1"/>
  <c r="J45" i="1"/>
  <c r="I45" i="1"/>
  <c r="ER44" i="1"/>
  <c r="EO44" i="1"/>
  <c r="EM44" i="1"/>
  <c r="EQ44" i="1" s="1"/>
  <c r="EA44" i="1"/>
  <c r="ED44" i="1" s="1"/>
  <c r="DY44" i="1"/>
  <c r="DM44" i="1"/>
  <c r="DK44" i="1"/>
  <c r="DQ44" i="1" s="1"/>
  <c r="DC44" i="1"/>
  <c r="DA44" i="1"/>
  <c r="CY44" i="1"/>
  <c r="DB44" i="1" s="1"/>
  <c r="CP44" i="1"/>
  <c r="CO44" i="1"/>
  <c r="CN44" i="1"/>
  <c r="CM44" i="1"/>
  <c r="CB44" i="1"/>
  <c r="CA44" i="1"/>
  <c r="BZ44" i="1"/>
  <c r="BY44" i="1"/>
  <c r="BN44" i="1"/>
  <c r="BM44" i="1"/>
  <c r="BL44" i="1"/>
  <c r="BK44" i="1"/>
  <c r="AZ44" i="1"/>
  <c r="AY44" i="1"/>
  <c r="AX44" i="1"/>
  <c r="AW44" i="1"/>
  <c r="AL44" i="1"/>
  <c r="AK44" i="1"/>
  <c r="AJ44" i="1"/>
  <c r="AI44" i="1"/>
  <c r="X44" i="1"/>
  <c r="W44" i="1"/>
  <c r="V44" i="1"/>
  <c r="U44" i="1"/>
  <c r="J44" i="1"/>
  <c r="I44" i="1"/>
  <c r="ET43" i="1"/>
  <c r="ES43" i="1"/>
  <c r="ER43" i="1"/>
  <c r="EQ43" i="1"/>
  <c r="ED43" i="1"/>
  <c r="EC43" i="1"/>
  <c r="DP43" i="1"/>
  <c r="DM43" i="1"/>
  <c r="EF43" i="1" s="1"/>
  <c r="DK43" i="1"/>
  <c r="DO43" i="1" s="1"/>
  <c r="CY43" i="1"/>
  <c r="DD43" i="1" s="1"/>
  <c r="CW43" i="1"/>
  <c r="DC43" i="1" s="1"/>
  <c r="CO43" i="1"/>
  <c r="CM43" i="1"/>
  <c r="CK43" i="1"/>
  <c r="CN43" i="1" s="1"/>
  <c r="CB43" i="1"/>
  <c r="CA43" i="1"/>
  <c r="BZ43" i="1"/>
  <c r="BY43" i="1"/>
  <c r="BN43" i="1"/>
  <c r="BM43" i="1"/>
  <c r="BL43" i="1"/>
  <c r="BK43" i="1"/>
  <c r="AZ43" i="1"/>
  <c r="AY43" i="1"/>
  <c r="AX43" i="1"/>
  <c r="AW43" i="1"/>
  <c r="AL43" i="1"/>
  <c r="AK43" i="1"/>
  <c r="AJ43" i="1"/>
  <c r="AI43" i="1"/>
  <c r="X43" i="1"/>
  <c r="W43" i="1"/>
  <c r="V43" i="1"/>
  <c r="U43" i="1"/>
  <c r="J43" i="1"/>
  <c r="I43" i="1"/>
  <c r="ES42" i="1"/>
  <c r="EQ42" i="1"/>
  <c r="EO42" i="1"/>
  <c r="EE42" i="1"/>
  <c r="EC42" i="1"/>
  <c r="EA42" i="1"/>
  <c r="DQ42" i="1"/>
  <c r="DO42" i="1"/>
  <c r="DM42" i="1"/>
  <c r="DP42" i="1" s="1"/>
  <c r="DC42" i="1"/>
  <c r="DA42" i="1"/>
  <c r="CY42" i="1"/>
  <c r="DD42" i="1" s="1"/>
  <c r="CP42" i="1"/>
  <c r="CO42" i="1"/>
  <c r="CN42" i="1"/>
  <c r="CM42" i="1"/>
  <c r="CB42" i="1"/>
  <c r="CA42" i="1"/>
  <c r="BZ42" i="1"/>
  <c r="BY42" i="1"/>
  <c r="BN42" i="1"/>
  <c r="BM42" i="1"/>
  <c r="BL42" i="1"/>
  <c r="BK42" i="1"/>
  <c r="AZ42" i="1"/>
  <c r="AY42" i="1"/>
  <c r="AX42" i="1"/>
  <c r="AW42" i="1"/>
  <c r="AL42" i="1"/>
  <c r="AK42" i="1"/>
  <c r="AJ42" i="1"/>
  <c r="AI42" i="1"/>
  <c r="X42" i="1"/>
  <c r="W42" i="1"/>
  <c r="V42" i="1"/>
  <c r="U42" i="1"/>
  <c r="J42" i="1"/>
  <c r="I42" i="1"/>
  <c r="BN41" i="1"/>
  <c r="BM41" i="1"/>
  <c r="BL41" i="1"/>
  <c r="BK41" i="1"/>
  <c r="AZ41" i="1"/>
  <c r="AY41" i="1"/>
  <c r="AX41" i="1"/>
  <c r="AW41" i="1"/>
  <c r="AL41" i="1"/>
  <c r="AJ41" i="1"/>
  <c r="X41" i="1"/>
  <c r="W41" i="1"/>
  <c r="V41" i="1"/>
  <c r="U41" i="1"/>
  <c r="J41" i="1"/>
  <c r="I41" i="1"/>
  <c r="EO40" i="1"/>
  <c r="ER40" i="1" s="1"/>
  <c r="EM40" i="1"/>
  <c r="EQ40" i="1" s="1"/>
  <c r="EC40" i="1"/>
  <c r="EA40" i="1"/>
  <c r="EF40" i="1" s="1"/>
  <c r="DY40" i="1"/>
  <c r="DM40" i="1"/>
  <c r="DP40" i="1" s="1"/>
  <c r="DK40" i="1"/>
  <c r="DO40" i="1" s="1"/>
  <c r="DB40" i="1"/>
  <c r="CY40" i="1"/>
  <c r="DD40" i="1" s="1"/>
  <c r="CW40" i="1"/>
  <c r="DA40" i="1" s="1"/>
  <c r="CP40" i="1"/>
  <c r="CO40" i="1"/>
  <c r="CN40" i="1"/>
  <c r="CM40" i="1"/>
  <c r="CB40" i="1"/>
  <c r="CA40" i="1"/>
  <c r="BZ40" i="1"/>
  <c r="BY40" i="1"/>
  <c r="BN40" i="1"/>
  <c r="BM40" i="1"/>
  <c r="BL40" i="1"/>
  <c r="BK40" i="1"/>
  <c r="AZ40" i="1"/>
  <c r="AY40" i="1"/>
  <c r="AX40" i="1"/>
  <c r="AW40" i="1"/>
  <c r="AL40" i="1"/>
  <c r="AK40" i="1"/>
  <c r="AJ40" i="1"/>
  <c r="AI40" i="1"/>
  <c r="X40" i="1"/>
  <c r="W40" i="1"/>
  <c r="V40" i="1"/>
  <c r="U40" i="1"/>
  <c r="J40" i="1"/>
  <c r="I40" i="1"/>
  <c r="ES39" i="1"/>
  <c r="EQ39" i="1"/>
  <c r="EE39" i="1"/>
  <c r="ED39" i="1"/>
  <c r="EC39" i="1"/>
  <c r="DQ39" i="1"/>
  <c r="DP39" i="1"/>
  <c r="DO39" i="1"/>
  <c r="DC39" i="1"/>
  <c r="DB39" i="1"/>
  <c r="DA39" i="1"/>
  <c r="CO39" i="1"/>
  <c r="CM39" i="1"/>
  <c r="CA39" i="1"/>
  <c r="BY39" i="1"/>
  <c r="BM39" i="1"/>
  <c r="BK39" i="1"/>
  <c r="AY39" i="1"/>
  <c r="AW39" i="1"/>
  <c r="AK39" i="1"/>
  <c r="AI39" i="1"/>
  <c r="W39" i="1"/>
  <c r="U39" i="1"/>
  <c r="J39" i="1"/>
  <c r="I39" i="1"/>
  <c r="EO38" i="1"/>
  <c r="EA38" i="1"/>
  <c r="EF38" i="1" s="1"/>
  <c r="DO38" i="1"/>
  <c r="DM38" i="1"/>
  <c r="DA38" i="1"/>
  <c r="CY38" i="1"/>
  <c r="DD38" i="1" s="1"/>
  <c r="CP38" i="1"/>
  <c r="CN38" i="1"/>
  <c r="BZ38" i="1"/>
  <c r="BN38" i="1"/>
  <c r="BI38" i="1"/>
  <c r="AZ38" i="1"/>
  <c r="AX38" i="1"/>
  <c r="AL38" i="1"/>
  <c r="AJ38" i="1"/>
  <c r="X38" i="1"/>
  <c r="V38" i="1"/>
  <c r="J38" i="1"/>
  <c r="I38" i="1"/>
  <c r="EO37" i="1"/>
  <c r="ER37" i="1" s="1"/>
  <c r="EA37" i="1"/>
  <c r="DO37" i="1"/>
  <c r="DM37" i="1"/>
  <c r="DA37" i="1"/>
  <c r="CY37" i="1"/>
  <c r="DD37" i="1" s="1"/>
  <c r="CP37" i="1"/>
  <c r="CN37" i="1"/>
  <c r="CB37" i="1"/>
  <c r="BZ37" i="1"/>
  <c r="BN37" i="1"/>
  <c r="BL37" i="1"/>
  <c r="AZ37" i="1"/>
  <c r="AX37" i="1"/>
  <c r="AL37" i="1"/>
  <c r="AJ37" i="1"/>
  <c r="X37" i="1"/>
  <c r="V37" i="1"/>
  <c r="J37" i="1"/>
  <c r="I37" i="1"/>
  <c r="EO36" i="1"/>
  <c r="ER36" i="1" s="1"/>
  <c r="EA36" i="1"/>
  <c r="EF36" i="1" s="1"/>
  <c r="DR36" i="1"/>
  <c r="DP36" i="1"/>
  <c r="DO36" i="1"/>
  <c r="DD36" i="1"/>
  <c r="DB36" i="1"/>
  <c r="DA36" i="1"/>
  <c r="CP36" i="1"/>
  <c r="CN36" i="1"/>
  <c r="CB36" i="1"/>
  <c r="BZ36" i="1"/>
  <c r="BN36" i="1"/>
  <c r="BL36" i="1"/>
  <c r="AZ36" i="1"/>
  <c r="AX36" i="1"/>
  <c r="AL36" i="1"/>
  <c r="AJ36" i="1"/>
  <c r="X36" i="1"/>
  <c r="V36" i="1"/>
  <c r="J36" i="1"/>
  <c r="I36" i="1"/>
  <c r="ER35" i="1"/>
  <c r="EQ35" i="1"/>
  <c r="EM35" i="1"/>
  <c r="EA35" i="1"/>
  <c r="ET35" i="1" s="1"/>
  <c r="DY35" i="1"/>
  <c r="EC35" i="1" s="1"/>
  <c r="DR35" i="1"/>
  <c r="DP35" i="1"/>
  <c r="DK35" i="1"/>
  <c r="DD35" i="1"/>
  <c r="DB35" i="1"/>
  <c r="CW35" i="1"/>
  <c r="CP35" i="1"/>
  <c r="CN35" i="1"/>
  <c r="CI35" i="1"/>
  <c r="CM35" i="1" s="1"/>
  <c r="CB35" i="1"/>
  <c r="CA35" i="1"/>
  <c r="BZ35" i="1"/>
  <c r="BY35" i="1"/>
  <c r="BN35" i="1"/>
  <c r="BM35" i="1"/>
  <c r="BL35" i="1"/>
  <c r="BK35" i="1"/>
  <c r="AZ35" i="1"/>
  <c r="AY35" i="1"/>
  <c r="AX35" i="1"/>
  <c r="AW35" i="1"/>
  <c r="AL35" i="1"/>
  <c r="AK35" i="1"/>
  <c r="AJ35" i="1"/>
  <c r="AI35" i="1"/>
  <c r="X35" i="1"/>
  <c r="W35" i="1"/>
  <c r="V35" i="1"/>
  <c r="U35" i="1"/>
  <c r="J35" i="1"/>
  <c r="I35" i="1"/>
  <c r="EQ34" i="1"/>
  <c r="EO34" i="1"/>
  <c r="ET34" i="1" s="1"/>
  <c r="EM34" i="1"/>
  <c r="EA34" i="1"/>
  <c r="ED34" i="1" s="1"/>
  <c r="DY34" i="1"/>
  <c r="DP34" i="1"/>
  <c r="DM34" i="1"/>
  <c r="DR34" i="1" s="1"/>
  <c r="DK34" i="1"/>
  <c r="DB34" i="1"/>
  <c r="CW34" i="1"/>
  <c r="CK34" i="1"/>
  <c r="CI34" i="1"/>
  <c r="BZ34" i="1"/>
  <c r="BW34" i="1"/>
  <c r="CB34" i="1" s="1"/>
  <c r="BU34" i="1"/>
  <c r="BN34" i="1"/>
  <c r="BL34" i="1"/>
  <c r="BG34" i="1"/>
  <c r="BM34" i="1" s="1"/>
  <c r="AZ34" i="1"/>
  <c r="AY34" i="1"/>
  <c r="AX34" i="1"/>
  <c r="AW34" i="1"/>
  <c r="AL34" i="1"/>
  <c r="AK34" i="1"/>
  <c r="AJ34" i="1"/>
  <c r="AI34" i="1"/>
  <c r="X34" i="1"/>
  <c r="W34" i="1"/>
  <c r="V34" i="1"/>
  <c r="U34" i="1"/>
  <c r="J34" i="1"/>
  <c r="I34" i="1"/>
  <c r="EO33" i="1"/>
  <c r="ER33" i="1" s="1"/>
  <c r="EM33" i="1"/>
  <c r="EA33" i="1"/>
  <c r="ED33" i="1" s="1"/>
  <c r="DY33" i="1"/>
  <c r="EC33" i="1" s="1"/>
  <c r="DM33" i="1"/>
  <c r="DP33" i="1" s="1"/>
  <c r="DK33" i="1"/>
  <c r="DQ33" i="1" s="1"/>
  <c r="DA33" i="1"/>
  <c r="CY33" i="1"/>
  <c r="DD33" i="1" s="1"/>
  <c r="CK33" i="1"/>
  <c r="CN33" i="1" s="1"/>
  <c r="CI33" i="1"/>
  <c r="BY33" i="1"/>
  <c r="BW33" i="1"/>
  <c r="BI33" i="1"/>
  <c r="BN33" i="1" s="1"/>
  <c r="BG33" i="1"/>
  <c r="BK33" i="1" s="1"/>
  <c r="AZ33" i="1"/>
  <c r="AY33" i="1"/>
  <c r="AX33" i="1"/>
  <c r="AW33" i="1"/>
  <c r="AL33" i="1"/>
  <c r="AK33" i="1"/>
  <c r="AJ33" i="1"/>
  <c r="AI33" i="1"/>
  <c r="X33" i="1"/>
  <c r="W33" i="1"/>
  <c r="V33" i="1"/>
  <c r="U33" i="1"/>
  <c r="J33" i="1"/>
  <c r="I33" i="1"/>
  <c r="EQ32" i="1"/>
  <c r="EO32" i="1"/>
  <c r="ER32" i="1" s="1"/>
  <c r="EM32" i="1"/>
  <c r="EA32" i="1"/>
  <c r="ED32" i="1" s="1"/>
  <c r="DY32" i="1"/>
  <c r="DR32" i="1"/>
  <c r="DP32" i="1"/>
  <c r="DK32" i="1"/>
  <c r="DQ32" i="1" s="1"/>
  <c r="DD32" i="1"/>
  <c r="DC32" i="1"/>
  <c r="DB32" i="1"/>
  <c r="DA32" i="1"/>
  <c r="CP32" i="1"/>
  <c r="CO32" i="1"/>
  <c r="CN32" i="1"/>
  <c r="CM32" i="1"/>
  <c r="CB32" i="1"/>
  <c r="CA32" i="1"/>
  <c r="BZ32" i="1"/>
  <c r="BY32" i="1"/>
  <c r="BN32" i="1"/>
  <c r="BM32" i="1"/>
  <c r="BL32" i="1"/>
  <c r="BK32" i="1"/>
  <c r="AZ32" i="1"/>
  <c r="AY32" i="1"/>
  <c r="AX32" i="1"/>
  <c r="AW32" i="1"/>
  <c r="AL32" i="1"/>
  <c r="AK32" i="1"/>
  <c r="AJ32" i="1"/>
  <c r="AI32" i="1"/>
  <c r="X32" i="1"/>
  <c r="W32" i="1"/>
  <c r="V32" i="1"/>
  <c r="U32" i="1"/>
  <c r="J32" i="1"/>
  <c r="I32" i="1"/>
  <c r="EO31" i="1"/>
  <c r="ER31" i="1" s="1"/>
  <c r="EM31" i="1"/>
  <c r="EQ31" i="1" s="1"/>
  <c r="ED31" i="1"/>
  <c r="DY31" i="1"/>
  <c r="DM31" i="1"/>
  <c r="DK31" i="1"/>
  <c r="DD31" i="1"/>
  <c r="DB31" i="1"/>
  <c r="CW31" i="1"/>
  <c r="DA31" i="1" s="1"/>
  <c r="CP31" i="1"/>
  <c r="CO31" i="1"/>
  <c r="CN31" i="1"/>
  <c r="CM31" i="1"/>
  <c r="CB31" i="1"/>
  <c r="CA31" i="1"/>
  <c r="BZ31" i="1"/>
  <c r="BY31" i="1"/>
  <c r="BN31" i="1"/>
  <c r="BM31" i="1"/>
  <c r="BL31" i="1"/>
  <c r="BK31" i="1"/>
  <c r="AZ31" i="1"/>
  <c r="AY31" i="1"/>
  <c r="AX31" i="1"/>
  <c r="AW31" i="1"/>
  <c r="AL31" i="1"/>
  <c r="AK31" i="1"/>
  <c r="AJ31" i="1"/>
  <c r="AI31" i="1"/>
  <c r="X31" i="1"/>
  <c r="W31" i="1"/>
  <c r="V31" i="1"/>
  <c r="U31" i="1"/>
  <c r="J31" i="1"/>
  <c r="I31" i="1"/>
  <c r="EO30" i="1"/>
  <c r="ER30" i="1" s="1"/>
  <c r="EM30" i="1"/>
  <c r="EQ30" i="1" s="1"/>
  <c r="EA30" i="1"/>
  <c r="ED30" i="1" s="1"/>
  <c r="DY30" i="1"/>
  <c r="EC30" i="1" s="1"/>
  <c r="DM30" i="1"/>
  <c r="DP30" i="1" s="1"/>
  <c r="DK30" i="1"/>
  <c r="DO30" i="1" s="1"/>
  <c r="CY30" i="1"/>
  <c r="DB30" i="1" s="1"/>
  <c r="CW30" i="1"/>
  <c r="DA30" i="1" s="1"/>
  <c r="CP30" i="1"/>
  <c r="CK30" i="1"/>
  <c r="CN30" i="1" s="1"/>
  <c r="CI30" i="1"/>
  <c r="CM30" i="1" s="1"/>
  <c r="BZ30" i="1"/>
  <c r="BW30" i="1"/>
  <c r="BU30" i="1"/>
  <c r="BY30" i="1" s="1"/>
  <c r="BK30" i="1"/>
  <c r="BI30" i="1"/>
  <c r="BL30" i="1" s="1"/>
  <c r="BG30" i="1"/>
  <c r="AU30" i="1"/>
  <c r="AX30" i="1" s="1"/>
  <c r="AS30" i="1"/>
  <c r="AW30" i="1" s="1"/>
  <c r="AG30" i="1"/>
  <c r="AJ30" i="1" s="1"/>
  <c r="AE30" i="1"/>
  <c r="AI30" i="1" s="1"/>
  <c r="S30" i="1"/>
  <c r="X30" i="1" s="1"/>
  <c r="Q30" i="1"/>
  <c r="U30" i="1" s="1"/>
  <c r="J30" i="1"/>
  <c r="G30" i="1"/>
  <c r="E30" i="1"/>
  <c r="I30" i="1" s="1"/>
  <c r="ET29" i="1"/>
  <c r="EQ29" i="1"/>
  <c r="EO29" i="1"/>
  <c r="ER29" i="1" s="1"/>
  <c r="EM29" i="1"/>
  <c r="EE29" i="1"/>
  <c r="ED29" i="1"/>
  <c r="EA29" i="1"/>
  <c r="DY29" i="1"/>
  <c r="EC29" i="1" s="1"/>
  <c r="DR29" i="1"/>
  <c r="DO29" i="1"/>
  <c r="DM29" i="1"/>
  <c r="DP29" i="1" s="1"/>
  <c r="DK29" i="1"/>
  <c r="DC29" i="1"/>
  <c r="DB29" i="1"/>
  <c r="CY29" i="1"/>
  <c r="CW29" i="1"/>
  <c r="DA29" i="1" s="1"/>
  <c r="CP29" i="1"/>
  <c r="CM29" i="1"/>
  <c r="CK29" i="1"/>
  <c r="CN29" i="1" s="1"/>
  <c r="CI29" i="1"/>
  <c r="CA29" i="1"/>
  <c r="BZ29" i="1"/>
  <c r="BW29" i="1"/>
  <c r="BU29" i="1"/>
  <c r="BY29" i="1" s="1"/>
  <c r="BN29" i="1"/>
  <c r="BK29" i="1"/>
  <c r="BI29" i="1"/>
  <c r="BL29" i="1" s="1"/>
  <c r="BG29" i="1"/>
  <c r="AY29" i="1"/>
  <c r="AX29" i="1"/>
  <c r="AU29" i="1"/>
  <c r="AS29" i="1"/>
  <c r="AW29" i="1" s="1"/>
  <c r="AG29" i="1"/>
  <c r="AJ29" i="1" s="1"/>
  <c r="AE29" i="1"/>
  <c r="S29" i="1"/>
  <c r="Q29" i="1"/>
  <c r="G29" i="1"/>
  <c r="J29" i="1" s="1"/>
  <c r="E29" i="1"/>
  <c r="I29" i="1" s="1"/>
  <c r="EO28" i="1"/>
  <c r="ER28" i="1" s="1"/>
  <c r="EM28" i="1"/>
  <c r="ED28" i="1"/>
  <c r="EC28" i="1"/>
  <c r="EA28" i="1"/>
  <c r="DY28" i="1"/>
  <c r="DM28" i="1"/>
  <c r="DP28" i="1" s="1"/>
  <c r="DK28" i="1"/>
  <c r="CY28" i="1"/>
  <c r="CW28" i="1"/>
  <c r="CK28" i="1"/>
  <c r="CN28" i="1" s="1"/>
  <c r="CI28" i="1"/>
  <c r="BW28" i="1"/>
  <c r="BZ28" i="1" s="1"/>
  <c r="BU28" i="1"/>
  <c r="BY28" i="1" s="1"/>
  <c r="BI28" i="1"/>
  <c r="BL28" i="1" s="1"/>
  <c r="BG28" i="1"/>
  <c r="AU28" i="1"/>
  <c r="AZ28" i="1" s="1"/>
  <c r="AS28" i="1"/>
  <c r="AY28" i="1" s="1"/>
  <c r="AG28" i="1"/>
  <c r="AJ28" i="1" s="1"/>
  <c r="AE28" i="1"/>
  <c r="V28" i="1"/>
  <c r="U28" i="1"/>
  <c r="S28" i="1"/>
  <c r="Q28" i="1"/>
  <c r="J28" i="1"/>
  <c r="I28" i="1"/>
  <c r="G28" i="1"/>
  <c r="E28" i="1"/>
  <c r="EO27" i="1"/>
  <c r="ER27" i="1" s="1"/>
  <c r="EM27" i="1"/>
  <c r="EA27" i="1"/>
  <c r="DY27" i="1"/>
  <c r="DM27" i="1"/>
  <c r="DP27" i="1" s="1"/>
  <c r="DK27" i="1"/>
  <c r="CY27" i="1"/>
  <c r="DB27" i="1" s="1"/>
  <c r="CW27" i="1"/>
  <c r="DA27" i="1" s="1"/>
  <c r="CK27" i="1"/>
  <c r="CN27" i="1" s="1"/>
  <c r="CI27" i="1"/>
  <c r="BW27" i="1"/>
  <c r="CB27" i="1" s="1"/>
  <c r="BU27" i="1"/>
  <c r="CA27" i="1" s="1"/>
  <c r="BI27" i="1"/>
  <c r="BL27" i="1" s="1"/>
  <c r="BG27" i="1"/>
  <c r="AX27" i="1"/>
  <c r="AW27" i="1"/>
  <c r="AU27" i="1"/>
  <c r="AS27" i="1"/>
  <c r="AG27" i="1"/>
  <c r="AJ27" i="1" s="1"/>
  <c r="AE27" i="1"/>
  <c r="S27" i="1"/>
  <c r="Q27" i="1"/>
  <c r="G27" i="1"/>
  <c r="J27" i="1" s="1"/>
  <c r="E27" i="1"/>
  <c r="I27" i="1" s="1"/>
  <c r="EO26" i="1"/>
  <c r="ER26" i="1" s="1"/>
  <c r="EM26" i="1"/>
  <c r="EQ26" i="1" s="1"/>
  <c r="ED26" i="1"/>
  <c r="EC26" i="1"/>
  <c r="EA26" i="1"/>
  <c r="DY26" i="1"/>
  <c r="DM26" i="1"/>
  <c r="DP26" i="1" s="1"/>
  <c r="DK26" i="1"/>
  <c r="DO26" i="1" s="1"/>
  <c r="CY26" i="1"/>
  <c r="CW26" i="1"/>
  <c r="DA26" i="1" s="1"/>
  <c r="CK26" i="1"/>
  <c r="CN26" i="1" s="1"/>
  <c r="CI26" i="1"/>
  <c r="CM26" i="1" s="1"/>
  <c r="BW26" i="1"/>
  <c r="BZ26" i="1" s="1"/>
  <c r="BU26" i="1"/>
  <c r="BY26" i="1" s="1"/>
  <c r="BI26" i="1"/>
  <c r="BL26" i="1" s="1"/>
  <c r="BG26" i="1"/>
  <c r="BK26" i="1" s="1"/>
  <c r="AU26" i="1"/>
  <c r="AZ26" i="1" s="1"/>
  <c r="AS26" i="1"/>
  <c r="AW26" i="1" s="1"/>
  <c r="AG26" i="1"/>
  <c r="AJ26" i="1" s="1"/>
  <c r="AE26" i="1"/>
  <c r="AI26" i="1" s="1"/>
  <c r="V26" i="1"/>
  <c r="U26" i="1"/>
  <c r="S26" i="1"/>
  <c r="Q26" i="1"/>
  <c r="J26" i="1"/>
  <c r="I26" i="1"/>
  <c r="G26" i="1"/>
  <c r="E26" i="1"/>
  <c r="EO25" i="1"/>
  <c r="ER25" i="1" s="1"/>
  <c r="EM25" i="1"/>
  <c r="EA25" i="1"/>
  <c r="DY25" i="1"/>
  <c r="DM25" i="1"/>
  <c r="DP25" i="1" s="1"/>
  <c r="DK25" i="1"/>
  <c r="DD25" i="1"/>
  <c r="DB25" i="1"/>
  <c r="DA25" i="1"/>
  <c r="CW25" i="1"/>
  <c r="CP25" i="1"/>
  <c r="CN25" i="1"/>
  <c r="CI25" i="1"/>
  <c r="CM25" i="1" s="1"/>
  <c r="CB25" i="1"/>
  <c r="BZ25" i="1"/>
  <c r="BU25" i="1"/>
  <c r="BN25" i="1"/>
  <c r="BL25" i="1"/>
  <c r="BG25" i="1"/>
  <c r="BM25" i="1" s="1"/>
  <c r="AZ25" i="1"/>
  <c r="AY25" i="1"/>
  <c r="AX25" i="1"/>
  <c r="AW25" i="1"/>
  <c r="AL25" i="1"/>
  <c r="AK25" i="1"/>
  <c r="AJ25" i="1"/>
  <c r="AI25" i="1"/>
  <c r="X25" i="1"/>
  <c r="W25" i="1"/>
  <c r="V25" i="1"/>
  <c r="U25" i="1"/>
  <c r="J25" i="1"/>
  <c r="I25" i="1"/>
  <c r="EO24" i="1"/>
  <c r="ER24" i="1" s="1"/>
  <c r="EM24" i="1"/>
  <c r="EA24" i="1"/>
  <c r="EF24" i="1" s="1"/>
  <c r="DY24" i="1"/>
  <c r="EE24" i="1" s="1"/>
  <c r="DR24" i="1"/>
  <c r="DP24" i="1"/>
  <c r="DK24" i="1"/>
  <c r="DQ24" i="1" s="1"/>
  <c r="DD24" i="1"/>
  <c r="DC24" i="1"/>
  <c r="DB24" i="1"/>
  <c r="DA24" i="1"/>
  <c r="CP24" i="1"/>
  <c r="CO24" i="1"/>
  <c r="CN24" i="1"/>
  <c r="CM24" i="1"/>
  <c r="CB24" i="1"/>
  <c r="CA24" i="1"/>
  <c r="BZ24" i="1"/>
  <c r="BY24" i="1"/>
  <c r="BN24" i="1"/>
  <c r="BM24" i="1"/>
  <c r="BL24" i="1"/>
  <c r="BK24" i="1"/>
  <c r="AZ24" i="1"/>
  <c r="AY24" i="1"/>
  <c r="AX24" i="1"/>
  <c r="AW24" i="1"/>
  <c r="AL24" i="1"/>
  <c r="AK24" i="1"/>
  <c r="AJ24" i="1"/>
  <c r="AI24" i="1"/>
  <c r="X24" i="1"/>
  <c r="W24" i="1"/>
  <c r="V24" i="1"/>
  <c r="U24" i="1"/>
  <c r="J24" i="1"/>
  <c r="I24" i="1"/>
  <c r="EO23" i="1"/>
  <c r="EM23" i="1"/>
  <c r="EQ23" i="1" s="1"/>
  <c r="EA23" i="1"/>
  <c r="EF23" i="1" s="1"/>
  <c r="DY23" i="1"/>
  <c r="EE23" i="1" s="1"/>
  <c r="DQ23" i="1"/>
  <c r="DP23" i="1"/>
  <c r="DO23" i="1"/>
  <c r="DC23" i="1"/>
  <c r="DA23" i="1"/>
  <c r="CY23" i="1"/>
  <c r="DR23" i="1" s="1"/>
  <c r="CP23" i="1"/>
  <c r="CO23" i="1"/>
  <c r="CN23" i="1"/>
  <c r="CM23" i="1"/>
  <c r="CB23" i="1"/>
  <c r="CA23" i="1"/>
  <c r="BZ23" i="1"/>
  <c r="BY23" i="1"/>
  <c r="BN23" i="1"/>
  <c r="BM23" i="1"/>
  <c r="BL23" i="1"/>
  <c r="BK23" i="1"/>
  <c r="AZ23" i="1"/>
  <c r="AY23" i="1"/>
  <c r="AX23" i="1"/>
  <c r="AW23" i="1"/>
  <c r="AL23" i="1"/>
  <c r="AK23" i="1"/>
  <c r="AJ23" i="1"/>
  <c r="AI23" i="1"/>
  <c r="X23" i="1"/>
  <c r="W23" i="1"/>
  <c r="V23" i="1"/>
  <c r="U23" i="1"/>
  <c r="J23" i="1"/>
  <c r="I23" i="1"/>
  <c r="ET22" i="1"/>
  <c r="ER22" i="1"/>
  <c r="EM22" i="1"/>
  <c r="ES22" i="1" s="1"/>
  <c r="EF22" i="1"/>
  <c r="ED22" i="1"/>
  <c r="EC22" i="1"/>
  <c r="DR22" i="1"/>
  <c r="DP22" i="1"/>
  <c r="DK22" i="1"/>
  <c r="EE22" i="1" s="1"/>
  <c r="DD22" i="1"/>
  <c r="DB22" i="1"/>
  <c r="CW22" i="1"/>
  <c r="DC22" i="1" s="1"/>
  <c r="CP22" i="1"/>
  <c r="CO22" i="1"/>
  <c r="CN22" i="1"/>
  <c r="CM22" i="1"/>
  <c r="CB22" i="1"/>
  <c r="CA22" i="1"/>
  <c r="BZ22" i="1"/>
  <c r="BY22" i="1"/>
  <c r="BN22" i="1"/>
  <c r="BM22" i="1"/>
  <c r="BL22" i="1"/>
  <c r="BK22" i="1"/>
  <c r="AZ22" i="1"/>
  <c r="AY22" i="1"/>
  <c r="AX22" i="1"/>
  <c r="AW22" i="1"/>
  <c r="AL22" i="1"/>
  <c r="AK22" i="1"/>
  <c r="AJ22" i="1"/>
  <c r="AI22" i="1"/>
  <c r="X22" i="1"/>
  <c r="W22" i="1"/>
  <c r="V22" i="1"/>
  <c r="U22" i="1"/>
  <c r="J22" i="1"/>
  <c r="I22" i="1"/>
  <c r="EO21" i="1"/>
  <c r="EM21" i="1"/>
  <c r="EQ21" i="1" s="1"/>
  <c r="EE21" i="1"/>
  <c r="EC21" i="1"/>
  <c r="EA21" i="1"/>
  <c r="EF21" i="1" s="1"/>
  <c r="DR21" i="1"/>
  <c r="DQ21" i="1"/>
  <c r="DP21" i="1"/>
  <c r="DO21" i="1"/>
  <c r="DD21" i="1"/>
  <c r="DC21" i="1"/>
  <c r="DB21" i="1"/>
  <c r="DA21" i="1"/>
  <c r="CP21" i="1"/>
  <c r="CO21" i="1"/>
  <c r="CN21" i="1"/>
  <c r="CM21" i="1"/>
  <c r="CB21" i="1"/>
  <c r="CA21" i="1"/>
  <c r="BZ21" i="1"/>
  <c r="BY21" i="1"/>
  <c r="BN21" i="1"/>
  <c r="BM21" i="1"/>
  <c r="BL21" i="1"/>
  <c r="BK21" i="1"/>
  <c r="AZ21" i="1"/>
  <c r="AY21" i="1"/>
  <c r="AX21" i="1"/>
  <c r="AW21" i="1"/>
  <c r="AL21" i="1"/>
  <c r="AK21" i="1"/>
  <c r="AJ21" i="1"/>
  <c r="AI21" i="1"/>
  <c r="X21" i="1"/>
  <c r="W21" i="1"/>
  <c r="V21" i="1"/>
  <c r="U21" i="1"/>
  <c r="J21" i="1"/>
  <c r="I21" i="1"/>
  <c r="EO20" i="1"/>
  <c r="ER20" i="1" s="1"/>
  <c r="EM20" i="1"/>
  <c r="EA20" i="1"/>
  <c r="ED20" i="1" s="1"/>
  <c r="DY20" i="1"/>
  <c r="EE20" i="1" s="1"/>
  <c r="DM20" i="1"/>
  <c r="DP20" i="1" s="1"/>
  <c r="DK20" i="1"/>
  <c r="CY20" i="1"/>
  <c r="CW20" i="1"/>
  <c r="DC20" i="1" s="1"/>
  <c r="CO20" i="1"/>
  <c r="CM20" i="1"/>
  <c r="CK20" i="1"/>
  <c r="CN20" i="1" s="1"/>
  <c r="CB20" i="1"/>
  <c r="CA20" i="1"/>
  <c r="BZ20" i="1"/>
  <c r="BY20" i="1"/>
  <c r="BN20" i="1"/>
  <c r="BM20" i="1"/>
  <c r="BL20" i="1"/>
  <c r="BK20" i="1"/>
  <c r="AZ20" i="1"/>
  <c r="AY20" i="1"/>
  <c r="AX20" i="1"/>
  <c r="AW20" i="1"/>
  <c r="AL20" i="1"/>
  <c r="AK20" i="1"/>
  <c r="AJ20" i="1"/>
  <c r="AI20" i="1"/>
  <c r="X20" i="1"/>
  <c r="W20" i="1"/>
  <c r="V20" i="1"/>
  <c r="U20" i="1"/>
  <c r="J20" i="1"/>
  <c r="I20" i="1"/>
  <c r="EO19" i="1"/>
  <c r="EM19" i="1"/>
  <c r="EQ19" i="1" s="1"/>
  <c r="EA19" i="1"/>
  <c r="DY19" i="1"/>
  <c r="EE19" i="1" s="1"/>
  <c r="DQ19" i="1"/>
  <c r="DO19" i="1"/>
  <c r="DM19" i="1"/>
  <c r="DC19" i="1"/>
  <c r="DA19" i="1"/>
  <c r="CY19" i="1"/>
  <c r="DB19" i="1" s="1"/>
  <c r="CP19" i="1"/>
  <c r="CO19" i="1"/>
  <c r="CN19" i="1"/>
  <c r="CM19" i="1"/>
  <c r="CB19" i="1"/>
  <c r="CA19" i="1"/>
  <c r="BZ19" i="1"/>
  <c r="BY19" i="1"/>
  <c r="BN19" i="1"/>
  <c r="BM19" i="1"/>
  <c r="BL19" i="1"/>
  <c r="BK19" i="1"/>
  <c r="AZ19" i="1"/>
  <c r="AY19" i="1"/>
  <c r="AX19" i="1"/>
  <c r="AW19" i="1"/>
  <c r="AL19" i="1"/>
  <c r="AK19" i="1"/>
  <c r="AJ19" i="1"/>
  <c r="AI19" i="1"/>
  <c r="X19" i="1"/>
  <c r="W19" i="1"/>
  <c r="V19" i="1"/>
  <c r="U19" i="1"/>
  <c r="J19" i="1"/>
  <c r="I19" i="1"/>
  <c r="EO18" i="1"/>
  <c r="ET18" i="1" s="1"/>
  <c r="EM18" i="1"/>
  <c r="EQ18" i="1" s="1"/>
  <c r="ED18" i="1"/>
  <c r="DY18" i="1"/>
  <c r="DM18" i="1"/>
  <c r="EF18" i="1" s="1"/>
  <c r="DK18" i="1"/>
  <c r="DO18" i="1" s="1"/>
  <c r="CY18" i="1"/>
  <c r="DB18" i="1" s="1"/>
  <c r="CW18" i="1"/>
  <c r="CP18" i="1"/>
  <c r="CN18" i="1"/>
  <c r="CI18" i="1"/>
  <c r="CO18" i="1" s="1"/>
  <c r="CB18" i="1"/>
  <c r="CA18" i="1"/>
  <c r="BZ18" i="1"/>
  <c r="BY18" i="1"/>
  <c r="BN18" i="1"/>
  <c r="BM18" i="1"/>
  <c r="BL18" i="1"/>
  <c r="BK18" i="1"/>
  <c r="AZ18" i="1"/>
  <c r="AY18" i="1"/>
  <c r="AX18" i="1"/>
  <c r="AW18" i="1"/>
  <c r="AL18" i="1"/>
  <c r="AK18" i="1"/>
  <c r="AJ18" i="1"/>
  <c r="AI18" i="1"/>
  <c r="X18" i="1"/>
  <c r="W18" i="1"/>
  <c r="V18" i="1"/>
  <c r="U18" i="1"/>
  <c r="J18" i="1"/>
  <c r="I18" i="1"/>
  <c r="EQ17" i="1"/>
  <c r="EO17" i="1"/>
  <c r="EM17" i="1"/>
  <c r="EA17" i="1"/>
  <c r="ED17" i="1" s="1"/>
  <c r="DY17" i="1"/>
  <c r="EE17" i="1" s="1"/>
  <c r="DO17" i="1"/>
  <c r="DM17" i="1"/>
  <c r="DK17" i="1"/>
  <c r="DC17" i="1"/>
  <c r="DB17" i="1"/>
  <c r="DA17" i="1"/>
  <c r="CY17" i="1"/>
  <c r="CM17" i="1"/>
  <c r="CK17" i="1"/>
  <c r="CB17" i="1"/>
  <c r="BZ17" i="1"/>
  <c r="BU17" i="1"/>
  <c r="BN17" i="1"/>
  <c r="BL17" i="1"/>
  <c r="BG17" i="1"/>
  <c r="AZ17" i="1"/>
  <c r="AY17" i="1"/>
  <c r="AX17" i="1"/>
  <c r="AW17" i="1"/>
  <c r="AL17" i="1"/>
  <c r="AK17" i="1"/>
  <c r="AJ17" i="1"/>
  <c r="AI17" i="1"/>
  <c r="X17" i="1"/>
  <c r="W17" i="1"/>
  <c r="V17" i="1"/>
  <c r="U17" i="1"/>
  <c r="J17" i="1"/>
  <c r="I17" i="1"/>
  <c r="EO16" i="1"/>
  <c r="EA16" i="1"/>
  <c r="ED16" i="1" s="1"/>
  <c r="DM16" i="1"/>
  <c r="DA16" i="1"/>
  <c r="CY16" i="1"/>
  <c r="CK16" i="1"/>
  <c r="BW16" i="1"/>
  <c r="BZ16" i="1" s="1"/>
  <c r="BN16" i="1"/>
  <c r="BL16" i="1"/>
  <c r="AZ16" i="1"/>
  <c r="AX16" i="1"/>
  <c r="AL16" i="1"/>
  <c r="AJ16" i="1"/>
  <c r="X16" i="1"/>
  <c r="V16" i="1"/>
  <c r="J16" i="1"/>
  <c r="I16" i="1"/>
  <c r="EO15" i="1"/>
  <c r="ER15" i="1" s="1"/>
  <c r="EM15" i="1"/>
  <c r="ES15" i="1" s="1"/>
  <c r="EC15" i="1"/>
  <c r="EA15" i="1"/>
  <c r="ED15" i="1" s="1"/>
  <c r="DM15" i="1"/>
  <c r="DP15" i="1" s="1"/>
  <c r="DK15" i="1"/>
  <c r="EE15" i="1" s="1"/>
  <c r="CY15" i="1"/>
  <c r="DD15" i="1" s="1"/>
  <c r="CW15" i="1"/>
  <c r="DA15" i="1" s="1"/>
  <c r="CP15" i="1"/>
  <c r="CO15" i="1"/>
  <c r="CN15" i="1"/>
  <c r="CM15" i="1"/>
  <c r="CA15" i="1"/>
  <c r="BZ15" i="1"/>
  <c r="BY15" i="1"/>
  <c r="BM15" i="1"/>
  <c r="BK15" i="1"/>
  <c r="BI15" i="1"/>
  <c r="BL15" i="1" s="1"/>
  <c r="AZ15" i="1"/>
  <c r="AY15" i="1"/>
  <c r="AX15" i="1"/>
  <c r="AW15" i="1"/>
  <c r="AL15" i="1"/>
  <c r="AK15" i="1"/>
  <c r="AJ15" i="1"/>
  <c r="AI15" i="1"/>
  <c r="X15" i="1"/>
  <c r="W15" i="1"/>
  <c r="V15" i="1"/>
  <c r="U15" i="1"/>
  <c r="J15" i="1"/>
  <c r="I15" i="1"/>
  <c r="ES14" i="1"/>
  <c r="EQ14" i="1"/>
  <c r="EO14" i="1"/>
  <c r="ER14" i="1" s="1"/>
  <c r="EC14" i="1"/>
  <c r="EA14" i="1"/>
  <c r="ED14" i="1" s="1"/>
  <c r="DR14" i="1"/>
  <c r="DP14" i="1"/>
  <c r="DK14" i="1"/>
  <c r="EE14" i="1" s="1"/>
  <c r="DD14" i="1"/>
  <c r="DC14" i="1"/>
  <c r="DB14" i="1"/>
  <c r="DA14" i="1"/>
  <c r="CO14" i="1"/>
  <c r="CN14" i="1"/>
  <c r="CM14" i="1"/>
  <c r="CA14" i="1"/>
  <c r="BZ14" i="1"/>
  <c r="BY14" i="1"/>
  <c r="BW14" i="1"/>
  <c r="CP14" i="1" s="1"/>
  <c r="BM14" i="1"/>
  <c r="BK14" i="1"/>
  <c r="BI14" i="1"/>
  <c r="AZ14" i="1"/>
  <c r="AY14" i="1"/>
  <c r="AX14" i="1"/>
  <c r="AW14" i="1"/>
  <c r="AL14" i="1"/>
  <c r="AK14" i="1"/>
  <c r="AJ14" i="1"/>
  <c r="AI14" i="1"/>
  <c r="X14" i="1"/>
  <c r="W14" i="1"/>
  <c r="V14" i="1"/>
  <c r="U14" i="1"/>
  <c r="J14" i="1"/>
  <c r="I14" i="1"/>
  <c r="EM13" i="1"/>
  <c r="ES13" i="1" s="1"/>
  <c r="ED13" i="1"/>
  <c r="EC13" i="1"/>
  <c r="DP13" i="1"/>
  <c r="DK13" i="1"/>
  <c r="EE13" i="1" s="1"/>
  <c r="DD13" i="1"/>
  <c r="DC13" i="1"/>
  <c r="DB13" i="1"/>
  <c r="DA13" i="1"/>
  <c r="CO13" i="1"/>
  <c r="CN13" i="1"/>
  <c r="CM13" i="1"/>
  <c r="CB13" i="1"/>
  <c r="CA13" i="1"/>
  <c r="BZ13" i="1"/>
  <c r="BY13" i="1"/>
  <c r="BN13" i="1"/>
  <c r="BM13" i="1"/>
  <c r="BL13" i="1"/>
  <c r="BK13" i="1"/>
  <c r="AZ13" i="1"/>
  <c r="AY13" i="1"/>
  <c r="AX13" i="1"/>
  <c r="AW13" i="1"/>
  <c r="AL13" i="1"/>
  <c r="AK13" i="1"/>
  <c r="AJ13" i="1"/>
  <c r="AI13" i="1"/>
  <c r="X13" i="1"/>
  <c r="W13" i="1"/>
  <c r="V13" i="1"/>
  <c r="U13" i="1"/>
  <c r="J13" i="1"/>
  <c r="I13" i="1"/>
  <c r="EO12" i="1"/>
  <c r="EM12" i="1"/>
  <c r="EQ12" i="1" s="1"/>
  <c r="EA12" i="1"/>
  <c r="ED12" i="1" s="1"/>
  <c r="DY12" i="1"/>
  <c r="EC12" i="1" s="1"/>
  <c r="DM12" i="1"/>
  <c r="DP12" i="1" s="1"/>
  <c r="DK12" i="1"/>
  <c r="DQ12" i="1" s="1"/>
  <c r="CY12" i="1"/>
  <c r="DB12" i="1" s="1"/>
  <c r="CW12" i="1"/>
  <c r="DA12" i="1" s="1"/>
  <c r="CM12" i="1"/>
  <c r="CK12" i="1"/>
  <c r="CP12" i="1" s="1"/>
  <c r="BW12" i="1"/>
  <c r="CB12" i="1" s="1"/>
  <c r="BU12" i="1"/>
  <c r="BN12" i="1"/>
  <c r="BM12" i="1"/>
  <c r="BL12" i="1"/>
  <c r="BK12" i="1"/>
  <c r="AZ12" i="1"/>
  <c r="AY12" i="1"/>
  <c r="AX12" i="1"/>
  <c r="AW12" i="1"/>
  <c r="AL12" i="1"/>
  <c r="AK12" i="1"/>
  <c r="AJ12" i="1"/>
  <c r="AI12" i="1"/>
  <c r="X12" i="1"/>
  <c r="W12" i="1"/>
  <c r="V12" i="1"/>
  <c r="U12" i="1"/>
  <c r="J12" i="1"/>
  <c r="I12" i="1"/>
  <c r="ET11" i="1"/>
  <c r="ER11" i="1"/>
  <c r="EM11" i="1"/>
  <c r="EQ11" i="1" s="1"/>
  <c r="EF11" i="1"/>
  <c r="ED11" i="1"/>
  <c r="DY11" i="1"/>
  <c r="EC11" i="1" s="1"/>
  <c r="DR11" i="1"/>
  <c r="DP11" i="1"/>
  <c r="DK11" i="1"/>
  <c r="DQ11" i="1" s="1"/>
  <c r="DD11" i="1"/>
  <c r="DC11" i="1"/>
  <c r="DB11" i="1"/>
  <c r="DA11" i="1"/>
  <c r="CP11" i="1"/>
  <c r="CO11" i="1"/>
  <c r="CN11" i="1"/>
  <c r="CM11" i="1"/>
  <c r="CB11" i="1"/>
  <c r="CA11" i="1"/>
  <c r="BZ11" i="1"/>
  <c r="BY11" i="1"/>
  <c r="BN11" i="1"/>
  <c r="BM11" i="1"/>
  <c r="BL11" i="1"/>
  <c r="BK11" i="1"/>
  <c r="AZ11" i="1"/>
  <c r="AY11" i="1"/>
  <c r="AX11" i="1"/>
  <c r="AW11" i="1"/>
  <c r="AL11" i="1"/>
  <c r="AK11" i="1"/>
  <c r="AJ11" i="1"/>
  <c r="AI11" i="1"/>
  <c r="X11" i="1"/>
  <c r="W11" i="1"/>
  <c r="V11" i="1"/>
  <c r="U11" i="1"/>
  <c r="J11" i="1"/>
  <c r="I11" i="1"/>
  <c r="EO10" i="1"/>
  <c r="ER10" i="1" s="1"/>
  <c r="EM10" i="1"/>
  <c r="EQ10" i="1" s="1"/>
  <c r="EA10" i="1"/>
  <c r="ED10" i="1" s="1"/>
  <c r="DY10" i="1"/>
  <c r="DM10" i="1"/>
  <c r="DP10" i="1" s="1"/>
  <c r="DK10" i="1"/>
  <c r="DO10" i="1" s="1"/>
  <c r="DC10" i="1"/>
  <c r="DA10" i="1"/>
  <c r="CY10" i="1"/>
  <c r="DB10" i="1" s="1"/>
  <c r="CO10" i="1"/>
  <c r="CM10" i="1"/>
  <c r="CK10" i="1"/>
  <c r="CP10" i="1" s="1"/>
  <c r="CB10" i="1"/>
  <c r="CA10" i="1"/>
  <c r="BZ10" i="1"/>
  <c r="BY10" i="1"/>
  <c r="BN10" i="1"/>
  <c r="BM10" i="1"/>
  <c r="BL10" i="1"/>
  <c r="BK10" i="1"/>
  <c r="AZ10" i="1"/>
  <c r="AY10" i="1"/>
  <c r="AX10" i="1"/>
  <c r="AW10" i="1"/>
  <c r="AL10" i="1"/>
  <c r="AK10" i="1"/>
  <c r="AJ10" i="1"/>
  <c r="AI10" i="1"/>
  <c r="X10" i="1"/>
  <c r="W10" i="1"/>
  <c r="V10" i="1"/>
  <c r="U10" i="1"/>
  <c r="J10" i="1"/>
  <c r="I10" i="1"/>
  <c r="ER9" i="1"/>
  <c r="EM9" i="1"/>
  <c r="EQ9" i="1" s="1"/>
  <c r="EA9" i="1"/>
  <c r="ET9" i="1" s="1"/>
  <c r="DY9" i="1"/>
  <c r="EC9" i="1" s="1"/>
  <c r="DR9" i="1"/>
  <c r="DP9" i="1"/>
  <c r="DO9" i="1"/>
  <c r="DD9" i="1"/>
  <c r="DB9" i="1"/>
  <c r="CW9" i="1"/>
  <c r="DQ9" i="1" s="1"/>
  <c r="CP9" i="1"/>
  <c r="CO9" i="1"/>
  <c r="CN9" i="1"/>
  <c r="CM9" i="1"/>
  <c r="CB9" i="1"/>
  <c r="CA9" i="1"/>
  <c r="BZ9" i="1"/>
  <c r="BY9" i="1"/>
  <c r="BN9" i="1"/>
  <c r="BM9" i="1"/>
  <c r="BL9" i="1"/>
  <c r="BK9" i="1"/>
  <c r="AZ9" i="1"/>
  <c r="AY9" i="1"/>
  <c r="AX9" i="1"/>
  <c r="AW9" i="1"/>
  <c r="AL9" i="1"/>
  <c r="AK9" i="1"/>
  <c r="AJ9" i="1"/>
  <c r="AI9" i="1"/>
  <c r="X9" i="1"/>
  <c r="W9" i="1"/>
  <c r="V9" i="1"/>
  <c r="U9" i="1"/>
  <c r="J9" i="1"/>
  <c r="I9" i="1"/>
  <c r="EO8" i="1"/>
  <c r="ER8" i="1" s="1"/>
  <c r="EM8" i="1"/>
  <c r="EA8" i="1"/>
  <c r="ED8" i="1" s="1"/>
  <c r="DY8" i="1"/>
  <c r="EE8" i="1" s="1"/>
  <c r="DM8" i="1"/>
  <c r="DP8" i="1" s="1"/>
  <c r="DK8" i="1"/>
  <c r="DO8" i="1" s="1"/>
  <c r="CY8" i="1"/>
  <c r="DB8" i="1" s="1"/>
  <c r="CW8" i="1"/>
  <c r="DA8" i="1" s="1"/>
  <c r="CO8" i="1"/>
  <c r="CM8" i="1"/>
  <c r="CK8" i="1"/>
  <c r="CB8" i="1"/>
  <c r="CA8" i="1"/>
  <c r="BZ8" i="1"/>
  <c r="BY8" i="1"/>
  <c r="BN8" i="1"/>
  <c r="BM8" i="1"/>
  <c r="BL8" i="1"/>
  <c r="BK8" i="1"/>
  <c r="AZ8" i="1"/>
  <c r="AY8" i="1"/>
  <c r="AX8" i="1"/>
  <c r="AW8" i="1"/>
  <c r="AL8" i="1"/>
  <c r="AK8" i="1"/>
  <c r="AJ8" i="1"/>
  <c r="AI8" i="1"/>
  <c r="X8" i="1"/>
  <c r="W8" i="1"/>
  <c r="V8" i="1"/>
  <c r="U8" i="1"/>
  <c r="J8" i="1"/>
  <c r="I8" i="1"/>
  <c r="EO7" i="1"/>
  <c r="EM7" i="1"/>
  <c r="EQ7" i="1" s="1"/>
  <c r="EA7" i="1"/>
  <c r="ED7" i="1" s="1"/>
  <c r="DY7" i="1"/>
  <c r="EE7" i="1" s="1"/>
  <c r="DQ7" i="1"/>
  <c r="DO7" i="1"/>
  <c r="DM7" i="1"/>
  <c r="DC7" i="1"/>
  <c r="DA7" i="1"/>
  <c r="CY7" i="1"/>
  <c r="DB7" i="1" s="1"/>
  <c r="CP7" i="1"/>
  <c r="CO7" i="1"/>
  <c r="CN7" i="1"/>
  <c r="CM7" i="1"/>
  <c r="CB7" i="1"/>
  <c r="CA7" i="1"/>
  <c r="BZ7" i="1"/>
  <c r="BY7" i="1"/>
  <c r="BN7" i="1"/>
  <c r="BM7" i="1"/>
  <c r="BL7" i="1"/>
  <c r="BK7" i="1"/>
  <c r="AZ7" i="1"/>
  <c r="AY7" i="1"/>
  <c r="AX7" i="1"/>
  <c r="AW7" i="1"/>
  <c r="AL7" i="1"/>
  <c r="AK7" i="1"/>
  <c r="AJ7" i="1"/>
  <c r="AI7" i="1"/>
  <c r="X7" i="1"/>
  <c r="W7" i="1"/>
  <c r="V7" i="1"/>
  <c r="U7" i="1"/>
  <c r="J7" i="1"/>
  <c r="I7" i="1"/>
  <c r="ET6" i="1"/>
  <c r="ER6" i="1"/>
  <c r="EQ6" i="1"/>
  <c r="EM6" i="1"/>
  <c r="EF6" i="1"/>
  <c r="ED6" i="1"/>
  <c r="DY6" i="1"/>
  <c r="DR6" i="1"/>
  <c r="DP6" i="1"/>
  <c r="DK6" i="1"/>
  <c r="DD6" i="1"/>
  <c r="DC6" i="1"/>
  <c r="DB6" i="1"/>
  <c r="DA6" i="1"/>
  <c r="CP6" i="1"/>
  <c r="CO6" i="1"/>
  <c r="CN6" i="1"/>
  <c r="CM6" i="1"/>
  <c r="CB6" i="1"/>
  <c r="CA6" i="1"/>
  <c r="BZ6" i="1"/>
  <c r="BY6" i="1"/>
  <c r="BN6" i="1"/>
  <c r="BM6" i="1"/>
  <c r="BL6" i="1"/>
  <c r="BK6" i="1"/>
  <c r="AZ6" i="1"/>
  <c r="AY6" i="1"/>
  <c r="AX6" i="1"/>
  <c r="AW6" i="1"/>
  <c r="AL6" i="1"/>
  <c r="AK6" i="1"/>
  <c r="AJ6" i="1"/>
  <c r="AI6" i="1"/>
  <c r="X6" i="1"/>
  <c r="W6" i="1"/>
  <c r="V6" i="1"/>
  <c r="U6" i="1"/>
  <c r="J6" i="1"/>
  <c r="I6" i="1"/>
  <c r="N85" i="1" l="1"/>
  <c r="N86" i="1"/>
  <c r="O85" i="1"/>
  <c r="CB16" i="1"/>
  <c r="DR49" i="1"/>
  <c r="ET7" i="1"/>
  <c r="ET12" i="1"/>
  <c r="ET19" i="1"/>
  <c r="DA20" i="1"/>
  <c r="EE25" i="1"/>
  <c r="EE27" i="1"/>
  <c r="DC28" i="1"/>
  <c r="DR30" i="1"/>
  <c r="DQ34" i="1"/>
  <c r="EF37" i="1"/>
  <c r="ET38" i="1"/>
  <c r="DA43" i="1"/>
  <c r="EF46" i="1"/>
  <c r="CB50" i="1"/>
  <c r="AZ52" i="1"/>
  <c r="CN10" i="1"/>
  <c r="EE10" i="1"/>
  <c r="DC18" i="1"/>
  <c r="DB23" i="1"/>
  <c r="ET23" i="1"/>
  <c r="EF25" i="1"/>
  <c r="DD26" i="1"/>
  <c r="EF27" i="1"/>
  <c r="DD28" i="1"/>
  <c r="DC31" i="1"/>
  <c r="CP34" i="1"/>
  <c r="CB48" i="1"/>
  <c r="CP49" i="1"/>
  <c r="ET49" i="1"/>
  <c r="BM50" i="1"/>
  <c r="W51" i="1"/>
  <c r="AK52" i="1"/>
  <c r="ES52" i="1"/>
  <c r="DR7" i="1"/>
  <c r="DR19" i="1"/>
  <c r="EF42" i="1"/>
  <c r="X50" i="1"/>
  <c r="EF50" i="1"/>
  <c r="DD52" i="1"/>
  <c r="ER7" i="1"/>
  <c r="ES8" i="1"/>
  <c r="ED9" i="1"/>
  <c r="BM17" i="1"/>
  <c r="BK17" i="1"/>
  <c r="DP7" i="1"/>
  <c r="EC7" i="1"/>
  <c r="EF8" i="1"/>
  <c r="ES9" i="1"/>
  <c r="EF10" i="1"/>
  <c r="CN12" i="1"/>
  <c r="DR12" i="1"/>
  <c r="ER12" i="1"/>
  <c r="DO14" i="1"/>
  <c r="DB15" i="1"/>
  <c r="DO15" i="1"/>
  <c r="EQ15" i="1"/>
  <c r="ER16" i="1"/>
  <c r="ET16" i="1"/>
  <c r="DP17" i="1"/>
  <c r="DR17" i="1"/>
  <c r="EE6" i="1"/>
  <c r="EC8" i="1"/>
  <c r="DD10" i="1"/>
  <c r="EC10" i="1"/>
  <c r="BZ12" i="1"/>
  <c r="DO12" i="1"/>
  <c r="ES12" i="1"/>
  <c r="BN15" i="1"/>
  <c r="CB15" i="1"/>
  <c r="DC15" i="1"/>
  <c r="DR15" i="1"/>
  <c r="EF15" i="1"/>
  <c r="DR16" i="1"/>
  <c r="CN17" i="1"/>
  <c r="CP17" i="1"/>
  <c r="DD8" i="1"/>
  <c r="ER17" i="1"/>
  <c r="ET17" i="1"/>
  <c r="EE18" i="1"/>
  <c r="DD20" i="1"/>
  <c r="ES24" i="1"/>
  <c r="CA25" i="1"/>
  <c r="ES25" i="1"/>
  <c r="W27" i="1"/>
  <c r="AK27" i="1"/>
  <c r="CO27" i="1"/>
  <c r="ES27" i="1"/>
  <c r="BM28" i="1"/>
  <c r="DQ28" i="1"/>
  <c r="W29" i="1"/>
  <c r="AK29" i="1"/>
  <c r="EE32" i="1"/>
  <c r="CB33" i="1"/>
  <c r="CO34" i="1"/>
  <c r="EE44" i="1"/>
  <c r="ES45" i="1"/>
  <c r="AL48" i="1"/>
  <c r="EE48" i="1"/>
  <c r="W49" i="1"/>
  <c r="AY49" i="1"/>
  <c r="CA49" i="1"/>
  <c r="DC49" i="1"/>
  <c r="EE49" i="1"/>
  <c r="W50" i="1"/>
  <c r="CA50" i="1"/>
  <c r="EE50" i="1"/>
  <c r="AK51" i="1"/>
  <c r="AZ51" i="1"/>
  <c r="CO51" i="1"/>
  <c r="DD51" i="1"/>
  <c r="ES51" i="1"/>
  <c r="DC52" i="1"/>
  <c r="EC18" i="1"/>
  <c r="EF19" i="1"/>
  <c r="ER19" i="1"/>
  <c r="ES20" i="1"/>
  <c r="ET21" i="1"/>
  <c r="DO22" i="1"/>
  <c r="EQ22" i="1"/>
  <c r="BK25" i="1"/>
  <c r="X27" i="1"/>
  <c r="X29" i="1"/>
  <c r="DO32" i="1"/>
  <c r="EE34" i="1"/>
  <c r="DC35" i="1"/>
  <c r="DQ35" i="1"/>
  <c r="ET42" i="1"/>
  <c r="DR44" i="1"/>
  <c r="CM18" i="1"/>
  <c r="ER18" i="1"/>
  <c r="DP19" i="1"/>
  <c r="EC19" i="1"/>
  <c r="DB20" i="1"/>
  <c r="EF20" i="1"/>
  <c r="ER21" i="1"/>
  <c r="ER23" i="1"/>
  <c r="EC24" i="1"/>
  <c r="DC25" i="1"/>
  <c r="DQ25" i="1"/>
  <c r="EC25" i="1"/>
  <c r="U27" i="1"/>
  <c r="AY27" i="1"/>
  <c r="BM27" i="1"/>
  <c r="BY27" i="1"/>
  <c r="DC27" i="1"/>
  <c r="DQ27" i="1"/>
  <c r="EC27" i="1"/>
  <c r="W28" i="1"/>
  <c r="AK28" i="1"/>
  <c r="AW28" i="1"/>
  <c r="CA28" i="1"/>
  <c r="CO28" i="1"/>
  <c r="DA28" i="1"/>
  <c r="EE28" i="1"/>
  <c r="ES28" i="1"/>
  <c r="U29" i="1"/>
  <c r="BN30" i="1"/>
  <c r="ES32" i="1"/>
  <c r="EE33" i="1"/>
  <c r="ES33" i="1"/>
  <c r="CM34" i="1"/>
  <c r="ER34" i="1"/>
  <c r="DA35" i="1"/>
  <c r="ED35" i="1"/>
  <c r="DR37" i="1"/>
  <c r="DR38" i="1"/>
  <c r="ED40" i="1"/>
  <c r="DO44" i="1"/>
  <c r="ES44" i="1"/>
  <c r="DQ45" i="1"/>
  <c r="EQ45" i="1"/>
  <c r="ED46" i="1"/>
  <c r="V48" i="1"/>
  <c r="BN48" i="1"/>
  <c r="BZ48" i="1"/>
  <c r="X49" i="1"/>
  <c r="V50" i="1"/>
  <c r="AY50" i="1"/>
  <c r="BZ50" i="1"/>
  <c r="DC50" i="1"/>
  <c r="ED50" i="1"/>
  <c r="X51" i="1"/>
  <c r="AI51" i="1"/>
  <c r="BM51" i="1"/>
  <c r="CB51" i="1"/>
  <c r="CM51" i="1"/>
  <c r="DQ51" i="1"/>
  <c r="EF51" i="1"/>
  <c r="EQ51" i="1"/>
  <c r="W52" i="1"/>
  <c r="AX52" i="1"/>
  <c r="CA52" i="1"/>
  <c r="DB52" i="1"/>
  <c r="EE52" i="1"/>
  <c r="DP18" i="1"/>
  <c r="DQ20" i="1"/>
  <c r="EC20" i="1"/>
  <c r="EC23" i="1"/>
  <c r="ED24" i="1"/>
  <c r="ED25" i="1"/>
  <c r="X26" i="1"/>
  <c r="AX26" i="1"/>
  <c r="CB26" i="1"/>
  <c r="DB26" i="1"/>
  <c r="EF26" i="1"/>
  <c r="V27" i="1"/>
  <c r="AZ27" i="1"/>
  <c r="BZ27" i="1"/>
  <c r="DD27" i="1"/>
  <c r="ED27" i="1"/>
  <c r="X28" i="1"/>
  <c r="AX28" i="1"/>
  <c r="CB28" i="1"/>
  <c r="DB28" i="1"/>
  <c r="EF28" i="1"/>
  <c r="V29" i="1"/>
  <c r="V30" i="1"/>
  <c r="AL30" i="1"/>
  <c r="ET30" i="1"/>
  <c r="EE31" i="1"/>
  <c r="ET32" i="1"/>
  <c r="BL33" i="1"/>
  <c r="CP33" i="1"/>
  <c r="DB33" i="1"/>
  <c r="EF33" i="1"/>
  <c r="DC34" i="1"/>
  <c r="DO34" i="1"/>
  <c r="ES34" i="1"/>
  <c r="CO35" i="1"/>
  <c r="ES35" i="1"/>
  <c r="ED36" i="1"/>
  <c r="ED42" i="1"/>
  <c r="ER42" i="1"/>
  <c r="DP44" i="1"/>
  <c r="ET44" i="1"/>
  <c r="BZ45" i="1"/>
  <c r="DA45" i="1"/>
  <c r="DB46" i="1"/>
  <c r="EE46" i="1"/>
  <c r="ES46" i="1"/>
  <c r="AZ48" i="1"/>
  <c r="DD48" i="1"/>
  <c r="V49" i="1"/>
  <c r="AK50" i="1"/>
  <c r="AZ50" i="1"/>
  <c r="BK50" i="1"/>
  <c r="CO50" i="1"/>
  <c r="DD50" i="1"/>
  <c r="DO50" i="1"/>
  <c r="ES50" i="1"/>
  <c r="AY51" i="1"/>
  <c r="DC51" i="1"/>
  <c r="X52" i="1"/>
  <c r="AI52" i="1"/>
  <c r="BM52" i="1"/>
  <c r="CB52" i="1"/>
  <c r="CM52" i="1"/>
  <c r="DQ52" i="1"/>
  <c r="EF52" i="1"/>
  <c r="EQ52" i="1"/>
  <c r="DQ8" i="1"/>
  <c r="DQ10" i="1"/>
  <c r="ES10" i="1"/>
  <c r="EE11" i="1"/>
  <c r="DC12" i="1"/>
  <c r="EE12" i="1"/>
  <c r="DQ13" i="1"/>
  <c r="EF16" i="1"/>
  <c r="DR18" i="1"/>
  <c r="DD7" i="1"/>
  <c r="DA9" i="1"/>
  <c r="EE9" i="1"/>
  <c r="ET10" i="1"/>
  <c r="DO11" i="1"/>
  <c r="ES11" i="1"/>
  <c r="BR58" i="1"/>
  <c r="BR59" i="1"/>
  <c r="BR57" i="1"/>
  <c r="CA12" i="1"/>
  <c r="DD12" i="1"/>
  <c r="EF12" i="1"/>
  <c r="EQ13" i="1"/>
  <c r="BD59" i="1"/>
  <c r="BD57" i="1"/>
  <c r="BD58" i="1"/>
  <c r="BN14" i="1"/>
  <c r="DQ15" i="1"/>
  <c r="CP16" i="1"/>
  <c r="CN16" i="1"/>
  <c r="DP16" i="1"/>
  <c r="BS58" i="1"/>
  <c r="BS59" i="1"/>
  <c r="BS57" i="1"/>
  <c r="CA17" i="1"/>
  <c r="DD17" i="1"/>
  <c r="DW58" i="1"/>
  <c r="DW59" i="1"/>
  <c r="DW57" i="1"/>
  <c r="EC17" i="1"/>
  <c r="EF7" i="1"/>
  <c r="DV58" i="1"/>
  <c r="DV59" i="1"/>
  <c r="DV57" i="1"/>
  <c r="ES6" i="1"/>
  <c r="ES7" i="1"/>
  <c r="CF59" i="1"/>
  <c r="CF57" i="1"/>
  <c r="CF58" i="1"/>
  <c r="DR8" i="1"/>
  <c r="ET8" i="1"/>
  <c r="DR10" i="1"/>
  <c r="EC6" i="1"/>
  <c r="EJ59" i="1"/>
  <c r="EJ57" i="1"/>
  <c r="EJ58" i="1"/>
  <c r="CT58" i="1"/>
  <c r="CT59" i="1"/>
  <c r="CT57" i="1"/>
  <c r="DC8" i="1"/>
  <c r="EQ8" i="1"/>
  <c r="EF9" i="1"/>
  <c r="CO12" i="1"/>
  <c r="DO13" i="1"/>
  <c r="CB14" i="1"/>
  <c r="DQ14" i="1"/>
  <c r="EF14" i="1"/>
  <c r="ET14" i="1"/>
  <c r="ET15" i="1"/>
  <c r="DD16" i="1"/>
  <c r="DB16" i="1"/>
  <c r="BY17" i="1"/>
  <c r="EF17" i="1"/>
  <c r="DD18" i="1"/>
  <c r="ES18" i="1"/>
  <c r="DH59" i="1"/>
  <c r="DH57" i="1"/>
  <c r="DH58" i="1"/>
  <c r="DO6" i="1"/>
  <c r="CP8" i="1"/>
  <c r="DQ6" i="1"/>
  <c r="CN8" i="1"/>
  <c r="DC9" i="1"/>
  <c r="BY12" i="1"/>
  <c r="BL14" i="1"/>
  <c r="CO17" i="1"/>
  <c r="CU58" i="1"/>
  <c r="CU59" i="1"/>
  <c r="CU57" i="1"/>
  <c r="DA18" i="1"/>
  <c r="DQ18" i="1"/>
  <c r="DD19" i="1"/>
  <c r="ES19" i="1"/>
  <c r="CP20" i="1"/>
  <c r="DR20" i="1"/>
  <c r="ET20" i="1"/>
  <c r="ES21" i="1"/>
  <c r="DQ22" i="1"/>
  <c r="ES23" i="1"/>
  <c r="ET24" i="1"/>
  <c r="CO25" i="1"/>
  <c r="DR25" i="1"/>
  <c r="ET25" i="1"/>
  <c r="AL26" i="1"/>
  <c r="BN26" i="1"/>
  <c r="CP26" i="1"/>
  <c r="DR26" i="1"/>
  <c r="ET26" i="1"/>
  <c r="AL27" i="1"/>
  <c r="BN27" i="1"/>
  <c r="CP27" i="1"/>
  <c r="DR27" i="1"/>
  <c r="ET27" i="1"/>
  <c r="AL28" i="1"/>
  <c r="BN28" i="1"/>
  <c r="CP28" i="1"/>
  <c r="DR28" i="1"/>
  <c r="ET28" i="1"/>
  <c r="AL29" i="1"/>
  <c r="AK30" i="1"/>
  <c r="BM30" i="1"/>
  <c r="CO30" i="1"/>
  <c r="DQ30" i="1"/>
  <c r="ES30" i="1"/>
  <c r="DP31" i="1"/>
  <c r="EF31" i="1"/>
  <c r="ED19" i="1"/>
  <c r="DO20" i="1"/>
  <c r="EQ20" i="1"/>
  <c r="ED21" i="1"/>
  <c r="DA22" i="1"/>
  <c r="DD23" i="1"/>
  <c r="ED23" i="1"/>
  <c r="DO24" i="1"/>
  <c r="EQ24" i="1"/>
  <c r="BY25" i="1"/>
  <c r="DO25" i="1"/>
  <c r="EQ25" i="1"/>
  <c r="D58" i="1"/>
  <c r="I56" i="1"/>
  <c r="D59" i="1"/>
  <c r="D57" i="1"/>
  <c r="P59" i="1"/>
  <c r="P57" i="1"/>
  <c r="P58" i="1"/>
  <c r="W26" i="1"/>
  <c r="AR59" i="1"/>
  <c r="AR57" i="1"/>
  <c r="AR58" i="1"/>
  <c r="AY26" i="1"/>
  <c r="BT59" i="1"/>
  <c r="BT57" i="1"/>
  <c r="BT58" i="1"/>
  <c r="CA26" i="1"/>
  <c r="CV59" i="1"/>
  <c r="CV57" i="1"/>
  <c r="CV58" i="1"/>
  <c r="DC26" i="1"/>
  <c r="DX59" i="1"/>
  <c r="DX57" i="1"/>
  <c r="DX58" i="1"/>
  <c r="ED56" i="1"/>
  <c r="EE26" i="1"/>
  <c r="AI27" i="1"/>
  <c r="BK27" i="1"/>
  <c r="CM27" i="1"/>
  <c r="DO27" i="1"/>
  <c r="EQ27" i="1"/>
  <c r="AI28" i="1"/>
  <c r="BK28" i="1"/>
  <c r="CM28" i="1"/>
  <c r="DO28" i="1"/>
  <c r="EQ28" i="1"/>
  <c r="AI29" i="1"/>
  <c r="BM29" i="1"/>
  <c r="CO29" i="1"/>
  <c r="DQ29" i="1"/>
  <c r="ES29" i="1"/>
  <c r="AZ30" i="1"/>
  <c r="CB30" i="1"/>
  <c r="DD30" i="1"/>
  <c r="EF30" i="1"/>
  <c r="DQ31" i="1"/>
  <c r="ET31" i="1"/>
  <c r="BE59" i="1"/>
  <c r="BE57" i="1"/>
  <c r="BE58" i="1"/>
  <c r="DI59" i="1"/>
  <c r="DI57" i="1"/>
  <c r="DI58" i="1"/>
  <c r="DQ17" i="1"/>
  <c r="EK59" i="1"/>
  <c r="EK57" i="1"/>
  <c r="EK58" i="1"/>
  <c r="ES17" i="1"/>
  <c r="CG59" i="1"/>
  <c r="CG57" i="1"/>
  <c r="CG58" i="1"/>
  <c r="AZ29" i="1"/>
  <c r="CB29" i="1"/>
  <c r="DD29" i="1"/>
  <c r="EF29" i="1"/>
  <c r="DR31" i="1"/>
  <c r="AD58" i="1"/>
  <c r="AD59" i="1"/>
  <c r="AD57" i="1"/>
  <c r="AK26" i="1"/>
  <c r="BF58" i="1"/>
  <c r="BF59" i="1"/>
  <c r="BF57" i="1"/>
  <c r="BM26" i="1"/>
  <c r="CH58" i="1"/>
  <c r="CH59" i="1"/>
  <c r="CH57" i="1"/>
  <c r="CO26" i="1"/>
  <c r="DP56" i="1"/>
  <c r="DJ58" i="1"/>
  <c r="DJ59" i="1"/>
  <c r="DJ57" i="1"/>
  <c r="DQ26" i="1"/>
  <c r="EL58" i="1"/>
  <c r="ER56" i="1"/>
  <c r="EL59" i="1"/>
  <c r="EL57" i="1"/>
  <c r="ES26" i="1"/>
  <c r="W30" i="1"/>
  <c r="AY30" i="1"/>
  <c r="CA30" i="1"/>
  <c r="DC30" i="1"/>
  <c r="EE30" i="1"/>
  <c r="DK58" i="1"/>
  <c r="DK59" i="1"/>
  <c r="DK57" i="1"/>
  <c r="DO31" i="1"/>
  <c r="EF32" i="1"/>
  <c r="CI58" i="1"/>
  <c r="CI59" i="1"/>
  <c r="CI57" i="1"/>
  <c r="CO33" i="1"/>
  <c r="DR33" i="1"/>
  <c r="ET33" i="1"/>
  <c r="BK34" i="1"/>
  <c r="BU59" i="1"/>
  <c r="BU57" i="1"/>
  <c r="BU58" i="1"/>
  <c r="CA34" i="1"/>
  <c r="DD34" i="1"/>
  <c r="EF34" i="1"/>
  <c r="DO35" i="1"/>
  <c r="EE35" i="1"/>
  <c r="ET36" i="1"/>
  <c r="ED37" i="1"/>
  <c r="ET37" i="1"/>
  <c r="ER38" i="1"/>
  <c r="DR40" i="1"/>
  <c r="ET40" i="1"/>
  <c r="DR42" i="1"/>
  <c r="DQ43" i="1"/>
  <c r="EE43" i="1"/>
  <c r="DD44" i="1"/>
  <c r="EF44" i="1"/>
  <c r="EE45" i="1"/>
  <c r="DR46" i="1"/>
  <c r="ET46" i="1"/>
  <c r="DO47" i="1"/>
  <c r="G59" i="1"/>
  <c r="G57" i="1"/>
  <c r="G58" i="1"/>
  <c r="S58" i="1"/>
  <c r="S59" i="1"/>
  <c r="S57" i="1"/>
  <c r="W48" i="1"/>
  <c r="AU58" i="1"/>
  <c r="AU59" i="1"/>
  <c r="AU57" i="1"/>
  <c r="AY48" i="1"/>
  <c r="BW58" i="1"/>
  <c r="BW59" i="1"/>
  <c r="BW57" i="1"/>
  <c r="CA48" i="1"/>
  <c r="CY58" i="1"/>
  <c r="CY59" i="1"/>
  <c r="CY57" i="1"/>
  <c r="DC48" i="1"/>
  <c r="DY59" i="1"/>
  <c r="DY57" i="1"/>
  <c r="DY58" i="1"/>
  <c r="EC32" i="1"/>
  <c r="BG58" i="1"/>
  <c r="BG59" i="1"/>
  <c r="BG57" i="1"/>
  <c r="BM33" i="1"/>
  <c r="BZ33" i="1"/>
  <c r="DC33" i="1"/>
  <c r="DO33" i="1"/>
  <c r="EQ33" i="1"/>
  <c r="CN34" i="1"/>
  <c r="DA34" i="1"/>
  <c r="EC34" i="1"/>
  <c r="EF35" i="1"/>
  <c r="DB37" i="1"/>
  <c r="DP37" i="1"/>
  <c r="BH59" i="1"/>
  <c r="BH57" i="1"/>
  <c r="BH58" i="1"/>
  <c r="CB38" i="1"/>
  <c r="ED38" i="1"/>
  <c r="CX58" i="1"/>
  <c r="CX59" i="1"/>
  <c r="CX57" i="1"/>
  <c r="DC40" i="1"/>
  <c r="DZ58" i="1"/>
  <c r="DZ59" i="1"/>
  <c r="DZ57" i="1"/>
  <c r="EE40" i="1"/>
  <c r="DB42" i="1"/>
  <c r="CJ59" i="1"/>
  <c r="CJ57" i="1"/>
  <c r="CJ58" i="1"/>
  <c r="CP43" i="1"/>
  <c r="DB43" i="1"/>
  <c r="DR43" i="1"/>
  <c r="EC44" i="1"/>
  <c r="BV58" i="1"/>
  <c r="BV59" i="1"/>
  <c r="BV57" i="1"/>
  <c r="CA45" i="1"/>
  <c r="CO45" i="1"/>
  <c r="DO45" i="1"/>
  <c r="ER45" i="1"/>
  <c r="DO46" i="1"/>
  <c r="EQ46" i="1"/>
  <c r="AJ48" i="1"/>
  <c r="BL48" i="1"/>
  <c r="CN48" i="1"/>
  <c r="DR48" i="1"/>
  <c r="ET48" i="1"/>
  <c r="AK49" i="1"/>
  <c r="BM49" i="1"/>
  <c r="CO49" i="1"/>
  <c r="DQ49" i="1"/>
  <c r="ES49" i="1"/>
  <c r="CW59" i="1"/>
  <c r="CW57" i="1"/>
  <c r="CW58" i="1"/>
  <c r="EC31" i="1"/>
  <c r="EM58" i="1"/>
  <c r="EM59" i="1"/>
  <c r="EM57" i="1"/>
  <c r="ES31" i="1"/>
  <c r="CA33" i="1"/>
  <c r="CM33" i="1"/>
  <c r="BY34" i="1"/>
  <c r="BL38" i="1"/>
  <c r="DB38" i="1"/>
  <c r="DP38" i="1"/>
  <c r="CB45" i="1"/>
  <c r="DQ47" i="1"/>
  <c r="I48" i="1"/>
  <c r="U48" i="1"/>
  <c r="AG59" i="1"/>
  <c r="AG57" i="1"/>
  <c r="AG58" i="1"/>
  <c r="AK48" i="1"/>
  <c r="AW48" i="1"/>
  <c r="BI59" i="1"/>
  <c r="BI57" i="1"/>
  <c r="BI58" i="1"/>
  <c r="BM48" i="1"/>
  <c r="BY48" i="1"/>
  <c r="CK59" i="1"/>
  <c r="CK57" i="1"/>
  <c r="CK58" i="1"/>
  <c r="CO48" i="1"/>
  <c r="DA48" i="1"/>
  <c r="DM59" i="1"/>
  <c r="DM57" i="1"/>
  <c r="DM58" i="1"/>
  <c r="DQ48" i="1"/>
  <c r="EA58" i="1"/>
  <c r="EA59" i="1"/>
  <c r="EA57" i="1"/>
  <c r="EC48" i="1"/>
  <c r="EO59" i="1"/>
  <c r="AZ49" i="1"/>
  <c r="CB49" i="1"/>
  <c r="DD49" i="1"/>
  <c r="EF49" i="1"/>
  <c r="DL59" i="1"/>
  <c r="DL57" i="1"/>
  <c r="DL58" i="1"/>
  <c r="DQ40" i="1"/>
  <c r="EN59" i="1"/>
  <c r="EN57" i="1"/>
  <c r="EN58" i="1"/>
  <c r="ES40" i="1"/>
  <c r="EF48" i="1"/>
  <c r="ES48" i="1"/>
  <c r="U50" i="1"/>
  <c r="AW50" i="1"/>
  <c r="BY50" i="1"/>
  <c r="DA50" i="1"/>
  <c r="EC50" i="1"/>
  <c r="U51" i="1"/>
  <c r="AW51" i="1"/>
  <c r="BY51" i="1"/>
  <c r="DA51" i="1"/>
  <c r="EC51" i="1"/>
  <c r="U52" i="1"/>
  <c r="AW52" i="1"/>
  <c r="BY52" i="1"/>
  <c r="DA52" i="1"/>
  <c r="EC52" i="1"/>
  <c r="AL50" i="1"/>
  <c r="BN50" i="1"/>
  <c r="CP50" i="1"/>
  <c r="DR50" i="1"/>
  <c r="ET50" i="1"/>
  <c r="AL51" i="1"/>
  <c r="BN51" i="1"/>
  <c r="CP51" i="1"/>
  <c r="DR51" i="1"/>
  <c r="ET51" i="1"/>
  <c r="AL52" i="1"/>
  <c r="BN52" i="1"/>
  <c r="CP52" i="1"/>
  <c r="DR52" i="1"/>
  <c r="ET52" i="1"/>
  <c r="EO58" i="1"/>
  <c r="EO57" i="1"/>
</calcChain>
</file>

<file path=xl/sharedStrings.xml><?xml version="1.0" encoding="utf-8"?>
<sst xmlns="http://schemas.openxmlformats.org/spreadsheetml/2006/main" count="1102" uniqueCount="109">
  <si>
    <t>0 DPG</t>
  </si>
  <si>
    <t>10 DPG</t>
  </si>
  <si>
    <t>16 DPG</t>
  </si>
  <si>
    <t>24 DPG</t>
  </si>
  <si>
    <t>32 DPG</t>
  </si>
  <si>
    <t>45 DPG</t>
  </si>
  <si>
    <t>59 DPG</t>
  </si>
  <si>
    <t>73 DPG</t>
  </si>
  <si>
    <t>87 DPG</t>
  </si>
  <si>
    <t>108 DPG</t>
  </si>
  <si>
    <t>135 DPG</t>
  </si>
  <si>
    <t>Host Size</t>
  </si>
  <si>
    <t>DRG Size</t>
  </si>
  <si>
    <t>Animal #</t>
  </si>
  <si>
    <t>Body Length</t>
  </si>
  <si>
    <t>LENGTH</t>
  </si>
  <si>
    <t>LL:BL RATIO</t>
  </si>
  <si>
    <t>GROWTH RATE</t>
  </si>
  <si>
    <t>LFL</t>
  </si>
  <si>
    <t>STAGE</t>
  </si>
  <si>
    <t>RFL</t>
  </si>
  <si>
    <t>SMALL</t>
  </si>
  <si>
    <t>Small Host, Large DRG</t>
  </si>
  <si>
    <t>5B</t>
  </si>
  <si>
    <t>MB</t>
  </si>
  <si>
    <t>LARGE</t>
  </si>
  <si>
    <t>LB</t>
  </si>
  <si>
    <t>Large</t>
  </si>
  <si>
    <t>6B</t>
  </si>
  <si>
    <t>D</t>
  </si>
  <si>
    <t>14B</t>
  </si>
  <si>
    <t>Pal</t>
  </si>
  <si>
    <t>16B</t>
  </si>
  <si>
    <t>18B</t>
  </si>
  <si>
    <t>20B</t>
  </si>
  <si>
    <t>22B</t>
  </si>
  <si>
    <t>34B</t>
  </si>
  <si>
    <t>37B</t>
  </si>
  <si>
    <t>40B</t>
  </si>
  <si>
    <t>Small Host, Small DRG</t>
  </si>
  <si>
    <t>45B</t>
  </si>
  <si>
    <t>Small</t>
  </si>
  <si>
    <t>53B</t>
  </si>
  <si>
    <t>54B</t>
  </si>
  <si>
    <t>61B</t>
  </si>
  <si>
    <t>63B</t>
  </si>
  <si>
    <t>66B</t>
  </si>
  <si>
    <t>68B</t>
  </si>
  <si>
    <t>73B</t>
  </si>
  <si>
    <t>77B</t>
  </si>
  <si>
    <t>78B</t>
  </si>
  <si>
    <t>Small Host Control</t>
  </si>
  <si>
    <t>131B</t>
  </si>
  <si>
    <t>INTACT</t>
  </si>
  <si>
    <t>SMALL CONTROL</t>
  </si>
  <si>
    <t>139B</t>
  </si>
  <si>
    <t>147B</t>
  </si>
  <si>
    <t>152B</t>
  </si>
  <si>
    <t>153B</t>
  </si>
  <si>
    <t>Large Host, Large DRG</t>
  </si>
  <si>
    <t>957A</t>
  </si>
  <si>
    <t>958A</t>
  </si>
  <si>
    <t>960A</t>
  </si>
  <si>
    <t>961A</t>
  </si>
  <si>
    <t>962A</t>
  </si>
  <si>
    <t>963A</t>
  </si>
  <si>
    <t>964A</t>
  </si>
  <si>
    <t>Large Host, Small DRG</t>
  </si>
  <si>
    <t>967A</t>
  </si>
  <si>
    <t>968A</t>
  </si>
  <si>
    <t>969A</t>
  </si>
  <si>
    <t>970A</t>
  </si>
  <si>
    <t>971A</t>
  </si>
  <si>
    <t>973A</t>
  </si>
  <si>
    <t>975A</t>
  </si>
  <si>
    <t>976A</t>
  </si>
  <si>
    <t>977A</t>
  </si>
  <si>
    <t>978A</t>
  </si>
  <si>
    <t>Large Host Control</t>
  </si>
  <si>
    <t>981A</t>
  </si>
  <si>
    <t>LARGE CONTROL</t>
  </si>
  <si>
    <t>982A</t>
  </si>
  <si>
    <t>983A</t>
  </si>
  <si>
    <t>984A</t>
  </si>
  <si>
    <t>985A</t>
  </si>
  <si>
    <t>MEASURMENT</t>
  </si>
  <si>
    <t>Limb Length</t>
  </si>
  <si>
    <t>HOST SIZE</t>
  </si>
  <si>
    <t>Small Hosts</t>
  </si>
  <si>
    <t>Large Hosts</t>
  </si>
  <si>
    <t>Control Ttest</t>
  </si>
  <si>
    <t>DRG SIZE</t>
  </si>
  <si>
    <t>Large DRG</t>
  </si>
  <si>
    <t>Small DRG</t>
  </si>
  <si>
    <t>Control</t>
  </si>
  <si>
    <t>AVG</t>
  </si>
  <si>
    <t>SDEV</t>
  </si>
  <si>
    <t>SEM</t>
  </si>
  <si>
    <t>Figure 7C</t>
  </si>
  <si>
    <t>Limb Length (cm)</t>
  </si>
  <si>
    <t>Ttest</t>
  </si>
  <si>
    <t>0DPG</t>
  </si>
  <si>
    <t>135DPG</t>
  </si>
  <si>
    <t>DPG</t>
  </si>
  <si>
    <t>Figure 7D</t>
  </si>
  <si>
    <t>Ttest Pvalue</t>
  </si>
  <si>
    <t>Small Host</t>
  </si>
  <si>
    <t>Large Host</t>
  </si>
  <si>
    <t xml:space="preserve">Raw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</si>
</sst>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/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F41DB-7608-FA44-8CCD-386F913794A4}">
  <dimension ref="A1:ET93"/>
  <sheetViews>
    <sheetView tabSelected="1" topLeftCell="A48" workbookViewId="0">
      <selection activeCell="C2" sqref="C2"/>
    </sheetView>
  </sheetViews>
  <sheetFormatPr baseColWidth="10" defaultRowHeight="16" x14ac:dyDescent="0.2"/>
  <sheetData>
    <row r="1" spans="1:150" x14ac:dyDescent="0.2">
      <c r="A1" s="19" t="s">
        <v>108</v>
      </c>
    </row>
    <row r="3" spans="1:150" x14ac:dyDescent="0.2">
      <c r="A3" s="1"/>
      <c r="B3" s="2" t="s">
        <v>0</v>
      </c>
      <c r="M3" s="1"/>
      <c r="N3" s="2" t="s">
        <v>1</v>
      </c>
      <c r="AA3" s="1"/>
      <c r="AB3" s="2" t="s">
        <v>2</v>
      </c>
      <c r="AO3" s="1"/>
      <c r="AP3" s="2" t="s">
        <v>3</v>
      </c>
      <c r="BC3" s="1"/>
      <c r="BD3" s="2" t="s">
        <v>4</v>
      </c>
      <c r="BQ3" s="1"/>
      <c r="BR3" s="2" t="s">
        <v>5</v>
      </c>
      <c r="CE3" s="1"/>
      <c r="CF3" s="2" t="s">
        <v>6</v>
      </c>
      <c r="CS3" s="1"/>
      <c r="CT3" s="2" t="s">
        <v>7</v>
      </c>
      <c r="DG3" s="1"/>
      <c r="DH3" s="2" t="s">
        <v>8</v>
      </c>
      <c r="DU3" s="1"/>
      <c r="DV3" s="2" t="s">
        <v>9</v>
      </c>
      <c r="EI3" s="1"/>
      <c r="EJ3" s="2" t="s">
        <v>10</v>
      </c>
    </row>
    <row r="4" spans="1:150" x14ac:dyDescent="0.2">
      <c r="A4" s="3" t="s">
        <v>11</v>
      </c>
      <c r="B4" s="3" t="s">
        <v>12</v>
      </c>
      <c r="C4" s="3" t="s">
        <v>13</v>
      </c>
      <c r="D4" s="3" t="s">
        <v>14</v>
      </c>
      <c r="E4" s="3" t="s">
        <v>15</v>
      </c>
      <c r="F4" s="3"/>
      <c r="G4" s="3"/>
      <c r="H4" s="3"/>
      <c r="I4" s="3" t="s">
        <v>16</v>
      </c>
      <c r="J4" s="3"/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/>
      <c r="S4" s="3"/>
      <c r="T4" s="3"/>
      <c r="U4" s="3" t="s">
        <v>16</v>
      </c>
      <c r="V4" s="3"/>
      <c r="W4" s="4" t="s">
        <v>17</v>
      </c>
      <c r="X4" s="4"/>
      <c r="AA4" s="3" t="s">
        <v>11</v>
      </c>
      <c r="AB4" s="3" t="s">
        <v>12</v>
      </c>
      <c r="AC4" s="3" t="s">
        <v>13</v>
      </c>
      <c r="AD4" s="3" t="s">
        <v>14</v>
      </c>
      <c r="AE4" s="3" t="s">
        <v>15</v>
      </c>
      <c r="AF4" s="3"/>
      <c r="AG4" s="3"/>
      <c r="AH4" s="3"/>
      <c r="AI4" s="3" t="s">
        <v>16</v>
      </c>
      <c r="AJ4" s="3"/>
      <c r="AK4" s="4" t="s">
        <v>17</v>
      </c>
      <c r="AL4" s="4"/>
      <c r="AO4" s="3" t="s">
        <v>11</v>
      </c>
      <c r="AP4" s="3" t="s">
        <v>12</v>
      </c>
      <c r="AQ4" s="3" t="s">
        <v>13</v>
      </c>
      <c r="AR4" s="3" t="s">
        <v>14</v>
      </c>
      <c r="AS4" s="3" t="s">
        <v>15</v>
      </c>
      <c r="AT4" s="3"/>
      <c r="AU4" s="3"/>
      <c r="AV4" s="3"/>
      <c r="AW4" s="3" t="s">
        <v>16</v>
      </c>
      <c r="AX4" s="3"/>
      <c r="AY4" s="4" t="s">
        <v>17</v>
      </c>
      <c r="AZ4" s="4"/>
      <c r="BC4" s="3" t="s">
        <v>11</v>
      </c>
      <c r="BD4" s="3" t="s">
        <v>12</v>
      </c>
      <c r="BE4" s="3" t="s">
        <v>13</v>
      </c>
      <c r="BF4" s="3" t="s">
        <v>14</v>
      </c>
      <c r="BG4" s="3" t="s">
        <v>15</v>
      </c>
      <c r="BH4" s="3"/>
      <c r="BI4" s="3"/>
      <c r="BJ4" s="3"/>
      <c r="BK4" s="3" t="s">
        <v>16</v>
      </c>
      <c r="BL4" s="3"/>
      <c r="BM4" s="4" t="s">
        <v>17</v>
      </c>
      <c r="BN4" s="4"/>
      <c r="BQ4" s="3" t="s">
        <v>11</v>
      </c>
      <c r="BR4" s="3" t="s">
        <v>12</v>
      </c>
      <c r="BS4" s="3" t="s">
        <v>13</v>
      </c>
      <c r="BT4" s="3" t="s">
        <v>14</v>
      </c>
      <c r="BU4" s="3" t="s">
        <v>15</v>
      </c>
      <c r="BV4" s="3"/>
      <c r="BW4" s="3"/>
      <c r="BX4" s="3"/>
      <c r="BY4" s="3" t="s">
        <v>16</v>
      </c>
      <c r="BZ4" s="3"/>
      <c r="CA4" s="4" t="s">
        <v>17</v>
      </c>
      <c r="CB4" s="4"/>
      <c r="CE4" s="3" t="s">
        <v>11</v>
      </c>
      <c r="CF4" s="3" t="s">
        <v>12</v>
      </c>
      <c r="CG4" s="3" t="s">
        <v>13</v>
      </c>
      <c r="CH4" s="3" t="s">
        <v>14</v>
      </c>
      <c r="CI4" s="3" t="s">
        <v>15</v>
      </c>
      <c r="CJ4" s="3"/>
      <c r="CK4" s="3"/>
      <c r="CL4" s="3"/>
      <c r="CM4" s="3" t="s">
        <v>16</v>
      </c>
      <c r="CN4" s="3"/>
      <c r="CO4" s="4" t="s">
        <v>17</v>
      </c>
      <c r="CP4" s="4"/>
      <c r="CS4" s="3" t="s">
        <v>11</v>
      </c>
      <c r="CT4" s="3" t="s">
        <v>12</v>
      </c>
      <c r="CU4" s="3" t="s">
        <v>13</v>
      </c>
      <c r="CV4" s="3" t="s">
        <v>14</v>
      </c>
      <c r="CW4" s="3" t="s">
        <v>15</v>
      </c>
      <c r="CX4" s="3"/>
      <c r="CY4" s="3"/>
      <c r="CZ4" s="3"/>
      <c r="DA4" s="3" t="s">
        <v>16</v>
      </c>
      <c r="DB4" s="3"/>
      <c r="DC4" s="4" t="s">
        <v>17</v>
      </c>
      <c r="DD4" s="4"/>
      <c r="DG4" s="3" t="s">
        <v>11</v>
      </c>
      <c r="DH4" s="3" t="s">
        <v>12</v>
      </c>
      <c r="DI4" s="3" t="s">
        <v>13</v>
      </c>
      <c r="DJ4" s="3" t="s">
        <v>14</v>
      </c>
      <c r="DK4" s="3" t="s">
        <v>15</v>
      </c>
      <c r="DL4" s="3"/>
      <c r="DM4" s="3"/>
      <c r="DN4" s="3"/>
      <c r="DO4" s="3" t="s">
        <v>16</v>
      </c>
      <c r="DP4" s="3"/>
      <c r="DQ4" s="4" t="s">
        <v>17</v>
      </c>
      <c r="DR4" s="4"/>
      <c r="DU4" s="3" t="s">
        <v>11</v>
      </c>
      <c r="DV4" s="3" t="s">
        <v>12</v>
      </c>
      <c r="DW4" s="3" t="s">
        <v>13</v>
      </c>
      <c r="DX4" s="3" t="s">
        <v>14</v>
      </c>
      <c r="DY4" s="3" t="s">
        <v>15</v>
      </c>
      <c r="DZ4" s="3"/>
      <c r="EA4" s="3"/>
      <c r="EB4" s="3"/>
      <c r="EC4" s="3" t="s">
        <v>16</v>
      </c>
      <c r="ED4" s="3"/>
      <c r="EE4" s="4" t="s">
        <v>17</v>
      </c>
      <c r="EF4" s="4"/>
      <c r="EI4" s="3" t="s">
        <v>11</v>
      </c>
      <c r="EJ4" s="3" t="s">
        <v>12</v>
      </c>
      <c r="EK4" s="3" t="s">
        <v>13</v>
      </c>
      <c r="EL4" s="3" t="s">
        <v>14</v>
      </c>
      <c r="EM4" s="3" t="s">
        <v>15</v>
      </c>
      <c r="EN4" s="3"/>
      <c r="EO4" s="3"/>
      <c r="EP4" s="3"/>
      <c r="EQ4" s="3" t="s">
        <v>16</v>
      </c>
      <c r="ER4" s="3"/>
      <c r="ES4" s="4" t="s">
        <v>17</v>
      </c>
      <c r="ET4" s="4"/>
    </row>
    <row r="5" spans="1:150" x14ac:dyDescent="0.2">
      <c r="A5" s="3"/>
      <c r="B5" s="3"/>
      <c r="C5" s="3"/>
      <c r="D5" s="3"/>
      <c r="E5" s="5" t="s">
        <v>18</v>
      </c>
      <c r="F5" s="5" t="s">
        <v>19</v>
      </c>
      <c r="G5" s="5" t="s">
        <v>20</v>
      </c>
      <c r="H5" s="5" t="s">
        <v>19</v>
      </c>
      <c r="I5" s="5" t="s">
        <v>18</v>
      </c>
      <c r="J5" s="5" t="s">
        <v>20</v>
      </c>
      <c r="M5" s="3"/>
      <c r="N5" s="3"/>
      <c r="O5" s="3"/>
      <c r="P5" s="3"/>
      <c r="Q5" s="5" t="s">
        <v>18</v>
      </c>
      <c r="R5" s="5" t="s">
        <v>19</v>
      </c>
      <c r="S5" s="5" t="s">
        <v>20</v>
      </c>
      <c r="T5" s="5" t="s">
        <v>19</v>
      </c>
      <c r="U5" s="5" t="s">
        <v>18</v>
      </c>
      <c r="V5" s="5" t="s">
        <v>20</v>
      </c>
      <c r="W5" s="6" t="s">
        <v>18</v>
      </c>
      <c r="X5" s="6" t="s">
        <v>20</v>
      </c>
      <c r="AA5" s="3"/>
      <c r="AB5" s="3"/>
      <c r="AC5" s="3"/>
      <c r="AD5" s="3"/>
      <c r="AE5" s="5" t="s">
        <v>18</v>
      </c>
      <c r="AF5" s="5" t="s">
        <v>19</v>
      </c>
      <c r="AG5" s="5" t="s">
        <v>20</v>
      </c>
      <c r="AH5" s="5" t="s">
        <v>19</v>
      </c>
      <c r="AI5" s="5" t="s">
        <v>18</v>
      </c>
      <c r="AJ5" s="5" t="s">
        <v>20</v>
      </c>
      <c r="AK5" s="6" t="s">
        <v>18</v>
      </c>
      <c r="AL5" s="6" t="s">
        <v>20</v>
      </c>
      <c r="AO5" s="3"/>
      <c r="AP5" s="3"/>
      <c r="AQ5" s="3"/>
      <c r="AR5" s="3"/>
      <c r="AS5" s="5" t="s">
        <v>18</v>
      </c>
      <c r="AT5" s="5" t="s">
        <v>19</v>
      </c>
      <c r="AU5" s="5" t="s">
        <v>20</v>
      </c>
      <c r="AV5" s="5" t="s">
        <v>19</v>
      </c>
      <c r="AW5" s="5" t="s">
        <v>18</v>
      </c>
      <c r="AX5" s="5" t="s">
        <v>20</v>
      </c>
      <c r="AY5" s="6" t="s">
        <v>18</v>
      </c>
      <c r="AZ5" s="6" t="s">
        <v>20</v>
      </c>
      <c r="BC5" s="3"/>
      <c r="BD5" s="3"/>
      <c r="BE5" s="3"/>
      <c r="BF5" s="3"/>
      <c r="BG5" s="5" t="s">
        <v>18</v>
      </c>
      <c r="BH5" s="5" t="s">
        <v>19</v>
      </c>
      <c r="BI5" s="5" t="s">
        <v>20</v>
      </c>
      <c r="BJ5" s="5" t="s">
        <v>19</v>
      </c>
      <c r="BK5" s="5" t="s">
        <v>18</v>
      </c>
      <c r="BL5" s="5" t="s">
        <v>20</v>
      </c>
      <c r="BM5" s="6" t="s">
        <v>18</v>
      </c>
      <c r="BN5" s="6" t="s">
        <v>20</v>
      </c>
      <c r="BQ5" s="3"/>
      <c r="BR5" s="3"/>
      <c r="BS5" s="3"/>
      <c r="BT5" s="3"/>
      <c r="BU5" s="5" t="s">
        <v>18</v>
      </c>
      <c r="BV5" s="5" t="s">
        <v>19</v>
      </c>
      <c r="BW5" s="5" t="s">
        <v>20</v>
      </c>
      <c r="BX5" s="5" t="s">
        <v>19</v>
      </c>
      <c r="BY5" s="5" t="s">
        <v>18</v>
      </c>
      <c r="BZ5" s="5" t="s">
        <v>20</v>
      </c>
      <c r="CA5" s="6" t="s">
        <v>18</v>
      </c>
      <c r="CB5" s="6" t="s">
        <v>20</v>
      </c>
      <c r="CE5" s="3"/>
      <c r="CF5" s="3"/>
      <c r="CG5" s="3"/>
      <c r="CH5" s="3"/>
      <c r="CI5" s="5" t="s">
        <v>18</v>
      </c>
      <c r="CJ5" s="5" t="s">
        <v>19</v>
      </c>
      <c r="CK5" s="5" t="s">
        <v>20</v>
      </c>
      <c r="CL5" s="5" t="s">
        <v>19</v>
      </c>
      <c r="CM5" s="5" t="s">
        <v>18</v>
      </c>
      <c r="CN5" s="5" t="s">
        <v>20</v>
      </c>
      <c r="CO5" s="6" t="s">
        <v>18</v>
      </c>
      <c r="CP5" s="6" t="s">
        <v>20</v>
      </c>
      <c r="CS5" s="3"/>
      <c r="CT5" s="3"/>
      <c r="CU5" s="3"/>
      <c r="CV5" s="3"/>
      <c r="CW5" s="5" t="s">
        <v>18</v>
      </c>
      <c r="CX5" s="5" t="s">
        <v>19</v>
      </c>
      <c r="CY5" s="5" t="s">
        <v>20</v>
      </c>
      <c r="CZ5" s="5" t="s">
        <v>19</v>
      </c>
      <c r="DA5" s="5" t="s">
        <v>18</v>
      </c>
      <c r="DB5" s="5" t="s">
        <v>20</v>
      </c>
      <c r="DC5" s="6" t="s">
        <v>18</v>
      </c>
      <c r="DD5" s="6" t="s">
        <v>20</v>
      </c>
      <c r="DG5" s="3"/>
      <c r="DH5" s="3"/>
      <c r="DI5" s="3"/>
      <c r="DJ5" s="3"/>
      <c r="DK5" s="5" t="s">
        <v>18</v>
      </c>
      <c r="DL5" s="5" t="s">
        <v>19</v>
      </c>
      <c r="DM5" s="5" t="s">
        <v>20</v>
      </c>
      <c r="DN5" s="5" t="s">
        <v>19</v>
      </c>
      <c r="DO5" s="5" t="s">
        <v>18</v>
      </c>
      <c r="DP5" s="5" t="s">
        <v>20</v>
      </c>
      <c r="DQ5" s="6" t="s">
        <v>18</v>
      </c>
      <c r="DR5" s="6" t="s">
        <v>20</v>
      </c>
      <c r="DU5" s="3"/>
      <c r="DV5" s="3"/>
      <c r="DW5" s="3"/>
      <c r="DX5" s="3"/>
      <c r="DY5" s="5" t="s">
        <v>18</v>
      </c>
      <c r="DZ5" s="5" t="s">
        <v>19</v>
      </c>
      <c r="EA5" s="5" t="s">
        <v>20</v>
      </c>
      <c r="EB5" s="5" t="s">
        <v>19</v>
      </c>
      <c r="EC5" s="5" t="s">
        <v>18</v>
      </c>
      <c r="ED5" s="5" t="s">
        <v>20</v>
      </c>
      <c r="EE5" s="6" t="s">
        <v>18</v>
      </c>
      <c r="EF5" s="6" t="s">
        <v>20</v>
      </c>
      <c r="EI5" s="3"/>
      <c r="EJ5" s="3"/>
      <c r="EK5" s="3"/>
      <c r="EL5" s="3"/>
      <c r="EM5" s="5" t="s">
        <v>18</v>
      </c>
      <c r="EN5" s="5" t="s">
        <v>19</v>
      </c>
      <c r="EO5" s="5" t="s">
        <v>20</v>
      </c>
      <c r="EP5" s="5" t="s">
        <v>19</v>
      </c>
      <c r="EQ5" s="5" t="s">
        <v>18</v>
      </c>
      <c r="ER5" s="5" t="s">
        <v>20</v>
      </c>
      <c r="ES5" s="6" t="s">
        <v>18</v>
      </c>
      <c r="ET5" s="6" t="s">
        <v>20</v>
      </c>
    </row>
    <row r="6" spans="1:150" x14ac:dyDescent="0.2">
      <c r="A6" s="7" t="s">
        <v>21</v>
      </c>
      <c r="B6" s="7" t="s">
        <v>22</v>
      </c>
      <c r="C6" s="5" t="s">
        <v>23</v>
      </c>
      <c r="D6">
        <v>6.6</v>
      </c>
      <c r="E6">
        <v>0.3</v>
      </c>
      <c r="F6" t="s">
        <v>24</v>
      </c>
      <c r="G6">
        <v>0.3</v>
      </c>
      <c r="H6" t="s">
        <v>24</v>
      </c>
      <c r="I6">
        <f>E6/D6</f>
        <v>4.5454545454545456E-2</v>
      </c>
      <c r="J6">
        <f>G6/D6</f>
        <v>4.5454545454545456E-2</v>
      </c>
      <c r="M6" s="3" t="s">
        <v>21</v>
      </c>
      <c r="N6" s="3" t="s">
        <v>25</v>
      </c>
      <c r="O6" s="5" t="s">
        <v>23</v>
      </c>
      <c r="P6">
        <v>7.3</v>
      </c>
      <c r="Q6">
        <v>0.3</v>
      </c>
      <c r="S6">
        <v>0.3</v>
      </c>
      <c r="U6">
        <f>Q6/P6</f>
        <v>4.1095890410958902E-2</v>
      </c>
      <c r="V6">
        <f>S6/P6</f>
        <v>4.1095890410958902E-2</v>
      </c>
      <c r="W6">
        <f t="shared" ref="W6:W15" si="0">(Q6-E6)/10</f>
        <v>0</v>
      </c>
      <c r="X6">
        <f t="shared" ref="X6:X38" si="1">(S6-G6)/10</f>
        <v>0</v>
      </c>
      <c r="AA6" s="3" t="s">
        <v>21</v>
      </c>
      <c r="AB6" s="3" t="s">
        <v>25</v>
      </c>
      <c r="AC6" s="5" t="s">
        <v>23</v>
      </c>
      <c r="AD6">
        <v>7.7</v>
      </c>
      <c r="AE6">
        <v>0.4</v>
      </c>
      <c r="AF6" t="s">
        <v>26</v>
      </c>
      <c r="AG6">
        <v>0.45</v>
      </c>
      <c r="AI6">
        <f>AE6/AD6</f>
        <v>5.1948051948051951E-2</v>
      </c>
      <c r="AJ6">
        <f>AG6/AD6</f>
        <v>5.844155844155844E-2</v>
      </c>
      <c r="AK6">
        <f>(AE6-Q6)/6</f>
        <v>1.6666666666666673E-2</v>
      </c>
      <c r="AL6">
        <f>(AG6-S6)/6</f>
        <v>2.5000000000000005E-2</v>
      </c>
      <c r="AO6" s="3" t="s">
        <v>21</v>
      </c>
      <c r="AP6" s="3" t="s">
        <v>25</v>
      </c>
      <c r="AQ6" s="5" t="s">
        <v>23</v>
      </c>
      <c r="AR6">
        <v>8.5</v>
      </c>
      <c r="AS6">
        <v>0.4</v>
      </c>
      <c r="AU6">
        <v>0.4</v>
      </c>
      <c r="AW6">
        <f>AS6/AR6</f>
        <v>4.7058823529411764E-2</v>
      </c>
      <c r="AX6">
        <f>AU6/AR6</f>
        <v>4.7058823529411764E-2</v>
      </c>
      <c r="AY6">
        <f>(AS6-AE6)/8</f>
        <v>0</v>
      </c>
      <c r="AZ6">
        <f>(AU6-AG6)/8</f>
        <v>-6.2499999999999986E-3</v>
      </c>
      <c r="BC6" s="3" t="s">
        <v>21</v>
      </c>
      <c r="BD6" s="3" t="s">
        <v>25</v>
      </c>
      <c r="BE6" s="5" t="s">
        <v>23</v>
      </c>
      <c r="BF6">
        <v>9.4</v>
      </c>
      <c r="BG6">
        <v>0.4</v>
      </c>
      <c r="BI6">
        <v>0.57499999999999996</v>
      </c>
      <c r="BK6">
        <f>BG6/BF6</f>
        <v>4.2553191489361701E-2</v>
      </c>
      <c r="BL6">
        <f>BI6/BF6</f>
        <v>6.1170212765957438E-2</v>
      </c>
      <c r="BM6">
        <f>(BG6-AS6)/8</f>
        <v>0</v>
      </c>
      <c r="BN6">
        <f>(BI6-AU6)/8</f>
        <v>2.1874999999999992E-2</v>
      </c>
      <c r="BQ6" s="3" t="s">
        <v>21</v>
      </c>
      <c r="BR6" s="3" t="s">
        <v>25</v>
      </c>
      <c r="BS6" s="5" t="s">
        <v>23</v>
      </c>
      <c r="BT6">
        <v>10.3</v>
      </c>
      <c r="BU6">
        <v>0.65</v>
      </c>
      <c r="BW6">
        <v>0.72499999999999998</v>
      </c>
      <c r="BY6">
        <f>BU6/BT6</f>
        <v>6.3106796116504854E-2</v>
      </c>
      <c r="BZ6">
        <f>BW6/BT6</f>
        <v>7.0388349514563103E-2</v>
      </c>
      <c r="CA6">
        <f>(BU6-BG6)/13</f>
        <v>1.9230769230769232E-2</v>
      </c>
      <c r="CB6">
        <f>(BW6-BI6)/13</f>
        <v>1.1538461538461541E-2</v>
      </c>
      <c r="CE6" s="3" t="s">
        <v>21</v>
      </c>
      <c r="CF6" s="3" t="s">
        <v>27</v>
      </c>
      <c r="CG6" s="5" t="s">
        <v>23</v>
      </c>
      <c r="CH6">
        <v>11.5</v>
      </c>
      <c r="CI6">
        <v>0.95</v>
      </c>
      <c r="CK6">
        <v>0.95</v>
      </c>
      <c r="CM6">
        <f>CI6/CH6</f>
        <v>8.2608695652173908E-2</v>
      </c>
      <c r="CN6">
        <f>CK6/CH6</f>
        <v>8.2608695652173908E-2</v>
      </c>
      <c r="CO6">
        <f>(CI6-BU6)/14</f>
        <v>2.1428571428571425E-2</v>
      </c>
      <c r="CP6">
        <f>(CK6-BW6)/14</f>
        <v>1.607142857142857E-2</v>
      </c>
      <c r="CS6" s="3" t="s">
        <v>21</v>
      </c>
      <c r="CT6" s="3" t="s">
        <v>27</v>
      </c>
      <c r="CU6" s="5" t="s">
        <v>23</v>
      </c>
      <c r="CV6">
        <v>12.9</v>
      </c>
      <c r="CW6">
        <v>1.2250000000000001</v>
      </c>
      <c r="CY6">
        <v>1.125</v>
      </c>
      <c r="DA6">
        <f>CW6/CV6</f>
        <v>9.4961240310077522E-2</v>
      </c>
      <c r="DB6">
        <f>CY6/CV6</f>
        <v>8.7209302325581398E-2</v>
      </c>
      <c r="DC6">
        <f>(CW6-CI6)/14</f>
        <v>1.9642857142857153E-2</v>
      </c>
      <c r="DD6">
        <f>(CY6-CK6)/14</f>
        <v>1.2500000000000002E-2</v>
      </c>
      <c r="DG6" s="3" t="s">
        <v>21</v>
      </c>
      <c r="DH6" s="3" t="s">
        <v>27</v>
      </c>
      <c r="DI6" s="5" t="s">
        <v>23</v>
      </c>
      <c r="DJ6">
        <v>13.8</v>
      </c>
      <c r="DK6">
        <f>0.3+1</f>
        <v>1.3</v>
      </c>
      <c r="DM6">
        <v>1.25</v>
      </c>
      <c r="DO6">
        <f>DK6/DJ6</f>
        <v>9.420289855072464E-2</v>
      </c>
      <c r="DP6">
        <f>DM6/DJ6</f>
        <v>9.0579710144927536E-2</v>
      </c>
      <c r="DQ6">
        <f>(DK6-CW6)/14</f>
        <v>5.3571428571428537E-3</v>
      </c>
      <c r="DR6">
        <f>(DM6-CY6)/14</f>
        <v>8.9285714285714281E-3</v>
      </c>
      <c r="DU6" s="3" t="s">
        <v>21</v>
      </c>
      <c r="DV6" s="3" t="s">
        <v>27</v>
      </c>
      <c r="DW6" s="5" t="s">
        <v>23</v>
      </c>
      <c r="DX6">
        <v>14.6</v>
      </c>
      <c r="DY6">
        <f>0.3+1.3</f>
        <v>1.6</v>
      </c>
      <c r="EA6">
        <v>1.4</v>
      </c>
      <c r="EC6">
        <f>DY6/DX6</f>
        <v>0.10958904109589042</v>
      </c>
      <c r="ED6">
        <f>EA6/DX6</f>
        <v>9.5890410958904104E-2</v>
      </c>
      <c r="EE6">
        <f>(DY6-DK6)/14</f>
        <v>2.1428571428571432E-2</v>
      </c>
      <c r="EF6">
        <f>(EA6-DM6)/14</f>
        <v>1.0714285714285707E-2</v>
      </c>
      <c r="EI6" s="3" t="s">
        <v>21</v>
      </c>
      <c r="EJ6" s="3" t="s">
        <v>27</v>
      </c>
      <c r="EK6" s="5" t="s">
        <v>23</v>
      </c>
      <c r="EL6">
        <v>15.6</v>
      </c>
      <c r="EM6">
        <f>0.35+1.4</f>
        <v>1.75</v>
      </c>
      <c r="EO6">
        <v>1.45</v>
      </c>
      <c r="EQ6">
        <f>EM6/EL6</f>
        <v>0.11217948717948718</v>
      </c>
      <c r="ER6">
        <f>EO6/EL6</f>
        <v>9.2948717948717952E-2</v>
      </c>
      <c r="ES6">
        <f>(EM6-DY6)/27</f>
        <v>5.5555555555555523E-3</v>
      </c>
      <c r="ET6">
        <f>(EO6-EA6)/27</f>
        <v>1.8518518518518534E-3</v>
      </c>
    </row>
    <row r="7" spans="1:150" x14ac:dyDescent="0.2">
      <c r="A7" s="7"/>
      <c r="B7" s="7"/>
      <c r="C7" s="5" t="s">
        <v>28</v>
      </c>
      <c r="D7">
        <v>6.1</v>
      </c>
      <c r="E7">
        <v>0.3</v>
      </c>
      <c r="F7" t="s">
        <v>24</v>
      </c>
      <c r="G7">
        <v>0.3</v>
      </c>
      <c r="H7" t="s">
        <v>24</v>
      </c>
      <c r="I7">
        <f t="shared" ref="I7:I52" si="2">E7/D7</f>
        <v>4.9180327868852458E-2</v>
      </c>
      <c r="J7">
        <f t="shared" ref="J7:J52" si="3">G7/D7</f>
        <v>4.9180327868852458E-2</v>
      </c>
      <c r="M7" s="3"/>
      <c r="N7" s="3"/>
      <c r="O7" s="5" t="s">
        <v>28</v>
      </c>
      <c r="P7">
        <v>6.6</v>
      </c>
      <c r="Q7">
        <v>0.35</v>
      </c>
      <c r="S7">
        <v>0.3</v>
      </c>
      <c r="U7">
        <f t="shared" ref="U7:U52" si="4">Q7/P7</f>
        <v>5.3030303030303032E-2</v>
      </c>
      <c r="V7">
        <f t="shared" ref="V7:V52" si="5">S7/P7</f>
        <v>4.5454545454545456E-2</v>
      </c>
      <c r="W7">
        <f t="shared" si="0"/>
        <v>4.9999999999999992E-3</v>
      </c>
      <c r="X7">
        <f t="shared" si="1"/>
        <v>0</v>
      </c>
      <c r="AA7" s="3"/>
      <c r="AB7" s="3"/>
      <c r="AC7" s="5" t="s">
        <v>28</v>
      </c>
      <c r="AD7">
        <v>6.8</v>
      </c>
      <c r="AE7">
        <v>0.45</v>
      </c>
      <c r="AF7" t="s">
        <v>29</v>
      </c>
      <c r="AG7">
        <v>0.4</v>
      </c>
      <c r="AI7">
        <f t="shared" ref="AI7:AI52" si="6">AE7/AD7</f>
        <v>6.6176470588235295E-2</v>
      </c>
      <c r="AJ7">
        <f t="shared" ref="AJ7:AJ52" si="7">AG7/AD7</f>
        <v>5.8823529411764712E-2</v>
      </c>
      <c r="AK7">
        <f t="shared" ref="AK7:AK52" si="8">(AE7-Q7)/6</f>
        <v>1.6666666666666673E-2</v>
      </c>
      <c r="AL7">
        <f t="shared" ref="AL7:AL52" si="9">(AG7-S7)/6</f>
        <v>1.6666666666666673E-2</v>
      </c>
      <c r="AO7" s="3"/>
      <c r="AP7" s="3"/>
      <c r="AQ7" s="5" t="s">
        <v>28</v>
      </c>
      <c r="AR7">
        <v>7.2</v>
      </c>
      <c r="AS7">
        <v>0.6</v>
      </c>
      <c r="AU7">
        <v>0.4</v>
      </c>
      <c r="AW7">
        <f t="shared" ref="AW7:AW52" si="10">AS7/AR7</f>
        <v>8.3333333333333329E-2</v>
      </c>
      <c r="AX7">
        <f t="shared" ref="AX7:AX52" si="11">AU7/AR7</f>
        <v>5.5555555555555559E-2</v>
      </c>
      <c r="AY7">
        <f t="shared" ref="AY7:AY52" si="12">(AS7-AE7)/8</f>
        <v>1.8749999999999996E-2</v>
      </c>
      <c r="AZ7">
        <f t="shared" ref="AZ7:AZ52" si="13">(AU7-AG7)/8</f>
        <v>0</v>
      </c>
      <c r="BC7" s="3"/>
      <c r="BD7" s="3"/>
      <c r="BE7" s="5" t="s">
        <v>28</v>
      </c>
      <c r="BF7">
        <v>7.7</v>
      </c>
      <c r="BG7">
        <v>0.72499999999999998</v>
      </c>
      <c r="BI7">
        <v>0.5</v>
      </c>
      <c r="BK7">
        <f t="shared" ref="BK7:BK52" si="14">BG7/BF7</f>
        <v>9.4155844155844146E-2</v>
      </c>
      <c r="BL7">
        <f t="shared" ref="BL7:BL52" si="15">BI7/BF7</f>
        <v>6.4935064935064929E-2</v>
      </c>
      <c r="BM7">
        <f t="shared" ref="BM7:BM52" si="16">(BG7-AS7)/8</f>
        <v>1.5625E-2</v>
      </c>
      <c r="BN7">
        <f t="shared" ref="BN7:BN52" si="17">(BI7-AU7)/8</f>
        <v>1.2499999999999997E-2</v>
      </c>
      <c r="BQ7" s="3"/>
      <c r="BR7" s="3"/>
      <c r="BS7" s="5" t="s">
        <v>28</v>
      </c>
      <c r="BT7">
        <v>8.5</v>
      </c>
      <c r="BU7">
        <v>0.9</v>
      </c>
      <c r="BW7">
        <v>0.65</v>
      </c>
      <c r="BY7">
        <f t="shared" ref="BY7:BY52" si="18">BU7/BT7</f>
        <v>0.10588235294117647</v>
      </c>
      <c r="BZ7">
        <f t="shared" ref="BZ7:BZ52" si="19">BW7/BT7</f>
        <v>7.6470588235294124E-2</v>
      </c>
      <c r="CA7">
        <f t="shared" ref="CA7:CA52" si="20">(BU7-BG7)/13</f>
        <v>1.3461538461538466E-2</v>
      </c>
      <c r="CB7">
        <f t="shared" ref="CB7:CB52" si="21">(BW7-BI7)/13</f>
        <v>1.1538461538461541E-2</v>
      </c>
      <c r="CE7" s="3"/>
      <c r="CF7" s="3"/>
      <c r="CG7" s="5" t="s">
        <v>28</v>
      </c>
      <c r="CH7">
        <v>9.6</v>
      </c>
      <c r="CI7">
        <v>1.1000000000000001</v>
      </c>
      <c r="CK7">
        <v>0.85</v>
      </c>
      <c r="CM7">
        <f t="shared" ref="CM7:CM52" si="22">CI7/CH7</f>
        <v>0.11458333333333334</v>
      </c>
      <c r="CN7">
        <f t="shared" ref="CN7:CN52" si="23">CK7/CH7</f>
        <v>8.8541666666666671E-2</v>
      </c>
      <c r="CO7">
        <f t="shared" ref="CO7:CO52" si="24">(CI7-BU7)/14</f>
        <v>1.428571428571429E-2</v>
      </c>
      <c r="CP7">
        <f t="shared" ref="CP7:CP52" si="25">(CK7-BW7)/14</f>
        <v>1.4285714285714282E-2</v>
      </c>
      <c r="CS7" s="3"/>
      <c r="CT7" s="3"/>
      <c r="CU7" s="5" t="s">
        <v>28</v>
      </c>
      <c r="CV7">
        <v>10.8</v>
      </c>
      <c r="CW7">
        <v>1.2</v>
      </c>
      <c r="CY7">
        <f>0.15+0.925</f>
        <v>1.075</v>
      </c>
      <c r="DA7">
        <f t="shared" ref="DA7:DA40" si="26">CW7/CV7</f>
        <v>0.1111111111111111</v>
      </c>
      <c r="DB7">
        <f t="shared" ref="DB7:DB40" si="27">CY7/CV7</f>
        <v>9.9537037037037021E-2</v>
      </c>
      <c r="DC7">
        <f t="shared" ref="DC7:DC15" si="28">(CW7-CI7)/14</f>
        <v>7.1428571428571331E-3</v>
      </c>
      <c r="DD7">
        <f t="shared" ref="DD7:DD38" si="29">(CY7-CK7)/14</f>
        <v>1.607142857142857E-2</v>
      </c>
      <c r="DG7" s="3"/>
      <c r="DH7" s="3"/>
      <c r="DI7" s="5" t="s">
        <v>28</v>
      </c>
      <c r="DJ7">
        <v>11.7</v>
      </c>
      <c r="DK7">
        <v>1.35</v>
      </c>
      <c r="DM7">
        <f>0.25+1.05</f>
        <v>1.3</v>
      </c>
      <c r="DO7">
        <f t="shared" ref="DO7:DO40" si="30">DK7/DJ7</f>
        <v>0.1153846153846154</v>
      </c>
      <c r="DP7">
        <f t="shared" ref="DP7:DP40" si="31">DM7/DJ7</f>
        <v>0.11111111111111112</v>
      </c>
      <c r="DQ7">
        <f t="shared" ref="DQ7:DQ15" si="32">(DK7-CW7)/14</f>
        <v>1.0714285714285723E-2</v>
      </c>
      <c r="DR7">
        <f t="shared" ref="DR7:DR38" si="33">(DM7-CY7)/14</f>
        <v>1.6071428571428577E-2</v>
      </c>
      <c r="DU7" s="3"/>
      <c r="DV7" s="3"/>
      <c r="DW7" s="5" t="s">
        <v>28</v>
      </c>
      <c r="DX7">
        <v>12.7</v>
      </c>
      <c r="DY7">
        <f>0.5+1.15</f>
        <v>1.65</v>
      </c>
      <c r="EA7">
        <f>0.25+1.15</f>
        <v>1.4</v>
      </c>
      <c r="EC7">
        <f t="shared" ref="EC7:EC40" si="34">DY7/DX7</f>
        <v>0.12992125984251968</v>
      </c>
      <c r="ED7">
        <f t="shared" ref="ED7:ED40" si="35">EA7/DX7</f>
        <v>0.11023622047244094</v>
      </c>
      <c r="EE7">
        <f t="shared" ref="EE7:EE15" si="36">(DY7-DK7)/14</f>
        <v>2.1428571428571415E-2</v>
      </c>
      <c r="EF7">
        <f t="shared" ref="EF7:EF12" si="37">(EA7-DM7)/14</f>
        <v>7.1428571428571331E-3</v>
      </c>
      <c r="EI7" s="3"/>
      <c r="EJ7" s="3"/>
      <c r="EK7" s="5" t="s">
        <v>28</v>
      </c>
      <c r="EL7">
        <v>13.8</v>
      </c>
      <c r="EM7">
        <f>0.45+1.25</f>
        <v>1.7</v>
      </c>
      <c r="EO7">
        <f>0.35+1.2</f>
        <v>1.5499999999999998</v>
      </c>
      <c r="EQ7">
        <f t="shared" ref="EQ7:EQ15" si="38">EM7/EL7</f>
        <v>0.12318840579710144</v>
      </c>
      <c r="ER7">
        <f t="shared" ref="ER7:ER40" si="39">EO7/EL7</f>
        <v>0.11231884057971013</v>
      </c>
      <c r="ES7">
        <f t="shared" ref="ES7:ES35" si="40">(EM7-DY7)/27</f>
        <v>1.8518518518518534E-3</v>
      </c>
      <c r="ET7">
        <f t="shared" ref="ET7:ET15" si="41">(EO7-EA7)/27</f>
        <v>5.5555555555555523E-3</v>
      </c>
    </row>
    <row r="8" spans="1:150" x14ac:dyDescent="0.2">
      <c r="A8" s="7"/>
      <c r="B8" s="7"/>
      <c r="C8" s="5" t="s">
        <v>30</v>
      </c>
      <c r="D8">
        <v>6.8</v>
      </c>
      <c r="E8">
        <v>0.3</v>
      </c>
      <c r="F8" t="s">
        <v>24</v>
      </c>
      <c r="G8">
        <v>0.3</v>
      </c>
      <c r="H8" t="s">
        <v>24</v>
      </c>
      <c r="I8">
        <f t="shared" si="2"/>
        <v>4.4117647058823532E-2</v>
      </c>
      <c r="J8">
        <f t="shared" si="3"/>
        <v>4.4117647058823532E-2</v>
      </c>
      <c r="M8" s="3"/>
      <c r="N8" s="3"/>
      <c r="O8" s="5" t="s">
        <v>30</v>
      </c>
      <c r="P8">
        <v>7.4</v>
      </c>
      <c r="Q8">
        <v>0.3</v>
      </c>
      <c r="S8">
        <v>0.3</v>
      </c>
      <c r="U8">
        <f t="shared" si="4"/>
        <v>4.0540540540540536E-2</v>
      </c>
      <c r="V8">
        <f t="shared" si="5"/>
        <v>4.0540540540540536E-2</v>
      </c>
      <c r="W8">
        <f t="shared" si="0"/>
        <v>0</v>
      </c>
      <c r="X8">
        <f t="shared" si="1"/>
        <v>0</v>
      </c>
      <c r="AA8" s="3"/>
      <c r="AB8" s="3"/>
      <c r="AC8" s="5" t="s">
        <v>30</v>
      </c>
      <c r="AD8">
        <v>8</v>
      </c>
      <c r="AE8">
        <v>0.35</v>
      </c>
      <c r="AF8" t="s">
        <v>31</v>
      </c>
      <c r="AG8">
        <v>0.42499999999999999</v>
      </c>
      <c r="AI8">
        <f t="shared" si="6"/>
        <v>4.3749999999999997E-2</v>
      </c>
      <c r="AJ8">
        <f t="shared" si="7"/>
        <v>5.3124999999999999E-2</v>
      </c>
      <c r="AK8">
        <f t="shared" si="8"/>
        <v>8.3333333333333315E-3</v>
      </c>
      <c r="AL8">
        <f t="shared" si="9"/>
        <v>2.0833333333333332E-2</v>
      </c>
      <c r="AO8" s="3"/>
      <c r="AP8" s="3"/>
      <c r="AQ8" s="5" t="s">
        <v>30</v>
      </c>
      <c r="AR8">
        <v>8.6</v>
      </c>
      <c r="AS8">
        <v>0.35</v>
      </c>
      <c r="AU8">
        <v>0.52500000000000002</v>
      </c>
      <c r="AW8">
        <f t="shared" si="10"/>
        <v>4.0697674418604647E-2</v>
      </c>
      <c r="AX8">
        <f t="shared" si="11"/>
        <v>6.1046511627906981E-2</v>
      </c>
      <c r="AY8">
        <f t="shared" si="12"/>
        <v>0</v>
      </c>
      <c r="AZ8">
        <f t="shared" si="13"/>
        <v>1.2500000000000004E-2</v>
      </c>
      <c r="BC8" s="3"/>
      <c r="BD8" s="3"/>
      <c r="BE8" s="5" t="s">
        <v>30</v>
      </c>
      <c r="BF8">
        <v>9.4</v>
      </c>
      <c r="BG8">
        <v>0.5</v>
      </c>
      <c r="BI8">
        <v>0.75</v>
      </c>
      <c r="BK8">
        <f t="shared" si="14"/>
        <v>5.3191489361702128E-2</v>
      </c>
      <c r="BL8">
        <f t="shared" si="15"/>
        <v>7.9787234042553182E-2</v>
      </c>
      <c r="BM8">
        <f t="shared" si="16"/>
        <v>1.8750000000000003E-2</v>
      </c>
      <c r="BN8">
        <f t="shared" si="17"/>
        <v>2.8124999999999997E-2</v>
      </c>
      <c r="BQ8" s="3"/>
      <c r="BR8" s="3"/>
      <c r="BS8" s="5" t="s">
        <v>30</v>
      </c>
      <c r="BT8">
        <v>10.4</v>
      </c>
      <c r="BU8">
        <v>0.72499999999999998</v>
      </c>
      <c r="BW8">
        <v>0.75</v>
      </c>
      <c r="BY8">
        <f t="shared" si="18"/>
        <v>6.9711538461538464E-2</v>
      </c>
      <c r="BZ8">
        <f t="shared" si="19"/>
        <v>7.2115384615384609E-2</v>
      </c>
      <c r="CA8">
        <f t="shared" si="20"/>
        <v>1.7307692307692305E-2</v>
      </c>
      <c r="CB8">
        <f t="shared" si="21"/>
        <v>0</v>
      </c>
      <c r="CE8" s="3"/>
      <c r="CF8" s="3"/>
      <c r="CG8" s="5" t="s">
        <v>30</v>
      </c>
      <c r="CH8">
        <v>11.6</v>
      </c>
      <c r="CI8">
        <v>0.8</v>
      </c>
      <c r="CK8">
        <f>0.2+0.65</f>
        <v>0.85000000000000009</v>
      </c>
      <c r="CM8">
        <f t="shared" si="22"/>
        <v>6.8965517241379309E-2</v>
      </c>
      <c r="CN8">
        <f t="shared" si="23"/>
        <v>7.3275862068965525E-2</v>
      </c>
      <c r="CO8">
        <f t="shared" si="24"/>
        <v>5.3571428571428615E-3</v>
      </c>
      <c r="CP8">
        <f t="shared" si="25"/>
        <v>7.1428571428571496E-3</v>
      </c>
      <c r="CS8" s="3"/>
      <c r="CT8" s="3"/>
      <c r="CU8" s="5" t="s">
        <v>30</v>
      </c>
      <c r="CV8">
        <v>12.6</v>
      </c>
      <c r="CW8">
        <f>0.225+0.7</f>
        <v>0.92499999999999993</v>
      </c>
      <c r="CY8">
        <f>0.25+0.75</f>
        <v>1</v>
      </c>
      <c r="DA8">
        <f t="shared" si="26"/>
        <v>7.3412698412698416E-2</v>
      </c>
      <c r="DB8">
        <f t="shared" si="27"/>
        <v>7.9365079365079361E-2</v>
      </c>
      <c r="DC8">
        <f t="shared" si="28"/>
        <v>8.9285714285714211E-3</v>
      </c>
      <c r="DD8">
        <f t="shared" si="29"/>
        <v>1.0714285714285707E-2</v>
      </c>
      <c r="DG8" s="3"/>
      <c r="DH8" s="3"/>
      <c r="DI8" s="5" t="s">
        <v>30</v>
      </c>
      <c r="DJ8">
        <v>13.3</v>
      </c>
      <c r="DK8">
        <f>0.2+0.9</f>
        <v>1.1000000000000001</v>
      </c>
      <c r="DM8">
        <f>0.45+0.85</f>
        <v>1.3</v>
      </c>
      <c r="DO8">
        <f t="shared" si="30"/>
        <v>8.2706766917293228E-2</v>
      </c>
      <c r="DP8">
        <f t="shared" si="31"/>
        <v>9.7744360902255634E-2</v>
      </c>
      <c r="DQ8">
        <f t="shared" si="32"/>
        <v>1.2500000000000011E-2</v>
      </c>
      <c r="DR8">
        <f t="shared" si="33"/>
        <v>2.1428571428571432E-2</v>
      </c>
      <c r="DU8" s="3"/>
      <c r="DV8" s="3"/>
      <c r="DW8" s="5" t="s">
        <v>30</v>
      </c>
      <c r="DX8">
        <v>13.8</v>
      </c>
      <c r="DY8">
        <f>0.45+1</f>
        <v>1.45</v>
      </c>
      <c r="EA8">
        <f>0.5+1</f>
        <v>1.5</v>
      </c>
      <c r="EC8">
        <f t="shared" si="34"/>
        <v>0.10507246376811594</v>
      </c>
      <c r="ED8">
        <f t="shared" si="35"/>
        <v>0.10869565217391304</v>
      </c>
      <c r="EE8">
        <f t="shared" si="36"/>
        <v>2.4999999999999991E-2</v>
      </c>
      <c r="EF8">
        <f t="shared" si="37"/>
        <v>1.4285714285714282E-2</v>
      </c>
      <c r="EI8" s="3"/>
      <c r="EJ8" s="3"/>
      <c r="EK8" s="5" t="s">
        <v>30</v>
      </c>
      <c r="EL8">
        <v>14.5</v>
      </c>
      <c r="EM8">
        <f>0.45+1.05</f>
        <v>1.5</v>
      </c>
      <c r="EO8">
        <f>0.45+1.05</f>
        <v>1.5</v>
      </c>
      <c r="EQ8">
        <f t="shared" si="38"/>
        <v>0.10344827586206896</v>
      </c>
      <c r="ER8">
        <f t="shared" si="39"/>
        <v>0.10344827586206896</v>
      </c>
      <c r="ES8">
        <f t="shared" si="40"/>
        <v>1.8518518518518534E-3</v>
      </c>
      <c r="ET8">
        <f t="shared" si="41"/>
        <v>0</v>
      </c>
    </row>
    <row r="9" spans="1:150" x14ac:dyDescent="0.2">
      <c r="A9" s="7"/>
      <c r="B9" s="7"/>
      <c r="C9" s="5" t="s">
        <v>32</v>
      </c>
      <c r="D9">
        <v>7</v>
      </c>
      <c r="E9">
        <v>0.3</v>
      </c>
      <c r="F9" t="s">
        <v>24</v>
      </c>
      <c r="G9">
        <v>0.35</v>
      </c>
      <c r="H9" t="s">
        <v>24</v>
      </c>
      <c r="I9">
        <f t="shared" si="2"/>
        <v>4.2857142857142858E-2</v>
      </c>
      <c r="J9">
        <f t="shared" si="3"/>
        <v>4.9999999999999996E-2</v>
      </c>
      <c r="M9" s="3"/>
      <c r="N9" s="3"/>
      <c r="O9" s="5" t="s">
        <v>32</v>
      </c>
      <c r="P9">
        <v>7.4</v>
      </c>
      <c r="Q9">
        <v>0.3</v>
      </c>
      <c r="S9">
        <v>0.35</v>
      </c>
      <c r="U9">
        <f t="shared" si="4"/>
        <v>4.0540540540540536E-2</v>
      </c>
      <c r="V9">
        <f t="shared" si="5"/>
        <v>4.7297297297297293E-2</v>
      </c>
      <c r="W9">
        <f t="shared" si="0"/>
        <v>0</v>
      </c>
      <c r="X9">
        <f t="shared" si="1"/>
        <v>0</v>
      </c>
      <c r="AA9" s="3"/>
      <c r="AB9" s="3"/>
      <c r="AC9" s="5" t="s">
        <v>32</v>
      </c>
      <c r="AD9">
        <v>7.8</v>
      </c>
      <c r="AE9">
        <v>0.4</v>
      </c>
      <c r="AG9">
        <v>0.4</v>
      </c>
      <c r="AI9">
        <f t="shared" si="6"/>
        <v>5.1282051282051287E-2</v>
      </c>
      <c r="AJ9">
        <f t="shared" si="7"/>
        <v>5.1282051282051287E-2</v>
      </c>
      <c r="AK9">
        <f t="shared" si="8"/>
        <v>1.6666666666666673E-2</v>
      </c>
      <c r="AL9">
        <f t="shared" si="9"/>
        <v>8.3333333333333402E-3</v>
      </c>
      <c r="AO9" s="3"/>
      <c r="AP9" s="3"/>
      <c r="AQ9" s="5" t="s">
        <v>32</v>
      </c>
      <c r="AR9">
        <v>8.4</v>
      </c>
      <c r="AS9">
        <v>0.5</v>
      </c>
      <c r="AU9">
        <v>0.5</v>
      </c>
      <c r="AW9">
        <f t="shared" si="10"/>
        <v>5.9523809523809521E-2</v>
      </c>
      <c r="AX9">
        <f t="shared" si="11"/>
        <v>5.9523809523809521E-2</v>
      </c>
      <c r="AY9">
        <f t="shared" si="12"/>
        <v>1.2499999999999997E-2</v>
      </c>
      <c r="AZ9">
        <f t="shared" si="13"/>
        <v>1.2499999999999997E-2</v>
      </c>
      <c r="BC9" s="3"/>
      <c r="BD9" s="3"/>
      <c r="BE9" s="5" t="s">
        <v>32</v>
      </c>
      <c r="BF9">
        <v>9.3000000000000007</v>
      </c>
      <c r="BG9">
        <v>0.67500000000000004</v>
      </c>
      <c r="BI9">
        <v>0.6</v>
      </c>
      <c r="BK9">
        <f t="shared" si="14"/>
        <v>7.2580645161290328E-2</v>
      </c>
      <c r="BL9">
        <f t="shared" si="15"/>
        <v>6.4516129032258063E-2</v>
      </c>
      <c r="BM9">
        <f t="shared" si="16"/>
        <v>2.1875000000000006E-2</v>
      </c>
      <c r="BN9">
        <f t="shared" si="17"/>
        <v>1.2499999999999997E-2</v>
      </c>
      <c r="BQ9" s="3"/>
      <c r="BR9" s="3"/>
      <c r="BS9" s="5" t="s">
        <v>32</v>
      </c>
      <c r="BT9">
        <v>10.5</v>
      </c>
      <c r="BU9">
        <v>0.82499999999999996</v>
      </c>
      <c r="BW9">
        <v>0.72499999999999998</v>
      </c>
      <c r="BY9">
        <f t="shared" si="18"/>
        <v>7.857142857142857E-2</v>
      </c>
      <c r="BZ9">
        <f t="shared" si="19"/>
        <v>6.9047619047619052E-2</v>
      </c>
      <c r="CA9">
        <f t="shared" si="20"/>
        <v>1.1538461538461532E-2</v>
      </c>
      <c r="CB9">
        <f t="shared" si="21"/>
        <v>9.6153846153846159E-3</v>
      </c>
      <c r="CE9" s="3"/>
      <c r="CF9" s="3"/>
      <c r="CG9" s="5" t="s">
        <v>32</v>
      </c>
      <c r="CH9">
        <v>11.4</v>
      </c>
      <c r="CI9">
        <v>0.9</v>
      </c>
      <c r="CK9">
        <v>0.8</v>
      </c>
      <c r="CM9">
        <f t="shared" si="22"/>
        <v>7.8947368421052627E-2</v>
      </c>
      <c r="CN9">
        <f t="shared" si="23"/>
        <v>7.0175438596491224E-2</v>
      </c>
      <c r="CO9">
        <f t="shared" si="24"/>
        <v>5.3571428571428615E-3</v>
      </c>
      <c r="CP9">
        <f t="shared" si="25"/>
        <v>5.3571428571428615E-3</v>
      </c>
      <c r="CS9" s="3"/>
      <c r="CT9" s="3"/>
      <c r="CU9" s="5" t="s">
        <v>32</v>
      </c>
      <c r="CV9">
        <v>12.4</v>
      </c>
      <c r="CW9">
        <f>0.325+0.7</f>
        <v>1.0249999999999999</v>
      </c>
      <c r="CY9">
        <v>0.95</v>
      </c>
      <c r="DA9">
        <f t="shared" si="26"/>
        <v>8.2661290322580641E-2</v>
      </c>
      <c r="DB9">
        <f t="shared" si="27"/>
        <v>7.6612903225806439E-2</v>
      </c>
      <c r="DC9">
        <f t="shared" si="28"/>
        <v>8.9285714285714211E-3</v>
      </c>
      <c r="DD9">
        <f t="shared" si="29"/>
        <v>1.0714285714285707E-2</v>
      </c>
      <c r="DG9" s="3"/>
      <c r="DH9" s="3"/>
      <c r="DI9" s="5" t="s">
        <v>32</v>
      </c>
      <c r="DJ9">
        <v>13.5</v>
      </c>
      <c r="DK9">
        <v>1.1499999999999999</v>
      </c>
      <c r="DM9">
        <v>1</v>
      </c>
      <c r="DO9">
        <f t="shared" si="30"/>
        <v>8.5185185185185183E-2</v>
      </c>
      <c r="DP9">
        <f t="shared" si="31"/>
        <v>7.407407407407407E-2</v>
      </c>
      <c r="DQ9">
        <f t="shared" si="32"/>
        <v>8.9285714285714281E-3</v>
      </c>
      <c r="DR9">
        <f t="shared" si="33"/>
        <v>3.5714285714285748E-3</v>
      </c>
      <c r="DU9" s="3"/>
      <c r="DV9" s="3"/>
      <c r="DW9" s="5" t="s">
        <v>32</v>
      </c>
      <c r="DX9">
        <v>14.1</v>
      </c>
      <c r="DY9">
        <f>1.35</f>
        <v>1.35</v>
      </c>
      <c r="EA9">
        <f>1.25</f>
        <v>1.25</v>
      </c>
      <c r="EC9">
        <f t="shared" si="34"/>
        <v>9.5744680851063843E-2</v>
      </c>
      <c r="ED9">
        <f t="shared" si="35"/>
        <v>8.8652482269503549E-2</v>
      </c>
      <c r="EE9">
        <f t="shared" si="36"/>
        <v>1.4285714285714299E-2</v>
      </c>
      <c r="EF9">
        <f t="shared" si="37"/>
        <v>1.7857142857142856E-2</v>
      </c>
      <c r="EI9" s="3"/>
      <c r="EJ9" s="3"/>
      <c r="EK9" s="5" t="s">
        <v>32</v>
      </c>
      <c r="EL9">
        <v>15.2</v>
      </c>
      <c r="EM9">
        <f>1.5</f>
        <v>1.5</v>
      </c>
      <c r="EO9">
        <v>1.25</v>
      </c>
      <c r="EQ9">
        <f t="shared" si="38"/>
        <v>9.8684210526315791E-2</v>
      </c>
      <c r="ER9">
        <f t="shared" si="39"/>
        <v>8.2236842105263164E-2</v>
      </c>
      <c r="ES9">
        <f t="shared" si="40"/>
        <v>5.5555555555555523E-3</v>
      </c>
      <c r="ET9">
        <f t="shared" si="41"/>
        <v>0</v>
      </c>
    </row>
    <row r="10" spans="1:150" x14ac:dyDescent="0.2">
      <c r="A10" s="7"/>
      <c r="B10" s="7"/>
      <c r="C10" s="5" t="s">
        <v>33</v>
      </c>
      <c r="D10">
        <v>7</v>
      </c>
      <c r="E10">
        <v>0.3</v>
      </c>
      <c r="F10" t="s">
        <v>24</v>
      </c>
      <c r="G10">
        <v>0.3</v>
      </c>
      <c r="H10" t="s">
        <v>24</v>
      </c>
      <c r="I10">
        <f t="shared" si="2"/>
        <v>4.2857142857142858E-2</v>
      </c>
      <c r="J10">
        <f t="shared" si="3"/>
        <v>4.2857142857142858E-2</v>
      </c>
      <c r="M10" s="3"/>
      <c r="N10" s="3"/>
      <c r="O10" s="5" t="s">
        <v>33</v>
      </c>
      <c r="P10">
        <v>8</v>
      </c>
      <c r="Q10">
        <v>0.3</v>
      </c>
      <c r="S10">
        <v>0.3</v>
      </c>
      <c r="U10">
        <f t="shared" si="4"/>
        <v>3.7499999999999999E-2</v>
      </c>
      <c r="V10">
        <f t="shared" si="5"/>
        <v>3.7499999999999999E-2</v>
      </c>
      <c r="W10">
        <f t="shared" si="0"/>
        <v>0</v>
      </c>
      <c r="X10">
        <f t="shared" si="1"/>
        <v>0</v>
      </c>
      <c r="AA10" s="3"/>
      <c r="AB10" s="3"/>
      <c r="AC10" s="5" t="s">
        <v>33</v>
      </c>
      <c r="AD10">
        <v>8.6</v>
      </c>
      <c r="AE10">
        <v>0.4</v>
      </c>
      <c r="AG10">
        <v>0.4</v>
      </c>
      <c r="AI10">
        <f t="shared" si="6"/>
        <v>4.651162790697675E-2</v>
      </c>
      <c r="AJ10">
        <f t="shared" si="7"/>
        <v>4.651162790697675E-2</v>
      </c>
      <c r="AK10">
        <f t="shared" si="8"/>
        <v>1.6666666666666673E-2</v>
      </c>
      <c r="AL10">
        <f t="shared" si="9"/>
        <v>1.6666666666666673E-2</v>
      </c>
      <c r="AO10" s="3"/>
      <c r="AP10" s="3"/>
      <c r="AQ10" s="5" t="s">
        <v>33</v>
      </c>
      <c r="AR10">
        <v>9.4</v>
      </c>
      <c r="AS10">
        <v>0.4</v>
      </c>
      <c r="AU10">
        <v>0.42499999999999999</v>
      </c>
      <c r="AW10">
        <f t="shared" si="10"/>
        <v>4.2553191489361701E-2</v>
      </c>
      <c r="AX10">
        <f t="shared" si="11"/>
        <v>4.5212765957446804E-2</v>
      </c>
      <c r="AY10">
        <f t="shared" si="12"/>
        <v>0</v>
      </c>
      <c r="AZ10">
        <f t="shared" si="13"/>
        <v>3.1249999999999958E-3</v>
      </c>
      <c r="BC10" s="3"/>
      <c r="BD10" s="3"/>
      <c r="BE10" s="5" t="s">
        <v>33</v>
      </c>
      <c r="BF10">
        <v>10.3</v>
      </c>
      <c r="BG10">
        <v>0.55000000000000004</v>
      </c>
      <c r="BI10">
        <v>0.5</v>
      </c>
      <c r="BK10">
        <f t="shared" si="14"/>
        <v>5.3398058252427189E-2</v>
      </c>
      <c r="BL10">
        <f t="shared" si="15"/>
        <v>4.8543689320388349E-2</v>
      </c>
      <c r="BM10">
        <f t="shared" si="16"/>
        <v>1.8750000000000003E-2</v>
      </c>
      <c r="BN10">
        <f t="shared" si="17"/>
        <v>9.3750000000000014E-3</v>
      </c>
      <c r="BQ10" s="3"/>
      <c r="BR10" s="3"/>
      <c r="BS10" s="5" t="s">
        <v>33</v>
      </c>
      <c r="BT10">
        <v>11.4</v>
      </c>
      <c r="BU10">
        <v>0.8</v>
      </c>
      <c r="BW10">
        <v>0.65</v>
      </c>
      <c r="BY10">
        <f t="shared" si="18"/>
        <v>7.0175438596491224E-2</v>
      </c>
      <c r="BZ10">
        <f t="shared" si="19"/>
        <v>5.701754385964912E-2</v>
      </c>
      <c r="CA10">
        <f t="shared" si="20"/>
        <v>1.9230769230769232E-2</v>
      </c>
      <c r="CB10">
        <f t="shared" si="21"/>
        <v>1.1538461538461541E-2</v>
      </c>
      <c r="CE10" s="3"/>
      <c r="CF10" s="3"/>
      <c r="CG10" s="5" t="s">
        <v>33</v>
      </c>
      <c r="CH10">
        <v>12.1</v>
      </c>
      <c r="CI10">
        <v>1.1000000000000001</v>
      </c>
      <c r="CK10">
        <f>0.2+0.8</f>
        <v>1</v>
      </c>
      <c r="CM10">
        <f t="shared" si="22"/>
        <v>9.0909090909090925E-2</v>
      </c>
      <c r="CN10">
        <f t="shared" si="23"/>
        <v>8.2644628099173556E-2</v>
      </c>
      <c r="CO10">
        <f t="shared" si="24"/>
        <v>2.1428571428571432E-2</v>
      </c>
      <c r="CP10">
        <f t="shared" si="25"/>
        <v>2.4999999999999998E-2</v>
      </c>
      <c r="CS10" s="3"/>
      <c r="CT10" s="3"/>
      <c r="CU10" s="5" t="s">
        <v>33</v>
      </c>
      <c r="CV10">
        <v>13.3</v>
      </c>
      <c r="CW10">
        <v>1.3</v>
      </c>
      <c r="CY10">
        <f>0.225+0.975</f>
        <v>1.2</v>
      </c>
      <c r="DA10">
        <f t="shared" si="26"/>
        <v>9.7744360902255634E-2</v>
      </c>
      <c r="DB10">
        <f t="shared" si="27"/>
        <v>9.0225563909774431E-2</v>
      </c>
      <c r="DC10">
        <f t="shared" si="28"/>
        <v>1.4285714285714282E-2</v>
      </c>
      <c r="DD10">
        <f t="shared" si="29"/>
        <v>1.4285714285714282E-2</v>
      </c>
      <c r="DG10" s="3"/>
      <c r="DH10" s="3"/>
      <c r="DI10" s="5" t="s">
        <v>33</v>
      </c>
      <c r="DJ10">
        <v>14.3</v>
      </c>
      <c r="DK10">
        <f>0.45+1.15</f>
        <v>1.5999999999999999</v>
      </c>
      <c r="DM10">
        <f>0.45+1.15</f>
        <v>1.5999999999999999</v>
      </c>
      <c r="DO10">
        <f t="shared" si="30"/>
        <v>0.11188811188811187</v>
      </c>
      <c r="DP10">
        <f t="shared" si="31"/>
        <v>0.11188811188811187</v>
      </c>
      <c r="DQ10">
        <f t="shared" si="32"/>
        <v>2.1428571428571415E-2</v>
      </c>
      <c r="DR10">
        <f t="shared" si="33"/>
        <v>2.8571428571428564E-2</v>
      </c>
      <c r="DU10" s="3"/>
      <c r="DV10" s="3"/>
      <c r="DW10" s="5" t="s">
        <v>33</v>
      </c>
      <c r="DX10">
        <v>15.2</v>
      </c>
      <c r="DY10">
        <f>0.5+1.3</f>
        <v>1.8</v>
      </c>
      <c r="EA10">
        <f>0.45+1.35</f>
        <v>1.8</v>
      </c>
      <c r="EC10">
        <f t="shared" si="34"/>
        <v>0.11842105263157895</v>
      </c>
      <c r="ED10">
        <f t="shared" si="35"/>
        <v>0.11842105263157895</v>
      </c>
      <c r="EE10">
        <f t="shared" si="36"/>
        <v>1.4285714285714299E-2</v>
      </c>
      <c r="EF10">
        <f t="shared" si="37"/>
        <v>1.4285714285714299E-2</v>
      </c>
      <c r="EI10" s="3"/>
      <c r="EJ10" s="3"/>
      <c r="EK10" s="5" t="s">
        <v>33</v>
      </c>
      <c r="EL10">
        <v>16.100000000000001</v>
      </c>
      <c r="EM10">
        <f>0.5+1.5</f>
        <v>2</v>
      </c>
      <c r="EO10">
        <f>0.45+1.4</f>
        <v>1.8499999999999999</v>
      </c>
      <c r="EQ10">
        <f t="shared" si="38"/>
        <v>0.12422360248447203</v>
      </c>
      <c r="ER10">
        <f t="shared" si="39"/>
        <v>0.11490683229813663</v>
      </c>
      <c r="ES10">
        <f t="shared" si="40"/>
        <v>7.407407407407406E-3</v>
      </c>
      <c r="ET10">
        <f t="shared" si="41"/>
        <v>1.8518518518518452E-3</v>
      </c>
    </row>
    <row r="11" spans="1:150" x14ac:dyDescent="0.2">
      <c r="A11" s="7"/>
      <c r="B11" s="7"/>
      <c r="C11" s="5" t="s">
        <v>34</v>
      </c>
      <c r="D11">
        <v>6.9</v>
      </c>
      <c r="E11">
        <v>0.25</v>
      </c>
      <c r="F11" t="s">
        <v>24</v>
      </c>
      <c r="G11">
        <v>0.3</v>
      </c>
      <c r="H11" t="s">
        <v>24</v>
      </c>
      <c r="I11">
        <f t="shared" si="2"/>
        <v>3.6231884057971016E-2</v>
      </c>
      <c r="J11">
        <f t="shared" si="3"/>
        <v>4.3478260869565216E-2</v>
      </c>
      <c r="M11" s="3"/>
      <c r="N11" s="3"/>
      <c r="O11" s="5" t="s">
        <v>34</v>
      </c>
      <c r="P11">
        <v>7.4</v>
      </c>
      <c r="Q11">
        <v>0.25</v>
      </c>
      <c r="S11">
        <v>0.3</v>
      </c>
      <c r="U11">
        <f t="shared" si="4"/>
        <v>3.3783783783783779E-2</v>
      </c>
      <c r="V11">
        <f t="shared" si="5"/>
        <v>4.0540540540540536E-2</v>
      </c>
      <c r="W11">
        <f t="shared" si="0"/>
        <v>0</v>
      </c>
      <c r="X11">
        <f t="shared" si="1"/>
        <v>0</v>
      </c>
      <c r="AA11" s="3"/>
      <c r="AB11" s="3"/>
      <c r="AC11" s="5" t="s">
        <v>34</v>
      </c>
      <c r="AD11">
        <v>7.9</v>
      </c>
      <c r="AE11">
        <v>0.35</v>
      </c>
      <c r="AG11">
        <v>0.4</v>
      </c>
      <c r="AI11">
        <f t="shared" si="6"/>
        <v>4.4303797468354424E-2</v>
      </c>
      <c r="AJ11">
        <f t="shared" si="7"/>
        <v>5.0632911392405063E-2</v>
      </c>
      <c r="AK11">
        <f t="shared" si="8"/>
        <v>1.6666666666666663E-2</v>
      </c>
      <c r="AL11">
        <f t="shared" si="9"/>
        <v>1.6666666666666673E-2</v>
      </c>
      <c r="AO11" s="3"/>
      <c r="AP11" s="3"/>
      <c r="AQ11" s="5" t="s">
        <v>34</v>
      </c>
      <c r="AR11">
        <v>8.6</v>
      </c>
      <c r="AS11">
        <v>0.4</v>
      </c>
      <c r="AU11">
        <v>0.35</v>
      </c>
      <c r="AW11">
        <f t="shared" si="10"/>
        <v>4.651162790697675E-2</v>
      </c>
      <c r="AX11">
        <f t="shared" si="11"/>
        <v>4.0697674418604647E-2</v>
      </c>
      <c r="AY11">
        <f t="shared" si="12"/>
        <v>6.2500000000000056E-3</v>
      </c>
      <c r="AZ11">
        <f t="shared" si="13"/>
        <v>-6.2500000000000056E-3</v>
      </c>
      <c r="BC11" s="3"/>
      <c r="BD11" s="3"/>
      <c r="BE11" s="5" t="s">
        <v>34</v>
      </c>
      <c r="BF11">
        <v>9.6999999999999993</v>
      </c>
      <c r="BG11">
        <v>0.55000000000000004</v>
      </c>
      <c r="BI11">
        <v>0.6</v>
      </c>
      <c r="BK11">
        <f t="shared" si="14"/>
        <v>5.6701030927835058E-2</v>
      </c>
      <c r="BL11">
        <f t="shared" si="15"/>
        <v>6.1855670103092786E-2</v>
      </c>
      <c r="BM11">
        <f t="shared" si="16"/>
        <v>1.8750000000000003E-2</v>
      </c>
      <c r="BN11">
        <f t="shared" si="17"/>
        <v>3.125E-2</v>
      </c>
      <c r="BQ11" s="3"/>
      <c r="BR11" s="3"/>
      <c r="BS11" s="5" t="s">
        <v>34</v>
      </c>
      <c r="BT11">
        <v>10.8</v>
      </c>
      <c r="BU11">
        <v>0.8</v>
      </c>
      <c r="BW11">
        <v>0.72499999999999998</v>
      </c>
      <c r="BY11">
        <f t="shared" si="18"/>
        <v>7.407407407407407E-2</v>
      </c>
      <c r="BZ11">
        <f t="shared" si="19"/>
        <v>6.7129629629629622E-2</v>
      </c>
      <c r="CA11">
        <f t="shared" si="20"/>
        <v>1.9230769230769232E-2</v>
      </c>
      <c r="CB11">
        <f t="shared" si="21"/>
        <v>9.6153846153846159E-3</v>
      </c>
      <c r="CE11" s="3"/>
      <c r="CF11" s="3"/>
      <c r="CG11" s="5" t="s">
        <v>34</v>
      </c>
      <c r="CH11">
        <v>11.8</v>
      </c>
      <c r="CI11">
        <v>1.1000000000000001</v>
      </c>
      <c r="CK11">
        <v>0.9</v>
      </c>
      <c r="CM11">
        <f t="shared" si="22"/>
        <v>9.3220338983050849E-2</v>
      </c>
      <c r="CN11">
        <f t="shared" si="23"/>
        <v>7.6271186440677957E-2</v>
      </c>
      <c r="CO11">
        <f t="shared" si="24"/>
        <v>2.1428571428571432E-2</v>
      </c>
      <c r="CP11">
        <f t="shared" si="25"/>
        <v>1.2500000000000002E-2</v>
      </c>
      <c r="CS11" s="3"/>
      <c r="CT11" s="3"/>
      <c r="CU11" s="5" t="s">
        <v>34</v>
      </c>
      <c r="CV11">
        <v>12.9</v>
      </c>
      <c r="CW11">
        <v>1.325</v>
      </c>
      <c r="CY11">
        <v>1.05</v>
      </c>
      <c r="DA11">
        <f t="shared" si="26"/>
        <v>0.10271317829457363</v>
      </c>
      <c r="DB11">
        <f t="shared" si="27"/>
        <v>8.1395348837209308E-2</v>
      </c>
      <c r="DC11">
        <f t="shared" si="28"/>
        <v>1.6071428571428563E-2</v>
      </c>
      <c r="DD11">
        <f t="shared" si="29"/>
        <v>1.0714285714285716E-2</v>
      </c>
      <c r="DG11" s="3"/>
      <c r="DH11" s="3"/>
      <c r="DI11" s="5" t="s">
        <v>34</v>
      </c>
      <c r="DJ11">
        <v>13.3</v>
      </c>
      <c r="DK11">
        <f>0.45+1.1</f>
        <v>1.55</v>
      </c>
      <c r="DM11">
        <v>1.1499999999999999</v>
      </c>
      <c r="DO11">
        <f t="shared" si="30"/>
        <v>0.11654135338345864</v>
      </c>
      <c r="DP11">
        <f t="shared" si="31"/>
        <v>8.646616541353383E-2</v>
      </c>
      <c r="DQ11">
        <f t="shared" si="32"/>
        <v>1.6071428571428577E-2</v>
      </c>
      <c r="DR11">
        <f t="shared" si="33"/>
        <v>7.1428571428571331E-3</v>
      </c>
      <c r="DU11" s="3"/>
      <c r="DV11" s="3"/>
      <c r="DW11" s="5" t="s">
        <v>34</v>
      </c>
      <c r="DX11">
        <v>13.8</v>
      </c>
      <c r="DY11">
        <f>0.45+1.25</f>
        <v>1.7</v>
      </c>
      <c r="EA11">
        <v>1.3</v>
      </c>
      <c r="EC11">
        <f t="shared" si="34"/>
        <v>0.12318840579710144</v>
      </c>
      <c r="ED11">
        <f t="shared" si="35"/>
        <v>9.420289855072464E-2</v>
      </c>
      <c r="EE11">
        <f t="shared" si="36"/>
        <v>1.0714285714285707E-2</v>
      </c>
      <c r="EF11">
        <f t="shared" si="37"/>
        <v>1.0714285714285723E-2</v>
      </c>
      <c r="EI11" s="3"/>
      <c r="EJ11" s="3"/>
      <c r="EK11" s="5" t="s">
        <v>34</v>
      </c>
      <c r="EL11">
        <v>14.7</v>
      </c>
      <c r="EM11">
        <f>0.4+1.3</f>
        <v>1.7000000000000002</v>
      </c>
      <c r="EO11">
        <v>1.35</v>
      </c>
      <c r="EQ11">
        <f t="shared" si="38"/>
        <v>0.11564625850340138</v>
      </c>
      <c r="ER11">
        <f t="shared" si="39"/>
        <v>9.1836734693877556E-2</v>
      </c>
      <c r="ES11">
        <f t="shared" si="40"/>
        <v>8.2238742564826406E-18</v>
      </c>
      <c r="ET11">
        <f t="shared" si="41"/>
        <v>1.8518518518518534E-3</v>
      </c>
    </row>
    <row r="12" spans="1:150" x14ac:dyDescent="0.2">
      <c r="A12" s="7"/>
      <c r="B12" s="7"/>
      <c r="C12" s="5" t="s">
        <v>35</v>
      </c>
      <c r="D12">
        <v>5.9</v>
      </c>
      <c r="E12">
        <v>0.3</v>
      </c>
      <c r="F12" t="s">
        <v>24</v>
      </c>
      <c r="G12">
        <v>0.3</v>
      </c>
      <c r="H12" t="s">
        <v>24</v>
      </c>
      <c r="I12">
        <f t="shared" si="2"/>
        <v>5.084745762711864E-2</v>
      </c>
      <c r="J12">
        <f t="shared" si="3"/>
        <v>5.084745762711864E-2</v>
      </c>
      <c r="M12" s="3"/>
      <c r="N12" s="3"/>
      <c r="O12" s="5" t="s">
        <v>35</v>
      </c>
      <c r="P12">
        <v>6.4</v>
      </c>
      <c r="Q12">
        <v>0.35</v>
      </c>
      <c r="S12">
        <v>0.3</v>
      </c>
      <c r="U12">
        <f t="shared" si="4"/>
        <v>5.4687499999999993E-2</v>
      </c>
      <c r="V12">
        <f t="shared" si="5"/>
        <v>4.6874999999999993E-2</v>
      </c>
      <c r="W12">
        <f t="shared" si="0"/>
        <v>4.9999999999999992E-3</v>
      </c>
      <c r="X12">
        <f t="shared" si="1"/>
        <v>0</v>
      </c>
      <c r="AA12" s="3"/>
      <c r="AB12" s="3"/>
      <c r="AC12" s="5" t="s">
        <v>35</v>
      </c>
      <c r="AD12">
        <v>6.7</v>
      </c>
      <c r="AE12">
        <v>0.45</v>
      </c>
      <c r="AG12">
        <v>0.375</v>
      </c>
      <c r="AI12">
        <f t="shared" si="6"/>
        <v>6.7164179104477612E-2</v>
      </c>
      <c r="AJ12">
        <f t="shared" si="7"/>
        <v>5.5970149253731345E-2</v>
      </c>
      <c r="AK12">
        <f t="shared" si="8"/>
        <v>1.6666666666666673E-2</v>
      </c>
      <c r="AL12">
        <f t="shared" si="9"/>
        <v>1.2500000000000002E-2</v>
      </c>
      <c r="AO12" s="3"/>
      <c r="AP12" s="3"/>
      <c r="AQ12" s="5" t="s">
        <v>35</v>
      </c>
      <c r="AR12">
        <v>7.2</v>
      </c>
      <c r="AS12">
        <v>0.5</v>
      </c>
      <c r="AU12">
        <v>0.4</v>
      </c>
      <c r="AW12">
        <f t="shared" si="10"/>
        <v>6.9444444444444448E-2</v>
      </c>
      <c r="AX12">
        <f t="shared" si="11"/>
        <v>5.5555555555555559E-2</v>
      </c>
      <c r="AY12">
        <f t="shared" si="12"/>
        <v>6.2499999999999986E-3</v>
      </c>
      <c r="AZ12">
        <f t="shared" si="13"/>
        <v>3.1250000000000028E-3</v>
      </c>
      <c r="BC12" s="3"/>
      <c r="BD12" s="3"/>
      <c r="BE12" s="5" t="s">
        <v>35</v>
      </c>
      <c r="BF12">
        <v>7.8</v>
      </c>
      <c r="BG12">
        <v>0.75</v>
      </c>
      <c r="BI12">
        <v>0.75</v>
      </c>
      <c r="BK12">
        <f t="shared" si="14"/>
        <v>9.6153846153846159E-2</v>
      </c>
      <c r="BL12">
        <f t="shared" si="15"/>
        <v>9.6153846153846159E-2</v>
      </c>
      <c r="BM12">
        <f t="shared" si="16"/>
        <v>3.125E-2</v>
      </c>
      <c r="BN12">
        <f t="shared" si="17"/>
        <v>4.3749999999999997E-2</v>
      </c>
      <c r="BQ12" s="3"/>
      <c r="BR12" s="3"/>
      <c r="BS12" s="5" t="s">
        <v>35</v>
      </c>
      <c r="BT12">
        <v>8.6999999999999993</v>
      </c>
      <c r="BU12">
        <f>0.3+0.75</f>
        <v>1.05</v>
      </c>
      <c r="BW12">
        <f>0.25+0.7</f>
        <v>0.95</v>
      </c>
      <c r="BY12">
        <f t="shared" si="18"/>
        <v>0.12068965517241381</v>
      </c>
      <c r="BZ12">
        <f t="shared" si="19"/>
        <v>0.10919540229885058</v>
      </c>
      <c r="CA12">
        <f t="shared" si="20"/>
        <v>2.3076923076923082E-2</v>
      </c>
      <c r="CB12">
        <f t="shared" si="21"/>
        <v>1.5384615384615382E-2</v>
      </c>
      <c r="CE12" s="3"/>
      <c r="CF12" s="3"/>
      <c r="CG12" s="5" t="s">
        <v>35</v>
      </c>
      <c r="CH12">
        <v>10</v>
      </c>
      <c r="CI12">
        <v>1.1499999999999999</v>
      </c>
      <c r="CK12">
        <f>0.3+0.9</f>
        <v>1.2</v>
      </c>
      <c r="CM12">
        <f t="shared" si="22"/>
        <v>0.11499999999999999</v>
      </c>
      <c r="CN12">
        <f t="shared" si="23"/>
        <v>0.12</v>
      </c>
      <c r="CO12">
        <f t="shared" si="24"/>
        <v>7.1428571428571331E-3</v>
      </c>
      <c r="CP12">
        <f t="shared" si="25"/>
        <v>1.7857142857142856E-2</v>
      </c>
      <c r="CS12" s="3"/>
      <c r="CT12" s="3"/>
      <c r="CU12" s="5" t="s">
        <v>35</v>
      </c>
      <c r="CV12">
        <v>10.8</v>
      </c>
      <c r="CW12">
        <f>0.4+1.05</f>
        <v>1.4500000000000002</v>
      </c>
      <c r="CY12">
        <f>0.3+1.15</f>
        <v>1.45</v>
      </c>
      <c r="DA12">
        <f t="shared" si="26"/>
        <v>0.13425925925925927</v>
      </c>
      <c r="DB12">
        <f t="shared" si="27"/>
        <v>0.13425925925925924</v>
      </c>
      <c r="DC12">
        <f t="shared" si="28"/>
        <v>2.1428571428571446E-2</v>
      </c>
      <c r="DD12">
        <f t="shared" si="29"/>
        <v>1.7857142857142856E-2</v>
      </c>
      <c r="DG12" s="3"/>
      <c r="DH12" s="3"/>
      <c r="DI12" s="5" t="s">
        <v>35</v>
      </c>
      <c r="DJ12">
        <v>11.8</v>
      </c>
      <c r="DK12">
        <f>0.4+1.1</f>
        <v>1.5</v>
      </c>
      <c r="DM12">
        <f>0.4+1.25</f>
        <v>1.65</v>
      </c>
      <c r="DO12">
        <f t="shared" si="30"/>
        <v>0.1271186440677966</v>
      </c>
      <c r="DP12">
        <f t="shared" si="31"/>
        <v>0.13983050847457626</v>
      </c>
      <c r="DQ12">
        <f t="shared" si="32"/>
        <v>3.5714285714285587E-3</v>
      </c>
      <c r="DR12">
        <f t="shared" si="33"/>
        <v>1.4285714285714282E-2</v>
      </c>
      <c r="DU12" s="3"/>
      <c r="DV12" s="3"/>
      <c r="DW12" s="5" t="s">
        <v>35</v>
      </c>
      <c r="DX12">
        <v>12.6</v>
      </c>
      <c r="DY12">
        <f>0.5+1.3</f>
        <v>1.8</v>
      </c>
      <c r="EA12">
        <f>0.7+1.4</f>
        <v>2.0999999999999996</v>
      </c>
      <c r="EC12">
        <f t="shared" si="34"/>
        <v>0.14285714285714288</v>
      </c>
      <c r="ED12">
        <f t="shared" si="35"/>
        <v>0.16666666666666663</v>
      </c>
      <c r="EE12">
        <f t="shared" si="36"/>
        <v>2.1428571428571432E-2</v>
      </c>
      <c r="EF12">
        <f t="shared" si="37"/>
        <v>3.2142857142857126E-2</v>
      </c>
      <c r="EI12" s="3"/>
      <c r="EJ12" s="3"/>
      <c r="EK12" s="5" t="s">
        <v>35</v>
      </c>
      <c r="EL12">
        <v>13.6</v>
      </c>
      <c r="EM12">
        <f>0.55+1.5</f>
        <v>2.0499999999999998</v>
      </c>
      <c r="EO12">
        <f>0.85+1.45</f>
        <v>2.2999999999999998</v>
      </c>
      <c r="EQ12">
        <f t="shared" si="38"/>
        <v>0.15073529411764705</v>
      </c>
      <c r="ER12">
        <f t="shared" si="39"/>
        <v>0.16911764705882351</v>
      </c>
      <c r="ES12">
        <f t="shared" si="40"/>
        <v>9.2592592592592518E-3</v>
      </c>
      <c r="ET12">
        <f t="shared" si="41"/>
        <v>7.4074074074074138E-3</v>
      </c>
    </row>
    <row r="13" spans="1:150" x14ac:dyDescent="0.2">
      <c r="A13" s="7"/>
      <c r="B13" s="7"/>
      <c r="C13" s="5" t="s">
        <v>36</v>
      </c>
      <c r="D13">
        <v>6.9</v>
      </c>
      <c r="E13">
        <v>0.3</v>
      </c>
      <c r="F13" t="s">
        <v>24</v>
      </c>
      <c r="G13">
        <v>0.3</v>
      </c>
      <c r="H13" t="s">
        <v>24</v>
      </c>
      <c r="I13">
        <f t="shared" si="2"/>
        <v>4.3478260869565216E-2</v>
      </c>
      <c r="J13">
        <f t="shared" si="3"/>
        <v>4.3478260869565216E-2</v>
      </c>
      <c r="M13" s="3"/>
      <c r="N13" s="3"/>
      <c r="O13" s="5" t="s">
        <v>36</v>
      </c>
      <c r="P13">
        <v>7.5</v>
      </c>
      <c r="Q13">
        <v>0.3</v>
      </c>
      <c r="S13">
        <v>0.3</v>
      </c>
      <c r="U13">
        <f t="shared" si="4"/>
        <v>0.04</v>
      </c>
      <c r="V13">
        <f t="shared" si="5"/>
        <v>0.04</v>
      </c>
      <c r="W13">
        <f t="shared" si="0"/>
        <v>0</v>
      </c>
      <c r="X13">
        <f t="shared" si="1"/>
        <v>0</v>
      </c>
      <c r="AA13" s="3"/>
      <c r="AB13" s="3"/>
      <c r="AC13" s="5" t="s">
        <v>36</v>
      </c>
      <c r="AD13">
        <v>8</v>
      </c>
      <c r="AE13">
        <v>0.35</v>
      </c>
      <c r="AI13">
        <f t="shared" si="6"/>
        <v>4.3749999999999997E-2</v>
      </c>
      <c r="AJ13">
        <f t="shared" si="7"/>
        <v>0</v>
      </c>
      <c r="AK13">
        <f t="shared" si="8"/>
        <v>8.3333333333333315E-3</v>
      </c>
      <c r="AL13">
        <f t="shared" si="9"/>
        <v>-4.9999999999999996E-2</v>
      </c>
      <c r="AO13" s="3"/>
      <c r="AP13" s="3"/>
      <c r="AQ13" s="5" t="s">
        <v>36</v>
      </c>
      <c r="AR13">
        <v>8.6999999999999993</v>
      </c>
      <c r="AS13">
        <v>0.3</v>
      </c>
      <c r="AW13">
        <f t="shared" si="10"/>
        <v>3.4482758620689655E-2</v>
      </c>
      <c r="AX13">
        <f t="shared" si="11"/>
        <v>0</v>
      </c>
      <c r="AY13">
        <f t="shared" si="12"/>
        <v>-6.2499999999999986E-3</v>
      </c>
      <c r="AZ13">
        <f t="shared" si="13"/>
        <v>0</v>
      </c>
      <c r="BC13" s="3"/>
      <c r="BD13" s="3"/>
      <c r="BE13" s="5" t="s">
        <v>36</v>
      </c>
      <c r="BF13">
        <v>9.6</v>
      </c>
      <c r="BG13">
        <v>0.4</v>
      </c>
      <c r="BK13">
        <f t="shared" si="14"/>
        <v>4.1666666666666671E-2</v>
      </c>
      <c r="BL13">
        <f t="shared" si="15"/>
        <v>0</v>
      </c>
      <c r="BM13">
        <f t="shared" si="16"/>
        <v>1.2500000000000004E-2</v>
      </c>
      <c r="BN13">
        <f t="shared" si="17"/>
        <v>0</v>
      </c>
      <c r="BQ13" s="3"/>
      <c r="BR13" s="3"/>
      <c r="BS13" s="5" t="s">
        <v>36</v>
      </c>
      <c r="BT13">
        <v>10.8</v>
      </c>
      <c r="BU13">
        <v>0.6</v>
      </c>
      <c r="BY13">
        <f t="shared" si="18"/>
        <v>5.5555555555555552E-2</v>
      </c>
      <c r="BZ13">
        <f t="shared" si="19"/>
        <v>0</v>
      </c>
      <c r="CA13">
        <f t="shared" si="20"/>
        <v>1.5384615384615382E-2</v>
      </c>
      <c r="CB13">
        <f t="shared" si="21"/>
        <v>0</v>
      </c>
      <c r="CE13" s="3"/>
      <c r="CF13" s="3"/>
      <c r="CG13" s="5" t="s">
        <v>36</v>
      </c>
      <c r="CH13">
        <v>11.9</v>
      </c>
      <c r="CI13">
        <v>0.9</v>
      </c>
      <c r="CM13">
        <f t="shared" si="22"/>
        <v>7.5630252100840331E-2</v>
      </c>
      <c r="CN13">
        <f t="shared" si="23"/>
        <v>0</v>
      </c>
      <c r="CO13">
        <f t="shared" si="24"/>
        <v>2.1428571428571432E-2</v>
      </c>
      <c r="CS13" s="3"/>
      <c r="CT13" s="3"/>
      <c r="CU13" s="5" t="s">
        <v>36</v>
      </c>
      <c r="CV13">
        <v>12.9</v>
      </c>
      <c r="CW13">
        <v>1.05</v>
      </c>
      <c r="DA13">
        <f t="shared" si="26"/>
        <v>8.1395348837209308E-2</v>
      </c>
      <c r="DB13">
        <f t="shared" si="27"/>
        <v>0</v>
      </c>
      <c r="DC13">
        <f t="shared" si="28"/>
        <v>1.0714285714285716E-2</v>
      </c>
      <c r="DD13">
        <f t="shared" si="29"/>
        <v>0</v>
      </c>
      <c r="DG13" s="3"/>
      <c r="DH13" s="3"/>
      <c r="DI13" s="5" t="s">
        <v>36</v>
      </c>
      <c r="DJ13">
        <v>13.7</v>
      </c>
      <c r="DK13">
        <f>0.3+1.15</f>
        <v>1.45</v>
      </c>
      <c r="DO13">
        <f t="shared" si="30"/>
        <v>0.10583941605839416</v>
      </c>
      <c r="DP13">
        <f t="shared" si="31"/>
        <v>0</v>
      </c>
      <c r="DQ13">
        <f t="shared" si="32"/>
        <v>2.8571428571428564E-2</v>
      </c>
      <c r="DU13" s="3"/>
      <c r="DV13" s="3"/>
      <c r="DW13" s="5" t="s">
        <v>36</v>
      </c>
      <c r="DX13">
        <v>14.1</v>
      </c>
      <c r="DY13">
        <v>1.5</v>
      </c>
      <c r="EC13">
        <f t="shared" si="34"/>
        <v>0.10638297872340426</v>
      </c>
      <c r="ED13">
        <f t="shared" si="35"/>
        <v>0</v>
      </c>
      <c r="EE13">
        <f t="shared" si="36"/>
        <v>3.5714285714285748E-3</v>
      </c>
      <c r="EI13" s="3"/>
      <c r="EJ13" s="3"/>
      <c r="EK13" s="5" t="s">
        <v>36</v>
      </c>
      <c r="EL13">
        <v>15.1</v>
      </c>
      <c r="EM13">
        <f>0.4+1.3</f>
        <v>1.7000000000000002</v>
      </c>
      <c r="EQ13">
        <f t="shared" si="38"/>
        <v>0.11258278145695366</v>
      </c>
      <c r="ES13">
        <f t="shared" si="40"/>
        <v>7.4074074074074138E-3</v>
      </c>
    </row>
    <row r="14" spans="1:150" x14ac:dyDescent="0.2">
      <c r="A14" s="7"/>
      <c r="B14" s="7"/>
      <c r="C14" s="5" t="s">
        <v>37</v>
      </c>
      <c r="D14">
        <v>6.9</v>
      </c>
      <c r="E14">
        <v>0.3</v>
      </c>
      <c r="F14" t="s">
        <v>24</v>
      </c>
      <c r="G14">
        <v>0.3</v>
      </c>
      <c r="H14" t="s">
        <v>24</v>
      </c>
      <c r="I14">
        <f t="shared" si="2"/>
        <v>4.3478260869565216E-2</v>
      </c>
      <c r="J14">
        <f t="shared" si="3"/>
        <v>4.3478260869565216E-2</v>
      </c>
      <c r="M14" s="3"/>
      <c r="N14" s="3"/>
      <c r="O14" s="5" t="s">
        <v>37</v>
      </c>
      <c r="P14">
        <v>7.3</v>
      </c>
      <c r="Q14">
        <v>0.3</v>
      </c>
      <c r="S14">
        <v>0.3</v>
      </c>
      <c r="U14">
        <f t="shared" si="4"/>
        <v>4.1095890410958902E-2</v>
      </c>
      <c r="V14">
        <f t="shared" si="5"/>
        <v>4.1095890410958902E-2</v>
      </c>
      <c r="W14">
        <f t="shared" si="0"/>
        <v>0</v>
      </c>
      <c r="X14">
        <f t="shared" si="1"/>
        <v>0</v>
      </c>
      <c r="AA14" s="3"/>
      <c r="AB14" s="3"/>
      <c r="AC14" s="5" t="s">
        <v>37</v>
      </c>
      <c r="AD14">
        <v>7.6</v>
      </c>
      <c r="AE14">
        <v>0.35</v>
      </c>
      <c r="AG14">
        <v>0.42499999999999999</v>
      </c>
      <c r="AI14">
        <f t="shared" si="6"/>
        <v>4.6052631578947366E-2</v>
      </c>
      <c r="AJ14">
        <f t="shared" si="7"/>
        <v>5.5921052631578948E-2</v>
      </c>
      <c r="AK14">
        <f t="shared" si="8"/>
        <v>8.3333333333333315E-3</v>
      </c>
      <c r="AL14">
        <f t="shared" si="9"/>
        <v>2.0833333333333332E-2</v>
      </c>
      <c r="AO14" s="3"/>
      <c r="AP14" s="3"/>
      <c r="AQ14" s="5" t="s">
        <v>37</v>
      </c>
      <c r="AR14">
        <v>8.6</v>
      </c>
      <c r="AS14">
        <v>0.4</v>
      </c>
      <c r="AU14">
        <v>0.65</v>
      </c>
      <c r="AW14">
        <f t="shared" si="10"/>
        <v>4.651162790697675E-2</v>
      </c>
      <c r="AX14">
        <f t="shared" si="11"/>
        <v>7.5581395348837219E-2</v>
      </c>
      <c r="AY14">
        <f t="shared" si="12"/>
        <v>6.2500000000000056E-3</v>
      </c>
      <c r="AZ14">
        <f t="shared" si="13"/>
        <v>2.8125000000000004E-2</v>
      </c>
      <c r="BC14" s="3"/>
      <c r="BD14" s="3"/>
      <c r="BE14" s="5" t="s">
        <v>37</v>
      </c>
      <c r="BF14">
        <v>9.6</v>
      </c>
      <c r="BG14">
        <v>0.55000000000000004</v>
      </c>
      <c r="BI14">
        <f>0.25+0.75</f>
        <v>1</v>
      </c>
      <c r="BK14">
        <f t="shared" si="14"/>
        <v>5.7291666666666671E-2</v>
      </c>
      <c r="BL14">
        <f t="shared" si="15"/>
        <v>0.10416666666666667</v>
      </c>
      <c r="BM14">
        <f t="shared" si="16"/>
        <v>1.8750000000000003E-2</v>
      </c>
      <c r="BN14">
        <f t="shared" si="17"/>
        <v>4.3749999999999997E-2</v>
      </c>
      <c r="BQ14" s="3"/>
      <c r="BR14" s="3"/>
      <c r="BS14" s="5" t="s">
        <v>37</v>
      </c>
      <c r="BT14">
        <v>10.9</v>
      </c>
      <c r="BU14">
        <v>0.8</v>
      </c>
      <c r="BW14">
        <f>0.25+0.8</f>
        <v>1.05</v>
      </c>
      <c r="BY14">
        <f t="shared" si="18"/>
        <v>7.3394495412844041E-2</v>
      </c>
      <c r="BZ14">
        <f t="shared" si="19"/>
        <v>9.6330275229357804E-2</v>
      </c>
      <c r="CA14">
        <f t="shared" si="20"/>
        <v>1.9230769230769232E-2</v>
      </c>
      <c r="CB14">
        <f t="shared" si="21"/>
        <v>3.8461538461538494E-3</v>
      </c>
      <c r="CE14" s="3"/>
      <c r="CF14" s="3"/>
      <c r="CG14" s="5" t="s">
        <v>37</v>
      </c>
      <c r="CH14">
        <v>12.1</v>
      </c>
      <c r="CI14">
        <v>0.85</v>
      </c>
      <c r="CK14">
        <v>1.1000000000000001</v>
      </c>
      <c r="CM14">
        <f t="shared" si="22"/>
        <v>7.0247933884297523E-2</v>
      </c>
      <c r="CN14">
        <f t="shared" si="23"/>
        <v>9.0909090909090925E-2</v>
      </c>
      <c r="CO14">
        <f t="shared" si="24"/>
        <v>3.5714285714285665E-3</v>
      </c>
      <c r="CP14">
        <f t="shared" si="25"/>
        <v>3.5714285714285748E-3</v>
      </c>
      <c r="CS14" s="3"/>
      <c r="CT14" s="3"/>
      <c r="CU14" s="5" t="s">
        <v>37</v>
      </c>
      <c r="CV14">
        <v>13.1</v>
      </c>
      <c r="CW14">
        <v>0.95</v>
      </c>
      <c r="CY14">
        <v>1.3</v>
      </c>
      <c r="DA14">
        <f t="shared" si="26"/>
        <v>7.2519083969465645E-2</v>
      </c>
      <c r="DB14">
        <f t="shared" si="27"/>
        <v>9.9236641221374058E-2</v>
      </c>
      <c r="DC14">
        <f t="shared" si="28"/>
        <v>7.1428571428571409E-3</v>
      </c>
      <c r="DD14">
        <f t="shared" si="29"/>
        <v>1.4285714285714282E-2</v>
      </c>
      <c r="DG14" s="3"/>
      <c r="DH14" s="3"/>
      <c r="DI14" s="5" t="s">
        <v>37</v>
      </c>
      <c r="DJ14">
        <v>14.1</v>
      </c>
      <c r="DK14">
        <f>0.45+0.65</f>
        <v>1.1000000000000001</v>
      </c>
      <c r="DM14">
        <v>1.6</v>
      </c>
      <c r="DO14">
        <f t="shared" si="30"/>
        <v>7.8014184397163122E-2</v>
      </c>
      <c r="DP14">
        <f t="shared" si="31"/>
        <v>0.11347517730496455</v>
      </c>
      <c r="DQ14">
        <f t="shared" si="32"/>
        <v>1.0714285714285723E-2</v>
      </c>
      <c r="DR14">
        <f t="shared" si="33"/>
        <v>2.1428571428571432E-2</v>
      </c>
      <c r="DU14" s="3"/>
      <c r="DV14" s="3"/>
      <c r="DW14" s="5" t="s">
        <v>37</v>
      </c>
      <c r="DX14">
        <v>14.8</v>
      </c>
      <c r="DY14">
        <v>1.1000000000000001</v>
      </c>
      <c r="EA14">
        <f>0.55+1.3</f>
        <v>1.85</v>
      </c>
      <c r="EC14">
        <f t="shared" si="34"/>
        <v>7.4324324324324328E-2</v>
      </c>
      <c r="ED14">
        <f t="shared" si="35"/>
        <v>0.125</v>
      </c>
      <c r="EE14">
        <f t="shared" si="36"/>
        <v>0</v>
      </c>
      <c r="EF14">
        <f t="shared" ref="EF14:EF38" si="42">(EA14-DM14)/14</f>
        <v>1.7857142857142856E-2</v>
      </c>
      <c r="EI14" s="3"/>
      <c r="EJ14" s="3"/>
      <c r="EK14" s="5" t="s">
        <v>37</v>
      </c>
      <c r="EL14">
        <v>15.3</v>
      </c>
      <c r="EM14">
        <v>1.2</v>
      </c>
      <c r="EO14">
        <f>0.6+1.3</f>
        <v>1.9</v>
      </c>
      <c r="EQ14">
        <f t="shared" si="38"/>
        <v>7.8431372549019607E-2</v>
      </c>
      <c r="ER14">
        <f t="shared" si="39"/>
        <v>0.1241830065359477</v>
      </c>
      <c r="ES14">
        <f t="shared" si="40"/>
        <v>3.7037037037036986E-3</v>
      </c>
      <c r="ET14">
        <f t="shared" si="41"/>
        <v>1.8518518518518452E-3</v>
      </c>
    </row>
    <row r="15" spans="1:150" x14ac:dyDescent="0.2">
      <c r="A15" s="7"/>
      <c r="B15" s="7"/>
      <c r="C15" s="5" t="s">
        <v>38</v>
      </c>
      <c r="D15">
        <v>6.6</v>
      </c>
      <c r="E15">
        <v>0.3</v>
      </c>
      <c r="F15" t="s">
        <v>24</v>
      </c>
      <c r="G15">
        <v>0.3</v>
      </c>
      <c r="H15" t="s">
        <v>24</v>
      </c>
      <c r="I15">
        <f t="shared" si="2"/>
        <v>4.5454545454545456E-2</v>
      </c>
      <c r="J15">
        <f t="shared" si="3"/>
        <v>4.5454545454545456E-2</v>
      </c>
      <c r="M15" s="3"/>
      <c r="N15" s="3"/>
      <c r="O15" s="5" t="s">
        <v>38</v>
      </c>
      <c r="P15">
        <v>7.3</v>
      </c>
      <c r="Q15">
        <v>0.3</v>
      </c>
      <c r="S15">
        <v>0.3</v>
      </c>
      <c r="U15">
        <f t="shared" si="4"/>
        <v>4.1095890410958902E-2</v>
      </c>
      <c r="V15">
        <f t="shared" si="5"/>
        <v>4.1095890410958902E-2</v>
      </c>
      <c r="W15">
        <f t="shared" si="0"/>
        <v>0</v>
      </c>
      <c r="X15">
        <f t="shared" si="1"/>
        <v>0</v>
      </c>
      <c r="AA15" s="3"/>
      <c r="AB15" s="3"/>
      <c r="AC15" s="5" t="s">
        <v>38</v>
      </c>
      <c r="AD15">
        <v>7.8</v>
      </c>
      <c r="AE15">
        <v>0.3</v>
      </c>
      <c r="AG15">
        <v>0.4</v>
      </c>
      <c r="AI15">
        <f t="shared" si="6"/>
        <v>3.8461538461538464E-2</v>
      </c>
      <c r="AJ15">
        <f t="shared" si="7"/>
        <v>5.1282051282051287E-2</v>
      </c>
      <c r="AK15">
        <f t="shared" si="8"/>
        <v>0</v>
      </c>
      <c r="AL15">
        <f t="shared" si="9"/>
        <v>1.6666666666666673E-2</v>
      </c>
      <c r="AO15" s="3"/>
      <c r="AP15" s="3"/>
      <c r="AQ15" s="5" t="s">
        <v>38</v>
      </c>
      <c r="AR15">
        <v>8.5</v>
      </c>
      <c r="AS15">
        <v>0.375</v>
      </c>
      <c r="AU15">
        <v>0.55000000000000004</v>
      </c>
      <c r="AW15">
        <f t="shared" si="10"/>
        <v>4.4117647058823532E-2</v>
      </c>
      <c r="AX15">
        <f t="shared" si="11"/>
        <v>6.4705882352941183E-2</v>
      </c>
      <c r="AY15">
        <f t="shared" si="12"/>
        <v>9.3750000000000014E-3</v>
      </c>
      <c r="AZ15">
        <f t="shared" si="13"/>
        <v>1.8750000000000003E-2</v>
      </c>
      <c r="BC15" s="3"/>
      <c r="BD15" s="3"/>
      <c r="BE15" s="5" t="s">
        <v>38</v>
      </c>
      <c r="BF15">
        <v>9.3000000000000007</v>
      </c>
      <c r="BG15">
        <v>0.4</v>
      </c>
      <c r="BI15">
        <f>0.3+0.6</f>
        <v>0.89999999999999991</v>
      </c>
      <c r="BK15">
        <f t="shared" si="14"/>
        <v>4.301075268817204E-2</v>
      </c>
      <c r="BL15">
        <f t="shared" si="15"/>
        <v>9.677419354838708E-2</v>
      </c>
      <c r="BM15">
        <f t="shared" si="16"/>
        <v>3.1250000000000028E-3</v>
      </c>
      <c r="BN15">
        <f t="shared" si="17"/>
        <v>4.3749999999999983E-2</v>
      </c>
      <c r="BQ15" s="3"/>
      <c r="BR15" s="3"/>
      <c r="BS15" s="5" t="s">
        <v>38</v>
      </c>
      <c r="BT15">
        <v>10.1</v>
      </c>
      <c r="BU15">
        <v>0.625</v>
      </c>
      <c r="BW15">
        <v>0.77500000000000002</v>
      </c>
      <c r="BY15">
        <f t="shared" si="18"/>
        <v>6.1881188118811881E-2</v>
      </c>
      <c r="BZ15">
        <f t="shared" si="19"/>
        <v>7.6732673267326731E-2</v>
      </c>
      <c r="CA15">
        <f t="shared" si="20"/>
        <v>1.7307692307692305E-2</v>
      </c>
      <c r="CB15">
        <f t="shared" si="21"/>
        <v>-9.6153846153846072E-3</v>
      </c>
      <c r="CE15" s="3"/>
      <c r="CF15" s="3"/>
      <c r="CG15" s="5" t="s">
        <v>38</v>
      </c>
      <c r="CH15">
        <v>11.1</v>
      </c>
      <c r="CI15">
        <v>0.7</v>
      </c>
      <c r="CK15">
        <v>0.75</v>
      </c>
      <c r="CM15">
        <f t="shared" si="22"/>
        <v>6.3063063063063057E-2</v>
      </c>
      <c r="CN15">
        <f t="shared" si="23"/>
        <v>6.7567567567567571E-2</v>
      </c>
      <c r="CO15">
        <f t="shared" si="24"/>
        <v>5.3571428571428537E-3</v>
      </c>
      <c r="CP15">
        <f t="shared" si="25"/>
        <v>-1.7857142857142874E-3</v>
      </c>
      <c r="CS15" s="3"/>
      <c r="CT15" s="3"/>
      <c r="CU15" s="5" t="s">
        <v>38</v>
      </c>
      <c r="CV15">
        <v>12</v>
      </c>
      <c r="CW15">
        <f>0.2+0.7</f>
        <v>0.89999999999999991</v>
      </c>
      <c r="CY15">
        <f>0.35+0.7</f>
        <v>1.0499999999999998</v>
      </c>
      <c r="DA15">
        <f t="shared" si="26"/>
        <v>7.4999999999999997E-2</v>
      </c>
      <c r="DB15">
        <f t="shared" si="27"/>
        <v>8.7499999999999981E-2</v>
      </c>
      <c r="DC15">
        <f t="shared" si="28"/>
        <v>1.4285714285714282E-2</v>
      </c>
      <c r="DD15">
        <f t="shared" si="29"/>
        <v>2.1428571428571415E-2</v>
      </c>
      <c r="DG15" s="3"/>
      <c r="DH15" s="3"/>
      <c r="DI15" s="5" t="s">
        <v>38</v>
      </c>
      <c r="DJ15">
        <v>12.8</v>
      </c>
      <c r="DK15">
        <f>0.25+0.85</f>
        <v>1.1000000000000001</v>
      </c>
      <c r="DM15">
        <f>0.6+0.65</f>
        <v>1.25</v>
      </c>
      <c r="DO15">
        <f t="shared" si="30"/>
        <v>8.59375E-2</v>
      </c>
      <c r="DP15">
        <f t="shared" si="31"/>
        <v>9.765625E-2</v>
      </c>
      <c r="DQ15">
        <f t="shared" si="32"/>
        <v>1.4285714285714299E-2</v>
      </c>
      <c r="DR15">
        <f t="shared" si="33"/>
        <v>1.4285714285714299E-2</v>
      </c>
      <c r="DU15" s="3"/>
      <c r="DV15" s="3"/>
      <c r="DW15" s="5" t="s">
        <v>38</v>
      </c>
      <c r="DX15">
        <v>13.5</v>
      </c>
      <c r="DY15">
        <v>1.1499999999999999</v>
      </c>
      <c r="EA15">
        <f>0.6+0.75</f>
        <v>1.35</v>
      </c>
      <c r="EC15">
        <f t="shared" si="34"/>
        <v>8.5185185185185183E-2</v>
      </c>
      <c r="ED15">
        <f t="shared" si="35"/>
        <v>0.1</v>
      </c>
      <c r="EE15">
        <f t="shared" si="36"/>
        <v>3.5714285714285587E-3</v>
      </c>
      <c r="EF15">
        <f t="shared" si="42"/>
        <v>7.1428571428571496E-3</v>
      </c>
      <c r="EI15" s="3"/>
      <c r="EJ15" s="3"/>
      <c r="EK15" s="5" t="s">
        <v>38</v>
      </c>
      <c r="EL15">
        <v>13.9</v>
      </c>
      <c r="EM15">
        <f>0.2+1.05</f>
        <v>1.25</v>
      </c>
      <c r="EO15">
        <f>0.7+0.85</f>
        <v>1.5499999999999998</v>
      </c>
      <c r="EQ15">
        <f t="shared" si="38"/>
        <v>8.9928057553956831E-2</v>
      </c>
      <c r="ER15">
        <f t="shared" si="39"/>
        <v>0.11151079136690646</v>
      </c>
      <c r="ES15" s="8">
        <f t="shared" si="40"/>
        <v>3.7037037037037069E-3</v>
      </c>
      <c r="ET15" s="8">
        <f t="shared" si="41"/>
        <v>7.4074074074073973E-3</v>
      </c>
    </row>
    <row r="16" spans="1:150" x14ac:dyDescent="0.2">
      <c r="A16" s="7"/>
      <c r="B16" s="7" t="s">
        <v>39</v>
      </c>
      <c r="C16" s="5" t="s">
        <v>40</v>
      </c>
      <c r="D16" s="9">
        <v>7.1</v>
      </c>
      <c r="E16" s="10">
        <v>0.4</v>
      </c>
      <c r="F16" s="10" t="s">
        <v>24</v>
      </c>
      <c r="G16" s="10">
        <v>0.35</v>
      </c>
      <c r="H16" s="10" t="s">
        <v>24</v>
      </c>
      <c r="I16" s="10">
        <f t="shared" si="2"/>
        <v>5.6338028169014093E-2</v>
      </c>
      <c r="J16" s="10">
        <f t="shared" si="3"/>
        <v>4.9295774647887321E-2</v>
      </c>
      <c r="M16" s="3"/>
      <c r="N16" s="3" t="s">
        <v>21</v>
      </c>
      <c r="O16" s="5" t="s">
        <v>40</v>
      </c>
      <c r="P16" s="9">
        <v>7.8</v>
      </c>
      <c r="Q16" s="10"/>
      <c r="R16" s="10"/>
      <c r="S16" s="10">
        <v>0.35</v>
      </c>
      <c r="T16" s="10"/>
      <c r="U16" s="10"/>
      <c r="V16" s="10">
        <f t="shared" si="5"/>
        <v>4.4871794871794872E-2</v>
      </c>
      <c r="X16">
        <f t="shared" si="1"/>
        <v>0</v>
      </c>
      <c r="AA16" s="3"/>
      <c r="AB16" s="3" t="s">
        <v>21</v>
      </c>
      <c r="AC16" s="5" t="s">
        <v>40</v>
      </c>
      <c r="AD16">
        <v>8.1999999999999993</v>
      </c>
      <c r="AG16">
        <v>0.42499999999999999</v>
      </c>
      <c r="AI16" s="10"/>
      <c r="AJ16" s="10">
        <f t="shared" si="7"/>
        <v>5.1829268292682931E-2</v>
      </c>
      <c r="AL16">
        <f t="shared" si="9"/>
        <v>1.2500000000000002E-2</v>
      </c>
      <c r="AO16" s="3"/>
      <c r="AP16" s="3" t="s">
        <v>21</v>
      </c>
      <c r="AQ16" s="5" t="s">
        <v>40</v>
      </c>
      <c r="AR16">
        <v>8.6999999999999993</v>
      </c>
      <c r="AU16">
        <v>0.5</v>
      </c>
      <c r="AW16" s="10"/>
      <c r="AX16" s="10">
        <f t="shared" si="11"/>
        <v>5.7471264367816098E-2</v>
      </c>
      <c r="AZ16">
        <f t="shared" si="13"/>
        <v>9.3750000000000014E-3</v>
      </c>
      <c r="BC16" s="3"/>
      <c r="BD16" s="3" t="s">
        <v>21</v>
      </c>
      <c r="BE16" s="5" t="s">
        <v>40</v>
      </c>
      <c r="BF16">
        <v>9.6</v>
      </c>
      <c r="BI16">
        <v>0.72499999999999998</v>
      </c>
      <c r="BK16" s="10"/>
      <c r="BL16" s="10">
        <f t="shared" si="15"/>
        <v>7.5520833333333329E-2</v>
      </c>
      <c r="BN16">
        <f t="shared" si="17"/>
        <v>2.8124999999999997E-2</v>
      </c>
      <c r="BQ16" s="3"/>
      <c r="BR16" s="3" t="s">
        <v>21</v>
      </c>
      <c r="BS16" s="5" t="s">
        <v>40</v>
      </c>
      <c r="BT16">
        <v>10.8</v>
      </c>
      <c r="BW16">
        <f>0.2+0.8</f>
        <v>1</v>
      </c>
      <c r="BY16" s="10"/>
      <c r="BZ16" s="10">
        <f t="shared" si="19"/>
        <v>9.2592592592592587E-2</v>
      </c>
      <c r="CB16">
        <f t="shared" si="21"/>
        <v>2.1153846153846155E-2</v>
      </c>
      <c r="CE16" s="3"/>
      <c r="CF16" s="3" t="s">
        <v>41</v>
      </c>
      <c r="CG16" s="5" t="s">
        <v>40</v>
      </c>
      <c r="CH16" s="9">
        <v>12</v>
      </c>
      <c r="CI16" s="10"/>
      <c r="CJ16" s="10"/>
      <c r="CK16" s="10">
        <f>0.3+0.9</f>
        <v>1.2</v>
      </c>
      <c r="CL16" s="10"/>
      <c r="CM16" s="10"/>
      <c r="CN16" s="10">
        <f t="shared" si="23"/>
        <v>9.9999999999999992E-2</v>
      </c>
      <c r="CO16" s="10"/>
      <c r="CP16" s="10">
        <f t="shared" si="25"/>
        <v>1.4285714285714282E-2</v>
      </c>
      <c r="CS16" s="3"/>
      <c r="CT16" s="3" t="s">
        <v>41</v>
      </c>
      <c r="CU16" s="5" t="s">
        <v>40</v>
      </c>
      <c r="CV16" s="9">
        <v>13.1</v>
      </c>
      <c r="CW16" s="10"/>
      <c r="CX16" s="10"/>
      <c r="CY16" s="10">
        <f>0.3+0.95</f>
        <v>1.25</v>
      </c>
      <c r="CZ16" s="10"/>
      <c r="DA16" s="10">
        <f t="shared" si="26"/>
        <v>0</v>
      </c>
      <c r="DB16" s="10">
        <f t="shared" si="27"/>
        <v>9.5419847328244281E-2</v>
      </c>
      <c r="DC16" s="10"/>
      <c r="DD16" s="10">
        <f t="shared" si="29"/>
        <v>3.5714285714285748E-3</v>
      </c>
      <c r="DG16" s="3"/>
      <c r="DH16" s="3" t="s">
        <v>41</v>
      </c>
      <c r="DI16" s="5" t="s">
        <v>40</v>
      </c>
      <c r="DJ16" s="9">
        <v>13.9</v>
      </c>
      <c r="DK16" s="10"/>
      <c r="DL16" s="10"/>
      <c r="DM16" s="10">
        <f>0.35+1.1</f>
        <v>1.4500000000000002</v>
      </c>
      <c r="DN16" s="10"/>
      <c r="DO16" s="10"/>
      <c r="DP16" s="10">
        <f t="shared" si="31"/>
        <v>0.10431654676258993</v>
      </c>
      <c r="DQ16" s="10"/>
      <c r="DR16" s="10">
        <f t="shared" si="33"/>
        <v>1.4285714285714299E-2</v>
      </c>
      <c r="DU16" s="3"/>
      <c r="DV16" s="3" t="s">
        <v>41</v>
      </c>
      <c r="DW16" s="5" t="s">
        <v>40</v>
      </c>
      <c r="DX16" s="9">
        <v>14.7</v>
      </c>
      <c r="DY16" s="10"/>
      <c r="DZ16" s="10"/>
      <c r="EA16" s="10">
        <f>0.5+1.25</f>
        <v>1.75</v>
      </c>
      <c r="EB16" s="10"/>
      <c r="EC16" s="10"/>
      <c r="ED16" s="10">
        <f t="shared" si="35"/>
        <v>0.11904761904761905</v>
      </c>
      <c r="EE16" s="10"/>
      <c r="EF16" s="10">
        <f t="shared" si="42"/>
        <v>2.1428571428571415E-2</v>
      </c>
      <c r="EI16" s="3"/>
      <c r="EJ16" s="3" t="s">
        <v>41</v>
      </c>
      <c r="EK16" s="5" t="s">
        <v>40</v>
      </c>
      <c r="EL16" s="9">
        <v>15.3</v>
      </c>
      <c r="EM16" s="10"/>
      <c r="EN16" s="10"/>
      <c r="EO16" s="10">
        <f>0.4+1.4</f>
        <v>1.7999999999999998</v>
      </c>
      <c r="EP16" s="10"/>
      <c r="EQ16" s="10"/>
      <c r="ER16" s="10">
        <f t="shared" si="39"/>
        <v>0.1176470588235294</v>
      </c>
      <c r="ET16">
        <f>(EO16-EA16)/27</f>
        <v>1.8518518518518452E-3</v>
      </c>
    </row>
    <row r="17" spans="1:150" x14ac:dyDescent="0.2">
      <c r="A17" s="7"/>
      <c r="B17" s="7"/>
      <c r="C17" s="5" t="s">
        <v>42</v>
      </c>
      <c r="D17" s="11">
        <v>6.5</v>
      </c>
      <c r="E17">
        <v>0.35</v>
      </c>
      <c r="F17" t="s">
        <v>24</v>
      </c>
      <c r="G17">
        <v>0.3</v>
      </c>
      <c r="H17" t="s">
        <v>24</v>
      </c>
      <c r="I17">
        <f t="shared" si="2"/>
        <v>5.3846153846153842E-2</v>
      </c>
      <c r="J17">
        <f t="shared" si="3"/>
        <v>4.6153846153846149E-2</v>
      </c>
      <c r="M17" s="3"/>
      <c r="N17" s="3"/>
      <c r="O17" s="5" t="s">
        <v>42</v>
      </c>
      <c r="P17" s="11">
        <v>7.2</v>
      </c>
      <c r="Q17">
        <v>0.4</v>
      </c>
      <c r="S17">
        <v>0.35</v>
      </c>
      <c r="U17">
        <f t="shared" si="4"/>
        <v>5.5555555555555559E-2</v>
      </c>
      <c r="V17">
        <f t="shared" si="5"/>
        <v>4.8611111111111105E-2</v>
      </c>
      <c r="W17">
        <f t="shared" ref="W17:W35" si="43">(Q17-E17)/10</f>
        <v>5.0000000000000044E-3</v>
      </c>
      <c r="X17">
        <f t="shared" si="1"/>
        <v>4.9999999999999992E-3</v>
      </c>
      <c r="AA17" s="3"/>
      <c r="AB17" s="3"/>
      <c r="AC17" s="5" t="s">
        <v>42</v>
      </c>
      <c r="AD17">
        <v>7.7</v>
      </c>
      <c r="AE17">
        <v>0.4</v>
      </c>
      <c r="AG17">
        <v>0.4</v>
      </c>
      <c r="AI17">
        <f t="shared" si="6"/>
        <v>5.1948051948051951E-2</v>
      </c>
      <c r="AJ17">
        <f t="shared" si="7"/>
        <v>5.1948051948051951E-2</v>
      </c>
      <c r="AK17">
        <f t="shared" si="8"/>
        <v>0</v>
      </c>
      <c r="AL17">
        <f t="shared" si="9"/>
        <v>8.3333333333333402E-3</v>
      </c>
      <c r="AO17" s="3"/>
      <c r="AP17" s="3"/>
      <c r="AQ17" s="5" t="s">
        <v>42</v>
      </c>
      <c r="AR17">
        <v>8.6</v>
      </c>
      <c r="AS17">
        <v>0.45</v>
      </c>
      <c r="AU17">
        <v>0.42499999999999999</v>
      </c>
      <c r="AW17">
        <f t="shared" si="10"/>
        <v>5.232558139534884E-2</v>
      </c>
      <c r="AX17">
        <f t="shared" si="11"/>
        <v>4.9418604651162788E-2</v>
      </c>
      <c r="AY17">
        <f t="shared" si="12"/>
        <v>6.2499999999999986E-3</v>
      </c>
      <c r="AZ17">
        <f t="shared" si="13"/>
        <v>3.1249999999999958E-3</v>
      </c>
      <c r="BC17" s="3"/>
      <c r="BD17" s="3"/>
      <c r="BE17" s="5" t="s">
        <v>42</v>
      </c>
      <c r="BF17">
        <v>9.4</v>
      </c>
      <c r="BG17">
        <f>0.2+0.6</f>
        <v>0.8</v>
      </c>
      <c r="BI17">
        <v>0.6</v>
      </c>
      <c r="BK17">
        <f t="shared" si="14"/>
        <v>8.5106382978723402E-2</v>
      </c>
      <c r="BL17">
        <f t="shared" si="15"/>
        <v>6.3829787234042548E-2</v>
      </c>
      <c r="BM17">
        <f t="shared" si="16"/>
        <v>4.3750000000000004E-2</v>
      </c>
      <c r="BN17">
        <f t="shared" si="17"/>
        <v>2.1874999999999999E-2</v>
      </c>
      <c r="BQ17" s="3"/>
      <c r="BR17" s="3"/>
      <c r="BS17" s="5" t="s">
        <v>42</v>
      </c>
      <c r="BT17">
        <v>10.6</v>
      </c>
      <c r="BU17">
        <f>0.2+0.625</f>
        <v>0.82499999999999996</v>
      </c>
      <c r="BW17">
        <v>0.85</v>
      </c>
      <c r="BY17">
        <f t="shared" si="18"/>
        <v>7.783018867924528E-2</v>
      </c>
      <c r="BZ17">
        <f t="shared" si="19"/>
        <v>8.0188679245283015E-2</v>
      </c>
      <c r="CA17">
        <f t="shared" si="20"/>
        <v>1.9230769230769162E-3</v>
      </c>
      <c r="CB17">
        <f t="shared" si="21"/>
        <v>1.9230769230769232E-2</v>
      </c>
      <c r="CE17" s="3"/>
      <c r="CF17" s="3"/>
      <c r="CG17" s="5" t="s">
        <v>42</v>
      </c>
      <c r="CH17" s="11">
        <v>11.6</v>
      </c>
      <c r="CI17">
        <v>1.1000000000000001</v>
      </c>
      <c r="CK17">
        <f>0.15+0.95</f>
        <v>1.0999999999999999</v>
      </c>
      <c r="CM17">
        <f t="shared" si="22"/>
        <v>9.4827586206896561E-2</v>
      </c>
      <c r="CN17">
        <f t="shared" si="23"/>
        <v>9.4827586206896547E-2</v>
      </c>
      <c r="CO17">
        <f t="shared" si="24"/>
        <v>1.9642857142857153E-2</v>
      </c>
      <c r="CP17">
        <f t="shared" si="25"/>
        <v>1.7857142857142849E-2</v>
      </c>
      <c r="CS17" s="3"/>
      <c r="CT17" s="3"/>
      <c r="CU17" s="5" t="s">
        <v>42</v>
      </c>
      <c r="CV17" s="11">
        <v>12.4</v>
      </c>
      <c r="CW17">
        <v>1.1499999999999999</v>
      </c>
      <c r="CY17">
        <f>0.25+1.1</f>
        <v>1.35</v>
      </c>
      <c r="DA17">
        <f t="shared" si="26"/>
        <v>9.2741935483870955E-2</v>
      </c>
      <c r="DB17">
        <f t="shared" si="27"/>
        <v>0.10887096774193548</v>
      </c>
      <c r="DC17">
        <f t="shared" ref="DC17:DC35" si="44">(CW17-CI17)/14</f>
        <v>3.5714285714285587E-3</v>
      </c>
      <c r="DD17">
        <f t="shared" si="29"/>
        <v>1.7857142857142873E-2</v>
      </c>
      <c r="DG17" s="3"/>
      <c r="DH17" s="3"/>
      <c r="DI17" s="5" t="s">
        <v>42</v>
      </c>
      <c r="DJ17" s="11">
        <v>13.6</v>
      </c>
      <c r="DK17">
        <f>1.3</f>
        <v>1.3</v>
      </c>
      <c r="DM17">
        <f>0.3+1.2</f>
        <v>1.5</v>
      </c>
      <c r="DO17">
        <f t="shared" si="30"/>
        <v>9.5588235294117654E-2</v>
      </c>
      <c r="DP17">
        <f t="shared" si="31"/>
        <v>0.11029411764705882</v>
      </c>
      <c r="DQ17">
        <f t="shared" ref="DQ17:DQ35" si="45">(DK17-CW17)/14</f>
        <v>1.0714285714285723E-2</v>
      </c>
      <c r="DR17">
        <f t="shared" si="33"/>
        <v>1.0714285714285707E-2</v>
      </c>
      <c r="DU17" s="3"/>
      <c r="DV17" s="3"/>
      <c r="DW17" s="5" t="s">
        <v>42</v>
      </c>
      <c r="DX17" s="11">
        <v>14.5</v>
      </c>
      <c r="DY17">
        <f>0.4+1.3</f>
        <v>1.7000000000000002</v>
      </c>
      <c r="EA17">
        <f>0.35+1.2</f>
        <v>1.5499999999999998</v>
      </c>
      <c r="EC17">
        <f t="shared" si="34"/>
        <v>0.11724137931034484</v>
      </c>
      <c r="ED17">
        <f t="shared" si="35"/>
        <v>0.10689655172413792</v>
      </c>
      <c r="EE17">
        <f t="shared" ref="EE17:EE35" si="46">(DY17-DK17)/14</f>
        <v>2.8571428571428581E-2</v>
      </c>
      <c r="EF17">
        <f t="shared" si="42"/>
        <v>3.5714285714285587E-3</v>
      </c>
      <c r="EI17" s="3"/>
      <c r="EJ17" s="3"/>
      <c r="EK17" s="5" t="s">
        <v>42</v>
      </c>
      <c r="EL17" s="11">
        <v>15.1</v>
      </c>
      <c r="EM17">
        <f>0.45+1.25</f>
        <v>1.7</v>
      </c>
      <c r="EO17">
        <f>0.35+1.4</f>
        <v>1.75</v>
      </c>
      <c r="EQ17">
        <f t="shared" ref="EQ17:EQ35" si="47">EM17/EL17</f>
        <v>0.11258278145695365</v>
      </c>
      <c r="ER17">
        <f t="shared" si="39"/>
        <v>0.11589403973509935</v>
      </c>
      <c r="ES17">
        <f t="shared" si="40"/>
        <v>-8.2238742564826406E-18</v>
      </c>
      <c r="ET17">
        <f t="shared" ref="ET17:ET52" si="48">(EO17-EA17)/27</f>
        <v>7.4074074074074138E-3</v>
      </c>
    </row>
    <row r="18" spans="1:150" x14ac:dyDescent="0.2">
      <c r="A18" s="7"/>
      <c r="B18" s="7"/>
      <c r="C18" s="5" t="s">
        <v>43</v>
      </c>
      <c r="D18">
        <v>6.8</v>
      </c>
      <c r="E18">
        <v>0.25</v>
      </c>
      <c r="F18" t="s">
        <v>24</v>
      </c>
      <c r="G18">
        <v>0.3</v>
      </c>
      <c r="H18" t="s">
        <v>24</v>
      </c>
      <c r="I18">
        <f t="shared" si="2"/>
        <v>3.6764705882352942E-2</v>
      </c>
      <c r="J18">
        <f t="shared" si="3"/>
        <v>4.4117647058823532E-2</v>
      </c>
      <c r="M18" s="3"/>
      <c r="N18" s="3"/>
      <c r="O18" s="5" t="s">
        <v>43</v>
      </c>
      <c r="P18" s="11">
        <v>7.4</v>
      </c>
      <c r="Q18">
        <v>0.25</v>
      </c>
      <c r="S18">
        <v>0.3</v>
      </c>
      <c r="U18">
        <f t="shared" si="4"/>
        <v>3.3783783783783779E-2</v>
      </c>
      <c r="V18">
        <f t="shared" si="5"/>
        <v>4.0540540540540536E-2</v>
      </c>
      <c r="W18">
        <f t="shared" si="43"/>
        <v>0</v>
      </c>
      <c r="X18">
        <f t="shared" si="1"/>
        <v>0</v>
      </c>
      <c r="AA18" s="3"/>
      <c r="AB18" s="3"/>
      <c r="AC18" s="5" t="s">
        <v>43</v>
      </c>
      <c r="AD18">
        <v>7.9</v>
      </c>
      <c r="AE18">
        <v>0.25</v>
      </c>
      <c r="AG18">
        <v>0.45</v>
      </c>
      <c r="AI18">
        <f t="shared" si="6"/>
        <v>3.164556962025316E-2</v>
      </c>
      <c r="AJ18">
        <f t="shared" si="7"/>
        <v>5.6962025316455694E-2</v>
      </c>
      <c r="AK18">
        <f t="shared" si="8"/>
        <v>0</v>
      </c>
      <c r="AL18">
        <f t="shared" si="9"/>
        <v>2.5000000000000005E-2</v>
      </c>
      <c r="AO18" s="3"/>
      <c r="AP18" s="3"/>
      <c r="AQ18" s="5" t="s">
        <v>43</v>
      </c>
      <c r="AR18">
        <v>8.6999999999999993</v>
      </c>
      <c r="AS18">
        <v>0.35</v>
      </c>
      <c r="AU18">
        <v>0.6</v>
      </c>
      <c r="AW18">
        <f t="shared" si="10"/>
        <v>4.0229885057471264E-2</v>
      </c>
      <c r="AX18">
        <f t="shared" si="11"/>
        <v>6.8965517241379309E-2</v>
      </c>
      <c r="AY18">
        <f t="shared" si="12"/>
        <v>1.2499999999999997E-2</v>
      </c>
      <c r="AZ18">
        <f t="shared" si="13"/>
        <v>1.8749999999999996E-2</v>
      </c>
      <c r="BC18" s="3"/>
      <c r="BD18" s="3"/>
      <c r="BE18" s="5" t="s">
        <v>43</v>
      </c>
      <c r="BF18">
        <v>9.5</v>
      </c>
      <c r="BG18">
        <v>0.45</v>
      </c>
      <c r="BI18">
        <v>0.8</v>
      </c>
      <c r="BK18">
        <f t="shared" si="14"/>
        <v>4.736842105263158E-2</v>
      </c>
      <c r="BL18">
        <f t="shared" si="15"/>
        <v>8.4210526315789472E-2</v>
      </c>
      <c r="BM18">
        <f t="shared" si="16"/>
        <v>1.2500000000000004E-2</v>
      </c>
      <c r="BN18">
        <f t="shared" si="17"/>
        <v>2.5000000000000008E-2</v>
      </c>
      <c r="BQ18" s="3"/>
      <c r="BR18" s="3"/>
      <c r="BS18" s="5" t="s">
        <v>43</v>
      </c>
      <c r="BT18">
        <v>10.7</v>
      </c>
      <c r="BU18">
        <v>0.65</v>
      </c>
      <c r="BW18">
        <v>0.82499999999999996</v>
      </c>
      <c r="BY18">
        <f t="shared" si="18"/>
        <v>6.0747663551401876E-2</v>
      </c>
      <c r="BZ18">
        <f t="shared" si="19"/>
        <v>7.7102803738317752E-2</v>
      </c>
      <c r="CA18">
        <f t="shared" si="20"/>
        <v>1.5384615384615385E-2</v>
      </c>
      <c r="CB18">
        <f t="shared" si="21"/>
        <v>1.9230769230769162E-3</v>
      </c>
      <c r="CE18" s="3"/>
      <c r="CF18" s="3"/>
      <c r="CG18" s="5" t="s">
        <v>43</v>
      </c>
      <c r="CH18" s="11">
        <v>12</v>
      </c>
      <c r="CI18">
        <f>0.4+0.45</f>
        <v>0.85000000000000009</v>
      </c>
      <c r="CK18">
        <v>0.7</v>
      </c>
      <c r="CM18">
        <f t="shared" si="22"/>
        <v>7.0833333333333345E-2</v>
      </c>
      <c r="CN18">
        <f t="shared" si="23"/>
        <v>5.8333333333333327E-2</v>
      </c>
      <c r="CO18">
        <f t="shared" si="24"/>
        <v>1.428571428571429E-2</v>
      </c>
      <c r="CP18">
        <f t="shared" si="25"/>
        <v>-8.9285714285714281E-3</v>
      </c>
      <c r="CS18" s="3"/>
      <c r="CT18" s="3"/>
      <c r="CU18" s="5" t="s">
        <v>43</v>
      </c>
      <c r="CV18" s="11">
        <v>13.2</v>
      </c>
      <c r="CW18">
        <f>0.45+0.5</f>
        <v>0.95</v>
      </c>
      <c r="CY18">
        <f>0.35+0.8</f>
        <v>1.1499999999999999</v>
      </c>
      <c r="DA18">
        <f t="shared" si="26"/>
        <v>7.1969696969696975E-2</v>
      </c>
      <c r="DB18">
        <f t="shared" si="27"/>
        <v>8.7121212121212113E-2</v>
      </c>
      <c r="DC18">
        <f t="shared" si="44"/>
        <v>7.1428571428571331E-3</v>
      </c>
      <c r="DD18">
        <f t="shared" si="29"/>
        <v>3.214285714285714E-2</v>
      </c>
      <c r="DG18" s="3"/>
      <c r="DH18" s="3"/>
      <c r="DI18" s="5" t="s">
        <v>43</v>
      </c>
      <c r="DJ18" s="11">
        <v>13.8</v>
      </c>
      <c r="DK18">
        <f>0.5+0.6</f>
        <v>1.1000000000000001</v>
      </c>
      <c r="DM18">
        <f>0.45+0.95</f>
        <v>1.4</v>
      </c>
      <c r="DO18">
        <f t="shared" si="30"/>
        <v>7.9710144927536239E-2</v>
      </c>
      <c r="DP18">
        <f t="shared" si="31"/>
        <v>0.10144927536231883</v>
      </c>
      <c r="DQ18">
        <f t="shared" si="45"/>
        <v>1.0714285714285723E-2</v>
      </c>
      <c r="DR18">
        <f t="shared" si="33"/>
        <v>1.7857142857142856E-2</v>
      </c>
      <c r="DU18" s="3"/>
      <c r="DV18" s="3"/>
      <c r="DW18" s="5" t="s">
        <v>43</v>
      </c>
      <c r="DX18" s="11">
        <v>14.6</v>
      </c>
      <c r="DY18">
        <f>0.7+0.85</f>
        <v>1.5499999999999998</v>
      </c>
      <c r="EA18">
        <v>1.4</v>
      </c>
      <c r="EC18">
        <f t="shared" si="34"/>
        <v>0.10616438356164383</v>
      </c>
      <c r="ED18">
        <f t="shared" si="35"/>
        <v>9.5890410958904104E-2</v>
      </c>
      <c r="EE18">
        <f t="shared" si="46"/>
        <v>3.2142857142857126E-2</v>
      </c>
      <c r="EF18">
        <f t="shared" si="42"/>
        <v>0</v>
      </c>
      <c r="EI18" s="3"/>
      <c r="EJ18" s="3"/>
      <c r="EK18" s="5" t="s">
        <v>43</v>
      </c>
      <c r="EL18" s="11">
        <v>15.1</v>
      </c>
      <c r="EM18">
        <f>0.65+1.2</f>
        <v>1.85</v>
      </c>
      <c r="EO18">
        <f>0.5+1.1</f>
        <v>1.6</v>
      </c>
      <c r="EQ18">
        <f t="shared" si="47"/>
        <v>0.12251655629139074</v>
      </c>
      <c r="ER18">
        <f t="shared" si="39"/>
        <v>0.10596026490066227</v>
      </c>
      <c r="ES18">
        <f t="shared" si="40"/>
        <v>1.111111111111112E-2</v>
      </c>
      <c r="ET18">
        <f t="shared" si="48"/>
        <v>7.4074074074074138E-3</v>
      </c>
    </row>
    <row r="19" spans="1:150" x14ac:dyDescent="0.2">
      <c r="A19" s="7"/>
      <c r="B19" s="7"/>
      <c r="C19" s="5" t="s">
        <v>44</v>
      </c>
      <c r="D19">
        <v>6.4</v>
      </c>
      <c r="E19">
        <v>0.3</v>
      </c>
      <c r="F19" t="s">
        <v>24</v>
      </c>
      <c r="G19">
        <v>0.3</v>
      </c>
      <c r="H19" t="s">
        <v>24</v>
      </c>
      <c r="I19">
        <f t="shared" si="2"/>
        <v>4.6874999999999993E-2</v>
      </c>
      <c r="J19">
        <f t="shared" si="3"/>
        <v>4.6874999999999993E-2</v>
      </c>
      <c r="M19" s="3"/>
      <c r="N19" s="3"/>
      <c r="O19" s="5" t="s">
        <v>44</v>
      </c>
      <c r="P19" s="11">
        <v>6.9</v>
      </c>
      <c r="Q19">
        <v>0.35</v>
      </c>
      <c r="S19">
        <v>0.3</v>
      </c>
      <c r="U19">
        <f t="shared" si="4"/>
        <v>5.0724637681159417E-2</v>
      </c>
      <c r="V19">
        <f t="shared" si="5"/>
        <v>4.3478260869565216E-2</v>
      </c>
      <c r="W19">
        <f t="shared" si="43"/>
        <v>4.9999999999999992E-3</v>
      </c>
      <c r="X19">
        <f t="shared" si="1"/>
        <v>0</v>
      </c>
      <c r="AA19" s="3"/>
      <c r="AB19" s="3"/>
      <c r="AC19" s="5" t="s">
        <v>44</v>
      </c>
      <c r="AD19">
        <v>7.3</v>
      </c>
      <c r="AE19">
        <v>0.4</v>
      </c>
      <c r="AG19">
        <v>0.42499999999999999</v>
      </c>
      <c r="AI19">
        <f t="shared" si="6"/>
        <v>5.4794520547945209E-2</v>
      </c>
      <c r="AJ19">
        <f t="shared" si="7"/>
        <v>5.8219178082191778E-2</v>
      </c>
      <c r="AK19">
        <f t="shared" si="8"/>
        <v>8.3333333333333402E-3</v>
      </c>
      <c r="AL19">
        <f t="shared" si="9"/>
        <v>2.0833333333333332E-2</v>
      </c>
      <c r="AO19" s="3"/>
      <c r="AP19" s="3"/>
      <c r="AQ19" s="5" t="s">
        <v>44</v>
      </c>
      <c r="AR19">
        <v>8</v>
      </c>
      <c r="AS19">
        <v>0.5</v>
      </c>
      <c r="AU19">
        <v>0.6</v>
      </c>
      <c r="AW19">
        <f t="shared" si="10"/>
        <v>6.25E-2</v>
      </c>
      <c r="AX19">
        <f t="shared" si="11"/>
        <v>7.4999999999999997E-2</v>
      </c>
      <c r="AY19">
        <f t="shared" si="12"/>
        <v>1.2499999999999997E-2</v>
      </c>
      <c r="AZ19">
        <f t="shared" si="13"/>
        <v>2.1874999999999999E-2</v>
      </c>
      <c r="BC19" s="3"/>
      <c r="BD19" s="3"/>
      <c r="BE19" s="5" t="s">
        <v>44</v>
      </c>
      <c r="BF19">
        <v>8.3000000000000007</v>
      </c>
      <c r="BG19">
        <v>0.65</v>
      </c>
      <c r="BI19">
        <v>0.82499999999999996</v>
      </c>
      <c r="BK19">
        <f t="shared" si="14"/>
        <v>7.8313253012048195E-2</v>
      </c>
      <c r="BL19">
        <f t="shared" si="15"/>
        <v>9.939759036144577E-2</v>
      </c>
      <c r="BM19">
        <f t="shared" si="16"/>
        <v>1.8750000000000003E-2</v>
      </c>
      <c r="BN19">
        <f t="shared" si="17"/>
        <v>2.8124999999999997E-2</v>
      </c>
      <c r="BQ19" s="3"/>
      <c r="BR19" s="3"/>
      <c r="BS19" s="5" t="s">
        <v>44</v>
      </c>
      <c r="BT19">
        <v>9.3000000000000007</v>
      </c>
      <c r="BU19">
        <v>0.8</v>
      </c>
      <c r="BW19">
        <v>0.95</v>
      </c>
      <c r="BY19">
        <f t="shared" si="18"/>
        <v>8.6021505376344079E-2</v>
      </c>
      <c r="BZ19">
        <f t="shared" si="19"/>
        <v>0.10215053763440859</v>
      </c>
      <c r="CA19">
        <f t="shared" si="20"/>
        <v>1.1538461538461541E-2</v>
      </c>
      <c r="CB19">
        <f t="shared" si="21"/>
        <v>9.6153846153846159E-3</v>
      </c>
      <c r="CE19" s="3"/>
      <c r="CF19" s="3"/>
      <c r="CG19" s="5" t="s">
        <v>44</v>
      </c>
      <c r="CH19" s="11">
        <v>10.5</v>
      </c>
      <c r="CI19">
        <v>0.95</v>
      </c>
      <c r="CK19">
        <v>1.1000000000000001</v>
      </c>
      <c r="CM19">
        <f t="shared" si="22"/>
        <v>9.0476190476190474E-2</v>
      </c>
      <c r="CN19">
        <f t="shared" si="23"/>
        <v>0.10476190476190476</v>
      </c>
      <c r="CO19">
        <f t="shared" si="24"/>
        <v>1.0714285714285707E-2</v>
      </c>
      <c r="CP19">
        <f t="shared" si="25"/>
        <v>1.0714285714285723E-2</v>
      </c>
      <c r="CS19" s="3"/>
      <c r="CT19" s="3"/>
      <c r="CU19" s="5" t="s">
        <v>44</v>
      </c>
      <c r="CV19" s="11">
        <v>11.3</v>
      </c>
      <c r="CW19">
        <v>1</v>
      </c>
      <c r="CY19">
        <f>0.3+1.15</f>
        <v>1.45</v>
      </c>
      <c r="DA19">
        <f t="shared" si="26"/>
        <v>8.8495575221238937E-2</v>
      </c>
      <c r="DB19">
        <f t="shared" si="27"/>
        <v>0.12831858407079644</v>
      </c>
      <c r="DC19">
        <f t="shared" si="44"/>
        <v>3.5714285714285748E-3</v>
      </c>
      <c r="DD19">
        <f t="shared" si="29"/>
        <v>2.4999999999999991E-2</v>
      </c>
      <c r="DG19" s="3"/>
      <c r="DH19" s="3"/>
      <c r="DI19" s="5" t="s">
        <v>44</v>
      </c>
      <c r="DJ19" s="11">
        <v>11.7</v>
      </c>
      <c r="DK19">
        <v>1.2250000000000001</v>
      </c>
      <c r="DM19">
        <f>0.4+1.2</f>
        <v>1.6</v>
      </c>
      <c r="DO19">
        <f t="shared" si="30"/>
        <v>0.10470085470085472</v>
      </c>
      <c r="DP19">
        <f t="shared" si="31"/>
        <v>0.13675213675213677</v>
      </c>
      <c r="DQ19">
        <f t="shared" si="45"/>
        <v>1.6071428571428577E-2</v>
      </c>
      <c r="DR19">
        <f t="shared" si="33"/>
        <v>1.0714285714285723E-2</v>
      </c>
      <c r="DU19" s="3"/>
      <c r="DV19" s="3"/>
      <c r="DW19" s="5" t="s">
        <v>44</v>
      </c>
      <c r="DX19" s="11">
        <v>12.6</v>
      </c>
      <c r="DY19">
        <f>1.35</f>
        <v>1.35</v>
      </c>
      <c r="EA19">
        <f>0.35+1.3</f>
        <v>1.65</v>
      </c>
      <c r="EC19">
        <f t="shared" si="34"/>
        <v>0.10714285714285715</v>
      </c>
      <c r="ED19">
        <f t="shared" si="35"/>
        <v>0.13095238095238096</v>
      </c>
      <c r="EE19">
        <f t="shared" si="46"/>
        <v>8.9285714285714281E-3</v>
      </c>
      <c r="EF19">
        <f t="shared" si="42"/>
        <v>3.5714285714285587E-3</v>
      </c>
      <c r="EI19" s="3"/>
      <c r="EJ19" s="3"/>
      <c r="EK19" s="5" t="s">
        <v>44</v>
      </c>
      <c r="EL19" s="11">
        <v>13.3</v>
      </c>
      <c r="EM19">
        <f>1.4</f>
        <v>1.4</v>
      </c>
      <c r="EO19">
        <f>1.85</f>
        <v>1.85</v>
      </c>
      <c r="EQ19">
        <f t="shared" si="47"/>
        <v>0.10526315789473684</v>
      </c>
      <c r="ER19">
        <f t="shared" si="39"/>
        <v>0.13909774436090225</v>
      </c>
      <c r="ES19">
        <f t="shared" si="40"/>
        <v>1.8518518518518452E-3</v>
      </c>
      <c r="ET19">
        <f t="shared" si="48"/>
        <v>7.4074074074074138E-3</v>
      </c>
    </row>
    <row r="20" spans="1:150" x14ac:dyDescent="0.2">
      <c r="A20" s="7"/>
      <c r="B20" s="7"/>
      <c r="C20" s="5" t="s">
        <v>45</v>
      </c>
      <c r="D20">
        <v>6.7</v>
      </c>
      <c r="E20">
        <v>0.3</v>
      </c>
      <c r="F20" t="s">
        <v>24</v>
      </c>
      <c r="G20">
        <v>0.3</v>
      </c>
      <c r="H20" t="s">
        <v>24</v>
      </c>
      <c r="I20">
        <f t="shared" si="2"/>
        <v>4.4776119402985072E-2</v>
      </c>
      <c r="J20">
        <f t="shared" si="3"/>
        <v>4.4776119402985072E-2</v>
      </c>
      <c r="M20" s="3"/>
      <c r="N20" s="3"/>
      <c r="O20" s="5" t="s">
        <v>45</v>
      </c>
      <c r="P20" s="11">
        <v>7.3</v>
      </c>
      <c r="Q20">
        <v>0.3</v>
      </c>
      <c r="S20">
        <v>0.3</v>
      </c>
      <c r="U20">
        <f t="shared" si="4"/>
        <v>4.1095890410958902E-2</v>
      </c>
      <c r="V20">
        <f t="shared" si="5"/>
        <v>4.1095890410958902E-2</v>
      </c>
      <c r="W20">
        <f t="shared" si="43"/>
        <v>0</v>
      </c>
      <c r="X20">
        <f t="shared" si="1"/>
        <v>0</v>
      </c>
      <c r="AA20" s="3"/>
      <c r="AB20" s="3"/>
      <c r="AC20" s="5" t="s">
        <v>45</v>
      </c>
      <c r="AD20">
        <v>7.8</v>
      </c>
      <c r="AE20">
        <v>0.3</v>
      </c>
      <c r="AG20">
        <v>0.35</v>
      </c>
      <c r="AI20">
        <f t="shared" si="6"/>
        <v>3.8461538461538464E-2</v>
      </c>
      <c r="AJ20">
        <f t="shared" si="7"/>
        <v>4.4871794871794872E-2</v>
      </c>
      <c r="AK20">
        <f t="shared" si="8"/>
        <v>0</v>
      </c>
      <c r="AL20">
        <f t="shared" si="9"/>
        <v>8.3333333333333315E-3</v>
      </c>
      <c r="AO20" s="3"/>
      <c r="AP20" s="3"/>
      <c r="AQ20" s="5" t="s">
        <v>45</v>
      </c>
      <c r="AR20">
        <v>8.6</v>
      </c>
      <c r="AS20">
        <v>0.42499999999999999</v>
      </c>
      <c r="AU20">
        <v>0.4</v>
      </c>
      <c r="AW20">
        <f t="shared" si="10"/>
        <v>4.9418604651162788E-2</v>
      </c>
      <c r="AX20">
        <f t="shared" si="11"/>
        <v>4.651162790697675E-2</v>
      </c>
      <c r="AY20">
        <f t="shared" si="12"/>
        <v>1.5625E-2</v>
      </c>
      <c r="AZ20">
        <f t="shared" si="13"/>
        <v>6.2500000000000056E-3</v>
      </c>
      <c r="BC20" s="3"/>
      <c r="BD20" s="3"/>
      <c r="BE20" s="5" t="s">
        <v>45</v>
      </c>
      <c r="BF20">
        <v>9.1999999999999993</v>
      </c>
      <c r="BG20">
        <v>0.6</v>
      </c>
      <c r="BI20">
        <v>0.55000000000000004</v>
      </c>
      <c r="BK20">
        <f t="shared" si="14"/>
        <v>6.5217391304347824E-2</v>
      </c>
      <c r="BL20">
        <f t="shared" si="15"/>
        <v>5.9782608695652183E-2</v>
      </c>
      <c r="BM20">
        <f t="shared" si="16"/>
        <v>2.1874999999999999E-2</v>
      </c>
      <c r="BN20">
        <f t="shared" si="17"/>
        <v>1.8750000000000003E-2</v>
      </c>
      <c r="BQ20" s="3"/>
      <c r="BR20" s="3"/>
      <c r="BS20" s="5" t="s">
        <v>45</v>
      </c>
      <c r="BT20">
        <v>10.5</v>
      </c>
      <c r="BU20">
        <v>0.67500000000000004</v>
      </c>
      <c r="BW20">
        <v>0.65</v>
      </c>
      <c r="BY20">
        <f t="shared" si="18"/>
        <v>6.4285714285714293E-2</v>
      </c>
      <c r="BZ20">
        <f t="shared" si="19"/>
        <v>6.1904761904761907E-2</v>
      </c>
      <c r="CA20">
        <f t="shared" si="20"/>
        <v>5.7692307692307748E-3</v>
      </c>
      <c r="CB20">
        <f t="shared" si="21"/>
        <v>7.692307692307691E-3</v>
      </c>
      <c r="CE20" s="3"/>
      <c r="CF20" s="3"/>
      <c r="CG20" s="5" t="s">
        <v>45</v>
      </c>
      <c r="CH20" s="11">
        <v>11.4</v>
      </c>
      <c r="CI20">
        <v>0.75</v>
      </c>
      <c r="CK20">
        <f>0.25+0.65</f>
        <v>0.9</v>
      </c>
      <c r="CM20">
        <f t="shared" si="22"/>
        <v>6.5789473684210523E-2</v>
      </c>
      <c r="CN20">
        <f t="shared" si="23"/>
        <v>7.8947368421052627E-2</v>
      </c>
      <c r="CO20">
        <f t="shared" si="24"/>
        <v>5.3571428571428537E-3</v>
      </c>
      <c r="CP20">
        <f t="shared" si="25"/>
        <v>1.7857142857142856E-2</v>
      </c>
      <c r="CS20" s="3"/>
      <c r="CT20" s="3"/>
      <c r="CU20" s="5" t="s">
        <v>45</v>
      </c>
      <c r="CV20" s="11">
        <v>12.5</v>
      </c>
      <c r="CW20">
        <f>0.3+0.7</f>
        <v>1</v>
      </c>
      <c r="CY20">
        <f>0.3+0.75</f>
        <v>1.05</v>
      </c>
      <c r="DA20">
        <f t="shared" si="26"/>
        <v>0.08</v>
      </c>
      <c r="DB20">
        <f t="shared" si="27"/>
        <v>8.4000000000000005E-2</v>
      </c>
      <c r="DC20">
        <f t="shared" si="44"/>
        <v>1.7857142857142856E-2</v>
      </c>
      <c r="DD20">
        <f t="shared" si="29"/>
        <v>1.0714285714285716E-2</v>
      </c>
      <c r="DG20" s="3"/>
      <c r="DH20" s="3"/>
      <c r="DI20" s="5" t="s">
        <v>45</v>
      </c>
      <c r="DJ20" s="11">
        <v>12.8</v>
      </c>
      <c r="DK20">
        <f>0.3+0.8</f>
        <v>1.1000000000000001</v>
      </c>
      <c r="DM20">
        <f>0.35+0.85</f>
        <v>1.2</v>
      </c>
      <c r="DO20">
        <f t="shared" si="30"/>
        <v>8.59375E-2</v>
      </c>
      <c r="DP20">
        <f t="shared" si="31"/>
        <v>9.3749999999999986E-2</v>
      </c>
      <c r="DQ20">
        <f t="shared" si="45"/>
        <v>7.1428571428571496E-3</v>
      </c>
      <c r="DR20">
        <f t="shared" si="33"/>
        <v>1.0714285714285707E-2</v>
      </c>
      <c r="DU20" s="3"/>
      <c r="DV20" s="3"/>
      <c r="DW20" s="5" t="s">
        <v>45</v>
      </c>
      <c r="DX20" s="11">
        <v>13.7</v>
      </c>
      <c r="DY20">
        <f>0.25+1.1</f>
        <v>1.35</v>
      </c>
      <c r="EA20">
        <f>0.45+1.05</f>
        <v>1.5</v>
      </c>
      <c r="EC20">
        <f t="shared" si="34"/>
        <v>9.8540145985401478E-2</v>
      </c>
      <c r="ED20">
        <f t="shared" si="35"/>
        <v>0.10948905109489052</v>
      </c>
      <c r="EE20">
        <f t="shared" si="46"/>
        <v>1.7857142857142856E-2</v>
      </c>
      <c r="EF20">
        <f t="shared" si="42"/>
        <v>2.1428571428571432E-2</v>
      </c>
      <c r="EI20" s="3"/>
      <c r="EJ20" s="3"/>
      <c r="EK20" s="5" t="s">
        <v>45</v>
      </c>
      <c r="EL20" s="11">
        <v>14.5</v>
      </c>
      <c r="EM20">
        <f>0.5+1.05</f>
        <v>1.55</v>
      </c>
      <c r="EO20">
        <f>0.35+1.15</f>
        <v>1.5</v>
      </c>
      <c r="EQ20">
        <f t="shared" si="47"/>
        <v>0.10689655172413794</v>
      </c>
      <c r="ER20">
        <f t="shared" si="39"/>
        <v>0.10344827586206896</v>
      </c>
      <c r="ES20">
        <f t="shared" si="40"/>
        <v>7.407407407407406E-3</v>
      </c>
      <c r="ET20">
        <f t="shared" si="48"/>
        <v>0</v>
      </c>
    </row>
    <row r="21" spans="1:150" x14ac:dyDescent="0.2">
      <c r="A21" s="7"/>
      <c r="B21" s="7"/>
      <c r="C21" s="5" t="s">
        <v>46</v>
      </c>
      <c r="D21">
        <v>6.5</v>
      </c>
      <c r="E21">
        <v>0.3</v>
      </c>
      <c r="F21" t="s">
        <v>24</v>
      </c>
      <c r="G21">
        <v>0.25</v>
      </c>
      <c r="H21" t="s">
        <v>24</v>
      </c>
      <c r="I21">
        <f t="shared" si="2"/>
        <v>4.6153846153846149E-2</v>
      </c>
      <c r="J21">
        <f t="shared" si="3"/>
        <v>3.8461538461538464E-2</v>
      </c>
      <c r="M21" s="3"/>
      <c r="N21" s="3"/>
      <c r="O21" s="5" t="s">
        <v>46</v>
      </c>
      <c r="P21" s="11">
        <v>7.1</v>
      </c>
      <c r="Q21">
        <v>0.3</v>
      </c>
      <c r="S21">
        <v>0.25</v>
      </c>
      <c r="U21">
        <f t="shared" si="4"/>
        <v>4.2253521126760563E-2</v>
      </c>
      <c r="V21">
        <f t="shared" si="5"/>
        <v>3.5211267605633804E-2</v>
      </c>
      <c r="W21">
        <f t="shared" si="43"/>
        <v>0</v>
      </c>
      <c r="X21">
        <f t="shared" si="1"/>
        <v>0</v>
      </c>
      <c r="AA21" s="3"/>
      <c r="AB21" s="3"/>
      <c r="AC21" s="5" t="s">
        <v>46</v>
      </c>
      <c r="AD21">
        <v>7.6</v>
      </c>
      <c r="AE21">
        <v>0.375</v>
      </c>
      <c r="AG21">
        <v>0.375</v>
      </c>
      <c r="AI21">
        <f t="shared" si="6"/>
        <v>4.9342105263157895E-2</v>
      </c>
      <c r="AJ21">
        <f t="shared" si="7"/>
        <v>4.9342105263157895E-2</v>
      </c>
      <c r="AK21">
        <f t="shared" si="8"/>
        <v>1.2500000000000002E-2</v>
      </c>
      <c r="AL21">
        <f t="shared" si="9"/>
        <v>2.0833333333333332E-2</v>
      </c>
      <c r="AO21" s="3"/>
      <c r="AP21" s="3"/>
      <c r="AQ21" s="5" t="s">
        <v>46</v>
      </c>
      <c r="AR21">
        <v>8.1999999999999993</v>
      </c>
      <c r="AS21">
        <v>0.4</v>
      </c>
      <c r="AU21">
        <v>0.45</v>
      </c>
      <c r="AW21">
        <f t="shared" si="10"/>
        <v>4.8780487804878057E-2</v>
      </c>
      <c r="AX21">
        <f t="shared" si="11"/>
        <v>5.4878048780487812E-2</v>
      </c>
      <c r="AY21">
        <f t="shared" si="12"/>
        <v>3.1250000000000028E-3</v>
      </c>
      <c r="AZ21">
        <f t="shared" si="13"/>
        <v>9.3750000000000014E-3</v>
      </c>
      <c r="BC21" s="3"/>
      <c r="BD21" s="3"/>
      <c r="BE21" s="5" t="s">
        <v>46</v>
      </c>
      <c r="BF21">
        <v>9.4</v>
      </c>
      <c r="BG21">
        <v>0.4</v>
      </c>
      <c r="BI21">
        <v>0.625</v>
      </c>
      <c r="BK21">
        <f t="shared" si="14"/>
        <v>4.2553191489361701E-2</v>
      </c>
      <c r="BL21">
        <f t="shared" si="15"/>
        <v>6.6489361702127658E-2</v>
      </c>
      <c r="BM21">
        <f t="shared" si="16"/>
        <v>0</v>
      </c>
      <c r="BN21">
        <f t="shared" si="17"/>
        <v>2.1874999999999999E-2</v>
      </c>
      <c r="BQ21" s="3"/>
      <c r="BR21" s="3"/>
      <c r="BS21" s="5" t="s">
        <v>46</v>
      </c>
      <c r="BT21">
        <v>10.5</v>
      </c>
      <c r="BU21">
        <v>0.7</v>
      </c>
      <c r="BW21">
        <v>0.65</v>
      </c>
      <c r="BY21">
        <f t="shared" si="18"/>
        <v>6.6666666666666666E-2</v>
      </c>
      <c r="BZ21">
        <f t="shared" si="19"/>
        <v>6.1904761904761907E-2</v>
      </c>
      <c r="CA21">
        <f t="shared" si="20"/>
        <v>2.3076923076923071E-2</v>
      </c>
      <c r="CB21">
        <f t="shared" si="21"/>
        <v>1.9230769230769247E-3</v>
      </c>
      <c r="CE21" s="3"/>
      <c r="CF21" s="3"/>
      <c r="CG21" s="5" t="s">
        <v>46</v>
      </c>
      <c r="CH21" s="11">
        <v>11.7</v>
      </c>
      <c r="CI21">
        <v>0.85</v>
      </c>
      <c r="CK21">
        <v>0.7</v>
      </c>
      <c r="CM21">
        <f t="shared" si="22"/>
        <v>7.2649572649572655E-2</v>
      </c>
      <c r="CN21">
        <f t="shared" si="23"/>
        <v>5.9829059829059832E-2</v>
      </c>
      <c r="CO21">
        <f t="shared" si="24"/>
        <v>1.0714285714285716E-2</v>
      </c>
      <c r="CP21">
        <f t="shared" si="25"/>
        <v>3.5714285714285665E-3</v>
      </c>
      <c r="CS21" s="3"/>
      <c r="CT21" s="3"/>
      <c r="CU21" s="5" t="s">
        <v>46</v>
      </c>
      <c r="CV21" s="11">
        <v>13</v>
      </c>
      <c r="CW21">
        <v>0.95</v>
      </c>
      <c r="CY21">
        <v>1.05</v>
      </c>
      <c r="DA21">
        <f t="shared" si="26"/>
        <v>7.3076923076923067E-2</v>
      </c>
      <c r="DB21">
        <f t="shared" si="27"/>
        <v>8.0769230769230774E-2</v>
      </c>
      <c r="DC21">
        <f t="shared" si="44"/>
        <v>7.1428571428571409E-3</v>
      </c>
      <c r="DD21">
        <f t="shared" si="29"/>
        <v>2.5000000000000005E-2</v>
      </c>
      <c r="DG21" s="3"/>
      <c r="DH21" s="3"/>
      <c r="DI21" s="5" t="s">
        <v>46</v>
      </c>
      <c r="DJ21" s="11">
        <v>13.6</v>
      </c>
      <c r="DK21">
        <v>1.1000000000000001</v>
      </c>
      <c r="DM21">
        <v>1.05</v>
      </c>
      <c r="DO21">
        <f t="shared" si="30"/>
        <v>8.0882352941176475E-2</v>
      </c>
      <c r="DP21">
        <f t="shared" si="31"/>
        <v>7.720588235294118E-2</v>
      </c>
      <c r="DQ21">
        <f t="shared" si="45"/>
        <v>1.0714285714285723E-2</v>
      </c>
      <c r="DR21">
        <f t="shared" si="33"/>
        <v>0</v>
      </c>
      <c r="DU21" s="3"/>
      <c r="DV21" s="3"/>
      <c r="DW21" s="5" t="s">
        <v>46</v>
      </c>
      <c r="DX21" s="11">
        <v>14.8</v>
      </c>
      <c r="DY21">
        <v>1.2</v>
      </c>
      <c r="EA21">
        <f>1.15</f>
        <v>1.1499999999999999</v>
      </c>
      <c r="EC21">
        <f t="shared" si="34"/>
        <v>8.1081081081081072E-2</v>
      </c>
      <c r="ED21">
        <f t="shared" si="35"/>
        <v>7.7702702702702686E-2</v>
      </c>
      <c r="EE21">
        <f t="shared" si="46"/>
        <v>7.1428571428571331E-3</v>
      </c>
      <c r="EF21">
        <f t="shared" si="42"/>
        <v>7.1428571428571331E-3</v>
      </c>
      <c r="EI21" s="3"/>
      <c r="EJ21" s="3"/>
      <c r="EK21" s="5" t="s">
        <v>46</v>
      </c>
      <c r="EL21" s="11">
        <v>15.1</v>
      </c>
      <c r="EM21">
        <f>0.45+1.25</f>
        <v>1.7</v>
      </c>
      <c r="EO21">
        <f>0.6+1.05</f>
        <v>1.65</v>
      </c>
      <c r="EQ21">
        <f t="shared" si="47"/>
        <v>0.11258278145695365</v>
      </c>
      <c r="ER21">
        <f t="shared" si="39"/>
        <v>0.10927152317880795</v>
      </c>
      <c r="ES21">
        <f t="shared" si="40"/>
        <v>1.8518518518518517E-2</v>
      </c>
      <c r="ET21">
        <f t="shared" si="48"/>
        <v>1.8518518518518517E-2</v>
      </c>
    </row>
    <row r="22" spans="1:150" x14ac:dyDescent="0.2">
      <c r="A22" s="7"/>
      <c r="B22" s="7"/>
      <c r="C22" s="5" t="s">
        <v>47</v>
      </c>
      <c r="D22">
        <v>7</v>
      </c>
      <c r="E22">
        <v>0.3</v>
      </c>
      <c r="F22" t="s">
        <v>24</v>
      </c>
      <c r="G22">
        <v>0.3</v>
      </c>
      <c r="H22" t="s">
        <v>24</v>
      </c>
      <c r="I22">
        <f t="shared" si="2"/>
        <v>4.2857142857142858E-2</v>
      </c>
      <c r="J22">
        <f t="shared" si="3"/>
        <v>4.2857142857142858E-2</v>
      </c>
      <c r="M22" s="3"/>
      <c r="N22" s="3"/>
      <c r="O22" s="5" t="s">
        <v>47</v>
      </c>
      <c r="P22" s="11">
        <v>7.7</v>
      </c>
      <c r="Q22">
        <v>0.3</v>
      </c>
      <c r="S22">
        <v>0.3</v>
      </c>
      <c r="U22">
        <f t="shared" si="4"/>
        <v>3.896103896103896E-2</v>
      </c>
      <c r="V22">
        <f t="shared" si="5"/>
        <v>3.896103896103896E-2</v>
      </c>
      <c r="W22">
        <f t="shared" si="43"/>
        <v>0</v>
      </c>
      <c r="X22">
        <f t="shared" si="1"/>
        <v>0</v>
      </c>
      <c r="AA22" s="3"/>
      <c r="AB22" s="3"/>
      <c r="AC22" s="5" t="s">
        <v>47</v>
      </c>
      <c r="AD22">
        <v>8.1999999999999993</v>
      </c>
      <c r="AE22">
        <v>0.4</v>
      </c>
      <c r="AG22">
        <v>0.4</v>
      </c>
      <c r="AI22">
        <f t="shared" si="6"/>
        <v>4.8780487804878057E-2</v>
      </c>
      <c r="AJ22">
        <f t="shared" si="7"/>
        <v>4.8780487804878057E-2</v>
      </c>
      <c r="AK22">
        <f t="shared" si="8"/>
        <v>1.6666666666666673E-2</v>
      </c>
      <c r="AL22">
        <f t="shared" si="9"/>
        <v>1.6666666666666673E-2</v>
      </c>
      <c r="AO22" s="3"/>
      <c r="AP22" s="3"/>
      <c r="AQ22" s="5" t="s">
        <v>47</v>
      </c>
      <c r="AR22">
        <v>9.1</v>
      </c>
      <c r="AS22">
        <v>0.7</v>
      </c>
      <c r="AU22">
        <v>0.5</v>
      </c>
      <c r="AW22">
        <f t="shared" si="10"/>
        <v>7.6923076923076927E-2</v>
      </c>
      <c r="AX22">
        <f t="shared" si="11"/>
        <v>5.4945054945054944E-2</v>
      </c>
      <c r="AY22">
        <f t="shared" si="12"/>
        <v>3.7499999999999992E-2</v>
      </c>
      <c r="AZ22">
        <f t="shared" si="13"/>
        <v>1.2499999999999997E-2</v>
      </c>
      <c r="BC22" s="3"/>
      <c r="BD22" s="3"/>
      <c r="BE22" s="5" t="s">
        <v>47</v>
      </c>
      <c r="BF22">
        <v>9.9</v>
      </c>
      <c r="BG22">
        <v>1</v>
      </c>
      <c r="BI22">
        <v>0.6</v>
      </c>
      <c r="BK22">
        <f t="shared" si="14"/>
        <v>0.10101010101010101</v>
      </c>
      <c r="BL22">
        <f t="shared" si="15"/>
        <v>6.0606060606060601E-2</v>
      </c>
      <c r="BM22">
        <f t="shared" si="16"/>
        <v>3.7500000000000006E-2</v>
      </c>
      <c r="BN22">
        <f t="shared" si="17"/>
        <v>1.2499999999999997E-2</v>
      </c>
      <c r="BQ22" s="3"/>
      <c r="BR22" s="3"/>
      <c r="BS22" s="5" t="s">
        <v>47</v>
      </c>
      <c r="BT22">
        <v>11.1</v>
      </c>
      <c r="BU22">
        <v>1.2</v>
      </c>
      <c r="BW22">
        <v>0.85</v>
      </c>
      <c r="BY22">
        <f t="shared" si="18"/>
        <v>0.10810810810810811</v>
      </c>
      <c r="BZ22">
        <f t="shared" si="19"/>
        <v>7.6576576576576572E-2</v>
      </c>
      <c r="CA22">
        <f t="shared" si="20"/>
        <v>1.5384615384615382E-2</v>
      </c>
      <c r="CB22">
        <f t="shared" si="21"/>
        <v>1.9230769230769232E-2</v>
      </c>
      <c r="CE22" s="3"/>
      <c r="CF22" s="3"/>
      <c r="CG22" s="5" t="s">
        <v>47</v>
      </c>
      <c r="CH22" s="11">
        <v>12.3</v>
      </c>
      <c r="CI22">
        <v>1.25</v>
      </c>
      <c r="CK22">
        <v>0.85</v>
      </c>
      <c r="CM22">
        <f t="shared" si="22"/>
        <v>0.1016260162601626</v>
      </c>
      <c r="CN22">
        <f t="shared" si="23"/>
        <v>6.9105691056910556E-2</v>
      </c>
      <c r="CO22">
        <f t="shared" si="24"/>
        <v>3.5714285714285748E-3</v>
      </c>
      <c r="CP22">
        <f t="shared" si="25"/>
        <v>0</v>
      </c>
      <c r="CS22" s="3"/>
      <c r="CT22" s="3"/>
      <c r="CU22" s="5" t="s">
        <v>47</v>
      </c>
      <c r="CV22" s="11">
        <v>13.1</v>
      </c>
      <c r="CW22">
        <f>0.5+0.8</f>
        <v>1.3</v>
      </c>
      <c r="CY22">
        <v>1</v>
      </c>
      <c r="DA22">
        <f t="shared" si="26"/>
        <v>9.9236641221374058E-2</v>
      </c>
      <c r="DB22">
        <f t="shared" si="27"/>
        <v>7.6335877862595422E-2</v>
      </c>
      <c r="DC22">
        <f t="shared" si="44"/>
        <v>3.5714285714285748E-3</v>
      </c>
      <c r="DD22">
        <f t="shared" si="29"/>
        <v>1.0714285714285716E-2</v>
      </c>
      <c r="DG22" s="3"/>
      <c r="DH22" s="3"/>
      <c r="DI22" s="5" t="s">
        <v>47</v>
      </c>
      <c r="DJ22" s="11">
        <v>13.6</v>
      </c>
      <c r="DK22">
        <f>0.6+1</f>
        <v>1.6</v>
      </c>
      <c r="DM22">
        <v>1.1000000000000001</v>
      </c>
      <c r="DO22">
        <f t="shared" si="30"/>
        <v>0.11764705882352942</v>
      </c>
      <c r="DP22">
        <f t="shared" si="31"/>
        <v>8.0882352941176475E-2</v>
      </c>
      <c r="DQ22">
        <f t="shared" si="45"/>
        <v>2.1428571428571432E-2</v>
      </c>
      <c r="DR22">
        <f t="shared" si="33"/>
        <v>7.1428571428571496E-3</v>
      </c>
      <c r="DU22" s="3"/>
      <c r="DV22" s="3"/>
      <c r="DW22" s="5" t="s">
        <v>47</v>
      </c>
      <c r="DX22" s="11">
        <v>14.2</v>
      </c>
      <c r="DY22">
        <v>1.6</v>
      </c>
      <c r="EA22">
        <v>1.2</v>
      </c>
      <c r="EC22">
        <f t="shared" si="34"/>
        <v>0.11267605633802819</v>
      </c>
      <c r="ED22">
        <f t="shared" si="35"/>
        <v>8.4507042253521125E-2</v>
      </c>
      <c r="EE22">
        <f t="shared" si="46"/>
        <v>0</v>
      </c>
      <c r="EF22">
        <f t="shared" si="42"/>
        <v>7.1428571428571331E-3</v>
      </c>
      <c r="EI22" s="3"/>
      <c r="EJ22" s="3"/>
      <c r="EK22" s="5" t="s">
        <v>47</v>
      </c>
      <c r="EL22" s="11">
        <v>14.8</v>
      </c>
      <c r="EM22">
        <f>0.65+1.05</f>
        <v>1.7000000000000002</v>
      </c>
      <c r="EO22">
        <v>1.25</v>
      </c>
      <c r="EQ22">
        <f t="shared" si="47"/>
        <v>0.11486486486486487</v>
      </c>
      <c r="ER22">
        <f t="shared" si="39"/>
        <v>8.4459459459459457E-2</v>
      </c>
      <c r="ES22">
        <f t="shared" si="40"/>
        <v>3.7037037037037069E-3</v>
      </c>
      <c r="ET22">
        <f t="shared" si="48"/>
        <v>1.8518518518518534E-3</v>
      </c>
    </row>
    <row r="23" spans="1:150" x14ac:dyDescent="0.2">
      <c r="A23" s="7"/>
      <c r="B23" s="7"/>
      <c r="C23" s="5" t="s">
        <v>48</v>
      </c>
      <c r="D23">
        <v>6.1</v>
      </c>
      <c r="E23">
        <v>0.35</v>
      </c>
      <c r="F23" t="s">
        <v>24</v>
      </c>
      <c r="G23">
        <v>0.35</v>
      </c>
      <c r="H23" t="s">
        <v>24</v>
      </c>
      <c r="I23">
        <f t="shared" si="2"/>
        <v>5.737704918032787E-2</v>
      </c>
      <c r="J23">
        <f t="shared" si="3"/>
        <v>5.737704918032787E-2</v>
      </c>
      <c r="M23" s="3"/>
      <c r="N23" s="3"/>
      <c r="O23" s="5" t="s">
        <v>48</v>
      </c>
      <c r="P23" s="11">
        <v>6.8</v>
      </c>
      <c r="Q23">
        <v>0.35</v>
      </c>
      <c r="S23">
        <v>0.35</v>
      </c>
      <c r="U23">
        <f t="shared" si="4"/>
        <v>5.1470588235294115E-2</v>
      </c>
      <c r="V23">
        <f t="shared" si="5"/>
        <v>5.1470588235294115E-2</v>
      </c>
      <c r="W23">
        <f t="shared" si="43"/>
        <v>0</v>
      </c>
      <c r="X23">
        <f t="shared" si="1"/>
        <v>0</v>
      </c>
      <c r="AA23" s="3"/>
      <c r="AB23" s="3"/>
      <c r="AC23" s="5" t="s">
        <v>48</v>
      </c>
      <c r="AD23">
        <v>7.4</v>
      </c>
      <c r="AE23">
        <v>0.4</v>
      </c>
      <c r="AG23">
        <v>0.4</v>
      </c>
      <c r="AI23">
        <f t="shared" si="6"/>
        <v>5.4054054054054057E-2</v>
      </c>
      <c r="AJ23">
        <f t="shared" si="7"/>
        <v>5.4054054054054057E-2</v>
      </c>
      <c r="AK23">
        <f t="shared" si="8"/>
        <v>8.3333333333333402E-3</v>
      </c>
      <c r="AL23">
        <f t="shared" si="9"/>
        <v>8.3333333333333402E-3</v>
      </c>
      <c r="AO23" s="3"/>
      <c r="AP23" s="3"/>
      <c r="AQ23" s="5" t="s">
        <v>48</v>
      </c>
      <c r="AR23">
        <v>8.1</v>
      </c>
      <c r="AS23">
        <v>0.5</v>
      </c>
      <c r="AU23">
        <v>0.55000000000000004</v>
      </c>
      <c r="AW23">
        <f t="shared" si="10"/>
        <v>6.1728395061728399E-2</v>
      </c>
      <c r="AX23">
        <f t="shared" si="11"/>
        <v>6.7901234567901245E-2</v>
      </c>
      <c r="AY23">
        <f t="shared" si="12"/>
        <v>1.2499999999999997E-2</v>
      </c>
      <c r="AZ23">
        <f t="shared" si="13"/>
        <v>1.8750000000000003E-2</v>
      </c>
      <c r="BC23" s="3"/>
      <c r="BD23" s="3"/>
      <c r="BE23" s="5" t="s">
        <v>48</v>
      </c>
      <c r="BF23">
        <v>8.9</v>
      </c>
      <c r="BG23">
        <v>0.7</v>
      </c>
      <c r="BI23">
        <v>0.77500000000000002</v>
      </c>
      <c r="BK23">
        <f t="shared" si="14"/>
        <v>7.8651685393258425E-2</v>
      </c>
      <c r="BL23">
        <f t="shared" si="15"/>
        <v>8.7078651685393263E-2</v>
      </c>
      <c r="BM23">
        <f t="shared" si="16"/>
        <v>2.4999999999999994E-2</v>
      </c>
      <c r="BN23">
        <f t="shared" si="17"/>
        <v>2.8124999999999997E-2</v>
      </c>
      <c r="BQ23" s="3"/>
      <c r="BR23" s="3"/>
      <c r="BS23" s="5" t="s">
        <v>48</v>
      </c>
      <c r="BT23">
        <v>10.199999999999999</v>
      </c>
      <c r="BU23">
        <v>1</v>
      </c>
      <c r="BW23">
        <v>0.9</v>
      </c>
      <c r="BY23">
        <f t="shared" si="18"/>
        <v>9.8039215686274522E-2</v>
      </c>
      <c r="BZ23">
        <f t="shared" si="19"/>
        <v>8.8235294117647065E-2</v>
      </c>
      <c r="CA23">
        <f t="shared" si="20"/>
        <v>2.3076923076923082E-2</v>
      </c>
      <c r="CB23">
        <f t="shared" si="21"/>
        <v>9.6153846153846159E-3</v>
      </c>
      <c r="CE23" s="3"/>
      <c r="CF23" s="3"/>
      <c r="CG23" s="5" t="s">
        <v>48</v>
      </c>
      <c r="CH23" s="11">
        <v>11.4</v>
      </c>
      <c r="CI23">
        <v>1.25</v>
      </c>
      <c r="CK23">
        <v>1.175</v>
      </c>
      <c r="CM23">
        <f t="shared" si="22"/>
        <v>0.10964912280701754</v>
      </c>
      <c r="CN23">
        <f t="shared" si="23"/>
        <v>0.10307017543859649</v>
      </c>
      <c r="CO23">
        <f t="shared" si="24"/>
        <v>1.7857142857142856E-2</v>
      </c>
      <c r="CP23">
        <f t="shared" si="25"/>
        <v>1.9642857142857146E-2</v>
      </c>
      <c r="CS23" s="3"/>
      <c r="CT23" s="3"/>
      <c r="CU23" s="5" t="s">
        <v>48</v>
      </c>
      <c r="CV23" s="11">
        <v>12.5</v>
      </c>
      <c r="CW23">
        <v>1.35</v>
      </c>
      <c r="CY23">
        <f>0.3+1.1</f>
        <v>1.4000000000000001</v>
      </c>
      <c r="DA23">
        <f t="shared" si="26"/>
        <v>0.10800000000000001</v>
      </c>
      <c r="DB23">
        <f t="shared" si="27"/>
        <v>0.11200000000000002</v>
      </c>
      <c r="DC23">
        <f t="shared" si="44"/>
        <v>7.1428571428571496E-3</v>
      </c>
      <c r="DD23">
        <f t="shared" si="29"/>
        <v>1.6071428571428577E-2</v>
      </c>
      <c r="DG23" s="3"/>
      <c r="DH23" s="3"/>
      <c r="DI23" s="5" t="s">
        <v>48</v>
      </c>
      <c r="DJ23" s="11">
        <v>13.5</v>
      </c>
      <c r="DK23">
        <v>1.45</v>
      </c>
      <c r="DM23">
        <v>1.575</v>
      </c>
      <c r="DO23">
        <f t="shared" si="30"/>
        <v>0.10740740740740741</v>
      </c>
      <c r="DP23">
        <f t="shared" si="31"/>
        <v>0.11666666666666667</v>
      </c>
      <c r="DQ23">
        <f t="shared" si="45"/>
        <v>7.1428571428571331E-3</v>
      </c>
      <c r="DR23">
        <f t="shared" si="33"/>
        <v>1.2499999999999987E-2</v>
      </c>
      <c r="DU23" s="3"/>
      <c r="DV23" s="3"/>
      <c r="DW23" s="5" t="s">
        <v>48</v>
      </c>
      <c r="DX23" s="11">
        <v>14.4</v>
      </c>
      <c r="DY23">
        <f>1.7</f>
        <v>1.7</v>
      </c>
      <c r="EA23">
        <f>0.5+1.45</f>
        <v>1.95</v>
      </c>
      <c r="EC23">
        <f t="shared" si="34"/>
        <v>0.11805555555555555</v>
      </c>
      <c r="ED23">
        <f t="shared" si="35"/>
        <v>0.13541666666666666</v>
      </c>
      <c r="EE23">
        <f t="shared" si="46"/>
        <v>1.7857142857142856E-2</v>
      </c>
      <c r="EF23">
        <f t="shared" si="42"/>
        <v>2.6785714285714284E-2</v>
      </c>
      <c r="EI23" s="3"/>
      <c r="EJ23" s="3"/>
      <c r="EK23" s="5" t="s">
        <v>48</v>
      </c>
      <c r="EL23" s="11">
        <v>15.1</v>
      </c>
      <c r="EM23">
        <f>0.5+1.55</f>
        <v>2.0499999999999998</v>
      </c>
      <c r="EO23">
        <f>0.5+1.45</f>
        <v>1.95</v>
      </c>
      <c r="EQ23">
        <f t="shared" si="47"/>
        <v>0.13576158940397351</v>
      </c>
      <c r="ER23">
        <f t="shared" si="39"/>
        <v>0.12913907284768211</v>
      </c>
      <c r="ES23">
        <f t="shared" si="40"/>
        <v>1.2962962962962957E-2</v>
      </c>
      <c r="ET23">
        <f t="shared" si="48"/>
        <v>0</v>
      </c>
    </row>
    <row r="24" spans="1:150" x14ac:dyDescent="0.2">
      <c r="A24" s="7"/>
      <c r="B24" s="7"/>
      <c r="C24" s="5" t="s">
        <v>49</v>
      </c>
      <c r="D24">
        <v>6.2</v>
      </c>
      <c r="E24">
        <v>0.35</v>
      </c>
      <c r="F24" t="s">
        <v>24</v>
      </c>
      <c r="G24">
        <v>0.35</v>
      </c>
      <c r="H24" t="s">
        <v>24</v>
      </c>
      <c r="I24">
        <f t="shared" si="2"/>
        <v>5.6451612903225798E-2</v>
      </c>
      <c r="J24">
        <f t="shared" si="3"/>
        <v>5.6451612903225798E-2</v>
      </c>
      <c r="M24" s="3"/>
      <c r="N24" s="3"/>
      <c r="O24" s="5" t="s">
        <v>49</v>
      </c>
      <c r="P24" s="11">
        <v>6.8</v>
      </c>
      <c r="Q24">
        <v>0.35</v>
      </c>
      <c r="S24">
        <v>0.35</v>
      </c>
      <c r="U24">
        <f t="shared" si="4"/>
        <v>5.1470588235294115E-2</v>
      </c>
      <c r="V24">
        <f t="shared" si="5"/>
        <v>5.1470588235294115E-2</v>
      </c>
      <c r="W24">
        <f t="shared" si="43"/>
        <v>0</v>
      </c>
      <c r="X24">
        <f t="shared" si="1"/>
        <v>0</v>
      </c>
      <c r="AA24" s="3"/>
      <c r="AB24" s="3"/>
      <c r="AC24" s="5" t="s">
        <v>49</v>
      </c>
      <c r="AD24">
        <v>7</v>
      </c>
      <c r="AE24">
        <v>0.25</v>
      </c>
      <c r="AG24">
        <v>0.4</v>
      </c>
      <c r="AI24">
        <f t="shared" si="6"/>
        <v>3.5714285714285712E-2</v>
      </c>
      <c r="AJ24">
        <f t="shared" si="7"/>
        <v>5.7142857142857148E-2</v>
      </c>
      <c r="AK24">
        <f t="shared" si="8"/>
        <v>-1.6666666666666663E-2</v>
      </c>
      <c r="AL24">
        <f t="shared" si="9"/>
        <v>8.3333333333333402E-3</v>
      </c>
      <c r="AO24" s="3"/>
      <c r="AP24" s="3"/>
      <c r="AQ24" s="5" t="s">
        <v>49</v>
      </c>
      <c r="AR24">
        <v>7.5</v>
      </c>
      <c r="AS24">
        <v>0.4</v>
      </c>
      <c r="AU24">
        <v>0.45</v>
      </c>
      <c r="AW24">
        <f t="shared" si="10"/>
        <v>5.3333333333333337E-2</v>
      </c>
      <c r="AX24">
        <f t="shared" si="11"/>
        <v>6.0000000000000005E-2</v>
      </c>
      <c r="AY24">
        <f t="shared" si="12"/>
        <v>1.8750000000000003E-2</v>
      </c>
      <c r="AZ24">
        <f t="shared" si="13"/>
        <v>6.2499999999999986E-3</v>
      </c>
      <c r="BC24" s="3"/>
      <c r="BD24" s="3"/>
      <c r="BE24" s="5" t="s">
        <v>49</v>
      </c>
      <c r="BF24">
        <v>8.1</v>
      </c>
      <c r="BG24">
        <v>0.47499999999999998</v>
      </c>
      <c r="BI24">
        <v>0.65</v>
      </c>
      <c r="BK24">
        <f t="shared" si="14"/>
        <v>5.8641975308641972E-2</v>
      </c>
      <c r="BL24">
        <f t="shared" si="15"/>
        <v>8.0246913580246923E-2</v>
      </c>
      <c r="BM24">
        <f t="shared" si="16"/>
        <v>9.3749999999999944E-3</v>
      </c>
      <c r="BN24">
        <f t="shared" si="17"/>
        <v>2.5000000000000001E-2</v>
      </c>
      <c r="BQ24" s="3"/>
      <c r="BR24" s="3"/>
      <c r="BS24" s="5" t="s">
        <v>49</v>
      </c>
      <c r="BT24">
        <v>9.1</v>
      </c>
      <c r="BU24">
        <v>0.7</v>
      </c>
      <c r="BW24">
        <v>0.75</v>
      </c>
      <c r="BY24">
        <f t="shared" si="18"/>
        <v>7.6923076923076927E-2</v>
      </c>
      <c r="BZ24">
        <f t="shared" si="19"/>
        <v>8.2417582417582416E-2</v>
      </c>
      <c r="CA24">
        <f t="shared" si="20"/>
        <v>1.7307692307692305E-2</v>
      </c>
      <c r="CB24">
        <f t="shared" si="21"/>
        <v>7.692307692307691E-3</v>
      </c>
      <c r="CE24" s="3"/>
      <c r="CF24" s="3"/>
      <c r="CG24" s="5" t="s">
        <v>49</v>
      </c>
      <c r="CH24" s="11">
        <v>10.7</v>
      </c>
      <c r="CI24">
        <v>0.8</v>
      </c>
      <c r="CK24">
        <v>0.85</v>
      </c>
      <c r="CM24">
        <f t="shared" si="22"/>
        <v>7.4766355140186924E-2</v>
      </c>
      <c r="CN24">
        <f t="shared" si="23"/>
        <v>7.9439252336448607E-2</v>
      </c>
      <c r="CO24">
        <f t="shared" si="24"/>
        <v>7.1428571428571496E-3</v>
      </c>
      <c r="CP24">
        <f t="shared" si="25"/>
        <v>7.1428571428571409E-3</v>
      </c>
      <c r="CS24" s="3"/>
      <c r="CT24" s="3"/>
      <c r="CU24" s="5" t="s">
        <v>49</v>
      </c>
      <c r="CV24" s="11">
        <v>11.8</v>
      </c>
      <c r="CW24">
        <v>1</v>
      </c>
      <c r="CY24">
        <v>0.95</v>
      </c>
      <c r="DA24">
        <f t="shared" si="26"/>
        <v>8.4745762711864403E-2</v>
      </c>
      <c r="DB24">
        <f t="shared" si="27"/>
        <v>8.050847457627118E-2</v>
      </c>
      <c r="DC24">
        <f t="shared" si="44"/>
        <v>1.4285714285714282E-2</v>
      </c>
      <c r="DD24">
        <f t="shared" si="29"/>
        <v>7.1428571428571409E-3</v>
      </c>
      <c r="DG24" s="3"/>
      <c r="DH24" s="3"/>
      <c r="DI24" s="5" t="s">
        <v>49</v>
      </c>
      <c r="DJ24" s="11">
        <v>12.9</v>
      </c>
      <c r="DK24">
        <f>0.55+0.9</f>
        <v>1.4500000000000002</v>
      </c>
      <c r="DM24">
        <v>1.1000000000000001</v>
      </c>
      <c r="DO24">
        <f t="shared" si="30"/>
        <v>0.1124031007751938</v>
      </c>
      <c r="DP24">
        <f t="shared" si="31"/>
        <v>8.5271317829457363E-2</v>
      </c>
      <c r="DQ24">
        <f t="shared" si="45"/>
        <v>3.2142857142857154E-2</v>
      </c>
      <c r="DR24">
        <f t="shared" si="33"/>
        <v>1.0714285714285723E-2</v>
      </c>
      <c r="DU24" s="3"/>
      <c r="DV24" s="3"/>
      <c r="DW24" s="5" t="s">
        <v>49</v>
      </c>
      <c r="DX24" s="11">
        <v>13.6</v>
      </c>
      <c r="DY24">
        <f>0.6+1.05</f>
        <v>1.65</v>
      </c>
      <c r="EA24">
        <f>0.35+1.05</f>
        <v>1.4</v>
      </c>
      <c r="EC24">
        <f t="shared" si="34"/>
        <v>0.12132352941176471</v>
      </c>
      <c r="ED24">
        <f t="shared" si="35"/>
        <v>0.10294117647058823</v>
      </c>
      <c r="EE24">
        <f t="shared" si="46"/>
        <v>1.4285714285714266E-2</v>
      </c>
      <c r="EF24">
        <f t="shared" si="42"/>
        <v>2.1428571428571415E-2</v>
      </c>
      <c r="EI24" s="3"/>
      <c r="EJ24" s="3"/>
      <c r="EK24" s="5" t="s">
        <v>49</v>
      </c>
      <c r="EL24" s="11">
        <v>14.9</v>
      </c>
      <c r="EM24">
        <f>0.5+1.15</f>
        <v>1.65</v>
      </c>
      <c r="EO24">
        <f>1.45</f>
        <v>1.45</v>
      </c>
      <c r="EQ24">
        <f t="shared" si="47"/>
        <v>0.11073825503355704</v>
      </c>
      <c r="ER24">
        <f t="shared" si="39"/>
        <v>9.7315436241610737E-2</v>
      </c>
      <c r="ES24">
        <f t="shared" si="40"/>
        <v>0</v>
      </c>
      <c r="ET24">
        <f t="shared" si="48"/>
        <v>1.8518518518518534E-3</v>
      </c>
    </row>
    <row r="25" spans="1:150" x14ac:dyDescent="0.2">
      <c r="A25" s="7"/>
      <c r="B25" s="7"/>
      <c r="C25" s="5" t="s">
        <v>50</v>
      </c>
      <c r="D25">
        <v>6.8</v>
      </c>
      <c r="E25">
        <v>0.3</v>
      </c>
      <c r="F25" t="s">
        <v>24</v>
      </c>
      <c r="G25">
        <v>0.3</v>
      </c>
      <c r="H25" t="s">
        <v>24</v>
      </c>
      <c r="I25">
        <f t="shared" si="2"/>
        <v>4.4117647058823532E-2</v>
      </c>
      <c r="J25">
        <f t="shared" si="3"/>
        <v>4.4117647058823532E-2</v>
      </c>
      <c r="M25" s="3"/>
      <c r="N25" s="3"/>
      <c r="O25" s="5" t="s">
        <v>50</v>
      </c>
      <c r="P25" s="11">
        <v>7.2</v>
      </c>
      <c r="Q25">
        <v>0.3</v>
      </c>
      <c r="S25">
        <v>0.3</v>
      </c>
      <c r="U25">
        <f t="shared" si="4"/>
        <v>4.1666666666666664E-2</v>
      </c>
      <c r="V25">
        <f t="shared" si="5"/>
        <v>4.1666666666666664E-2</v>
      </c>
      <c r="W25">
        <f t="shared" si="43"/>
        <v>0</v>
      </c>
      <c r="X25">
        <f t="shared" si="1"/>
        <v>0</v>
      </c>
      <c r="AA25" s="3"/>
      <c r="AB25" s="3"/>
      <c r="AC25" s="5" t="s">
        <v>50</v>
      </c>
      <c r="AD25">
        <v>7.7</v>
      </c>
      <c r="AE25">
        <v>0.42499999999999999</v>
      </c>
      <c r="AG25">
        <v>0.45</v>
      </c>
      <c r="AI25">
        <f t="shared" si="6"/>
        <v>5.5194805194805192E-2</v>
      </c>
      <c r="AJ25">
        <f t="shared" si="7"/>
        <v>5.844155844155844E-2</v>
      </c>
      <c r="AK25">
        <f t="shared" si="8"/>
        <v>2.0833333333333332E-2</v>
      </c>
      <c r="AL25">
        <f t="shared" si="9"/>
        <v>2.5000000000000005E-2</v>
      </c>
      <c r="AO25" s="3"/>
      <c r="AP25" s="3"/>
      <c r="AQ25" s="5" t="s">
        <v>50</v>
      </c>
      <c r="AR25">
        <v>8.5</v>
      </c>
      <c r="AS25">
        <v>0.65</v>
      </c>
      <c r="AU25">
        <v>0.65</v>
      </c>
      <c r="AW25">
        <f t="shared" si="10"/>
        <v>7.6470588235294124E-2</v>
      </c>
      <c r="AX25">
        <f t="shared" si="11"/>
        <v>7.6470588235294124E-2</v>
      </c>
      <c r="AY25">
        <f t="shared" si="12"/>
        <v>2.8125000000000004E-2</v>
      </c>
      <c r="AZ25">
        <f t="shared" si="13"/>
        <v>2.5000000000000001E-2</v>
      </c>
      <c r="BC25" s="3"/>
      <c r="BD25" s="3"/>
      <c r="BE25" s="5" t="s">
        <v>50</v>
      </c>
      <c r="BF25">
        <v>9.4</v>
      </c>
      <c r="BG25">
        <f>0.3+0.7</f>
        <v>1</v>
      </c>
      <c r="BI25">
        <v>0.875</v>
      </c>
      <c r="BK25">
        <f t="shared" si="14"/>
        <v>0.10638297872340426</v>
      </c>
      <c r="BL25">
        <f t="shared" si="15"/>
        <v>9.3085106382978719E-2</v>
      </c>
      <c r="BM25">
        <f t="shared" si="16"/>
        <v>4.3749999999999997E-2</v>
      </c>
      <c r="BN25">
        <f t="shared" si="17"/>
        <v>2.8124999999999997E-2</v>
      </c>
      <c r="BQ25" s="3"/>
      <c r="BR25" s="3"/>
      <c r="BS25" s="5" t="s">
        <v>50</v>
      </c>
      <c r="BT25">
        <v>10.6</v>
      </c>
      <c r="BU25">
        <f>0.35+0.75</f>
        <v>1.1000000000000001</v>
      </c>
      <c r="BW25">
        <v>0.95</v>
      </c>
      <c r="BY25">
        <f t="shared" si="18"/>
        <v>0.1037735849056604</v>
      </c>
      <c r="BZ25">
        <f t="shared" si="19"/>
        <v>8.9622641509433956E-2</v>
      </c>
      <c r="CA25">
        <f t="shared" si="20"/>
        <v>7.6923076923076988E-3</v>
      </c>
      <c r="CB25">
        <f t="shared" si="21"/>
        <v>5.7692307692307661E-3</v>
      </c>
      <c r="CE25" s="3"/>
      <c r="CF25" s="3"/>
      <c r="CG25" s="5" t="s">
        <v>50</v>
      </c>
      <c r="CH25" s="12">
        <v>11.5</v>
      </c>
      <c r="CI25" s="8">
        <f>0.2+0.75</f>
        <v>0.95</v>
      </c>
      <c r="CJ25" s="8"/>
      <c r="CK25" s="8">
        <v>0.9</v>
      </c>
      <c r="CL25" s="8"/>
      <c r="CM25" s="8">
        <f t="shared" si="22"/>
        <v>8.2608695652173908E-2</v>
      </c>
      <c r="CN25" s="8">
        <f t="shared" si="23"/>
        <v>7.8260869565217397E-2</v>
      </c>
      <c r="CO25" s="8">
        <f t="shared" si="24"/>
        <v>-1.0714285714285723E-2</v>
      </c>
      <c r="CP25" s="8">
        <f t="shared" si="25"/>
        <v>-3.5714285714285665E-3</v>
      </c>
      <c r="CS25" s="3"/>
      <c r="CT25" s="3"/>
      <c r="CU25" s="5" t="s">
        <v>50</v>
      </c>
      <c r="CV25" s="12">
        <v>12.7</v>
      </c>
      <c r="CW25" s="8">
        <f>0.4+1</f>
        <v>1.4</v>
      </c>
      <c r="CX25" s="8"/>
      <c r="CY25" s="8">
        <v>1.2</v>
      </c>
      <c r="CZ25" s="8"/>
      <c r="DA25" s="8">
        <f t="shared" si="26"/>
        <v>0.11023622047244094</v>
      </c>
      <c r="DB25" s="8">
        <f t="shared" si="27"/>
        <v>9.4488188976377951E-2</v>
      </c>
      <c r="DC25" s="8">
        <f t="shared" si="44"/>
        <v>3.214285714285714E-2</v>
      </c>
      <c r="DD25" s="8">
        <f t="shared" si="29"/>
        <v>2.1428571428571425E-2</v>
      </c>
      <c r="DG25" s="3"/>
      <c r="DH25" s="3"/>
      <c r="DI25" s="5" t="s">
        <v>50</v>
      </c>
      <c r="DJ25" s="12">
        <v>13.5</v>
      </c>
      <c r="DK25" s="8">
        <f>0.45+1.1</f>
        <v>1.55</v>
      </c>
      <c r="DL25" s="8"/>
      <c r="DM25" s="8">
        <f>0.3+1</f>
        <v>1.3</v>
      </c>
      <c r="DN25" s="8"/>
      <c r="DO25" s="8">
        <f t="shared" si="30"/>
        <v>0.11481481481481481</v>
      </c>
      <c r="DP25" s="8">
        <f t="shared" si="31"/>
        <v>9.6296296296296297E-2</v>
      </c>
      <c r="DQ25" s="8">
        <f t="shared" si="45"/>
        <v>1.0714285714285723E-2</v>
      </c>
      <c r="DR25" s="8">
        <f t="shared" si="33"/>
        <v>7.1428571428571496E-3</v>
      </c>
      <c r="DU25" s="3"/>
      <c r="DV25" s="3"/>
      <c r="DW25" s="5" t="s">
        <v>50</v>
      </c>
      <c r="DX25" s="12">
        <v>14.2</v>
      </c>
      <c r="DY25" s="8">
        <f>0.55+1.35</f>
        <v>1.9000000000000001</v>
      </c>
      <c r="DZ25" s="8"/>
      <c r="EA25" s="8">
        <f>0.3+1.35</f>
        <v>1.6500000000000001</v>
      </c>
      <c r="EB25" s="8"/>
      <c r="EC25" s="8">
        <f t="shared" si="34"/>
        <v>0.13380281690140847</v>
      </c>
      <c r="ED25" s="8">
        <f t="shared" si="35"/>
        <v>0.11619718309859156</v>
      </c>
      <c r="EE25" s="8">
        <f t="shared" si="46"/>
        <v>2.5000000000000005E-2</v>
      </c>
      <c r="EF25" s="8">
        <f t="shared" si="42"/>
        <v>2.5000000000000005E-2</v>
      </c>
      <c r="EI25" s="3"/>
      <c r="EJ25" s="3"/>
      <c r="EK25" s="5" t="s">
        <v>50</v>
      </c>
      <c r="EL25" s="12">
        <v>15</v>
      </c>
      <c r="EM25" s="8">
        <f>0.55+1.55</f>
        <v>2.1</v>
      </c>
      <c r="EN25" s="8"/>
      <c r="EO25" s="8">
        <f>0.5+1.5</f>
        <v>2</v>
      </c>
      <c r="EP25" s="8"/>
      <c r="EQ25" s="8">
        <f t="shared" si="47"/>
        <v>0.14000000000000001</v>
      </c>
      <c r="ER25" s="8">
        <f t="shared" si="39"/>
        <v>0.13333333333333333</v>
      </c>
      <c r="ES25" s="8">
        <f t="shared" si="40"/>
        <v>7.407407407407406E-3</v>
      </c>
      <c r="ET25" s="8">
        <f t="shared" si="48"/>
        <v>1.2962962962962957E-2</v>
      </c>
    </row>
    <row r="26" spans="1:150" x14ac:dyDescent="0.2">
      <c r="A26" s="7" t="s">
        <v>51</v>
      </c>
      <c r="B26" s="7"/>
      <c r="C26" s="5" t="s">
        <v>52</v>
      </c>
      <c r="D26" s="9">
        <v>6.8</v>
      </c>
      <c r="E26" s="10">
        <f>0.7+0.95</f>
        <v>1.65</v>
      </c>
      <c r="F26" s="10" t="s">
        <v>53</v>
      </c>
      <c r="G26" s="10">
        <f>0.7+0.9</f>
        <v>1.6</v>
      </c>
      <c r="H26" s="10" t="s">
        <v>53</v>
      </c>
      <c r="I26" s="10">
        <f t="shared" si="2"/>
        <v>0.24264705882352941</v>
      </c>
      <c r="J26" s="10">
        <f t="shared" si="3"/>
        <v>0.23529411764705885</v>
      </c>
      <c r="M26" s="3" t="s">
        <v>54</v>
      </c>
      <c r="N26" s="3"/>
      <c r="O26" s="5" t="s">
        <v>52</v>
      </c>
      <c r="P26" s="9">
        <v>7.7</v>
      </c>
      <c r="Q26" s="10">
        <f>0.7+1.05</f>
        <v>1.75</v>
      </c>
      <c r="R26" s="10" t="s">
        <v>53</v>
      </c>
      <c r="S26" s="10">
        <f>0.6+1</f>
        <v>1.6</v>
      </c>
      <c r="T26" s="10" t="s">
        <v>53</v>
      </c>
      <c r="U26" s="10">
        <f t="shared" si="4"/>
        <v>0.22727272727272727</v>
      </c>
      <c r="V26" s="10">
        <f t="shared" si="5"/>
        <v>0.20779220779220781</v>
      </c>
      <c r="W26">
        <f t="shared" si="43"/>
        <v>1.0000000000000009E-2</v>
      </c>
      <c r="X26">
        <f t="shared" si="1"/>
        <v>0</v>
      </c>
      <c r="AA26" s="3" t="s">
        <v>54</v>
      </c>
      <c r="AB26" s="3"/>
      <c r="AC26" s="5" t="s">
        <v>52</v>
      </c>
      <c r="AD26">
        <v>8</v>
      </c>
      <c r="AE26">
        <f>0.7+1.1</f>
        <v>1.8</v>
      </c>
      <c r="AG26">
        <f>0.65+1.05</f>
        <v>1.7000000000000002</v>
      </c>
      <c r="AI26" s="10">
        <f t="shared" si="6"/>
        <v>0.22500000000000001</v>
      </c>
      <c r="AJ26" s="10">
        <f t="shared" si="7"/>
        <v>0.21250000000000002</v>
      </c>
      <c r="AK26">
        <f t="shared" si="8"/>
        <v>8.3333333333333402E-3</v>
      </c>
      <c r="AL26">
        <f t="shared" si="9"/>
        <v>1.666666666666668E-2</v>
      </c>
      <c r="AO26" s="3" t="s">
        <v>54</v>
      </c>
      <c r="AP26" s="3"/>
      <c r="AQ26" s="5" t="s">
        <v>52</v>
      </c>
      <c r="AR26">
        <v>8.6</v>
      </c>
      <c r="AS26">
        <f>0.65+1.25</f>
        <v>1.9</v>
      </c>
      <c r="AU26">
        <f>0.65+1.15</f>
        <v>1.7999999999999998</v>
      </c>
      <c r="AW26" s="10">
        <f t="shared" si="10"/>
        <v>0.22093023255813954</v>
      </c>
      <c r="AX26" s="10">
        <f t="shared" si="11"/>
        <v>0.20930232558139533</v>
      </c>
      <c r="AY26">
        <f t="shared" si="12"/>
        <v>1.2499999999999983E-2</v>
      </c>
      <c r="AZ26">
        <f t="shared" si="13"/>
        <v>1.2499999999999956E-2</v>
      </c>
      <c r="BC26" s="3" t="s">
        <v>54</v>
      </c>
      <c r="BD26" s="3"/>
      <c r="BE26" s="5" t="s">
        <v>52</v>
      </c>
      <c r="BF26">
        <v>9.4</v>
      </c>
      <c r="BG26">
        <f>0.8+1.3</f>
        <v>2.1</v>
      </c>
      <c r="BI26">
        <f>0.75+1.25</f>
        <v>2</v>
      </c>
      <c r="BK26" s="10">
        <f t="shared" si="14"/>
        <v>0.22340425531914893</v>
      </c>
      <c r="BL26" s="10">
        <f t="shared" si="15"/>
        <v>0.21276595744680851</v>
      </c>
      <c r="BM26">
        <f t="shared" si="16"/>
        <v>2.5000000000000022E-2</v>
      </c>
      <c r="BN26">
        <f t="shared" si="17"/>
        <v>2.5000000000000022E-2</v>
      </c>
      <c r="BQ26" s="3" t="s">
        <v>54</v>
      </c>
      <c r="BR26" s="3"/>
      <c r="BS26" s="5" t="s">
        <v>52</v>
      </c>
      <c r="BT26">
        <v>10.1</v>
      </c>
      <c r="BU26">
        <f>0.8+1.45</f>
        <v>2.25</v>
      </c>
      <c r="BW26">
        <f>0.7+1.25</f>
        <v>1.95</v>
      </c>
      <c r="BY26" s="10">
        <f t="shared" si="18"/>
        <v>0.22277227722772278</v>
      </c>
      <c r="BZ26" s="10">
        <f t="shared" si="19"/>
        <v>0.19306930693069307</v>
      </c>
      <c r="CA26">
        <f t="shared" si="20"/>
        <v>1.1538461538461532E-2</v>
      </c>
      <c r="CB26">
        <f t="shared" si="21"/>
        <v>-3.8461538461538494E-3</v>
      </c>
      <c r="CE26" s="3" t="s">
        <v>54</v>
      </c>
      <c r="CF26" s="3"/>
      <c r="CG26" s="5" t="s">
        <v>52</v>
      </c>
      <c r="CH26">
        <v>11.3</v>
      </c>
      <c r="CI26">
        <f>0.85+1.6</f>
        <v>2.4500000000000002</v>
      </c>
      <c r="CK26">
        <f>0.8+1.5</f>
        <v>2.2999999999999998</v>
      </c>
      <c r="CM26">
        <f t="shared" si="22"/>
        <v>0.2168141592920354</v>
      </c>
      <c r="CN26">
        <f t="shared" si="23"/>
        <v>0.20353982300884954</v>
      </c>
      <c r="CO26">
        <f t="shared" si="24"/>
        <v>1.4285714285714299E-2</v>
      </c>
      <c r="CP26">
        <f t="shared" si="25"/>
        <v>2.4999999999999991E-2</v>
      </c>
      <c r="CS26" s="3" t="s">
        <v>54</v>
      </c>
      <c r="CT26" s="3"/>
      <c r="CU26" s="5" t="s">
        <v>52</v>
      </c>
      <c r="CV26">
        <v>12.4</v>
      </c>
      <c r="CW26">
        <f>1+1.75</f>
        <v>2.75</v>
      </c>
      <c r="CY26">
        <f>0.8+1.6</f>
        <v>2.4000000000000004</v>
      </c>
      <c r="DA26">
        <f t="shared" si="26"/>
        <v>0.22177419354838709</v>
      </c>
      <c r="DB26">
        <f t="shared" si="27"/>
        <v>0.19354838709677422</v>
      </c>
      <c r="DC26">
        <f t="shared" si="44"/>
        <v>2.1428571428571415E-2</v>
      </c>
      <c r="DD26">
        <f t="shared" si="29"/>
        <v>7.1428571428571808E-3</v>
      </c>
      <c r="DG26" s="3" t="s">
        <v>54</v>
      </c>
      <c r="DH26" s="3"/>
      <c r="DI26" s="5" t="s">
        <v>52</v>
      </c>
      <c r="DJ26">
        <v>13.5</v>
      </c>
      <c r="DK26">
        <f>1+1.85</f>
        <v>2.85</v>
      </c>
      <c r="DM26">
        <f>0.85+1.7</f>
        <v>2.5499999999999998</v>
      </c>
      <c r="DO26">
        <f t="shared" si="30"/>
        <v>0.21111111111111111</v>
      </c>
      <c r="DP26">
        <f t="shared" si="31"/>
        <v>0.18888888888888888</v>
      </c>
      <c r="DQ26">
        <f t="shared" si="45"/>
        <v>7.1428571428571496E-3</v>
      </c>
      <c r="DR26">
        <f t="shared" si="33"/>
        <v>1.0714285714285676E-2</v>
      </c>
      <c r="DU26" s="3" t="s">
        <v>54</v>
      </c>
      <c r="DV26" s="3"/>
      <c r="DW26" s="5" t="s">
        <v>52</v>
      </c>
      <c r="DX26" s="11">
        <v>14.3</v>
      </c>
      <c r="DY26">
        <f>1.05+2.1</f>
        <v>3.1500000000000004</v>
      </c>
      <c r="EA26">
        <f>0.9+1.85</f>
        <v>2.75</v>
      </c>
      <c r="EC26">
        <f t="shared" si="34"/>
        <v>0.22027972027972029</v>
      </c>
      <c r="ED26">
        <f t="shared" si="35"/>
        <v>0.19230769230769229</v>
      </c>
      <c r="EE26">
        <f t="shared" si="46"/>
        <v>2.1428571428571446E-2</v>
      </c>
      <c r="EF26">
        <f t="shared" si="42"/>
        <v>1.4285714285714299E-2</v>
      </c>
      <c r="EI26" s="3" t="s">
        <v>54</v>
      </c>
      <c r="EJ26" s="3"/>
      <c r="EK26" s="5" t="s">
        <v>52</v>
      </c>
      <c r="EL26" s="11">
        <v>15.1</v>
      </c>
      <c r="EM26">
        <f>1.1+2.05</f>
        <v>3.15</v>
      </c>
      <c r="EO26">
        <f>0.95+1.9</f>
        <v>2.8499999999999996</v>
      </c>
      <c r="EQ26">
        <f t="shared" si="47"/>
        <v>0.20860927152317882</v>
      </c>
      <c r="ER26">
        <f t="shared" si="39"/>
        <v>0.18874172185430463</v>
      </c>
      <c r="ES26">
        <f t="shared" si="40"/>
        <v>-1.6447748512965281E-17</v>
      </c>
      <c r="ET26">
        <f t="shared" si="48"/>
        <v>3.7037037037036904E-3</v>
      </c>
    </row>
    <row r="27" spans="1:150" x14ac:dyDescent="0.2">
      <c r="A27" s="7"/>
      <c r="B27" s="7"/>
      <c r="C27" s="5" t="s">
        <v>55</v>
      </c>
      <c r="D27" s="11">
        <v>7.3</v>
      </c>
      <c r="E27">
        <f>0.55+0.95</f>
        <v>1.5</v>
      </c>
      <c r="F27" t="s">
        <v>53</v>
      </c>
      <c r="G27">
        <f>0.55+1</f>
        <v>1.55</v>
      </c>
      <c r="H27" t="s">
        <v>53</v>
      </c>
      <c r="I27">
        <f t="shared" si="2"/>
        <v>0.20547945205479454</v>
      </c>
      <c r="J27">
        <f t="shared" si="3"/>
        <v>0.21232876712328769</v>
      </c>
      <c r="M27" s="3"/>
      <c r="N27" s="3"/>
      <c r="O27" s="5" t="s">
        <v>55</v>
      </c>
      <c r="P27" s="11">
        <v>8.1999999999999993</v>
      </c>
      <c r="Q27">
        <f>0.6+1.05</f>
        <v>1.65</v>
      </c>
      <c r="R27" t="s">
        <v>53</v>
      </c>
      <c r="S27">
        <f>0.6+1.05</f>
        <v>1.65</v>
      </c>
      <c r="T27" t="s">
        <v>53</v>
      </c>
      <c r="U27">
        <f t="shared" si="4"/>
        <v>0.20121951219512196</v>
      </c>
      <c r="V27">
        <f t="shared" si="5"/>
        <v>0.20121951219512196</v>
      </c>
      <c r="W27">
        <f t="shared" si="43"/>
        <v>1.4999999999999991E-2</v>
      </c>
      <c r="X27">
        <f t="shared" si="1"/>
        <v>9.9999999999999863E-3</v>
      </c>
      <c r="AA27" s="3"/>
      <c r="AB27" s="3"/>
      <c r="AC27" s="5" t="s">
        <v>55</v>
      </c>
      <c r="AD27">
        <v>8.4</v>
      </c>
      <c r="AE27">
        <f>0.6+1.1</f>
        <v>1.7000000000000002</v>
      </c>
      <c r="AG27">
        <f>0.65+1.15</f>
        <v>1.7999999999999998</v>
      </c>
      <c r="AI27">
        <f t="shared" si="6"/>
        <v>0.20238095238095238</v>
      </c>
      <c r="AJ27">
        <f t="shared" si="7"/>
        <v>0.21428571428571425</v>
      </c>
      <c r="AK27">
        <f t="shared" si="8"/>
        <v>8.3333333333333783E-3</v>
      </c>
      <c r="AL27">
        <f t="shared" si="9"/>
        <v>2.4999999999999984E-2</v>
      </c>
      <c r="AO27" s="3"/>
      <c r="AP27" s="3"/>
      <c r="AQ27" s="5" t="s">
        <v>55</v>
      </c>
      <c r="AR27">
        <v>9.3000000000000007</v>
      </c>
      <c r="AS27">
        <f>0.65+1.15</f>
        <v>1.7999999999999998</v>
      </c>
      <c r="AU27">
        <f>0.7+1.2</f>
        <v>1.9</v>
      </c>
      <c r="AW27">
        <f t="shared" si="10"/>
        <v>0.19354838709677416</v>
      </c>
      <c r="AX27">
        <f t="shared" si="11"/>
        <v>0.20430107526881719</v>
      </c>
      <c r="AY27">
        <f t="shared" si="12"/>
        <v>1.2499999999999956E-2</v>
      </c>
      <c r="AZ27">
        <f t="shared" si="13"/>
        <v>1.2500000000000011E-2</v>
      </c>
      <c r="BC27" s="3"/>
      <c r="BD27" s="3"/>
      <c r="BE27" s="5" t="s">
        <v>55</v>
      </c>
      <c r="BF27">
        <v>10.199999999999999</v>
      </c>
      <c r="BG27">
        <f>0.75+1.3</f>
        <v>2.0499999999999998</v>
      </c>
      <c r="BI27">
        <f>0.75+1.35</f>
        <v>2.1</v>
      </c>
      <c r="BK27">
        <f t="shared" si="14"/>
        <v>0.20098039215686275</v>
      </c>
      <c r="BL27">
        <f t="shared" si="15"/>
        <v>0.20588235294117649</v>
      </c>
      <c r="BM27">
        <f t="shared" si="16"/>
        <v>3.125E-2</v>
      </c>
      <c r="BN27">
        <f t="shared" si="17"/>
        <v>2.5000000000000022E-2</v>
      </c>
      <c r="BQ27" s="3"/>
      <c r="BR27" s="3"/>
      <c r="BS27" s="5" t="s">
        <v>55</v>
      </c>
      <c r="BT27">
        <v>11</v>
      </c>
      <c r="BU27">
        <f>0.75+1.35</f>
        <v>2.1</v>
      </c>
      <c r="BW27">
        <f>0.75+1.4</f>
        <v>2.15</v>
      </c>
      <c r="BY27">
        <f t="shared" si="18"/>
        <v>0.19090909090909092</v>
      </c>
      <c r="BZ27">
        <f t="shared" si="19"/>
        <v>0.19545454545454544</v>
      </c>
      <c r="CA27">
        <f t="shared" si="20"/>
        <v>3.8461538461538668E-3</v>
      </c>
      <c r="CB27">
        <f t="shared" si="21"/>
        <v>3.8461538461538325E-3</v>
      </c>
      <c r="CE27" s="3"/>
      <c r="CF27" s="3"/>
      <c r="CG27" s="5" t="s">
        <v>55</v>
      </c>
      <c r="CH27">
        <v>12</v>
      </c>
      <c r="CI27">
        <f>0.75+1.5</f>
        <v>2.25</v>
      </c>
      <c r="CK27">
        <f>0.85+1.55</f>
        <v>2.4</v>
      </c>
      <c r="CM27">
        <f t="shared" si="22"/>
        <v>0.1875</v>
      </c>
      <c r="CN27">
        <f t="shared" si="23"/>
        <v>0.19999999999999998</v>
      </c>
      <c r="CO27">
        <f t="shared" si="24"/>
        <v>1.0714285714285707E-2</v>
      </c>
      <c r="CP27">
        <f t="shared" si="25"/>
        <v>1.7857142857142856E-2</v>
      </c>
      <c r="CS27" s="3"/>
      <c r="CT27" s="3"/>
      <c r="CU27" s="5" t="s">
        <v>55</v>
      </c>
      <c r="CV27">
        <v>12.8</v>
      </c>
      <c r="CW27">
        <f>0.85+1.6</f>
        <v>2.4500000000000002</v>
      </c>
      <c r="CY27">
        <f>0.85+1.65</f>
        <v>2.5</v>
      </c>
      <c r="DA27">
        <f t="shared" si="26"/>
        <v>0.19140625</v>
      </c>
      <c r="DB27">
        <f t="shared" si="27"/>
        <v>0.1953125</v>
      </c>
      <c r="DC27">
        <f t="shared" si="44"/>
        <v>1.4285714285714299E-2</v>
      </c>
      <c r="DD27">
        <f t="shared" si="29"/>
        <v>7.1428571428571496E-3</v>
      </c>
      <c r="DG27" s="3"/>
      <c r="DH27" s="3"/>
      <c r="DI27" s="5" t="s">
        <v>55</v>
      </c>
      <c r="DJ27">
        <v>14.1</v>
      </c>
      <c r="DK27">
        <f>0.95+1.7</f>
        <v>2.65</v>
      </c>
      <c r="DM27">
        <f>0.85+1.7</f>
        <v>2.5499999999999998</v>
      </c>
      <c r="DO27">
        <f t="shared" si="30"/>
        <v>0.18794326241134751</v>
      </c>
      <c r="DP27">
        <f t="shared" si="31"/>
        <v>0.18085106382978722</v>
      </c>
      <c r="DQ27">
        <f t="shared" si="45"/>
        <v>1.4285714285714266E-2</v>
      </c>
      <c r="DR27">
        <f t="shared" si="33"/>
        <v>3.5714285714285587E-3</v>
      </c>
      <c r="DU27" s="3"/>
      <c r="DV27" s="3"/>
      <c r="DW27" s="5" t="s">
        <v>55</v>
      </c>
      <c r="DX27" s="11">
        <v>15.1</v>
      </c>
      <c r="DY27">
        <f>1+1.85</f>
        <v>2.85</v>
      </c>
      <c r="EA27">
        <f>1+1.85</f>
        <v>2.85</v>
      </c>
      <c r="EC27">
        <f t="shared" si="34"/>
        <v>0.18874172185430466</v>
      </c>
      <c r="ED27">
        <f t="shared" si="35"/>
        <v>0.18874172185430466</v>
      </c>
      <c r="EE27">
        <f t="shared" si="46"/>
        <v>1.4285714285714299E-2</v>
      </c>
      <c r="EF27">
        <f t="shared" si="42"/>
        <v>2.1428571428571446E-2</v>
      </c>
      <c r="EI27" s="3"/>
      <c r="EJ27" s="3"/>
      <c r="EK27" s="5" t="s">
        <v>55</v>
      </c>
      <c r="EL27" s="11">
        <v>15.9</v>
      </c>
      <c r="EM27">
        <f>0.95+1.9</f>
        <v>2.8499999999999996</v>
      </c>
      <c r="EO27">
        <f>0.95+1.95</f>
        <v>2.9</v>
      </c>
      <c r="EQ27">
        <f t="shared" si="47"/>
        <v>0.17924528301886788</v>
      </c>
      <c r="ER27">
        <f t="shared" si="39"/>
        <v>0.18238993710691823</v>
      </c>
      <c r="ES27">
        <f t="shared" si="40"/>
        <v>-1.6447748512965281E-17</v>
      </c>
      <c r="ET27">
        <f t="shared" si="48"/>
        <v>1.8518518518518452E-3</v>
      </c>
    </row>
    <row r="28" spans="1:150" x14ac:dyDescent="0.2">
      <c r="A28" s="7"/>
      <c r="B28" s="7"/>
      <c r="C28" s="5" t="s">
        <v>56</v>
      </c>
      <c r="D28" s="11">
        <v>6.7</v>
      </c>
      <c r="E28">
        <f>0.55+0.95</f>
        <v>1.5</v>
      </c>
      <c r="F28" t="s">
        <v>53</v>
      </c>
      <c r="G28">
        <f>0.55+0.95</f>
        <v>1.5</v>
      </c>
      <c r="H28" t="s">
        <v>53</v>
      </c>
      <c r="I28">
        <f t="shared" si="2"/>
        <v>0.22388059701492538</v>
      </c>
      <c r="J28">
        <f t="shared" si="3"/>
        <v>0.22388059701492538</v>
      </c>
      <c r="M28" s="3"/>
      <c r="N28" s="3"/>
      <c r="O28" s="5" t="s">
        <v>56</v>
      </c>
      <c r="P28" s="11">
        <v>7.9</v>
      </c>
      <c r="Q28">
        <f>0.6+1.1</f>
        <v>1.7000000000000002</v>
      </c>
      <c r="R28" t="s">
        <v>53</v>
      </c>
      <c r="S28">
        <f>0.6+1.1</f>
        <v>1.7000000000000002</v>
      </c>
      <c r="T28" t="s">
        <v>53</v>
      </c>
      <c r="U28">
        <f t="shared" si="4"/>
        <v>0.21518987341772153</v>
      </c>
      <c r="V28">
        <f t="shared" si="5"/>
        <v>0.21518987341772153</v>
      </c>
      <c r="W28">
        <f t="shared" si="43"/>
        <v>2.0000000000000018E-2</v>
      </c>
      <c r="X28">
        <f t="shared" si="1"/>
        <v>2.0000000000000018E-2</v>
      </c>
      <c r="AA28" s="3"/>
      <c r="AB28" s="3"/>
      <c r="AC28" s="5" t="s">
        <v>56</v>
      </c>
      <c r="AD28">
        <v>8.4</v>
      </c>
      <c r="AE28">
        <f>0.65+1.15</f>
        <v>1.7999999999999998</v>
      </c>
      <c r="AG28">
        <f>0.6+1.2</f>
        <v>1.7999999999999998</v>
      </c>
      <c r="AI28">
        <f t="shared" si="6"/>
        <v>0.21428571428571425</v>
      </c>
      <c r="AJ28">
        <f t="shared" si="7"/>
        <v>0.21428571428571425</v>
      </c>
      <c r="AK28">
        <f t="shared" si="8"/>
        <v>1.6666666666666607E-2</v>
      </c>
      <c r="AL28">
        <f t="shared" si="9"/>
        <v>1.6666666666666607E-2</v>
      </c>
      <c r="AO28" s="3"/>
      <c r="AP28" s="3"/>
      <c r="AQ28" s="5" t="s">
        <v>56</v>
      </c>
      <c r="AR28">
        <v>9.1</v>
      </c>
      <c r="AS28">
        <f>0.65+1.25</f>
        <v>1.9</v>
      </c>
      <c r="AU28">
        <f>0.7+1.2</f>
        <v>1.9</v>
      </c>
      <c r="AW28">
        <f t="shared" si="10"/>
        <v>0.2087912087912088</v>
      </c>
      <c r="AX28">
        <f t="shared" si="11"/>
        <v>0.2087912087912088</v>
      </c>
      <c r="AY28">
        <f t="shared" si="12"/>
        <v>1.2500000000000011E-2</v>
      </c>
      <c r="AZ28">
        <f t="shared" si="13"/>
        <v>1.2500000000000011E-2</v>
      </c>
      <c r="BC28" s="3"/>
      <c r="BD28" s="3"/>
      <c r="BE28" s="5" t="s">
        <v>56</v>
      </c>
      <c r="BF28">
        <v>10.1</v>
      </c>
      <c r="BG28">
        <f>0.75+1.3</f>
        <v>2.0499999999999998</v>
      </c>
      <c r="BI28">
        <f>0.75+1.4</f>
        <v>2.15</v>
      </c>
      <c r="BK28">
        <f t="shared" si="14"/>
        <v>0.20297029702970296</v>
      </c>
      <c r="BL28">
        <f t="shared" si="15"/>
        <v>0.21287128712871287</v>
      </c>
      <c r="BM28">
        <f t="shared" si="16"/>
        <v>1.8749999999999989E-2</v>
      </c>
      <c r="BN28">
        <f t="shared" si="17"/>
        <v>3.125E-2</v>
      </c>
      <c r="BQ28" s="3"/>
      <c r="BR28" s="3"/>
      <c r="BS28" s="5" t="s">
        <v>56</v>
      </c>
      <c r="BT28">
        <v>10.9</v>
      </c>
      <c r="BU28">
        <f>0.85+1.45</f>
        <v>2.2999999999999998</v>
      </c>
      <c r="BW28">
        <f>0.75+1.55</f>
        <v>2.2999999999999998</v>
      </c>
      <c r="BY28">
        <f t="shared" si="18"/>
        <v>0.21100917431192659</v>
      </c>
      <c r="BZ28">
        <f t="shared" si="19"/>
        <v>0.21100917431192659</v>
      </c>
      <c r="CA28">
        <f t="shared" si="20"/>
        <v>1.9230769230769232E-2</v>
      </c>
      <c r="CB28">
        <f t="shared" si="21"/>
        <v>1.1538461538461532E-2</v>
      </c>
      <c r="CE28" s="3"/>
      <c r="CF28" s="3"/>
      <c r="CG28" s="5" t="s">
        <v>56</v>
      </c>
      <c r="CH28">
        <v>11.8</v>
      </c>
      <c r="CI28">
        <f>0.9+1.6</f>
        <v>2.5</v>
      </c>
      <c r="CK28">
        <f>0.8+1.7</f>
        <v>2.5</v>
      </c>
      <c r="CM28">
        <f t="shared" si="22"/>
        <v>0.21186440677966101</v>
      </c>
      <c r="CN28">
        <f t="shared" si="23"/>
        <v>0.21186440677966101</v>
      </c>
      <c r="CO28">
        <f t="shared" si="24"/>
        <v>1.4285714285714299E-2</v>
      </c>
      <c r="CP28">
        <f t="shared" si="25"/>
        <v>1.4285714285714299E-2</v>
      </c>
      <c r="CS28" s="3"/>
      <c r="CT28" s="3"/>
      <c r="CU28" s="5" t="s">
        <v>56</v>
      </c>
      <c r="CV28">
        <v>12.6</v>
      </c>
      <c r="CW28">
        <f>0.9+1.7</f>
        <v>2.6</v>
      </c>
      <c r="CY28">
        <f>0.85+1.75</f>
        <v>2.6</v>
      </c>
      <c r="DA28">
        <f t="shared" si="26"/>
        <v>0.20634920634920637</v>
      </c>
      <c r="DB28">
        <f t="shared" si="27"/>
        <v>0.20634920634920637</v>
      </c>
      <c r="DC28">
        <f t="shared" si="44"/>
        <v>7.1428571428571496E-3</v>
      </c>
      <c r="DD28">
        <f t="shared" si="29"/>
        <v>7.1428571428571496E-3</v>
      </c>
      <c r="DG28" s="3"/>
      <c r="DH28" s="3"/>
      <c r="DI28" s="5" t="s">
        <v>56</v>
      </c>
      <c r="DJ28">
        <v>13.2</v>
      </c>
      <c r="DK28">
        <f>0.9+1.725</f>
        <v>2.625</v>
      </c>
      <c r="DM28">
        <f>0.85+1.9</f>
        <v>2.75</v>
      </c>
      <c r="DO28">
        <f t="shared" si="30"/>
        <v>0.19886363636363638</v>
      </c>
      <c r="DP28">
        <f t="shared" si="31"/>
        <v>0.20833333333333334</v>
      </c>
      <c r="DQ28">
        <f t="shared" si="45"/>
        <v>1.7857142857142794E-3</v>
      </c>
      <c r="DR28">
        <f t="shared" si="33"/>
        <v>1.0714285714285707E-2</v>
      </c>
      <c r="DU28" s="3"/>
      <c r="DV28" s="3"/>
      <c r="DW28" s="5" t="s">
        <v>56</v>
      </c>
      <c r="DX28" s="11">
        <v>14.3</v>
      </c>
      <c r="DY28">
        <f>1+2</f>
        <v>3</v>
      </c>
      <c r="EA28">
        <f>0.9+1.95</f>
        <v>2.85</v>
      </c>
      <c r="EC28">
        <f t="shared" si="34"/>
        <v>0.20979020979020979</v>
      </c>
      <c r="ED28">
        <f t="shared" si="35"/>
        <v>0.1993006993006993</v>
      </c>
      <c r="EE28">
        <f t="shared" si="46"/>
        <v>2.6785714285714284E-2</v>
      </c>
      <c r="EF28">
        <f t="shared" si="42"/>
        <v>7.1428571428571496E-3</v>
      </c>
      <c r="EI28" s="3"/>
      <c r="EJ28" s="3"/>
      <c r="EK28" s="5" t="s">
        <v>56</v>
      </c>
      <c r="EL28" s="11">
        <v>15.1</v>
      </c>
      <c r="EM28">
        <f>1.05+1.85</f>
        <v>2.9000000000000004</v>
      </c>
      <c r="EO28">
        <f>0.95+1.85</f>
        <v>2.8</v>
      </c>
      <c r="EQ28">
        <f t="shared" si="47"/>
        <v>0.19205298013245037</v>
      </c>
      <c r="ER28">
        <f t="shared" si="39"/>
        <v>0.18543046357615894</v>
      </c>
      <c r="ES28">
        <f t="shared" si="40"/>
        <v>-3.7037037037036904E-3</v>
      </c>
      <c r="ET28">
        <f t="shared" si="48"/>
        <v>-1.8518518518518617E-3</v>
      </c>
    </row>
    <row r="29" spans="1:150" x14ac:dyDescent="0.2">
      <c r="A29" s="7"/>
      <c r="B29" s="7"/>
      <c r="C29" s="5" t="s">
        <v>57</v>
      </c>
      <c r="D29" s="11">
        <v>7.3</v>
      </c>
      <c r="E29">
        <f>0.6+0.95</f>
        <v>1.5499999999999998</v>
      </c>
      <c r="F29" t="s">
        <v>53</v>
      </c>
      <c r="G29">
        <f>0.55+1.1</f>
        <v>1.6500000000000001</v>
      </c>
      <c r="H29" t="s">
        <v>53</v>
      </c>
      <c r="I29">
        <f t="shared" si="2"/>
        <v>0.21232876712328766</v>
      </c>
      <c r="J29">
        <f t="shared" si="3"/>
        <v>0.22602739726027399</v>
      </c>
      <c r="M29" s="3"/>
      <c r="N29" s="3"/>
      <c r="O29" s="5" t="s">
        <v>57</v>
      </c>
      <c r="P29" s="11">
        <v>8.5</v>
      </c>
      <c r="Q29">
        <f>0.65+1.1</f>
        <v>1.75</v>
      </c>
      <c r="R29" t="s">
        <v>53</v>
      </c>
      <c r="S29">
        <f>0.65+1.2</f>
        <v>1.85</v>
      </c>
      <c r="T29" t="s">
        <v>53</v>
      </c>
      <c r="U29">
        <f t="shared" si="4"/>
        <v>0.20588235294117646</v>
      </c>
      <c r="V29">
        <f t="shared" si="5"/>
        <v>0.21764705882352942</v>
      </c>
      <c r="W29">
        <f t="shared" si="43"/>
        <v>2.0000000000000018E-2</v>
      </c>
      <c r="X29">
        <f t="shared" si="1"/>
        <v>1.9999999999999997E-2</v>
      </c>
      <c r="AA29" s="3"/>
      <c r="AB29" s="3"/>
      <c r="AC29" s="5" t="s">
        <v>57</v>
      </c>
      <c r="AD29">
        <v>8.6999999999999993</v>
      </c>
      <c r="AE29">
        <f>0.65+1.1</f>
        <v>1.75</v>
      </c>
      <c r="AG29">
        <f>0.6+1.3</f>
        <v>1.9</v>
      </c>
      <c r="AI29">
        <f t="shared" si="6"/>
        <v>0.20114942528735633</v>
      </c>
      <c r="AJ29">
        <f t="shared" si="7"/>
        <v>0.21839080459770116</v>
      </c>
      <c r="AK29">
        <f t="shared" si="8"/>
        <v>0</v>
      </c>
      <c r="AL29">
        <f t="shared" si="9"/>
        <v>8.3333333333333037E-3</v>
      </c>
      <c r="AO29" s="3"/>
      <c r="AP29" s="3"/>
      <c r="AQ29" s="5" t="s">
        <v>57</v>
      </c>
      <c r="AR29">
        <v>9.6</v>
      </c>
      <c r="AS29">
        <f>0.7+1.2</f>
        <v>1.9</v>
      </c>
      <c r="AU29">
        <f>0.7+1.35</f>
        <v>2.0499999999999998</v>
      </c>
      <c r="AW29">
        <f t="shared" si="10"/>
        <v>0.19791666666666666</v>
      </c>
      <c r="AX29">
        <f t="shared" si="11"/>
        <v>0.21354166666666666</v>
      </c>
      <c r="AY29">
        <f t="shared" si="12"/>
        <v>1.8749999999999989E-2</v>
      </c>
      <c r="AZ29">
        <f t="shared" si="13"/>
        <v>1.8749999999999989E-2</v>
      </c>
      <c r="BC29" s="3"/>
      <c r="BD29" s="3"/>
      <c r="BE29" s="5" t="s">
        <v>57</v>
      </c>
      <c r="BF29">
        <v>10.4</v>
      </c>
      <c r="BG29">
        <f>0.7+1.25</f>
        <v>1.95</v>
      </c>
      <c r="BI29">
        <f>0.75+1.45</f>
        <v>2.2000000000000002</v>
      </c>
      <c r="BK29">
        <f t="shared" si="14"/>
        <v>0.1875</v>
      </c>
      <c r="BL29">
        <f t="shared" si="15"/>
        <v>0.21153846153846154</v>
      </c>
      <c r="BM29">
        <f t="shared" si="16"/>
        <v>6.2500000000000056E-3</v>
      </c>
      <c r="BN29">
        <f t="shared" si="17"/>
        <v>1.8750000000000044E-2</v>
      </c>
      <c r="BQ29" s="3"/>
      <c r="BR29" s="3"/>
      <c r="BS29" s="5" t="s">
        <v>57</v>
      </c>
      <c r="BT29">
        <v>11.3</v>
      </c>
      <c r="BU29">
        <f>0.75+1.4</f>
        <v>2.15</v>
      </c>
      <c r="BW29">
        <f>0.75+1.6</f>
        <v>2.35</v>
      </c>
      <c r="BY29">
        <f t="shared" si="18"/>
        <v>0.19026548672566371</v>
      </c>
      <c r="BZ29">
        <f t="shared" si="19"/>
        <v>0.20796460176991149</v>
      </c>
      <c r="CA29">
        <f t="shared" si="20"/>
        <v>1.5384615384615382E-2</v>
      </c>
      <c r="CB29">
        <f t="shared" si="21"/>
        <v>1.1538461538461532E-2</v>
      </c>
      <c r="CE29" s="3"/>
      <c r="CF29" s="3"/>
      <c r="CG29" s="5" t="s">
        <v>57</v>
      </c>
      <c r="CH29">
        <v>12.4</v>
      </c>
      <c r="CI29">
        <f>0.85+1.55</f>
        <v>2.4</v>
      </c>
      <c r="CK29">
        <f>0.9+1.7</f>
        <v>2.6</v>
      </c>
      <c r="CM29">
        <f t="shared" si="22"/>
        <v>0.19354838709677419</v>
      </c>
      <c r="CN29">
        <f t="shared" si="23"/>
        <v>0.20967741935483872</v>
      </c>
      <c r="CO29">
        <f t="shared" si="24"/>
        <v>1.7857142857142856E-2</v>
      </c>
      <c r="CP29">
        <f t="shared" si="25"/>
        <v>1.7857142857142856E-2</v>
      </c>
      <c r="CS29" s="3"/>
      <c r="CT29" s="3"/>
      <c r="CU29" s="5" t="s">
        <v>57</v>
      </c>
      <c r="CV29">
        <v>12.9</v>
      </c>
      <c r="CW29">
        <f>0.9+1.55</f>
        <v>2.4500000000000002</v>
      </c>
      <c r="CY29">
        <f>0.85+1.7</f>
        <v>2.5499999999999998</v>
      </c>
      <c r="DA29">
        <f t="shared" si="26"/>
        <v>0.18992248062015504</v>
      </c>
      <c r="DB29">
        <f t="shared" si="27"/>
        <v>0.19767441860465115</v>
      </c>
      <c r="DC29">
        <f t="shared" si="44"/>
        <v>3.5714285714285904E-3</v>
      </c>
      <c r="DD29">
        <f t="shared" si="29"/>
        <v>-3.5714285714285904E-3</v>
      </c>
      <c r="DG29" s="3"/>
      <c r="DH29" s="3"/>
      <c r="DI29" s="5" t="s">
        <v>57</v>
      </c>
      <c r="DJ29">
        <v>13.8</v>
      </c>
      <c r="DK29">
        <f>0.95+1.65</f>
        <v>2.5999999999999996</v>
      </c>
      <c r="DM29">
        <f>0.9+1.85</f>
        <v>2.75</v>
      </c>
      <c r="DO29">
        <f t="shared" si="30"/>
        <v>0.18840579710144925</v>
      </c>
      <c r="DP29">
        <f t="shared" si="31"/>
        <v>0.19927536231884058</v>
      </c>
      <c r="DQ29">
        <f t="shared" si="45"/>
        <v>1.0714285714285676E-2</v>
      </c>
      <c r="DR29">
        <f t="shared" si="33"/>
        <v>1.4285714285714299E-2</v>
      </c>
      <c r="DU29" s="3"/>
      <c r="DV29" s="3"/>
      <c r="DW29" s="5" t="s">
        <v>57</v>
      </c>
      <c r="DX29" s="11">
        <v>14.6</v>
      </c>
      <c r="DY29">
        <f>1.05+1.8</f>
        <v>2.85</v>
      </c>
      <c r="EA29">
        <f>0.9+2</f>
        <v>2.9</v>
      </c>
      <c r="EC29">
        <f t="shared" si="34"/>
        <v>0.1952054794520548</v>
      </c>
      <c r="ED29">
        <f t="shared" si="35"/>
        <v>0.19863013698630136</v>
      </c>
      <c r="EE29">
        <f t="shared" si="46"/>
        <v>1.7857142857142887E-2</v>
      </c>
      <c r="EF29">
        <f t="shared" si="42"/>
        <v>1.0714285714285707E-2</v>
      </c>
      <c r="EI29" s="3"/>
      <c r="EJ29" s="3"/>
      <c r="EK29" s="5" t="s">
        <v>57</v>
      </c>
      <c r="EL29" s="11">
        <v>15.5</v>
      </c>
      <c r="EM29">
        <f>0.95+1.75</f>
        <v>2.7</v>
      </c>
      <c r="EO29">
        <f>1+2.05</f>
        <v>3.05</v>
      </c>
      <c r="EQ29">
        <f t="shared" si="47"/>
        <v>0.17419354838709677</v>
      </c>
      <c r="ER29">
        <f t="shared" si="39"/>
        <v>0.19677419354838707</v>
      </c>
      <c r="ES29">
        <f t="shared" si="40"/>
        <v>-5.5555555555555523E-3</v>
      </c>
      <c r="ET29">
        <f t="shared" si="48"/>
        <v>5.5555555555555523E-3</v>
      </c>
    </row>
    <row r="30" spans="1:150" x14ac:dyDescent="0.2">
      <c r="A30" s="7"/>
      <c r="B30" s="7"/>
      <c r="C30" s="5" t="s">
        <v>58</v>
      </c>
      <c r="D30" s="12">
        <v>7.1</v>
      </c>
      <c r="E30" s="8">
        <f>0.55+0.85</f>
        <v>1.4</v>
      </c>
      <c r="F30" s="8" t="s">
        <v>53</v>
      </c>
      <c r="G30" s="8">
        <f>0.55+1</f>
        <v>1.55</v>
      </c>
      <c r="H30" t="s">
        <v>53</v>
      </c>
      <c r="I30">
        <f t="shared" si="2"/>
        <v>0.19718309859154928</v>
      </c>
      <c r="J30">
        <f t="shared" si="3"/>
        <v>0.21830985915492959</v>
      </c>
      <c r="M30" s="3"/>
      <c r="N30" s="3"/>
      <c r="O30" s="5" t="s">
        <v>58</v>
      </c>
      <c r="P30" s="12">
        <v>8.3000000000000007</v>
      </c>
      <c r="Q30" s="8">
        <f>0.65+1.05</f>
        <v>1.7000000000000002</v>
      </c>
      <c r="R30" s="8" t="s">
        <v>53</v>
      </c>
      <c r="S30" s="8">
        <f>0.65+1.2</f>
        <v>1.85</v>
      </c>
      <c r="T30" t="s">
        <v>53</v>
      </c>
      <c r="U30">
        <f t="shared" si="4"/>
        <v>0.20481927710843373</v>
      </c>
      <c r="V30">
        <f t="shared" si="5"/>
        <v>0.22289156626506024</v>
      </c>
      <c r="W30">
        <f t="shared" si="43"/>
        <v>3.0000000000000027E-2</v>
      </c>
      <c r="X30">
        <f t="shared" si="1"/>
        <v>3.0000000000000006E-2</v>
      </c>
      <c r="AA30" s="3"/>
      <c r="AB30" s="3"/>
      <c r="AC30" s="5" t="s">
        <v>58</v>
      </c>
      <c r="AD30">
        <v>8.6999999999999993</v>
      </c>
      <c r="AE30">
        <f>0.65+1.1</f>
        <v>1.75</v>
      </c>
      <c r="AG30">
        <f>0.65+1.25</f>
        <v>1.9</v>
      </c>
      <c r="AI30">
        <f t="shared" si="6"/>
        <v>0.20114942528735633</v>
      </c>
      <c r="AJ30">
        <f t="shared" si="7"/>
        <v>0.21839080459770116</v>
      </c>
      <c r="AK30">
        <f t="shared" si="8"/>
        <v>8.3333333333333037E-3</v>
      </c>
      <c r="AL30">
        <f t="shared" si="9"/>
        <v>8.3333333333333037E-3</v>
      </c>
      <c r="AO30" s="3"/>
      <c r="AP30" s="3"/>
      <c r="AQ30" s="5" t="s">
        <v>58</v>
      </c>
      <c r="AR30">
        <v>9.5</v>
      </c>
      <c r="AS30">
        <f>0.65+1.2</f>
        <v>1.85</v>
      </c>
      <c r="AU30">
        <f>0.65+1.3</f>
        <v>1.9500000000000002</v>
      </c>
      <c r="AW30">
        <f t="shared" si="10"/>
        <v>0.19473684210526318</v>
      </c>
      <c r="AX30">
        <f t="shared" si="11"/>
        <v>0.20526315789473687</v>
      </c>
      <c r="AY30">
        <f t="shared" si="12"/>
        <v>1.2500000000000011E-2</v>
      </c>
      <c r="AZ30">
        <f t="shared" si="13"/>
        <v>6.2500000000000333E-3</v>
      </c>
      <c r="BC30" s="3"/>
      <c r="BD30" s="3"/>
      <c r="BE30" s="5" t="s">
        <v>58</v>
      </c>
      <c r="BF30">
        <v>10.7</v>
      </c>
      <c r="BG30">
        <f>0.75+1.3</f>
        <v>2.0499999999999998</v>
      </c>
      <c r="BI30">
        <f>0.75+1.5</f>
        <v>2.25</v>
      </c>
      <c r="BK30">
        <f t="shared" si="14"/>
        <v>0.19158878504672897</v>
      </c>
      <c r="BL30">
        <f t="shared" si="15"/>
        <v>0.21028037383177572</v>
      </c>
      <c r="BM30">
        <f t="shared" si="16"/>
        <v>2.4999999999999967E-2</v>
      </c>
      <c r="BN30">
        <f t="shared" si="17"/>
        <v>3.7499999999999978E-2</v>
      </c>
      <c r="BQ30" s="3"/>
      <c r="BR30" s="3"/>
      <c r="BS30" s="5" t="s">
        <v>58</v>
      </c>
      <c r="BT30">
        <v>11.7</v>
      </c>
      <c r="BU30">
        <f>0.8+1.45</f>
        <v>2.25</v>
      </c>
      <c r="BW30">
        <f>0.75+1.6</f>
        <v>2.35</v>
      </c>
      <c r="BY30">
        <f t="shared" si="18"/>
        <v>0.19230769230769232</v>
      </c>
      <c r="BZ30">
        <f t="shared" si="19"/>
        <v>0.20085470085470086</v>
      </c>
      <c r="CA30">
        <f t="shared" si="20"/>
        <v>1.5384615384615398E-2</v>
      </c>
      <c r="CB30">
        <f t="shared" si="21"/>
        <v>7.6923076923076988E-3</v>
      </c>
      <c r="CE30" s="3"/>
      <c r="CF30" s="3"/>
      <c r="CG30" s="5" t="s">
        <v>58</v>
      </c>
      <c r="CH30">
        <v>12.5</v>
      </c>
      <c r="CI30">
        <f>0.8+1.5</f>
        <v>2.2999999999999998</v>
      </c>
      <c r="CK30">
        <f>0.85+1.65</f>
        <v>2.5</v>
      </c>
      <c r="CM30">
        <f t="shared" si="22"/>
        <v>0.184</v>
      </c>
      <c r="CN30">
        <f t="shared" si="23"/>
        <v>0.2</v>
      </c>
      <c r="CO30">
        <f t="shared" si="24"/>
        <v>3.5714285714285587E-3</v>
      </c>
      <c r="CP30">
        <f t="shared" si="25"/>
        <v>1.0714285714285707E-2</v>
      </c>
      <c r="CS30" s="3"/>
      <c r="CT30" s="3"/>
      <c r="CU30" s="5" t="s">
        <v>58</v>
      </c>
      <c r="CV30">
        <v>13.1</v>
      </c>
      <c r="CW30">
        <f>0.85+1.65</f>
        <v>2.5</v>
      </c>
      <c r="CY30">
        <f>0.9+1.8</f>
        <v>2.7</v>
      </c>
      <c r="DA30">
        <f t="shared" si="26"/>
        <v>0.19083969465648856</v>
      </c>
      <c r="DB30">
        <f t="shared" si="27"/>
        <v>0.20610687022900764</v>
      </c>
      <c r="DC30">
        <f t="shared" si="44"/>
        <v>1.4285714285714299E-2</v>
      </c>
      <c r="DD30">
        <f t="shared" si="29"/>
        <v>1.4285714285714299E-2</v>
      </c>
      <c r="DG30" s="3"/>
      <c r="DH30" s="3"/>
      <c r="DI30" s="5" t="s">
        <v>58</v>
      </c>
      <c r="DJ30">
        <v>14</v>
      </c>
      <c r="DK30">
        <f>0.95+1.65</f>
        <v>2.5999999999999996</v>
      </c>
      <c r="DM30">
        <f>0.85+1.85</f>
        <v>2.7</v>
      </c>
      <c r="DO30">
        <f t="shared" si="30"/>
        <v>0.18571428571428569</v>
      </c>
      <c r="DP30">
        <f t="shared" si="31"/>
        <v>0.19285714285714287</v>
      </c>
      <c r="DQ30">
        <f t="shared" si="45"/>
        <v>7.1428571428571175E-3</v>
      </c>
      <c r="DR30">
        <f t="shared" si="33"/>
        <v>0</v>
      </c>
      <c r="DU30" s="3"/>
      <c r="DV30" s="3"/>
      <c r="DW30" s="5" t="s">
        <v>58</v>
      </c>
      <c r="DX30" s="11">
        <v>14.9</v>
      </c>
      <c r="DY30">
        <f>1+1.7</f>
        <v>2.7</v>
      </c>
      <c r="EA30">
        <f>0.85+1.95</f>
        <v>2.8</v>
      </c>
      <c r="EC30">
        <f t="shared" si="34"/>
        <v>0.18120805369127518</v>
      </c>
      <c r="ED30">
        <f t="shared" si="35"/>
        <v>0.1879194630872483</v>
      </c>
      <c r="EE30">
        <f t="shared" si="46"/>
        <v>7.1428571428571808E-3</v>
      </c>
      <c r="EF30">
        <f t="shared" si="42"/>
        <v>7.1428571428571175E-3</v>
      </c>
      <c r="EI30" s="3"/>
      <c r="EJ30" s="3"/>
      <c r="EK30" s="5" t="s">
        <v>58</v>
      </c>
      <c r="EL30" s="11">
        <v>15.5</v>
      </c>
      <c r="EM30">
        <f>1.05+1.85</f>
        <v>2.9000000000000004</v>
      </c>
      <c r="EO30">
        <f>0.95+1.95</f>
        <v>2.9</v>
      </c>
      <c r="EQ30">
        <f t="shared" si="47"/>
        <v>0.18709677419354842</v>
      </c>
      <c r="ER30">
        <f t="shared" si="39"/>
        <v>0.18709677419354839</v>
      </c>
      <c r="ES30" s="8">
        <f t="shared" si="40"/>
        <v>7.4074074074074138E-3</v>
      </c>
      <c r="ET30" s="8">
        <f t="shared" si="48"/>
        <v>3.7037037037037069E-3</v>
      </c>
    </row>
    <row r="31" spans="1:150" x14ac:dyDescent="0.2">
      <c r="A31" s="7" t="s">
        <v>25</v>
      </c>
      <c r="B31" s="7" t="s">
        <v>59</v>
      </c>
      <c r="C31" s="5" t="s">
        <v>60</v>
      </c>
      <c r="D31" s="11">
        <v>13.5</v>
      </c>
      <c r="E31">
        <v>0.3</v>
      </c>
      <c r="F31" t="s">
        <v>24</v>
      </c>
      <c r="G31">
        <v>0.3</v>
      </c>
      <c r="H31" s="10" t="s">
        <v>24</v>
      </c>
      <c r="I31" s="10">
        <f t="shared" si="2"/>
        <v>2.2222222222222223E-2</v>
      </c>
      <c r="J31" s="10">
        <f t="shared" si="3"/>
        <v>2.2222222222222223E-2</v>
      </c>
      <c r="M31" s="3" t="s">
        <v>25</v>
      </c>
      <c r="N31" s="3" t="s">
        <v>25</v>
      </c>
      <c r="O31" s="5" t="s">
        <v>60</v>
      </c>
      <c r="P31" s="11">
        <v>13.9</v>
      </c>
      <c r="Q31">
        <v>0.3</v>
      </c>
      <c r="S31">
        <v>0.3</v>
      </c>
      <c r="T31" s="10"/>
      <c r="U31" s="10">
        <f t="shared" si="4"/>
        <v>2.1582733812949638E-2</v>
      </c>
      <c r="V31" s="10">
        <f t="shared" si="5"/>
        <v>2.1582733812949638E-2</v>
      </c>
      <c r="W31">
        <f t="shared" si="43"/>
        <v>0</v>
      </c>
      <c r="X31">
        <f t="shared" si="1"/>
        <v>0</v>
      </c>
      <c r="AA31" s="3" t="s">
        <v>25</v>
      </c>
      <c r="AB31" s="3" t="s">
        <v>25</v>
      </c>
      <c r="AC31" s="5" t="s">
        <v>60</v>
      </c>
      <c r="AD31">
        <v>14.2</v>
      </c>
      <c r="AE31">
        <v>0.4</v>
      </c>
      <c r="AG31">
        <v>0.4</v>
      </c>
      <c r="AI31" s="10">
        <f t="shared" si="6"/>
        <v>2.8169014084507046E-2</v>
      </c>
      <c r="AJ31" s="10">
        <f t="shared" si="7"/>
        <v>2.8169014084507046E-2</v>
      </c>
      <c r="AK31">
        <f t="shared" si="8"/>
        <v>1.6666666666666673E-2</v>
      </c>
      <c r="AL31">
        <f t="shared" si="9"/>
        <v>1.6666666666666673E-2</v>
      </c>
      <c r="AO31" s="3" t="s">
        <v>25</v>
      </c>
      <c r="AP31" s="3" t="s">
        <v>25</v>
      </c>
      <c r="AQ31" s="5" t="s">
        <v>60</v>
      </c>
      <c r="AR31">
        <v>14.9</v>
      </c>
      <c r="AS31">
        <v>0.5</v>
      </c>
      <c r="AU31">
        <v>0.45</v>
      </c>
      <c r="AW31" s="10">
        <f t="shared" si="10"/>
        <v>3.3557046979865772E-2</v>
      </c>
      <c r="AX31" s="10">
        <f t="shared" si="11"/>
        <v>3.0201342281879196E-2</v>
      </c>
      <c r="AY31">
        <f t="shared" si="12"/>
        <v>1.2499999999999997E-2</v>
      </c>
      <c r="AZ31">
        <f t="shared" si="13"/>
        <v>6.2499999999999986E-3</v>
      </c>
      <c r="BC31" s="3" t="s">
        <v>25</v>
      </c>
      <c r="BD31" s="3" t="s">
        <v>25</v>
      </c>
      <c r="BE31" s="5" t="s">
        <v>60</v>
      </c>
      <c r="BF31">
        <v>15.7</v>
      </c>
      <c r="BG31">
        <v>0.55000000000000004</v>
      </c>
      <c r="BI31">
        <v>0.55000000000000004</v>
      </c>
      <c r="BK31" s="10">
        <f t="shared" si="14"/>
        <v>3.5031847133757968E-2</v>
      </c>
      <c r="BL31" s="10">
        <f t="shared" si="15"/>
        <v>3.5031847133757968E-2</v>
      </c>
      <c r="BM31">
        <f t="shared" si="16"/>
        <v>6.2500000000000056E-3</v>
      </c>
      <c r="BN31">
        <f t="shared" si="17"/>
        <v>1.2500000000000004E-2</v>
      </c>
      <c r="BQ31" s="3" t="s">
        <v>25</v>
      </c>
      <c r="BR31" s="3" t="s">
        <v>25</v>
      </c>
      <c r="BS31" s="5" t="s">
        <v>60</v>
      </c>
      <c r="BT31">
        <v>16.2</v>
      </c>
      <c r="BU31">
        <v>0.55000000000000004</v>
      </c>
      <c r="BW31">
        <v>0.55000000000000004</v>
      </c>
      <c r="BY31" s="10">
        <f t="shared" si="18"/>
        <v>3.3950617283950622E-2</v>
      </c>
      <c r="BZ31" s="10">
        <f t="shared" si="19"/>
        <v>3.3950617283950622E-2</v>
      </c>
      <c r="CA31">
        <f t="shared" si="20"/>
        <v>0</v>
      </c>
      <c r="CB31">
        <f t="shared" si="21"/>
        <v>0</v>
      </c>
      <c r="CE31" s="3" t="s">
        <v>25</v>
      </c>
      <c r="CF31" s="3" t="s">
        <v>27</v>
      </c>
      <c r="CG31" s="5" t="s">
        <v>60</v>
      </c>
      <c r="CH31" s="9">
        <v>16.899999999999999</v>
      </c>
      <c r="CI31" s="10">
        <v>0.55000000000000004</v>
      </c>
      <c r="CJ31" s="10"/>
      <c r="CK31" s="10">
        <v>0.65</v>
      </c>
      <c r="CL31" s="10"/>
      <c r="CM31" s="10">
        <f t="shared" si="22"/>
        <v>3.2544378698224859E-2</v>
      </c>
      <c r="CN31" s="10">
        <f t="shared" si="23"/>
        <v>3.8461538461538464E-2</v>
      </c>
      <c r="CO31" s="10">
        <f t="shared" si="24"/>
        <v>0</v>
      </c>
      <c r="CP31" s="10">
        <f t="shared" si="25"/>
        <v>7.1428571428571409E-3</v>
      </c>
      <c r="CS31" s="3" t="s">
        <v>25</v>
      </c>
      <c r="CT31" s="3" t="s">
        <v>27</v>
      </c>
      <c r="CU31" s="5" t="s">
        <v>60</v>
      </c>
      <c r="CV31" s="9">
        <v>17.7</v>
      </c>
      <c r="CW31" s="10">
        <f>0.75</f>
        <v>0.75</v>
      </c>
      <c r="CX31" s="10"/>
      <c r="CY31" s="10">
        <v>0.8</v>
      </c>
      <c r="CZ31" s="10"/>
      <c r="DA31" s="10">
        <f t="shared" si="26"/>
        <v>4.2372881355932208E-2</v>
      </c>
      <c r="DB31" s="10">
        <f t="shared" si="27"/>
        <v>4.5197740112994357E-2</v>
      </c>
      <c r="DC31" s="10">
        <f t="shared" si="44"/>
        <v>1.4285714285714282E-2</v>
      </c>
      <c r="DD31" s="10">
        <f t="shared" si="29"/>
        <v>1.0714285714285716E-2</v>
      </c>
      <c r="DG31" s="3" t="s">
        <v>25</v>
      </c>
      <c r="DH31" s="3" t="s">
        <v>27</v>
      </c>
      <c r="DI31" s="5" t="s">
        <v>60</v>
      </c>
      <c r="DJ31" s="9">
        <v>18.3</v>
      </c>
      <c r="DK31" s="10">
        <f>0.25+0.7</f>
        <v>0.95</v>
      </c>
      <c r="DL31" s="10"/>
      <c r="DM31" s="10">
        <f>0.6+0.55</f>
        <v>1.1499999999999999</v>
      </c>
      <c r="DN31" s="10"/>
      <c r="DO31" s="10">
        <f t="shared" si="30"/>
        <v>5.1912568306010924E-2</v>
      </c>
      <c r="DP31" s="10">
        <f t="shared" si="31"/>
        <v>6.2841530054644795E-2</v>
      </c>
      <c r="DQ31" s="10">
        <f t="shared" si="45"/>
        <v>1.4285714285714282E-2</v>
      </c>
      <c r="DR31" s="10">
        <f t="shared" si="33"/>
        <v>2.4999999999999991E-2</v>
      </c>
      <c r="DU31" s="3" t="s">
        <v>25</v>
      </c>
      <c r="DV31" s="3" t="s">
        <v>27</v>
      </c>
      <c r="DW31" s="5" t="s">
        <v>60</v>
      </c>
      <c r="DX31" s="9">
        <v>18.600000000000001</v>
      </c>
      <c r="DY31" s="10">
        <f>0.55+0.6</f>
        <v>1.1499999999999999</v>
      </c>
      <c r="DZ31" s="10"/>
      <c r="EA31" s="10">
        <v>1.2</v>
      </c>
      <c r="EB31" s="10"/>
      <c r="EC31" s="10">
        <f t="shared" si="34"/>
        <v>6.1827956989247305E-2</v>
      </c>
      <c r="ED31" s="10">
        <f t="shared" si="35"/>
        <v>6.4516129032258063E-2</v>
      </c>
      <c r="EE31" s="10">
        <f t="shared" si="46"/>
        <v>1.4285714285714282E-2</v>
      </c>
      <c r="EF31" s="10">
        <f t="shared" si="42"/>
        <v>3.5714285714285748E-3</v>
      </c>
      <c r="EI31" s="3" t="s">
        <v>25</v>
      </c>
      <c r="EJ31" s="3" t="s">
        <v>27</v>
      </c>
      <c r="EK31" s="5" t="s">
        <v>60</v>
      </c>
      <c r="EL31" s="9">
        <v>18.8</v>
      </c>
      <c r="EM31" s="10">
        <f>0.55+0.8</f>
        <v>1.35</v>
      </c>
      <c r="EN31" s="10"/>
      <c r="EO31" s="10">
        <f>0.55+0.85</f>
        <v>1.4</v>
      </c>
      <c r="EP31" s="10"/>
      <c r="EQ31" s="10">
        <f t="shared" si="47"/>
        <v>7.1808510638297879E-2</v>
      </c>
      <c r="ER31" s="10">
        <f t="shared" si="39"/>
        <v>7.4468085106382975E-2</v>
      </c>
      <c r="ES31">
        <f t="shared" si="40"/>
        <v>7.4074074074074138E-3</v>
      </c>
      <c r="ET31">
        <f t="shared" si="48"/>
        <v>7.407407407407406E-3</v>
      </c>
    </row>
    <row r="32" spans="1:150" x14ac:dyDescent="0.2">
      <c r="A32" s="7"/>
      <c r="B32" s="7"/>
      <c r="C32" s="5" t="s">
        <v>61</v>
      </c>
      <c r="D32" s="11">
        <v>14.5</v>
      </c>
      <c r="E32">
        <v>0.35</v>
      </c>
      <c r="F32" t="s">
        <v>24</v>
      </c>
      <c r="G32">
        <v>0.3</v>
      </c>
      <c r="H32" t="s">
        <v>24</v>
      </c>
      <c r="I32">
        <f t="shared" si="2"/>
        <v>2.4137931034482758E-2</v>
      </c>
      <c r="J32">
        <f t="shared" si="3"/>
        <v>2.0689655172413793E-2</v>
      </c>
      <c r="M32" s="3"/>
      <c r="N32" s="3"/>
      <c r="O32" s="5" t="s">
        <v>61</v>
      </c>
      <c r="P32" s="11">
        <v>14.7</v>
      </c>
      <c r="Q32">
        <v>0.4</v>
      </c>
      <c r="S32">
        <v>0.3</v>
      </c>
      <c r="U32">
        <f t="shared" si="4"/>
        <v>2.7210884353741499E-2</v>
      </c>
      <c r="V32">
        <f t="shared" si="5"/>
        <v>2.0408163265306124E-2</v>
      </c>
      <c r="W32">
        <f t="shared" si="43"/>
        <v>5.0000000000000044E-3</v>
      </c>
      <c r="X32">
        <f t="shared" si="1"/>
        <v>0</v>
      </c>
      <c r="AA32" s="3"/>
      <c r="AB32" s="3"/>
      <c r="AC32" s="5" t="s">
        <v>61</v>
      </c>
      <c r="AD32">
        <v>15</v>
      </c>
      <c r="AE32">
        <v>0.4</v>
      </c>
      <c r="AG32">
        <v>0.375</v>
      </c>
      <c r="AI32">
        <f t="shared" si="6"/>
        <v>2.6666666666666668E-2</v>
      </c>
      <c r="AJ32">
        <f t="shared" si="7"/>
        <v>2.5000000000000001E-2</v>
      </c>
      <c r="AK32">
        <f t="shared" si="8"/>
        <v>0</v>
      </c>
      <c r="AL32">
        <f t="shared" si="9"/>
        <v>1.2500000000000002E-2</v>
      </c>
      <c r="AO32" s="3"/>
      <c r="AP32" s="3"/>
      <c r="AQ32" s="5" t="s">
        <v>61</v>
      </c>
      <c r="AR32">
        <v>15.8</v>
      </c>
      <c r="AS32">
        <v>0.47</v>
      </c>
      <c r="AU32">
        <v>0.5</v>
      </c>
      <c r="AW32">
        <f t="shared" si="10"/>
        <v>2.974683544303797E-2</v>
      </c>
      <c r="AX32">
        <f t="shared" si="11"/>
        <v>3.164556962025316E-2</v>
      </c>
      <c r="AY32">
        <f t="shared" si="12"/>
        <v>8.7499999999999939E-3</v>
      </c>
      <c r="AZ32">
        <f t="shared" si="13"/>
        <v>1.5625E-2</v>
      </c>
      <c r="BC32" s="3"/>
      <c r="BD32" s="3"/>
      <c r="BE32" s="5" t="s">
        <v>61</v>
      </c>
      <c r="BF32">
        <v>16.399999999999999</v>
      </c>
      <c r="BG32">
        <v>0.6</v>
      </c>
      <c r="BI32">
        <v>0.6</v>
      </c>
      <c r="BK32">
        <f t="shared" si="14"/>
        <v>3.6585365853658541E-2</v>
      </c>
      <c r="BL32">
        <f t="shared" si="15"/>
        <v>3.6585365853658541E-2</v>
      </c>
      <c r="BM32">
        <f t="shared" si="16"/>
        <v>1.6250000000000001E-2</v>
      </c>
      <c r="BN32">
        <f t="shared" si="17"/>
        <v>1.2499999999999997E-2</v>
      </c>
      <c r="BQ32" s="3"/>
      <c r="BR32" s="3"/>
      <c r="BS32" s="5" t="s">
        <v>61</v>
      </c>
      <c r="BT32">
        <v>17</v>
      </c>
      <c r="BU32">
        <v>0.85</v>
      </c>
      <c r="BW32">
        <v>0.75</v>
      </c>
      <c r="BY32">
        <f t="shared" si="18"/>
        <v>4.9999999999999996E-2</v>
      </c>
      <c r="BZ32">
        <f t="shared" si="19"/>
        <v>4.4117647058823532E-2</v>
      </c>
      <c r="CA32">
        <f t="shared" si="20"/>
        <v>1.9230769230769232E-2</v>
      </c>
      <c r="CB32">
        <f t="shared" si="21"/>
        <v>1.1538461538461541E-2</v>
      </c>
      <c r="CE32" s="3"/>
      <c r="CF32" s="3"/>
      <c r="CG32" s="5" t="s">
        <v>61</v>
      </c>
      <c r="CH32" s="11">
        <v>17.8</v>
      </c>
      <c r="CI32">
        <v>1.1000000000000001</v>
      </c>
      <c r="CK32">
        <v>1.05</v>
      </c>
      <c r="CM32">
        <f t="shared" si="22"/>
        <v>6.1797752808988769E-2</v>
      </c>
      <c r="CN32">
        <f t="shared" si="23"/>
        <v>5.8988764044943819E-2</v>
      </c>
      <c r="CO32">
        <f t="shared" si="24"/>
        <v>1.7857142857142867E-2</v>
      </c>
      <c r="CP32">
        <f t="shared" si="25"/>
        <v>2.1428571428571432E-2</v>
      </c>
      <c r="CS32" s="3"/>
      <c r="CT32" s="3"/>
      <c r="CU32" s="5" t="s">
        <v>61</v>
      </c>
      <c r="CV32" s="11">
        <v>18.399999999999999</v>
      </c>
      <c r="CW32">
        <v>1.325</v>
      </c>
      <c r="CY32">
        <v>1.25</v>
      </c>
      <c r="DA32">
        <f t="shared" si="26"/>
        <v>7.2010869565217392E-2</v>
      </c>
      <c r="DB32">
        <f t="shared" si="27"/>
        <v>6.7934782608695662E-2</v>
      </c>
      <c r="DC32">
        <f t="shared" si="44"/>
        <v>1.6071428571428563E-2</v>
      </c>
      <c r="DD32">
        <f t="shared" si="29"/>
        <v>1.4285714285714282E-2</v>
      </c>
      <c r="DG32" s="3"/>
      <c r="DH32" s="3"/>
      <c r="DI32" s="5" t="s">
        <v>61</v>
      </c>
      <c r="DJ32" s="11">
        <v>19.3</v>
      </c>
      <c r="DK32">
        <f>0.4+1.5</f>
        <v>1.9</v>
      </c>
      <c r="DM32">
        <v>1.4</v>
      </c>
      <c r="DO32">
        <f t="shared" si="30"/>
        <v>9.8445595854922269E-2</v>
      </c>
      <c r="DP32">
        <f t="shared" si="31"/>
        <v>7.2538860103626937E-2</v>
      </c>
      <c r="DQ32">
        <f t="shared" si="45"/>
        <v>4.1071428571428571E-2</v>
      </c>
      <c r="DR32">
        <f t="shared" si="33"/>
        <v>1.0714285714285707E-2</v>
      </c>
      <c r="DU32" s="3"/>
      <c r="DV32" s="3"/>
      <c r="DW32" s="5" t="s">
        <v>61</v>
      </c>
      <c r="DX32" s="11">
        <v>20</v>
      </c>
      <c r="DY32">
        <f>0.4+1.6</f>
        <v>2</v>
      </c>
      <c r="EA32">
        <f>0.55+1.15</f>
        <v>1.7</v>
      </c>
      <c r="EC32">
        <f t="shared" si="34"/>
        <v>0.1</v>
      </c>
      <c r="ED32">
        <f t="shared" si="35"/>
        <v>8.4999999999999992E-2</v>
      </c>
      <c r="EE32">
        <f t="shared" si="46"/>
        <v>7.1428571428571496E-3</v>
      </c>
      <c r="EF32">
        <f t="shared" si="42"/>
        <v>2.1428571428571432E-2</v>
      </c>
      <c r="EI32" s="3"/>
      <c r="EJ32" s="3"/>
      <c r="EK32" s="5" t="s">
        <v>61</v>
      </c>
      <c r="EL32" s="11">
        <v>20.7</v>
      </c>
      <c r="EM32">
        <f>0.4+1.6</f>
        <v>2</v>
      </c>
      <c r="EO32">
        <f>0.55+1.35</f>
        <v>1.9000000000000001</v>
      </c>
      <c r="EQ32">
        <f t="shared" si="47"/>
        <v>9.6618357487922704E-2</v>
      </c>
      <c r="ER32">
        <f t="shared" si="39"/>
        <v>9.1787439613526575E-2</v>
      </c>
      <c r="ES32">
        <f t="shared" si="40"/>
        <v>0</v>
      </c>
      <c r="ET32">
        <f t="shared" si="48"/>
        <v>7.4074074074074138E-3</v>
      </c>
    </row>
    <row r="33" spans="1:150" x14ac:dyDescent="0.2">
      <c r="A33" s="7"/>
      <c r="B33" s="7"/>
      <c r="C33" s="5" t="s">
        <v>62</v>
      </c>
      <c r="D33" s="11">
        <v>15</v>
      </c>
      <c r="E33">
        <v>0.35</v>
      </c>
      <c r="F33" t="s">
        <v>24</v>
      </c>
      <c r="G33">
        <v>0.35</v>
      </c>
      <c r="H33" t="s">
        <v>24</v>
      </c>
      <c r="I33">
        <f t="shared" si="2"/>
        <v>2.3333333333333331E-2</v>
      </c>
      <c r="J33">
        <f t="shared" si="3"/>
        <v>2.3333333333333331E-2</v>
      </c>
      <c r="M33" s="3"/>
      <c r="N33" s="3"/>
      <c r="O33" s="5" t="s">
        <v>62</v>
      </c>
      <c r="P33" s="13">
        <v>15.4</v>
      </c>
      <c r="Q33" s="13">
        <v>0.35</v>
      </c>
      <c r="S33">
        <v>0.4</v>
      </c>
      <c r="U33">
        <f t="shared" si="4"/>
        <v>2.2727272727272724E-2</v>
      </c>
      <c r="V33">
        <f t="shared" si="5"/>
        <v>2.5974025974025976E-2</v>
      </c>
      <c r="W33">
        <f t="shared" si="43"/>
        <v>0</v>
      </c>
      <c r="X33">
        <f t="shared" si="1"/>
        <v>5.0000000000000044E-3</v>
      </c>
      <c r="AA33" s="3"/>
      <c r="AB33" s="3"/>
      <c r="AC33" s="5" t="s">
        <v>62</v>
      </c>
      <c r="AD33">
        <v>15.3</v>
      </c>
      <c r="AE33">
        <v>0.4</v>
      </c>
      <c r="AG33">
        <v>0.52500000000000002</v>
      </c>
      <c r="AI33">
        <f t="shared" si="6"/>
        <v>2.6143790849673203E-2</v>
      </c>
      <c r="AJ33">
        <f t="shared" si="7"/>
        <v>3.4313725490196081E-2</v>
      </c>
      <c r="AK33">
        <f t="shared" si="8"/>
        <v>8.3333333333333402E-3</v>
      </c>
      <c r="AL33">
        <f t="shared" si="9"/>
        <v>2.0833333333333332E-2</v>
      </c>
      <c r="AO33" s="3"/>
      <c r="AP33" s="3"/>
      <c r="AQ33" s="5" t="s">
        <v>62</v>
      </c>
      <c r="AR33">
        <v>15.9</v>
      </c>
      <c r="AS33">
        <v>0.7</v>
      </c>
      <c r="AU33">
        <v>0.65</v>
      </c>
      <c r="AW33">
        <f t="shared" si="10"/>
        <v>4.40251572327044E-2</v>
      </c>
      <c r="AX33">
        <f t="shared" si="11"/>
        <v>4.0880503144654086E-2</v>
      </c>
      <c r="AY33">
        <f t="shared" si="12"/>
        <v>3.7499999999999992E-2</v>
      </c>
      <c r="AZ33">
        <f t="shared" si="13"/>
        <v>1.5625E-2</v>
      </c>
      <c r="BC33" s="3"/>
      <c r="BD33" s="3"/>
      <c r="BE33" s="5" t="s">
        <v>62</v>
      </c>
      <c r="BF33">
        <v>16.600000000000001</v>
      </c>
      <c r="BG33">
        <f>0.35+0.75</f>
        <v>1.1000000000000001</v>
      </c>
      <c r="BI33">
        <f>0.35+0.7</f>
        <v>1.0499999999999998</v>
      </c>
      <c r="BK33">
        <f t="shared" si="14"/>
        <v>6.6265060240963861E-2</v>
      </c>
      <c r="BL33">
        <f t="shared" si="15"/>
        <v>6.3253012048192753E-2</v>
      </c>
      <c r="BM33">
        <f t="shared" si="16"/>
        <v>5.0000000000000017E-2</v>
      </c>
      <c r="BN33">
        <f t="shared" si="17"/>
        <v>4.9999999999999975E-2</v>
      </c>
      <c r="BQ33" s="3"/>
      <c r="BR33" s="3"/>
      <c r="BS33" s="5" t="s">
        <v>62</v>
      </c>
      <c r="BT33">
        <v>17</v>
      </c>
      <c r="BU33">
        <v>1.35</v>
      </c>
      <c r="BW33">
        <f>0.5+0.9</f>
        <v>1.4</v>
      </c>
      <c r="BY33">
        <f t="shared" si="18"/>
        <v>7.9411764705882362E-2</v>
      </c>
      <c r="BZ33">
        <f t="shared" si="19"/>
        <v>8.2352941176470587E-2</v>
      </c>
      <c r="CA33">
        <f t="shared" si="20"/>
        <v>1.9230769230769232E-2</v>
      </c>
      <c r="CB33">
        <f t="shared" si="21"/>
        <v>2.6923076923076932E-2</v>
      </c>
      <c r="CE33" s="3"/>
      <c r="CF33" s="3"/>
      <c r="CG33" s="5" t="s">
        <v>62</v>
      </c>
      <c r="CH33" s="11">
        <v>17.5</v>
      </c>
      <c r="CI33">
        <f>0.55+1.15</f>
        <v>1.7</v>
      </c>
      <c r="CK33">
        <f>0.45+1.1</f>
        <v>1.55</v>
      </c>
      <c r="CM33">
        <f t="shared" si="22"/>
        <v>9.7142857142857142E-2</v>
      </c>
      <c r="CN33">
        <f t="shared" si="23"/>
        <v>8.8571428571428579E-2</v>
      </c>
      <c r="CO33">
        <f t="shared" si="24"/>
        <v>2.4999999999999991E-2</v>
      </c>
      <c r="CP33">
        <f t="shared" si="25"/>
        <v>1.0714285714285723E-2</v>
      </c>
      <c r="CS33" s="3"/>
      <c r="CT33" s="3"/>
      <c r="CU33" s="5" t="s">
        <v>62</v>
      </c>
      <c r="CV33" s="11">
        <v>17.899999999999999</v>
      </c>
      <c r="CW33">
        <v>1.6</v>
      </c>
      <c r="CY33">
        <f>0.4+1.2</f>
        <v>1.6</v>
      </c>
      <c r="DA33">
        <f t="shared" si="26"/>
        <v>8.9385474860335212E-2</v>
      </c>
      <c r="DB33">
        <f t="shared" si="27"/>
        <v>8.9385474860335212E-2</v>
      </c>
      <c r="DC33">
        <f t="shared" si="44"/>
        <v>-7.1428571428571331E-3</v>
      </c>
      <c r="DD33">
        <f t="shared" si="29"/>
        <v>3.5714285714285748E-3</v>
      </c>
      <c r="DG33" s="3"/>
      <c r="DH33" s="3"/>
      <c r="DI33" s="5" t="s">
        <v>62</v>
      </c>
      <c r="DJ33" s="11">
        <v>18.600000000000001</v>
      </c>
      <c r="DK33">
        <f>0.55+1.425</f>
        <v>1.9750000000000001</v>
      </c>
      <c r="DM33">
        <f>0.55+1.3</f>
        <v>1.85</v>
      </c>
      <c r="DO33">
        <f t="shared" si="30"/>
        <v>0.10618279569892473</v>
      </c>
      <c r="DP33">
        <f t="shared" si="31"/>
        <v>9.9462365591397844E-2</v>
      </c>
      <c r="DQ33">
        <f t="shared" si="45"/>
        <v>2.6785714285714284E-2</v>
      </c>
      <c r="DR33">
        <f t="shared" si="33"/>
        <v>1.7857142857142856E-2</v>
      </c>
      <c r="DU33" s="3"/>
      <c r="DV33" s="3"/>
      <c r="DW33" s="5" t="s">
        <v>62</v>
      </c>
      <c r="DX33" s="11">
        <v>19.2</v>
      </c>
      <c r="DY33">
        <f>0.65+1.5</f>
        <v>2.15</v>
      </c>
      <c r="EA33">
        <f>0.65+1.35</f>
        <v>2</v>
      </c>
      <c r="EC33">
        <f t="shared" si="34"/>
        <v>0.11197916666666667</v>
      </c>
      <c r="ED33">
        <f t="shared" si="35"/>
        <v>0.10416666666666667</v>
      </c>
      <c r="EE33">
        <f t="shared" si="46"/>
        <v>1.2499999999999987E-2</v>
      </c>
      <c r="EF33">
        <f t="shared" si="42"/>
        <v>1.0714285714285707E-2</v>
      </c>
      <c r="EI33" s="3"/>
      <c r="EJ33" s="3"/>
      <c r="EK33" s="5" t="s">
        <v>62</v>
      </c>
      <c r="EL33" s="11">
        <v>19.100000000000001</v>
      </c>
      <c r="EM33">
        <f>0.7+1.6</f>
        <v>2.2999999999999998</v>
      </c>
      <c r="EO33">
        <f>0.55+1.5</f>
        <v>2.0499999999999998</v>
      </c>
      <c r="EQ33">
        <f t="shared" si="47"/>
        <v>0.12041884816753926</v>
      </c>
      <c r="ER33">
        <f t="shared" si="39"/>
        <v>0.10732984293193716</v>
      </c>
      <c r="ES33">
        <f t="shared" si="40"/>
        <v>5.5555555555555523E-3</v>
      </c>
      <c r="ET33">
        <f t="shared" si="48"/>
        <v>1.8518518518518452E-3</v>
      </c>
    </row>
    <row r="34" spans="1:150" x14ac:dyDescent="0.2">
      <c r="A34" s="7"/>
      <c r="B34" s="7"/>
      <c r="C34" s="5" t="s">
        <v>63</v>
      </c>
      <c r="D34" s="11">
        <v>14.3</v>
      </c>
      <c r="E34">
        <v>0.25</v>
      </c>
      <c r="F34" t="s">
        <v>24</v>
      </c>
      <c r="G34">
        <v>0.3</v>
      </c>
      <c r="H34" t="s">
        <v>24</v>
      </c>
      <c r="I34">
        <f t="shared" si="2"/>
        <v>1.748251748251748E-2</v>
      </c>
      <c r="J34">
        <f t="shared" si="3"/>
        <v>2.0979020979020976E-2</v>
      </c>
      <c r="M34" s="3"/>
      <c r="N34" s="3"/>
      <c r="O34" s="5" t="s">
        <v>63</v>
      </c>
      <c r="P34" s="11">
        <v>14.5</v>
      </c>
      <c r="Q34">
        <v>0.25</v>
      </c>
      <c r="S34">
        <v>0.3</v>
      </c>
      <c r="U34">
        <f t="shared" si="4"/>
        <v>1.7241379310344827E-2</v>
      </c>
      <c r="V34">
        <f t="shared" si="5"/>
        <v>2.0689655172413793E-2</v>
      </c>
      <c r="W34">
        <f t="shared" si="43"/>
        <v>0</v>
      </c>
      <c r="X34">
        <f t="shared" si="1"/>
        <v>0</v>
      </c>
      <c r="AA34" s="3"/>
      <c r="AB34" s="3"/>
      <c r="AC34" s="5" t="s">
        <v>63</v>
      </c>
      <c r="AD34">
        <v>14.7</v>
      </c>
      <c r="AE34">
        <v>0.45</v>
      </c>
      <c r="AG34">
        <v>0.45</v>
      </c>
      <c r="AI34">
        <f t="shared" si="6"/>
        <v>3.0612244897959186E-2</v>
      </c>
      <c r="AJ34">
        <f t="shared" si="7"/>
        <v>3.0612244897959186E-2</v>
      </c>
      <c r="AK34">
        <f t="shared" si="8"/>
        <v>3.3333333333333333E-2</v>
      </c>
      <c r="AL34">
        <f t="shared" si="9"/>
        <v>2.5000000000000005E-2</v>
      </c>
      <c r="AO34" s="3"/>
      <c r="AP34" s="3"/>
      <c r="AQ34" s="5" t="s">
        <v>63</v>
      </c>
      <c r="AR34">
        <v>15.2</v>
      </c>
      <c r="AS34">
        <v>0.6</v>
      </c>
      <c r="AU34">
        <v>0.6</v>
      </c>
      <c r="AW34">
        <f t="shared" si="10"/>
        <v>3.9473684210526314E-2</v>
      </c>
      <c r="AX34">
        <f t="shared" si="11"/>
        <v>3.9473684210526314E-2</v>
      </c>
      <c r="AY34">
        <f t="shared" si="12"/>
        <v>1.8749999999999996E-2</v>
      </c>
      <c r="AZ34">
        <f t="shared" si="13"/>
        <v>1.8749999999999996E-2</v>
      </c>
      <c r="BC34" s="3"/>
      <c r="BD34" s="3"/>
      <c r="BE34" s="5" t="s">
        <v>63</v>
      </c>
      <c r="BF34">
        <v>15.6</v>
      </c>
      <c r="BG34">
        <f>0.3+0.8</f>
        <v>1.1000000000000001</v>
      </c>
      <c r="BI34">
        <v>0.75</v>
      </c>
      <c r="BK34">
        <f t="shared" si="14"/>
        <v>7.0512820512820526E-2</v>
      </c>
      <c r="BL34">
        <f t="shared" si="15"/>
        <v>4.807692307692308E-2</v>
      </c>
      <c r="BM34">
        <f t="shared" si="16"/>
        <v>6.2500000000000014E-2</v>
      </c>
      <c r="BN34">
        <f t="shared" si="17"/>
        <v>1.8750000000000003E-2</v>
      </c>
      <c r="BQ34" s="3"/>
      <c r="BR34" s="3"/>
      <c r="BS34" s="5" t="s">
        <v>63</v>
      </c>
      <c r="BT34">
        <v>16.2</v>
      </c>
      <c r="BU34">
        <f>0.35+0.95</f>
        <v>1.2999999999999998</v>
      </c>
      <c r="BW34">
        <f>0.2+0.85</f>
        <v>1.05</v>
      </c>
      <c r="BY34">
        <f t="shared" si="18"/>
        <v>8.0246913580246909E-2</v>
      </c>
      <c r="BZ34">
        <f t="shared" si="19"/>
        <v>6.4814814814814825E-2</v>
      </c>
      <c r="CA34">
        <f t="shared" si="20"/>
        <v>1.5384615384615365E-2</v>
      </c>
      <c r="CB34">
        <f t="shared" si="21"/>
        <v>2.3076923076923082E-2</v>
      </c>
      <c r="CE34" s="3"/>
      <c r="CF34" s="3"/>
      <c r="CG34" s="5" t="s">
        <v>63</v>
      </c>
      <c r="CH34" s="11">
        <v>16.8</v>
      </c>
      <c r="CI34">
        <f>0.35+0.95</f>
        <v>1.2999999999999998</v>
      </c>
      <c r="CK34">
        <f>0.25+0.85</f>
        <v>1.1000000000000001</v>
      </c>
      <c r="CM34">
        <f t="shared" si="22"/>
        <v>7.738095238095237E-2</v>
      </c>
      <c r="CN34">
        <f t="shared" si="23"/>
        <v>6.5476190476190479E-2</v>
      </c>
      <c r="CO34">
        <f t="shared" si="24"/>
        <v>0</v>
      </c>
      <c r="CP34">
        <f t="shared" si="25"/>
        <v>3.5714285714285748E-3</v>
      </c>
      <c r="CS34" s="3"/>
      <c r="CT34" s="3"/>
      <c r="CU34" s="5" t="s">
        <v>63</v>
      </c>
      <c r="CV34" s="11">
        <v>17.2</v>
      </c>
      <c r="CW34">
        <f>0.35+1.15</f>
        <v>1.5</v>
      </c>
      <c r="CY34">
        <v>1.05</v>
      </c>
      <c r="DA34">
        <f t="shared" si="26"/>
        <v>8.7209302325581398E-2</v>
      </c>
      <c r="DB34">
        <f t="shared" si="27"/>
        <v>6.1046511627906981E-2</v>
      </c>
      <c r="DC34">
        <f t="shared" si="44"/>
        <v>1.4285714285714299E-2</v>
      </c>
      <c r="DD34">
        <f t="shared" si="29"/>
        <v>-3.5714285714285748E-3</v>
      </c>
      <c r="DG34" s="3"/>
      <c r="DH34" s="3"/>
      <c r="DI34" s="5" t="s">
        <v>63</v>
      </c>
      <c r="DJ34" s="11">
        <v>18.100000000000001</v>
      </c>
      <c r="DK34">
        <f>0.4+1.2</f>
        <v>1.6</v>
      </c>
      <c r="DM34">
        <f>0.3+0.95</f>
        <v>1.25</v>
      </c>
      <c r="DO34">
        <f t="shared" si="30"/>
        <v>8.8397790055248615E-2</v>
      </c>
      <c r="DP34">
        <f t="shared" si="31"/>
        <v>6.9060773480662974E-2</v>
      </c>
      <c r="DQ34">
        <f t="shared" si="45"/>
        <v>7.1428571428571496E-3</v>
      </c>
      <c r="DR34">
        <f t="shared" si="33"/>
        <v>1.4285714285714282E-2</v>
      </c>
      <c r="DU34" s="3"/>
      <c r="DV34" s="3"/>
      <c r="DW34" s="5" t="s">
        <v>63</v>
      </c>
      <c r="DX34" s="11">
        <v>18.5</v>
      </c>
      <c r="DY34">
        <f>0.55+1.25</f>
        <v>1.8</v>
      </c>
      <c r="EA34">
        <f>1.25</f>
        <v>1.25</v>
      </c>
      <c r="EC34">
        <f t="shared" si="34"/>
        <v>9.7297297297297303E-2</v>
      </c>
      <c r="ED34">
        <f t="shared" si="35"/>
        <v>6.7567567567567571E-2</v>
      </c>
      <c r="EE34">
        <f t="shared" si="46"/>
        <v>1.4285714285714282E-2</v>
      </c>
      <c r="EF34">
        <f t="shared" si="42"/>
        <v>0</v>
      </c>
      <c r="EI34" s="3"/>
      <c r="EJ34" s="3"/>
      <c r="EK34" s="5" t="s">
        <v>63</v>
      </c>
      <c r="EL34" s="11">
        <v>18.7</v>
      </c>
      <c r="EM34">
        <f>0.55+1.25</f>
        <v>1.8</v>
      </c>
      <c r="EO34">
        <f>1.35</f>
        <v>1.35</v>
      </c>
      <c r="EQ34">
        <f t="shared" si="47"/>
        <v>9.625668449197862E-2</v>
      </c>
      <c r="ER34">
        <f t="shared" si="39"/>
        <v>7.2192513368983968E-2</v>
      </c>
      <c r="ES34">
        <f t="shared" si="40"/>
        <v>0</v>
      </c>
      <c r="ET34">
        <f t="shared" si="48"/>
        <v>3.7037037037037069E-3</v>
      </c>
    </row>
    <row r="35" spans="1:150" x14ac:dyDescent="0.2">
      <c r="A35" s="7"/>
      <c r="B35" s="7"/>
      <c r="C35" s="5" t="s">
        <v>64</v>
      </c>
      <c r="D35" s="11">
        <v>13.1</v>
      </c>
      <c r="E35">
        <v>0.35</v>
      </c>
      <c r="F35" t="s">
        <v>24</v>
      </c>
      <c r="G35">
        <v>0.35</v>
      </c>
      <c r="H35" t="s">
        <v>24</v>
      </c>
      <c r="I35">
        <f t="shared" si="2"/>
        <v>2.6717557251908396E-2</v>
      </c>
      <c r="J35">
        <f t="shared" si="3"/>
        <v>2.6717557251908396E-2</v>
      </c>
      <c r="M35" s="3"/>
      <c r="N35" s="3"/>
      <c r="O35" s="5" t="s">
        <v>64</v>
      </c>
      <c r="P35" s="11">
        <v>13.6</v>
      </c>
      <c r="Q35">
        <v>0.35</v>
      </c>
      <c r="S35">
        <v>0.35</v>
      </c>
      <c r="U35">
        <f t="shared" si="4"/>
        <v>2.5735294117647058E-2</v>
      </c>
      <c r="V35">
        <f t="shared" si="5"/>
        <v>2.5735294117647058E-2</v>
      </c>
      <c r="W35">
        <f t="shared" si="43"/>
        <v>0</v>
      </c>
      <c r="X35">
        <f t="shared" si="1"/>
        <v>0</v>
      </c>
      <c r="AA35" s="3"/>
      <c r="AB35" s="3"/>
      <c r="AC35" s="5" t="s">
        <v>64</v>
      </c>
      <c r="AD35">
        <v>13.9</v>
      </c>
      <c r="AE35">
        <v>0.5</v>
      </c>
      <c r="AG35">
        <v>0.4</v>
      </c>
      <c r="AI35">
        <f t="shared" si="6"/>
        <v>3.5971223021582732E-2</v>
      </c>
      <c r="AJ35">
        <f t="shared" si="7"/>
        <v>2.8776978417266189E-2</v>
      </c>
      <c r="AK35">
        <f t="shared" si="8"/>
        <v>2.5000000000000005E-2</v>
      </c>
      <c r="AL35">
        <f t="shared" si="9"/>
        <v>8.3333333333333402E-3</v>
      </c>
      <c r="AO35" s="3"/>
      <c r="AP35" s="3"/>
      <c r="AQ35" s="5" t="s">
        <v>64</v>
      </c>
      <c r="AR35">
        <v>14.4</v>
      </c>
      <c r="AS35">
        <v>0.75</v>
      </c>
      <c r="AU35">
        <v>0.5</v>
      </c>
      <c r="AW35">
        <f t="shared" si="10"/>
        <v>5.2083333333333329E-2</v>
      </c>
      <c r="AX35">
        <f t="shared" si="11"/>
        <v>3.4722222222222224E-2</v>
      </c>
      <c r="AY35">
        <f t="shared" si="12"/>
        <v>3.125E-2</v>
      </c>
      <c r="AZ35">
        <f t="shared" si="13"/>
        <v>1.2499999999999997E-2</v>
      </c>
      <c r="BC35" s="3"/>
      <c r="BD35" s="3"/>
      <c r="BE35" s="5" t="s">
        <v>64</v>
      </c>
      <c r="BF35">
        <v>14.7</v>
      </c>
      <c r="BG35">
        <v>0.7</v>
      </c>
      <c r="BI35">
        <v>0.6</v>
      </c>
      <c r="BK35">
        <f t="shared" si="14"/>
        <v>4.7619047619047616E-2</v>
      </c>
      <c r="BL35">
        <f t="shared" si="15"/>
        <v>4.0816326530612249E-2</v>
      </c>
      <c r="BM35">
        <f t="shared" si="16"/>
        <v>-6.2500000000000056E-3</v>
      </c>
      <c r="BN35">
        <f t="shared" si="17"/>
        <v>1.2499999999999997E-2</v>
      </c>
      <c r="BQ35" s="3"/>
      <c r="BR35" s="3"/>
      <c r="BS35" s="5" t="s">
        <v>64</v>
      </c>
      <c r="BT35">
        <v>15.5</v>
      </c>
      <c r="BU35">
        <v>0.8</v>
      </c>
      <c r="BW35">
        <v>0.5</v>
      </c>
      <c r="BY35">
        <f t="shared" si="18"/>
        <v>5.1612903225806452E-2</v>
      </c>
      <c r="BZ35">
        <f t="shared" si="19"/>
        <v>3.2258064516129031E-2</v>
      </c>
      <c r="CA35">
        <f t="shared" si="20"/>
        <v>7.6923076923076988E-3</v>
      </c>
      <c r="CB35">
        <f t="shared" si="21"/>
        <v>-7.692307692307691E-3</v>
      </c>
      <c r="CE35" s="3"/>
      <c r="CF35" s="3"/>
      <c r="CG35" s="5" t="s">
        <v>64</v>
      </c>
      <c r="CH35" s="11">
        <v>16.399999999999999</v>
      </c>
      <c r="CI35">
        <f>0.4+0.65</f>
        <v>1.05</v>
      </c>
      <c r="CK35">
        <v>0.7</v>
      </c>
      <c r="CM35">
        <f t="shared" si="22"/>
        <v>6.402439024390244E-2</v>
      </c>
      <c r="CN35">
        <f t="shared" si="23"/>
        <v>4.2682926829268296E-2</v>
      </c>
      <c r="CO35">
        <f t="shared" si="24"/>
        <v>1.7857142857142856E-2</v>
      </c>
      <c r="CP35">
        <f t="shared" si="25"/>
        <v>1.4285714285714282E-2</v>
      </c>
      <c r="CS35" s="3"/>
      <c r="CT35" s="3"/>
      <c r="CU35" s="5" t="s">
        <v>64</v>
      </c>
      <c r="CV35" s="11">
        <v>17</v>
      </c>
      <c r="CW35">
        <f>0.35+0.7</f>
        <v>1.0499999999999998</v>
      </c>
      <c r="CY35">
        <v>0.8</v>
      </c>
      <c r="DA35">
        <f t="shared" si="26"/>
        <v>6.176470588235293E-2</v>
      </c>
      <c r="DB35">
        <f t="shared" si="27"/>
        <v>4.7058823529411764E-2</v>
      </c>
      <c r="DC35">
        <f t="shared" si="44"/>
        <v>-1.5860328923216521E-17</v>
      </c>
      <c r="DD35">
        <f t="shared" si="29"/>
        <v>7.1428571428571496E-3</v>
      </c>
      <c r="DG35" s="3"/>
      <c r="DH35" s="3"/>
      <c r="DI35" s="5" t="s">
        <v>64</v>
      </c>
      <c r="DJ35" s="11">
        <v>17.899999999999999</v>
      </c>
      <c r="DK35">
        <f>0.3+0.75</f>
        <v>1.05</v>
      </c>
      <c r="DM35">
        <v>0.9</v>
      </c>
      <c r="DO35">
        <f t="shared" si="30"/>
        <v>5.865921787709498E-2</v>
      </c>
      <c r="DP35">
        <f t="shared" si="31"/>
        <v>5.027932960893855E-2</v>
      </c>
      <c r="DQ35">
        <f t="shared" si="45"/>
        <v>1.5860328923216521E-17</v>
      </c>
      <c r="DR35">
        <f t="shared" si="33"/>
        <v>7.1428571428571409E-3</v>
      </c>
      <c r="DU35" s="3"/>
      <c r="DV35" s="3"/>
      <c r="DW35" s="5" t="s">
        <v>64</v>
      </c>
      <c r="DX35" s="11">
        <v>18.5</v>
      </c>
      <c r="DY35">
        <f>0.35+0.95</f>
        <v>1.2999999999999998</v>
      </c>
      <c r="EA35">
        <f>0.35+0.95</f>
        <v>1.2999999999999998</v>
      </c>
      <c r="EC35">
        <f t="shared" si="34"/>
        <v>7.027027027027026E-2</v>
      </c>
      <c r="ED35">
        <f t="shared" si="35"/>
        <v>7.027027027027026E-2</v>
      </c>
      <c r="EE35">
        <f t="shared" si="46"/>
        <v>1.7857142857142842E-2</v>
      </c>
      <c r="EF35">
        <f t="shared" si="42"/>
        <v>2.8571428571428557E-2</v>
      </c>
      <c r="EI35" s="3"/>
      <c r="EJ35" s="3"/>
      <c r="EK35" s="5" t="s">
        <v>64</v>
      </c>
      <c r="EL35" s="11">
        <v>19.3</v>
      </c>
      <c r="EM35">
        <f>0.4+1.05</f>
        <v>1.4500000000000002</v>
      </c>
      <c r="EO35">
        <v>1</v>
      </c>
      <c r="EQ35">
        <f t="shared" si="47"/>
        <v>7.512953367875648E-2</v>
      </c>
      <c r="ER35">
        <f t="shared" si="39"/>
        <v>5.181347150259067E-2</v>
      </c>
      <c r="ES35">
        <f t="shared" si="40"/>
        <v>5.5555555555555688E-3</v>
      </c>
      <c r="ET35">
        <f t="shared" si="48"/>
        <v>-1.1111111111111105E-2</v>
      </c>
    </row>
    <row r="36" spans="1:150" x14ac:dyDescent="0.2">
      <c r="A36" s="7"/>
      <c r="B36" s="7"/>
      <c r="C36" s="5" t="s">
        <v>65</v>
      </c>
      <c r="D36" s="11">
        <v>13.4</v>
      </c>
      <c r="E36">
        <v>0.3</v>
      </c>
      <c r="F36" t="s">
        <v>24</v>
      </c>
      <c r="G36">
        <v>0.35</v>
      </c>
      <c r="H36" t="s">
        <v>24</v>
      </c>
      <c r="I36">
        <f t="shared" si="2"/>
        <v>2.2388059701492536E-2</v>
      </c>
      <c r="J36">
        <f t="shared" si="3"/>
        <v>2.6119402985074626E-2</v>
      </c>
      <c r="M36" s="3"/>
      <c r="N36" s="3"/>
      <c r="O36" s="5" t="s">
        <v>65</v>
      </c>
      <c r="P36" s="11">
        <v>13.8</v>
      </c>
      <c r="S36">
        <v>0.4</v>
      </c>
      <c r="V36">
        <f t="shared" si="5"/>
        <v>2.8985507246376812E-2</v>
      </c>
      <c r="X36">
        <f t="shared" si="1"/>
        <v>5.0000000000000044E-3</v>
      </c>
      <c r="AA36" s="3"/>
      <c r="AB36" s="3"/>
      <c r="AC36" s="5" t="s">
        <v>65</v>
      </c>
      <c r="AD36">
        <v>14</v>
      </c>
      <c r="AG36">
        <v>0.4</v>
      </c>
      <c r="AJ36">
        <f t="shared" si="7"/>
        <v>2.8571428571428574E-2</v>
      </c>
      <c r="AL36">
        <f t="shared" si="9"/>
        <v>0</v>
      </c>
      <c r="AO36" s="3"/>
      <c r="AP36" s="3"/>
      <c r="AQ36" s="5" t="s">
        <v>65</v>
      </c>
      <c r="AR36">
        <v>14.7</v>
      </c>
      <c r="AU36">
        <v>0.45</v>
      </c>
      <c r="AX36">
        <f t="shared" si="11"/>
        <v>3.0612244897959186E-2</v>
      </c>
      <c r="AZ36">
        <f t="shared" si="13"/>
        <v>6.2499999999999986E-3</v>
      </c>
      <c r="BC36" s="3"/>
      <c r="BD36" s="3"/>
      <c r="BE36" s="5" t="s">
        <v>65</v>
      </c>
      <c r="BF36">
        <v>15.4</v>
      </c>
      <c r="BI36">
        <v>0.7</v>
      </c>
      <c r="BL36">
        <f t="shared" si="15"/>
        <v>4.5454545454545449E-2</v>
      </c>
      <c r="BN36">
        <f t="shared" si="17"/>
        <v>3.1249999999999993E-2</v>
      </c>
      <c r="BQ36" s="3"/>
      <c r="BR36" s="3"/>
      <c r="BS36" s="5" t="s">
        <v>65</v>
      </c>
      <c r="BT36">
        <v>15.9</v>
      </c>
      <c r="BW36">
        <v>0.9</v>
      </c>
      <c r="BZ36">
        <f t="shared" si="19"/>
        <v>5.6603773584905662E-2</v>
      </c>
      <c r="CB36">
        <f t="shared" si="21"/>
        <v>1.5384615384615389E-2</v>
      </c>
      <c r="CE36" s="3"/>
      <c r="CF36" s="3"/>
      <c r="CG36" s="5" t="s">
        <v>65</v>
      </c>
      <c r="CH36" s="11">
        <v>16.600000000000001</v>
      </c>
      <c r="CK36">
        <v>1.05</v>
      </c>
      <c r="CN36">
        <f t="shared" si="23"/>
        <v>6.3253012048192767E-2</v>
      </c>
      <c r="CP36">
        <f t="shared" si="25"/>
        <v>1.0714285714285716E-2</v>
      </c>
      <c r="CS36" s="3"/>
      <c r="CT36" s="3"/>
      <c r="CU36" s="5" t="s">
        <v>65</v>
      </c>
      <c r="CV36" s="11">
        <v>17.399999999999999</v>
      </c>
      <c r="CY36">
        <v>1.1000000000000001</v>
      </c>
      <c r="DA36">
        <f t="shared" si="26"/>
        <v>0</v>
      </c>
      <c r="DB36">
        <f t="shared" si="27"/>
        <v>6.3218390804597707E-2</v>
      </c>
      <c r="DD36">
        <f t="shared" si="29"/>
        <v>3.5714285714285748E-3</v>
      </c>
      <c r="DG36" s="3"/>
      <c r="DH36" s="3"/>
      <c r="DI36" s="5" t="s">
        <v>65</v>
      </c>
      <c r="DJ36" s="11">
        <v>18</v>
      </c>
      <c r="DM36">
        <v>1.3</v>
      </c>
      <c r="DO36">
        <f t="shared" si="30"/>
        <v>0</v>
      </c>
      <c r="DP36">
        <f t="shared" si="31"/>
        <v>7.2222222222222229E-2</v>
      </c>
      <c r="DR36">
        <f t="shared" si="33"/>
        <v>1.4285714285714282E-2</v>
      </c>
      <c r="DU36" s="3"/>
      <c r="DV36" s="3"/>
      <c r="DW36" s="5" t="s">
        <v>65</v>
      </c>
      <c r="DX36" s="11">
        <v>19.2</v>
      </c>
      <c r="EA36">
        <f>0.35+1.25</f>
        <v>1.6</v>
      </c>
      <c r="ED36">
        <f t="shared" si="35"/>
        <v>8.3333333333333343E-2</v>
      </c>
      <c r="EF36">
        <f t="shared" si="42"/>
        <v>2.1428571428571432E-2</v>
      </c>
      <c r="EI36" s="3"/>
      <c r="EJ36" s="3"/>
      <c r="EK36" s="5" t="s">
        <v>65</v>
      </c>
      <c r="EL36" s="11">
        <v>20.2</v>
      </c>
      <c r="EO36">
        <f>0.35+1.35</f>
        <v>1.7000000000000002</v>
      </c>
      <c r="ER36">
        <f t="shared" si="39"/>
        <v>8.4158415841584164E-2</v>
      </c>
      <c r="ET36">
        <f t="shared" si="48"/>
        <v>3.7037037037037069E-3</v>
      </c>
    </row>
    <row r="37" spans="1:150" x14ac:dyDescent="0.2">
      <c r="A37" s="7"/>
      <c r="B37" s="7"/>
      <c r="C37" s="5" t="s">
        <v>66</v>
      </c>
      <c r="D37" s="11">
        <v>14.6</v>
      </c>
      <c r="E37">
        <v>0.3</v>
      </c>
      <c r="F37" t="s">
        <v>24</v>
      </c>
      <c r="G37">
        <v>0.35</v>
      </c>
      <c r="H37" t="s">
        <v>24</v>
      </c>
      <c r="I37">
        <f t="shared" si="2"/>
        <v>2.0547945205479451E-2</v>
      </c>
      <c r="J37">
        <f t="shared" si="3"/>
        <v>2.3972602739726026E-2</v>
      </c>
      <c r="M37" s="3"/>
      <c r="N37" s="3"/>
      <c r="O37" s="5" t="s">
        <v>66</v>
      </c>
      <c r="P37" s="11">
        <v>15</v>
      </c>
      <c r="S37">
        <v>0.4</v>
      </c>
      <c r="V37">
        <f t="shared" si="5"/>
        <v>2.6666666666666668E-2</v>
      </c>
      <c r="X37">
        <f t="shared" si="1"/>
        <v>5.0000000000000044E-3</v>
      </c>
      <c r="AA37" s="3"/>
      <c r="AB37" s="3"/>
      <c r="AC37" s="5" t="s">
        <v>66</v>
      </c>
      <c r="AD37">
        <v>15.2</v>
      </c>
      <c r="AG37">
        <v>0.52500000000000002</v>
      </c>
      <c r="AJ37">
        <f t="shared" si="7"/>
        <v>3.453947368421053E-2</v>
      </c>
      <c r="AL37">
        <f t="shared" si="9"/>
        <v>2.0833333333333332E-2</v>
      </c>
      <c r="AO37" s="3"/>
      <c r="AP37" s="3"/>
      <c r="AQ37" s="5" t="s">
        <v>66</v>
      </c>
      <c r="AR37">
        <v>15.9</v>
      </c>
      <c r="AU37">
        <v>0.55000000000000004</v>
      </c>
      <c r="AX37">
        <f t="shared" si="11"/>
        <v>3.4591194968553458E-2</v>
      </c>
      <c r="AZ37">
        <f t="shared" si="13"/>
        <v>3.1250000000000028E-3</v>
      </c>
      <c r="BC37" s="3"/>
      <c r="BD37" s="3"/>
      <c r="BE37" s="5" t="s">
        <v>66</v>
      </c>
      <c r="BF37">
        <v>16.5</v>
      </c>
      <c r="BI37">
        <v>0.6</v>
      </c>
      <c r="BL37">
        <f t="shared" si="15"/>
        <v>3.6363636363636362E-2</v>
      </c>
      <c r="BN37">
        <f t="shared" si="17"/>
        <v>6.2499999999999917E-3</v>
      </c>
      <c r="BQ37" s="3"/>
      <c r="BR37" s="3"/>
      <c r="BS37" s="5" t="s">
        <v>66</v>
      </c>
      <c r="BT37">
        <v>16.899999999999999</v>
      </c>
      <c r="BW37">
        <v>0.65</v>
      </c>
      <c r="BZ37">
        <f t="shared" si="19"/>
        <v>3.8461538461538464E-2</v>
      </c>
      <c r="CB37">
        <f t="shared" si="21"/>
        <v>3.8461538461538494E-3</v>
      </c>
      <c r="CE37" s="3"/>
      <c r="CF37" s="3"/>
      <c r="CG37" s="5" t="s">
        <v>66</v>
      </c>
      <c r="CH37" s="12">
        <v>17.399999999999999</v>
      </c>
      <c r="CI37" s="8"/>
      <c r="CJ37" s="8"/>
      <c r="CK37" s="8">
        <v>0.55000000000000004</v>
      </c>
      <c r="CL37" s="8"/>
      <c r="CM37" s="8"/>
      <c r="CN37" s="8">
        <f t="shared" si="23"/>
        <v>3.1609195402298854E-2</v>
      </c>
      <c r="CO37" s="8"/>
      <c r="CP37" s="8">
        <f t="shared" si="25"/>
        <v>-7.1428571428571409E-3</v>
      </c>
      <c r="CS37" s="3"/>
      <c r="CT37" s="3"/>
      <c r="CU37" s="5" t="s">
        <v>66</v>
      </c>
      <c r="CV37" s="12">
        <v>18.3</v>
      </c>
      <c r="CW37" s="8"/>
      <c r="CX37" s="8"/>
      <c r="CY37" s="8">
        <f>0.25+0.55</f>
        <v>0.8</v>
      </c>
      <c r="CZ37" s="8"/>
      <c r="DA37" s="8">
        <f t="shared" si="26"/>
        <v>0</v>
      </c>
      <c r="DB37" s="8">
        <f t="shared" si="27"/>
        <v>4.3715846994535519E-2</v>
      </c>
      <c r="DC37" s="8"/>
      <c r="DD37" s="8">
        <f t="shared" si="29"/>
        <v>1.7857142857142856E-2</v>
      </c>
      <c r="DG37" s="3"/>
      <c r="DH37" s="3"/>
      <c r="DI37" s="5" t="s">
        <v>66</v>
      </c>
      <c r="DJ37" s="12">
        <v>18.8</v>
      </c>
      <c r="DK37" s="8"/>
      <c r="DL37" s="8"/>
      <c r="DM37" s="8">
        <f>0.25+0.6</f>
        <v>0.85</v>
      </c>
      <c r="DN37" s="8"/>
      <c r="DO37" s="8">
        <f t="shared" si="30"/>
        <v>0</v>
      </c>
      <c r="DP37" s="8">
        <f t="shared" si="31"/>
        <v>4.5212765957446804E-2</v>
      </c>
      <c r="DQ37" s="8"/>
      <c r="DR37" s="8">
        <f t="shared" si="33"/>
        <v>3.5714285714285665E-3</v>
      </c>
      <c r="DU37" s="3"/>
      <c r="DV37" s="3"/>
      <c r="DW37" s="5" t="s">
        <v>66</v>
      </c>
      <c r="DX37" s="12">
        <v>19.100000000000001</v>
      </c>
      <c r="DY37" s="8"/>
      <c r="DZ37" s="8"/>
      <c r="EA37" s="8">
        <f>0.25+0.75</f>
        <v>1</v>
      </c>
      <c r="EB37" s="8"/>
      <c r="EC37" s="8"/>
      <c r="ED37" s="8">
        <f t="shared" si="35"/>
        <v>5.235602094240837E-2</v>
      </c>
      <c r="EE37" s="8"/>
      <c r="EF37" s="8">
        <f t="shared" si="42"/>
        <v>1.0714285714285716E-2</v>
      </c>
      <c r="EI37" s="3"/>
      <c r="EJ37" s="3"/>
      <c r="EK37" s="5" t="s">
        <v>66</v>
      </c>
      <c r="EL37" s="12">
        <v>19.2</v>
      </c>
      <c r="EM37" s="8"/>
      <c r="EN37" s="8"/>
      <c r="EO37" s="8">
        <f>0.25+0.8</f>
        <v>1.05</v>
      </c>
      <c r="EP37" s="8"/>
      <c r="EQ37" s="8"/>
      <c r="ER37" s="8">
        <f t="shared" si="39"/>
        <v>5.4687500000000007E-2</v>
      </c>
      <c r="ES37" s="8"/>
      <c r="ET37" s="8">
        <f t="shared" si="48"/>
        <v>1.8518518518518534E-3</v>
      </c>
    </row>
    <row r="38" spans="1:150" x14ac:dyDescent="0.2">
      <c r="A38" s="7"/>
      <c r="B38" s="7" t="s">
        <v>67</v>
      </c>
      <c r="C38" s="5" t="s">
        <v>68</v>
      </c>
      <c r="D38" s="9">
        <v>14.7</v>
      </c>
      <c r="E38" s="10">
        <v>0.3</v>
      </c>
      <c r="F38" s="10" t="s">
        <v>24</v>
      </c>
      <c r="G38" s="10">
        <v>0.35</v>
      </c>
      <c r="H38" s="10" t="s">
        <v>24</v>
      </c>
      <c r="I38" s="10">
        <f t="shared" si="2"/>
        <v>2.0408163265306124E-2</v>
      </c>
      <c r="J38" s="10">
        <f t="shared" si="3"/>
        <v>2.3809523809523808E-2</v>
      </c>
      <c r="M38" s="3"/>
      <c r="N38" s="3" t="s">
        <v>21</v>
      </c>
      <c r="O38" s="5" t="s">
        <v>68</v>
      </c>
      <c r="P38" s="9">
        <v>15.2</v>
      </c>
      <c r="Q38" s="10"/>
      <c r="R38" s="10"/>
      <c r="S38" s="10">
        <v>0.4</v>
      </c>
      <c r="T38" s="10"/>
      <c r="U38" s="10"/>
      <c r="V38" s="10">
        <f t="shared" si="5"/>
        <v>2.6315789473684213E-2</v>
      </c>
      <c r="X38">
        <f t="shared" si="1"/>
        <v>5.0000000000000044E-3</v>
      </c>
      <c r="AA38" s="3"/>
      <c r="AB38" s="3" t="s">
        <v>21</v>
      </c>
      <c r="AC38" s="5" t="s">
        <v>68</v>
      </c>
      <c r="AD38">
        <v>15.4</v>
      </c>
      <c r="AG38">
        <v>0.5</v>
      </c>
      <c r="AI38" s="10"/>
      <c r="AJ38" s="10">
        <f t="shared" si="7"/>
        <v>3.2467532467532464E-2</v>
      </c>
      <c r="AL38">
        <f t="shared" si="9"/>
        <v>1.6666666666666663E-2</v>
      </c>
      <c r="AO38" s="3"/>
      <c r="AP38" s="3" t="s">
        <v>21</v>
      </c>
      <c r="AQ38" s="5" t="s">
        <v>68</v>
      </c>
      <c r="AR38">
        <v>16</v>
      </c>
      <c r="AU38">
        <v>0.7</v>
      </c>
      <c r="AW38" s="10"/>
      <c r="AX38" s="10">
        <f t="shared" si="11"/>
        <v>4.3749999999999997E-2</v>
      </c>
      <c r="AZ38">
        <f t="shared" si="13"/>
        <v>2.4999999999999994E-2</v>
      </c>
      <c r="BC38" s="3"/>
      <c r="BD38" s="3" t="s">
        <v>21</v>
      </c>
      <c r="BE38" s="5" t="s">
        <v>68</v>
      </c>
      <c r="BF38">
        <v>16.600000000000001</v>
      </c>
      <c r="BI38">
        <f>0.35+0.6</f>
        <v>0.95</v>
      </c>
      <c r="BK38" s="10"/>
      <c r="BL38" s="10">
        <f t="shared" si="15"/>
        <v>5.7228915662650592E-2</v>
      </c>
      <c r="BN38">
        <f t="shared" si="17"/>
        <v>3.125E-2</v>
      </c>
      <c r="BQ38" s="3"/>
      <c r="BR38" s="3" t="s">
        <v>21</v>
      </c>
      <c r="BS38" s="5" t="s">
        <v>68</v>
      </c>
      <c r="BT38">
        <v>17.100000000000001</v>
      </c>
      <c r="BW38">
        <v>0.875</v>
      </c>
      <c r="BY38" s="10"/>
      <c r="BZ38" s="10">
        <f t="shared" si="19"/>
        <v>5.1169590643274851E-2</v>
      </c>
      <c r="CB38">
        <f t="shared" si="21"/>
        <v>-5.7692307692307661E-3</v>
      </c>
      <c r="CE38" s="3"/>
      <c r="CF38" s="3" t="s">
        <v>41</v>
      </c>
      <c r="CG38" s="5" t="s">
        <v>68</v>
      </c>
      <c r="CH38" s="11">
        <v>17.600000000000001</v>
      </c>
      <c r="CK38">
        <v>0.85</v>
      </c>
      <c r="CN38">
        <f t="shared" si="23"/>
        <v>4.8295454545454537E-2</v>
      </c>
      <c r="CP38">
        <f t="shared" si="25"/>
        <v>-1.7857142857142874E-3</v>
      </c>
      <c r="CS38" s="3"/>
      <c r="CT38" s="3" t="s">
        <v>41</v>
      </c>
      <c r="CU38" s="5" t="s">
        <v>68</v>
      </c>
      <c r="CV38" s="11">
        <v>18.3</v>
      </c>
      <c r="CY38">
        <f>0.3+0.75</f>
        <v>1.05</v>
      </c>
      <c r="DA38">
        <f t="shared" si="26"/>
        <v>0</v>
      </c>
      <c r="DB38">
        <f t="shared" si="27"/>
        <v>5.737704918032787E-2</v>
      </c>
      <c r="DD38">
        <f t="shared" si="29"/>
        <v>1.428571428571429E-2</v>
      </c>
      <c r="DG38" s="3"/>
      <c r="DH38" s="3" t="s">
        <v>41</v>
      </c>
      <c r="DI38" s="5" t="s">
        <v>68</v>
      </c>
      <c r="DJ38" s="11">
        <v>18.899999999999999</v>
      </c>
      <c r="DM38">
        <f>0.25+0.8</f>
        <v>1.05</v>
      </c>
      <c r="DO38">
        <f t="shared" si="30"/>
        <v>0</v>
      </c>
      <c r="DP38">
        <f t="shared" si="31"/>
        <v>5.5555555555555559E-2</v>
      </c>
      <c r="DR38">
        <f t="shared" si="33"/>
        <v>0</v>
      </c>
      <c r="DU38" s="3"/>
      <c r="DV38" s="3" t="s">
        <v>41</v>
      </c>
      <c r="DW38" s="5" t="s">
        <v>68</v>
      </c>
      <c r="DX38" s="11">
        <v>19.3</v>
      </c>
      <c r="EA38">
        <f>0.25+1</f>
        <v>1.25</v>
      </c>
      <c r="ED38">
        <f t="shared" si="35"/>
        <v>6.4766839378238336E-2</v>
      </c>
      <c r="EF38">
        <f t="shared" si="42"/>
        <v>1.4285714285714282E-2</v>
      </c>
      <c r="EI38" s="3"/>
      <c r="EJ38" s="3" t="s">
        <v>41</v>
      </c>
      <c r="EK38" s="5" t="s">
        <v>68</v>
      </c>
      <c r="EL38" s="11">
        <v>19.3</v>
      </c>
      <c r="EO38">
        <f>0.35+0.95</f>
        <v>1.2999999999999998</v>
      </c>
      <c r="ER38">
        <f t="shared" si="39"/>
        <v>6.7357512953367865E-2</v>
      </c>
      <c r="ET38">
        <f t="shared" si="48"/>
        <v>1.8518518518518452E-3</v>
      </c>
    </row>
    <row r="39" spans="1:150" x14ac:dyDescent="0.2">
      <c r="A39" s="7"/>
      <c r="B39" s="7"/>
      <c r="C39" s="5" t="s">
        <v>69</v>
      </c>
      <c r="D39" s="11">
        <v>13.3</v>
      </c>
      <c r="E39">
        <v>0.3</v>
      </c>
      <c r="F39" t="s">
        <v>24</v>
      </c>
      <c r="G39">
        <v>0.3</v>
      </c>
      <c r="H39" t="s">
        <v>24</v>
      </c>
      <c r="I39">
        <f t="shared" si="2"/>
        <v>2.2556390977443608E-2</v>
      </c>
      <c r="J39">
        <f t="shared" si="3"/>
        <v>2.2556390977443608E-2</v>
      </c>
      <c r="M39" s="3"/>
      <c r="N39" s="3"/>
      <c r="O39" s="5" t="s">
        <v>69</v>
      </c>
      <c r="P39" s="11">
        <v>13.8</v>
      </c>
      <c r="Q39">
        <v>0.35</v>
      </c>
      <c r="U39">
        <f t="shared" si="4"/>
        <v>2.5362318840579708E-2</v>
      </c>
      <c r="W39">
        <f t="shared" ref="W39:W52" si="49">(Q39-E39)/10</f>
        <v>4.9999999999999992E-3</v>
      </c>
      <c r="AA39" s="3"/>
      <c r="AB39" s="3"/>
      <c r="AC39" s="5" t="s">
        <v>69</v>
      </c>
      <c r="AD39">
        <v>14</v>
      </c>
      <c r="AE39">
        <v>0.4</v>
      </c>
      <c r="AI39">
        <f t="shared" si="6"/>
        <v>2.8571428571428574E-2</v>
      </c>
      <c r="AK39">
        <f t="shared" si="8"/>
        <v>8.3333333333333402E-3</v>
      </c>
      <c r="AO39" s="3"/>
      <c r="AP39" s="3"/>
      <c r="AQ39" s="5" t="s">
        <v>69</v>
      </c>
      <c r="AR39">
        <v>14.8</v>
      </c>
      <c r="AS39">
        <v>0.4</v>
      </c>
      <c r="AW39">
        <f t="shared" si="10"/>
        <v>2.7027027027027029E-2</v>
      </c>
      <c r="AY39">
        <f t="shared" si="12"/>
        <v>0</v>
      </c>
      <c r="BC39" s="3"/>
      <c r="BD39" s="3"/>
      <c r="BE39" s="5" t="s">
        <v>69</v>
      </c>
      <c r="BF39">
        <v>15.4</v>
      </c>
      <c r="BG39">
        <v>0.65</v>
      </c>
      <c r="BK39">
        <f t="shared" si="14"/>
        <v>4.2207792207792208E-2</v>
      </c>
      <c r="BM39">
        <f t="shared" si="16"/>
        <v>3.125E-2</v>
      </c>
      <c r="BQ39" s="3"/>
      <c r="BR39" s="3"/>
      <c r="BS39" s="5" t="s">
        <v>69</v>
      </c>
      <c r="BT39">
        <v>16.100000000000001</v>
      </c>
      <c r="BU39">
        <v>0.75</v>
      </c>
      <c r="BY39">
        <f t="shared" si="18"/>
        <v>4.6583850931677016E-2</v>
      </c>
      <c r="CA39">
        <f t="shared" si="20"/>
        <v>7.692307692307691E-3</v>
      </c>
      <c r="CE39" s="3"/>
      <c r="CF39" s="3"/>
      <c r="CG39" s="5" t="s">
        <v>69</v>
      </c>
      <c r="CH39" s="11">
        <v>17.100000000000001</v>
      </c>
      <c r="CI39">
        <v>0.95</v>
      </c>
      <c r="CM39">
        <f t="shared" si="22"/>
        <v>5.5555555555555546E-2</v>
      </c>
      <c r="CO39">
        <f t="shared" si="24"/>
        <v>1.4285714285714282E-2</v>
      </c>
      <c r="CS39" s="3"/>
      <c r="CT39" s="3"/>
      <c r="CU39" s="5" t="s">
        <v>69</v>
      </c>
      <c r="CV39" s="11">
        <v>17.899999999999999</v>
      </c>
      <c r="CW39">
        <v>1.05</v>
      </c>
      <c r="DA39">
        <f t="shared" si="26"/>
        <v>5.865921787709498E-2</v>
      </c>
      <c r="DB39">
        <f t="shared" si="27"/>
        <v>0</v>
      </c>
      <c r="DC39">
        <f t="shared" ref="DC39:DC40" si="50">(CW39-CI39)/14</f>
        <v>7.1428571428571496E-3</v>
      </c>
      <c r="DG39" s="3"/>
      <c r="DH39" s="3"/>
      <c r="DI39" s="5" t="s">
        <v>69</v>
      </c>
      <c r="DJ39" s="11">
        <v>18.399999999999999</v>
      </c>
      <c r="DK39">
        <v>1.2250000000000001</v>
      </c>
      <c r="DO39">
        <f t="shared" si="30"/>
        <v>6.6576086956521743E-2</v>
      </c>
      <c r="DP39">
        <f t="shared" si="31"/>
        <v>0</v>
      </c>
      <c r="DQ39">
        <f t="shared" ref="DQ39:DQ40" si="51">(DK39-CW39)/14</f>
        <v>1.2500000000000002E-2</v>
      </c>
      <c r="DU39" s="3"/>
      <c r="DV39" s="3"/>
      <c r="DW39" s="5" t="s">
        <v>69</v>
      </c>
      <c r="DX39" s="11">
        <v>19.2</v>
      </c>
      <c r="DY39">
        <v>1.25</v>
      </c>
      <c r="EC39">
        <f t="shared" si="34"/>
        <v>6.5104166666666671E-2</v>
      </c>
      <c r="ED39">
        <f t="shared" si="35"/>
        <v>0</v>
      </c>
      <c r="EE39">
        <f t="shared" ref="EE39:EE40" si="52">(DY39-DK39)/14</f>
        <v>1.7857142857142794E-3</v>
      </c>
      <c r="EI39" s="3"/>
      <c r="EJ39" s="3"/>
      <c r="EK39" s="5" t="s">
        <v>69</v>
      </c>
      <c r="EL39" s="11">
        <v>20</v>
      </c>
      <c r="EM39">
        <v>1.25</v>
      </c>
      <c r="EQ39">
        <f t="shared" ref="EQ39:EQ40" si="53">EM39/EL39</f>
        <v>6.25E-2</v>
      </c>
      <c r="ES39">
        <f t="shared" ref="ES39:ES40" si="54">(EM39-DY39)/14</f>
        <v>0</v>
      </c>
    </row>
    <row r="40" spans="1:150" x14ac:dyDescent="0.2">
      <c r="A40" s="7"/>
      <c r="B40" s="7"/>
      <c r="C40" s="5" t="s">
        <v>70</v>
      </c>
      <c r="D40" s="11">
        <v>12.9</v>
      </c>
      <c r="E40">
        <v>0.3</v>
      </c>
      <c r="F40" t="s">
        <v>24</v>
      </c>
      <c r="G40">
        <v>0.35</v>
      </c>
      <c r="H40" t="s">
        <v>24</v>
      </c>
      <c r="I40">
        <f t="shared" si="2"/>
        <v>2.3255813953488372E-2</v>
      </c>
      <c r="J40">
        <f t="shared" si="3"/>
        <v>2.713178294573643E-2</v>
      </c>
      <c r="M40" s="3"/>
      <c r="N40" s="3"/>
      <c r="O40" s="5" t="s">
        <v>70</v>
      </c>
      <c r="P40" s="11">
        <v>13.3</v>
      </c>
      <c r="Q40">
        <v>0.3</v>
      </c>
      <c r="S40">
        <v>0.4</v>
      </c>
      <c r="U40">
        <f t="shared" si="4"/>
        <v>2.2556390977443608E-2</v>
      </c>
      <c r="V40">
        <f t="shared" si="5"/>
        <v>3.007518796992481E-2</v>
      </c>
      <c r="W40">
        <f t="shared" si="49"/>
        <v>0</v>
      </c>
      <c r="X40">
        <f t="shared" ref="X40:X52" si="55">(S40-G40)/10</f>
        <v>5.0000000000000044E-3</v>
      </c>
      <c r="AA40" s="3"/>
      <c r="AB40" s="3"/>
      <c r="AC40" s="5" t="s">
        <v>70</v>
      </c>
      <c r="AD40">
        <v>13.6</v>
      </c>
      <c r="AE40">
        <v>0.42499999999999999</v>
      </c>
      <c r="AG40">
        <v>0.42499999999999999</v>
      </c>
      <c r="AI40">
        <f t="shared" si="6"/>
        <v>3.125E-2</v>
      </c>
      <c r="AJ40">
        <f t="shared" si="7"/>
        <v>3.125E-2</v>
      </c>
      <c r="AK40">
        <f t="shared" si="8"/>
        <v>2.0833333333333332E-2</v>
      </c>
      <c r="AL40">
        <f t="shared" si="9"/>
        <v>4.1666666666666614E-3</v>
      </c>
      <c r="AO40" s="3"/>
      <c r="AP40" s="3"/>
      <c r="AQ40" s="5" t="s">
        <v>70</v>
      </c>
      <c r="AR40">
        <v>14.1</v>
      </c>
      <c r="AS40">
        <v>0.6</v>
      </c>
      <c r="AU40">
        <v>0.55000000000000004</v>
      </c>
      <c r="AW40">
        <f t="shared" si="10"/>
        <v>4.2553191489361701E-2</v>
      </c>
      <c r="AX40">
        <f t="shared" si="11"/>
        <v>3.9007092198581561E-2</v>
      </c>
      <c r="AY40">
        <f t="shared" si="12"/>
        <v>2.1874999999999999E-2</v>
      </c>
      <c r="AZ40">
        <f t="shared" si="13"/>
        <v>1.5625000000000007E-2</v>
      </c>
      <c r="BC40" s="3"/>
      <c r="BD40" s="3"/>
      <c r="BE40" s="5" t="s">
        <v>70</v>
      </c>
      <c r="BF40">
        <v>14.7</v>
      </c>
      <c r="BG40">
        <v>0.85</v>
      </c>
      <c r="BI40">
        <v>0.8</v>
      </c>
      <c r="BK40">
        <f t="shared" si="14"/>
        <v>5.7823129251700682E-2</v>
      </c>
      <c r="BL40">
        <f t="shared" si="15"/>
        <v>5.4421768707482998E-2</v>
      </c>
      <c r="BM40">
        <f t="shared" si="16"/>
        <v>3.125E-2</v>
      </c>
      <c r="BN40">
        <f t="shared" si="17"/>
        <v>3.125E-2</v>
      </c>
      <c r="BQ40" s="3"/>
      <c r="BR40" s="3"/>
      <c r="BS40" s="5" t="s">
        <v>70</v>
      </c>
      <c r="BT40">
        <v>15.4</v>
      </c>
      <c r="BU40">
        <v>1.05</v>
      </c>
      <c r="BW40">
        <v>1</v>
      </c>
      <c r="BY40">
        <f t="shared" si="18"/>
        <v>6.8181818181818177E-2</v>
      </c>
      <c r="BZ40">
        <f t="shared" si="19"/>
        <v>6.4935064935064929E-2</v>
      </c>
      <c r="CA40">
        <f t="shared" si="20"/>
        <v>1.5384615384615389E-2</v>
      </c>
      <c r="CB40">
        <f t="shared" si="21"/>
        <v>1.5384615384615382E-2</v>
      </c>
      <c r="CE40" s="3"/>
      <c r="CF40" s="3"/>
      <c r="CG40" s="5" t="s">
        <v>70</v>
      </c>
      <c r="CH40" s="11">
        <v>16.2</v>
      </c>
      <c r="CI40">
        <v>1.3</v>
      </c>
      <c r="CK40">
        <v>1.1499999999999999</v>
      </c>
      <c r="CM40">
        <f t="shared" si="22"/>
        <v>8.0246913580246923E-2</v>
      </c>
      <c r="CN40">
        <f t="shared" si="23"/>
        <v>7.098765432098765E-2</v>
      </c>
      <c r="CO40">
        <f t="shared" si="24"/>
        <v>1.7857142857142856E-2</v>
      </c>
      <c r="CP40">
        <f t="shared" si="25"/>
        <v>1.0714285714285707E-2</v>
      </c>
      <c r="CS40" s="3"/>
      <c r="CT40" s="3"/>
      <c r="CU40" s="5" t="s">
        <v>70</v>
      </c>
      <c r="CV40" s="11">
        <v>16.899999999999999</v>
      </c>
      <c r="CW40">
        <f>0.4+1.15</f>
        <v>1.5499999999999998</v>
      </c>
      <c r="CY40">
        <f>0.35+1.1</f>
        <v>1.4500000000000002</v>
      </c>
      <c r="DA40">
        <f t="shared" si="26"/>
        <v>9.1715976331360943E-2</v>
      </c>
      <c r="DB40">
        <f t="shared" si="27"/>
        <v>8.5798816568047359E-2</v>
      </c>
      <c r="DC40">
        <f t="shared" si="50"/>
        <v>1.7857142857142842E-2</v>
      </c>
      <c r="DD40">
        <f t="shared" ref="DD40" si="56">(CY40-CK40)/14</f>
        <v>2.1428571428571446E-2</v>
      </c>
      <c r="DG40" s="3"/>
      <c r="DH40" s="3"/>
      <c r="DI40" s="5" t="s">
        <v>70</v>
      </c>
      <c r="DJ40" s="11">
        <v>17.5</v>
      </c>
      <c r="DK40">
        <f>0.45+1.2</f>
        <v>1.65</v>
      </c>
      <c r="DM40">
        <f>0.5+1.125</f>
        <v>1.625</v>
      </c>
      <c r="DO40">
        <f t="shared" si="30"/>
        <v>9.4285714285714278E-2</v>
      </c>
      <c r="DP40">
        <f t="shared" si="31"/>
        <v>9.285714285714286E-2</v>
      </c>
      <c r="DQ40">
        <f t="shared" si="51"/>
        <v>7.1428571428571496E-3</v>
      </c>
      <c r="DR40">
        <f t="shared" ref="DR40" si="57">(DM40-CY40)/14</f>
        <v>1.2499999999999987E-2</v>
      </c>
      <c r="DU40" s="3"/>
      <c r="DV40" s="3"/>
      <c r="DW40" s="5" t="s">
        <v>70</v>
      </c>
      <c r="DX40" s="11">
        <v>17.8</v>
      </c>
      <c r="DY40">
        <f>0.65+1.3</f>
        <v>1.9500000000000002</v>
      </c>
      <c r="EA40">
        <f>0.5+1.25</f>
        <v>1.75</v>
      </c>
      <c r="EC40">
        <f t="shared" si="34"/>
        <v>0.10955056179775281</v>
      </c>
      <c r="ED40">
        <f t="shared" si="35"/>
        <v>9.8314606741573024E-2</v>
      </c>
      <c r="EE40">
        <f t="shared" si="52"/>
        <v>2.1428571428571446E-2</v>
      </c>
      <c r="EF40">
        <f t="shared" ref="EF40" si="58">(EA40-DM40)/14</f>
        <v>8.9285714285714281E-3</v>
      </c>
      <c r="EI40" s="3"/>
      <c r="EJ40" s="3"/>
      <c r="EK40" s="5" t="s">
        <v>70</v>
      </c>
      <c r="EL40" s="11">
        <v>18.3</v>
      </c>
      <c r="EM40">
        <f>0.7+1.35</f>
        <v>2.0499999999999998</v>
      </c>
      <c r="EO40">
        <f>0.45+1.5</f>
        <v>1.95</v>
      </c>
      <c r="EQ40">
        <f t="shared" si="53"/>
        <v>0.11202185792349725</v>
      </c>
      <c r="ER40">
        <f t="shared" si="39"/>
        <v>0.10655737704918032</v>
      </c>
      <c r="ES40">
        <f t="shared" si="54"/>
        <v>7.1428571428571175E-3</v>
      </c>
      <c r="ET40">
        <f t="shared" si="48"/>
        <v>7.407407407407406E-3</v>
      </c>
    </row>
    <row r="41" spans="1:150" x14ac:dyDescent="0.2">
      <c r="A41" s="7"/>
      <c r="B41" s="7"/>
      <c r="C41" s="5" t="s">
        <v>71</v>
      </c>
      <c r="D41" s="11">
        <v>13.7</v>
      </c>
      <c r="E41">
        <v>0.25</v>
      </c>
      <c r="F41" t="s">
        <v>24</v>
      </c>
      <c r="G41">
        <v>0.35</v>
      </c>
      <c r="H41" t="s">
        <v>24</v>
      </c>
      <c r="I41">
        <f t="shared" si="2"/>
        <v>1.8248175182481754E-2</v>
      </c>
      <c r="J41">
        <f t="shared" si="3"/>
        <v>2.5547445255474453E-2</v>
      </c>
      <c r="M41" s="3"/>
      <c r="N41" s="3"/>
      <c r="O41" s="5" t="s">
        <v>71</v>
      </c>
      <c r="P41" s="11">
        <v>14.1</v>
      </c>
      <c r="Q41">
        <v>0.25</v>
      </c>
      <c r="S41">
        <v>0.4</v>
      </c>
      <c r="U41">
        <f t="shared" si="4"/>
        <v>1.7730496453900711E-2</v>
      </c>
      <c r="V41">
        <f t="shared" si="5"/>
        <v>2.8368794326241138E-2</v>
      </c>
      <c r="W41">
        <f t="shared" si="49"/>
        <v>0</v>
      </c>
      <c r="X41">
        <f t="shared" si="55"/>
        <v>5.0000000000000044E-3</v>
      </c>
      <c r="AA41" s="3"/>
      <c r="AB41" s="3"/>
      <c r="AC41" s="5" t="s">
        <v>71</v>
      </c>
      <c r="AD41">
        <v>14.2</v>
      </c>
      <c r="AG41">
        <v>0.42499999999999999</v>
      </c>
      <c r="AJ41">
        <f t="shared" si="7"/>
        <v>2.9929577464788734E-2</v>
      </c>
      <c r="AL41">
        <f t="shared" si="9"/>
        <v>4.1666666666666614E-3</v>
      </c>
      <c r="AO41" s="3"/>
      <c r="AP41" s="3"/>
      <c r="AQ41" s="5" t="s">
        <v>71</v>
      </c>
      <c r="AR41">
        <v>14.8</v>
      </c>
      <c r="AS41">
        <v>0.15</v>
      </c>
      <c r="AU41">
        <v>0.4</v>
      </c>
      <c r="AW41">
        <f t="shared" si="10"/>
        <v>1.0135135135135134E-2</v>
      </c>
      <c r="AX41">
        <f t="shared" si="11"/>
        <v>2.7027027027027029E-2</v>
      </c>
      <c r="AY41">
        <f t="shared" si="12"/>
        <v>1.8749999999999999E-2</v>
      </c>
      <c r="AZ41">
        <f t="shared" si="13"/>
        <v>-3.1249999999999958E-3</v>
      </c>
      <c r="BC41" s="3"/>
      <c r="BD41" s="3"/>
      <c r="BE41" s="5" t="s">
        <v>71</v>
      </c>
      <c r="BF41">
        <v>15.3</v>
      </c>
      <c r="BG41">
        <v>0.25</v>
      </c>
      <c r="BI41">
        <v>0.4</v>
      </c>
      <c r="BK41">
        <f t="shared" si="14"/>
        <v>1.6339869281045753E-2</v>
      </c>
      <c r="BL41">
        <f t="shared" si="15"/>
        <v>2.6143790849673203E-2</v>
      </c>
      <c r="BM41">
        <f t="shared" si="16"/>
        <v>1.2500000000000001E-2</v>
      </c>
      <c r="BN41">
        <f t="shared" si="17"/>
        <v>0</v>
      </c>
      <c r="BQ41" s="3"/>
      <c r="BR41" s="3"/>
      <c r="BS41" s="5" t="s">
        <v>71</v>
      </c>
      <c r="BT41">
        <v>16.100000000000001</v>
      </c>
      <c r="CE41" s="3"/>
      <c r="CF41" s="3"/>
      <c r="CG41" s="5" t="s">
        <v>71</v>
      </c>
      <c r="CH41" s="11">
        <v>16.8</v>
      </c>
      <c r="CS41" s="3"/>
      <c r="CT41" s="3"/>
      <c r="CU41" s="5" t="s">
        <v>71</v>
      </c>
      <c r="CV41" s="11"/>
      <c r="DG41" s="3"/>
      <c r="DH41" s="3"/>
      <c r="DI41" s="5" t="s">
        <v>71</v>
      </c>
      <c r="DJ41" s="11"/>
      <c r="DU41" s="3"/>
      <c r="DV41" s="3"/>
      <c r="DW41" s="5" t="s">
        <v>71</v>
      </c>
      <c r="DX41" s="11"/>
      <c r="EI41" s="3"/>
      <c r="EJ41" s="3"/>
      <c r="EK41" s="5" t="s">
        <v>71</v>
      </c>
      <c r="EL41" s="11"/>
    </row>
    <row r="42" spans="1:150" x14ac:dyDescent="0.2">
      <c r="A42" s="7"/>
      <c r="B42" s="7"/>
      <c r="C42" s="5" t="s">
        <v>72</v>
      </c>
      <c r="D42" s="11">
        <v>14.1</v>
      </c>
      <c r="E42">
        <v>0.35</v>
      </c>
      <c r="F42" t="s">
        <v>24</v>
      </c>
      <c r="G42">
        <v>0.35</v>
      </c>
      <c r="H42" t="s">
        <v>24</v>
      </c>
      <c r="I42">
        <f t="shared" si="2"/>
        <v>2.4822695035460991E-2</v>
      </c>
      <c r="J42">
        <f t="shared" si="3"/>
        <v>2.4822695035460991E-2</v>
      </c>
      <c r="M42" s="3"/>
      <c r="N42" s="3"/>
      <c r="O42" s="5" t="s">
        <v>72</v>
      </c>
      <c r="P42" s="11">
        <v>14.4</v>
      </c>
      <c r="Q42">
        <v>0.4</v>
      </c>
      <c r="S42">
        <v>0.35</v>
      </c>
      <c r="U42">
        <f t="shared" si="4"/>
        <v>2.777777777777778E-2</v>
      </c>
      <c r="V42">
        <f t="shared" si="5"/>
        <v>2.4305555555555552E-2</v>
      </c>
      <c r="W42">
        <f t="shared" si="49"/>
        <v>5.0000000000000044E-3</v>
      </c>
      <c r="X42">
        <f t="shared" si="55"/>
        <v>0</v>
      </c>
      <c r="AA42" s="3"/>
      <c r="AB42" s="3"/>
      <c r="AC42" s="5" t="s">
        <v>72</v>
      </c>
      <c r="AD42">
        <v>14.7</v>
      </c>
      <c r="AE42">
        <v>0.4</v>
      </c>
      <c r="AG42">
        <v>0.42499999999999999</v>
      </c>
      <c r="AI42">
        <f t="shared" si="6"/>
        <v>2.7210884353741499E-2</v>
      </c>
      <c r="AJ42">
        <f t="shared" si="7"/>
        <v>2.8911564625850341E-2</v>
      </c>
      <c r="AK42">
        <f t="shared" si="8"/>
        <v>0</v>
      </c>
      <c r="AL42">
        <f t="shared" si="9"/>
        <v>1.2500000000000002E-2</v>
      </c>
      <c r="AO42" s="3"/>
      <c r="AP42" s="3"/>
      <c r="AQ42" s="5" t="s">
        <v>72</v>
      </c>
      <c r="AR42">
        <v>15.2</v>
      </c>
      <c r="AS42">
        <v>0.55000000000000004</v>
      </c>
      <c r="AU42">
        <v>0.45</v>
      </c>
      <c r="AW42">
        <f t="shared" si="10"/>
        <v>3.6184210526315791E-2</v>
      </c>
      <c r="AX42">
        <f t="shared" si="11"/>
        <v>2.9605263157894739E-2</v>
      </c>
      <c r="AY42">
        <f t="shared" si="12"/>
        <v>1.8750000000000003E-2</v>
      </c>
      <c r="AZ42">
        <f t="shared" si="13"/>
        <v>3.1250000000000028E-3</v>
      </c>
      <c r="BC42" s="3"/>
      <c r="BD42" s="3"/>
      <c r="BE42" s="5" t="s">
        <v>72</v>
      </c>
      <c r="BF42">
        <v>15.9</v>
      </c>
      <c r="BG42">
        <v>0.75</v>
      </c>
      <c r="BI42">
        <v>0.6</v>
      </c>
      <c r="BK42">
        <f t="shared" si="14"/>
        <v>4.7169811320754713E-2</v>
      </c>
      <c r="BL42">
        <f t="shared" si="15"/>
        <v>3.7735849056603772E-2</v>
      </c>
      <c r="BM42">
        <f t="shared" si="16"/>
        <v>2.4999999999999994E-2</v>
      </c>
      <c r="BN42">
        <f t="shared" si="17"/>
        <v>1.8749999999999996E-2</v>
      </c>
      <c r="BQ42" s="3"/>
      <c r="BR42" s="3"/>
      <c r="BS42" s="5" t="s">
        <v>72</v>
      </c>
      <c r="BT42">
        <v>16.5</v>
      </c>
      <c r="BU42">
        <v>1</v>
      </c>
      <c r="BW42">
        <v>0.95</v>
      </c>
      <c r="BY42">
        <f t="shared" si="18"/>
        <v>6.0606060606060608E-2</v>
      </c>
      <c r="BZ42">
        <f t="shared" si="19"/>
        <v>5.7575757575757572E-2</v>
      </c>
      <c r="CA42">
        <f t="shared" si="20"/>
        <v>1.9230769230769232E-2</v>
      </c>
      <c r="CB42">
        <f t="shared" si="21"/>
        <v>2.6923076923076921E-2</v>
      </c>
      <c r="CE42" s="3"/>
      <c r="CF42" s="3"/>
      <c r="CG42" s="5" t="s">
        <v>72</v>
      </c>
      <c r="CH42" s="11">
        <v>17.2</v>
      </c>
      <c r="CI42">
        <v>1.1499999999999999</v>
      </c>
      <c r="CK42">
        <v>1.1499999999999999</v>
      </c>
      <c r="CM42">
        <f t="shared" si="22"/>
        <v>6.6860465116279064E-2</v>
      </c>
      <c r="CN42">
        <f t="shared" si="23"/>
        <v>6.6860465116279064E-2</v>
      </c>
      <c r="CO42">
        <f t="shared" si="24"/>
        <v>1.0714285714285707E-2</v>
      </c>
      <c r="CP42">
        <f t="shared" si="25"/>
        <v>1.4285714285714282E-2</v>
      </c>
      <c r="CS42" s="3"/>
      <c r="CT42" s="3"/>
      <c r="CU42" s="5" t="s">
        <v>72</v>
      </c>
      <c r="CV42" s="11">
        <v>17.600000000000001</v>
      </c>
      <c r="CW42">
        <v>1.3</v>
      </c>
      <c r="CY42">
        <f>0.25+1.15</f>
        <v>1.4</v>
      </c>
      <c r="DA42">
        <f t="shared" ref="DA42:DA52" si="59">CW42/CV42</f>
        <v>7.3863636363636354E-2</v>
      </c>
      <c r="DB42">
        <f t="shared" ref="DB42:DB52" si="60">CY42/CV42</f>
        <v>7.954545454545453E-2</v>
      </c>
      <c r="DC42">
        <f t="shared" ref="DC42:DC52" si="61">(CW42-CI42)/14</f>
        <v>1.0714285714285723E-2</v>
      </c>
      <c r="DD42">
        <f t="shared" ref="DD42:DD52" si="62">(CY42-CK42)/14</f>
        <v>1.7857142857142856E-2</v>
      </c>
      <c r="DG42" s="3"/>
      <c r="DH42" s="3"/>
      <c r="DI42" s="5" t="s">
        <v>72</v>
      </c>
      <c r="DJ42" s="11">
        <v>18.100000000000001</v>
      </c>
      <c r="DK42">
        <v>1.4</v>
      </c>
      <c r="DM42">
        <f>1.45</f>
        <v>1.45</v>
      </c>
      <c r="DO42">
        <f t="shared" ref="DO42:DO52" si="63">DK42/DJ42</f>
        <v>7.7348066298342524E-2</v>
      </c>
      <c r="DP42">
        <f t="shared" ref="DP42:DP52" si="64">DM42/DJ42</f>
        <v>8.011049723756905E-2</v>
      </c>
      <c r="DQ42">
        <f t="shared" ref="DQ42:DQ52" si="65">(DK42-CW42)/14</f>
        <v>7.1428571428571331E-3</v>
      </c>
      <c r="DR42">
        <f t="shared" ref="DR42:DR52" si="66">(DM42-CY42)/14</f>
        <v>3.5714285714285748E-3</v>
      </c>
      <c r="DU42" s="3"/>
      <c r="DV42" s="3"/>
      <c r="DW42" s="5" t="s">
        <v>72</v>
      </c>
      <c r="DX42" s="11">
        <v>18.399999999999999</v>
      </c>
      <c r="DY42">
        <v>1.6</v>
      </c>
      <c r="EA42">
        <f>0.55+1.25</f>
        <v>1.8</v>
      </c>
      <c r="EC42">
        <f t="shared" ref="EC42:EC52" si="67">DY42/DX42</f>
        <v>8.6956521739130446E-2</v>
      </c>
      <c r="ED42">
        <f t="shared" ref="ED42:ED52" si="68">EA42/DX42</f>
        <v>9.7826086956521743E-2</v>
      </c>
      <c r="EE42">
        <f t="shared" ref="EE42:EE52" si="69">(DY42-DK42)/14</f>
        <v>1.4285714285714299E-2</v>
      </c>
      <c r="EF42">
        <f t="shared" ref="EF42:EF52" si="70">(EA42-DM42)/14</f>
        <v>2.5000000000000005E-2</v>
      </c>
      <c r="EI42" s="3"/>
      <c r="EJ42" s="3"/>
      <c r="EK42" s="5" t="s">
        <v>72</v>
      </c>
      <c r="EL42" s="11">
        <v>18.600000000000001</v>
      </c>
      <c r="EM42">
        <v>1.7</v>
      </c>
      <c r="EO42">
        <f>0.45+1.35</f>
        <v>1.8</v>
      </c>
      <c r="EQ42">
        <f t="shared" ref="EQ42:EQ52" si="71">EM42/EL42</f>
        <v>9.139784946236558E-2</v>
      </c>
      <c r="ER42">
        <f t="shared" ref="ER42:ER52" si="72">EO42/EL42</f>
        <v>9.6774193548387094E-2</v>
      </c>
      <c r="ES42">
        <f t="shared" ref="ES42:ES43" si="73">(EM42-DY42)/14</f>
        <v>7.1428571428571331E-3</v>
      </c>
      <c r="ET42">
        <f t="shared" si="48"/>
        <v>0</v>
      </c>
    </row>
    <row r="43" spans="1:150" x14ac:dyDescent="0.2">
      <c r="A43" s="7"/>
      <c r="B43" s="7"/>
      <c r="C43" s="5" t="s">
        <v>73</v>
      </c>
      <c r="D43" s="11">
        <v>14.2</v>
      </c>
      <c r="E43">
        <v>0.35</v>
      </c>
      <c r="F43" t="s">
        <v>24</v>
      </c>
      <c r="G43">
        <v>0.35</v>
      </c>
      <c r="H43" t="s">
        <v>24</v>
      </c>
      <c r="I43">
        <f t="shared" si="2"/>
        <v>2.464788732394366E-2</v>
      </c>
      <c r="J43">
        <f t="shared" si="3"/>
        <v>2.464788732394366E-2</v>
      </c>
      <c r="M43" s="3"/>
      <c r="N43" s="3"/>
      <c r="O43" s="5" t="s">
        <v>73</v>
      </c>
      <c r="P43" s="11">
        <v>14.6</v>
      </c>
      <c r="Q43">
        <v>0.35</v>
      </c>
      <c r="S43">
        <v>0.4</v>
      </c>
      <c r="U43">
        <f t="shared" si="4"/>
        <v>2.3972602739726026E-2</v>
      </c>
      <c r="V43">
        <f t="shared" si="5"/>
        <v>2.7397260273972605E-2</v>
      </c>
      <c r="W43">
        <f t="shared" si="49"/>
        <v>0</v>
      </c>
      <c r="X43">
        <f t="shared" si="55"/>
        <v>5.0000000000000044E-3</v>
      </c>
      <c r="AA43" s="3"/>
      <c r="AB43" s="3"/>
      <c r="AC43" s="5" t="s">
        <v>73</v>
      </c>
      <c r="AD43">
        <v>15</v>
      </c>
      <c r="AE43">
        <v>0.5</v>
      </c>
      <c r="AG43">
        <v>0.55000000000000004</v>
      </c>
      <c r="AI43">
        <f t="shared" si="6"/>
        <v>3.3333333333333333E-2</v>
      </c>
      <c r="AJ43">
        <f t="shared" si="7"/>
        <v>3.6666666666666667E-2</v>
      </c>
      <c r="AK43">
        <f t="shared" si="8"/>
        <v>2.5000000000000005E-2</v>
      </c>
      <c r="AL43">
        <f t="shared" si="9"/>
        <v>2.5000000000000005E-2</v>
      </c>
      <c r="AO43" s="3"/>
      <c r="AP43" s="3"/>
      <c r="AQ43" s="5" t="s">
        <v>73</v>
      </c>
      <c r="AR43">
        <v>15.6</v>
      </c>
      <c r="AS43">
        <v>0.625</v>
      </c>
      <c r="AU43">
        <v>0.6</v>
      </c>
      <c r="AW43">
        <f t="shared" si="10"/>
        <v>4.0064102564102567E-2</v>
      </c>
      <c r="AX43">
        <f t="shared" si="11"/>
        <v>3.8461538461538464E-2</v>
      </c>
      <c r="AY43">
        <f t="shared" si="12"/>
        <v>1.5625E-2</v>
      </c>
      <c r="AZ43">
        <f t="shared" si="13"/>
        <v>6.2499999999999917E-3</v>
      </c>
      <c r="BC43" s="3"/>
      <c r="BD43" s="3"/>
      <c r="BE43" s="5" t="s">
        <v>73</v>
      </c>
      <c r="BF43">
        <v>16</v>
      </c>
      <c r="BG43">
        <v>0.6</v>
      </c>
      <c r="BI43">
        <v>0.8</v>
      </c>
      <c r="BK43">
        <f t="shared" si="14"/>
        <v>3.7499999999999999E-2</v>
      </c>
      <c r="BL43">
        <f t="shared" si="15"/>
        <v>0.05</v>
      </c>
      <c r="BM43">
        <f t="shared" si="16"/>
        <v>-3.1250000000000028E-3</v>
      </c>
      <c r="BN43">
        <f t="shared" si="17"/>
        <v>2.5000000000000008E-2</v>
      </c>
      <c r="BQ43" s="3"/>
      <c r="BR43" s="3"/>
      <c r="BS43" s="5" t="s">
        <v>73</v>
      </c>
      <c r="BT43">
        <v>17</v>
      </c>
      <c r="BU43">
        <v>0.7</v>
      </c>
      <c r="BW43">
        <v>0.75</v>
      </c>
      <c r="BY43">
        <f t="shared" si="18"/>
        <v>4.1176470588235294E-2</v>
      </c>
      <c r="BZ43">
        <f t="shared" si="19"/>
        <v>4.4117647058823532E-2</v>
      </c>
      <c r="CA43">
        <f t="shared" si="20"/>
        <v>7.692307692307691E-3</v>
      </c>
      <c r="CB43">
        <f t="shared" si="21"/>
        <v>-3.8461538461538494E-3</v>
      </c>
      <c r="CE43" s="3"/>
      <c r="CF43" s="3"/>
      <c r="CG43" s="5" t="s">
        <v>73</v>
      </c>
      <c r="CH43" s="11">
        <v>17.5</v>
      </c>
      <c r="CI43">
        <v>0.7</v>
      </c>
      <c r="CK43">
        <f>0.3+0.55</f>
        <v>0.85000000000000009</v>
      </c>
      <c r="CM43">
        <f t="shared" si="22"/>
        <v>0.04</v>
      </c>
      <c r="CN43">
        <f t="shared" si="23"/>
        <v>4.8571428571428578E-2</v>
      </c>
      <c r="CO43">
        <f t="shared" si="24"/>
        <v>0</v>
      </c>
      <c r="CP43">
        <f t="shared" si="25"/>
        <v>7.1428571428571496E-3</v>
      </c>
      <c r="CS43" s="3"/>
      <c r="CT43" s="3"/>
      <c r="CU43" s="5" t="s">
        <v>73</v>
      </c>
      <c r="CV43" s="11">
        <v>18.100000000000001</v>
      </c>
      <c r="CW43">
        <f>0.35+0.55</f>
        <v>0.9</v>
      </c>
      <c r="CY43">
        <f>0.3+0.55</f>
        <v>0.85000000000000009</v>
      </c>
      <c r="DA43">
        <f t="shared" si="59"/>
        <v>4.9723756906077346E-2</v>
      </c>
      <c r="DB43">
        <f t="shared" si="60"/>
        <v>4.6961325966850827E-2</v>
      </c>
      <c r="DC43">
        <f t="shared" si="61"/>
        <v>1.428571428571429E-2</v>
      </c>
      <c r="DD43">
        <f t="shared" si="62"/>
        <v>0</v>
      </c>
      <c r="DG43" s="3"/>
      <c r="DH43" s="3"/>
      <c r="DI43" s="5" t="s">
        <v>73</v>
      </c>
      <c r="DJ43" s="11">
        <v>18.7</v>
      </c>
      <c r="DK43">
        <f>0.35+0.7</f>
        <v>1.0499999999999998</v>
      </c>
      <c r="DM43">
        <f>0.35+0.7</f>
        <v>1.0499999999999998</v>
      </c>
      <c r="DO43">
        <f t="shared" si="63"/>
        <v>5.6149732620320851E-2</v>
      </c>
      <c r="DP43">
        <f t="shared" si="64"/>
        <v>5.6149732620320851E-2</v>
      </c>
      <c r="DQ43">
        <f t="shared" si="65"/>
        <v>1.0714285714285701E-2</v>
      </c>
      <c r="DR43">
        <f t="shared" si="66"/>
        <v>1.4285714285714266E-2</v>
      </c>
      <c r="DU43" s="3"/>
      <c r="DV43" s="3"/>
      <c r="DW43" s="5" t="s">
        <v>73</v>
      </c>
      <c r="DX43" s="11">
        <v>19.399999999999999</v>
      </c>
      <c r="DY43">
        <v>1.05</v>
      </c>
      <c r="EA43">
        <v>1.1499999999999999</v>
      </c>
      <c r="EC43">
        <f t="shared" si="67"/>
        <v>5.4123711340206195E-2</v>
      </c>
      <c r="ED43">
        <f t="shared" si="68"/>
        <v>5.9278350515463915E-2</v>
      </c>
      <c r="EE43">
        <f t="shared" si="69"/>
        <v>1.5860328923216521E-17</v>
      </c>
      <c r="EF43">
        <f t="shared" si="70"/>
        <v>7.1428571428571496E-3</v>
      </c>
      <c r="EI43" s="3"/>
      <c r="EJ43" s="3"/>
      <c r="EK43" s="5" t="s">
        <v>73</v>
      </c>
      <c r="EL43" s="11">
        <v>20.2</v>
      </c>
      <c r="EM43">
        <v>1.1000000000000001</v>
      </c>
      <c r="EO43">
        <v>1.4</v>
      </c>
      <c r="EQ43">
        <f t="shared" si="71"/>
        <v>5.4455445544554462E-2</v>
      </c>
      <c r="ER43">
        <f t="shared" si="72"/>
        <v>6.9306930693069299E-2</v>
      </c>
      <c r="ES43">
        <f t="shared" si="73"/>
        <v>3.5714285714285748E-3</v>
      </c>
      <c r="ET43">
        <f t="shared" si="48"/>
        <v>9.2592592592592587E-3</v>
      </c>
    </row>
    <row r="44" spans="1:150" x14ac:dyDescent="0.2">
      <c r="A44" s="7"/>
      <c r="B44" s="7"/>
      <c r="C44" s="5" t="s">
        <v>74</v>
      </c>
      <c r="D44" s="11">
        <v>13.8</v>
      </c>
      <c r="E44">
        <v>0.35</v>
      </c>
      <c r="F44" t="s">
        <v>24</v>
      </c>
      <c r="G44">
        <v>0.35</v>
      </c>
      <c r="H44" t="s">
        <v>24</v>
      </c>
      <c r="I44">
        <f t="shared" si="2"/>
        <v>2.5362318840579708E-2</v>
      </c>
      <c r="J44">
        <f t="shared" si="3"/>
        <v>2.5362318840579708E-2</v>
      </c>
      <c r="M44" s="3"/>
      <c r="N44" s="3"/>
      <c r="O44" s="5" t="s">
        <v>74</v>
      </c>
      <c r="P44" s="11">
        <v>13.9</v>
      </c>
      <c r="Q44">
        <v>0.35</v>
      </c>
      <c r="S44">
        <v>0.4</v>
      </c>
      <c r="U44">
        <f t="shared" si="4"/>
        <v>2.517985611510791E-2</v>
      </c>
      <c r="V44">
        <f t="shared" si="5"/>
        <v>2.8776978417266189E-2</v>
      </c>
      <c r="W44">
        <f t="shared" si="49"/>
        <v>0</v>
      </c>
      <c r="X44">
        <f t="shared" si="55"/>
        <v>5.0000000000000044E-3</v>
      </c>
      <c r="AA44" s="3"/>
      <c r="AB44" s="3"/>
      <c r="AC44" s="5" t="s">
        <v>74</v>
      </c>
      <c r="AD44">
        <v>14</v>
      </c>
      <c r="AE44">
        <v>0.4</v>
      </c>
      <c r="AG44">
        <v>0.45</v>
      </c>
      <c r="AI44">
        <f t="shared" si="6"/>
        <v>2.8571428571428574E-2</v>
      </c>
      <c r="AJ44">
        <f t="shared" si="7"/>
        <v>3.2142857142857147E-2</v>
      </c>
      <c r="AK44">
        <f t="shared" si="8"/>
        <v>8.3333333333333402E-3</v>
      </c>
      <c r="AL44">
        <f t="shared" si="9"/>
        <v>8.3333333333333315E-3</v>
      </c>
      <c r="AO44" s="3"/>
      <c r="AP44" s="3"/>
      <c r="AQ44" s="5" t="s">
        <v>74</v>
      </c>
      <c r="AR44">
        <v>14.5</v>
      </c>
      <c r="AS44">
        <v>0.57499999999999996</v>
      </c>
      <c r="AU44">
        <v>0.5</v>
      </c>
      <c r="AW44">
        <f t="shared" si="10"/>
        <v>3.9655172413793099E-2</v>
      </c>
      <c r="AX44">
        <f t="shared" si="11"/>
        <v>3.4482758620689655E-2</v>
      </c>
      <c r="AY44">
        <f t="shared" si="12"/>
        <v>2.1874999999999992E-2</v>
      </c>
      <c r="AZ44">
        <f t="shared" si="13"/>
        <v>6.2499999999999986E-3</v>
      </c>
      <c r="BC44" s="3"/>
      <c r="BD44" s="3"/>
      <c r="BE44" s="5" t="s">
        <v>74</v>
      </c>
      <c r="BF44">
        <v>15.1</v>
      </c>
      <c r="BG44">
        <v>0.8</v>
      </c>
      <c r="BI44">
        <v>0.75</v>
      </c>
      <c r="BK44">
        <f t="shared" si="14"/>
        <v>5.2980132450331133E-2</v>
      </c>
      <c r="BL44">
        <f t="shared" si="15"/>
        <v>4.9668874172185434E-2</v>
      </c>
      <c r="BM44">
        <f t="shared" si="16"/>
        <v>2.8125000000000011E-2</v>
      </c>
      <c r="BN44">
        <f t="shared" si="17"/>
        <v>3.125E-2</v>
      </c>
      <c r="BQ44" s="3"/>
      <c r="BR44" s="3"/>
      <c r="BS44" s="5" t="s">
        <v>74</v>
      </c>
      <c r="BT44">
        <v>15.6</v>
      </c>
      <c r="BU44">
        <v>0.95</v>
      </c>
      <c r="BW44">
        <v>0.9</v>
      </c>
      <c r="BY44">
        <f t="shared" si="18"/>
        <v>6.0897435897435896E-2</v>
      </c>
      <c r="BZ44">
        <f t="shared" si="19"/>
        <v>5.7692307692307696E-2</v>
      </c>
      <c r="CA44">
        <f t="shared" si="20"/>
        <v>1.1538461538461532E-2</v>
      </c>
      <c r="CB44">
        <f t="shared" si="21"/>
        <v>1.1538461538461541E-2</v>
      </c>
      <c r="CE44" s="3"/>
      <c r="CF44" s="3"/>
      <c r="CG44" s="5" t="s">
        <v>74</v>
      </c>
      <c r="CH44" s="11">
        <v>16.100000000000001</v>
      </c>
      <c r="CI44">
        <v>1.2</v>
      </c>
      <c r="CK44">
        <v>1.2</v>
      </c>
      <c r="CM44">
        <f t="shared" si="22"/>
        <v>7.4534161490683218E-2</v>
      </c>
      <c r="CN44">
        <f t="shared" si="23"/>
        <v>7.4534161490683218E-2</v>
      </c>
      <c r="CO44">
        <f t="shared" si="24"/>
        <v>1.7857142857142856E-2</v>
      </c>
      <c r="CP44">
        <f t="shared" si="25"/>
        <v>2.1428571428571425E-2</v>
      </c>
      <c r="CS44" s="3"/>
      <c r="CT44" s="3"/>
      <c r="CU44" s="5" t="s">
        <v>74</v>
      </c>
      <c r="CV44" s="11">
        <v>17</v>
      </c>
      <c r="CW44">
        <v>1.35</v>
      </c>
      <c r="CY44">
        <f>0.45+1</f>
        <v>1.45</v>
      </c>
      <c r="DA44">
        <f t="shared" si="59"/>
        <v>7.9411764705882362E-2</v>
      </c>
      <c r="DB44">
        <f t="shared" si="60"/>
        <v>8.5294117647058826E-2</v>
      </c>
      <c r="DC44">
        <f t="shared" si="61"/>
        <v>1.0714285714285723E-2</v>
      </c>
      <c r="DD44">
        <f t="shared" si="62"/>
        <v>1.7857142857142856E-2</v>
      </c>
      <c r="DG44" s="3"/>
      <c r="DH44" s="3"/>
      <c r="DI44" s="5" t="s">
        <v>74</v>
      </c>
      <c r="DJ44" s="11">
        <v>17.7</v>
      </c>
      <c r="DK44">
        <f>0.4+1.3</f>
        <v>1.7000000000000002</v>
      </c>
      <c r="DM44">
        <f>0.5+1.1</f>
        <v>1.6</v>
      </c>
      <c r="DO44">
        <f t="shared" si="63"/>
        <v>9.6045197740113011E-2</v>
      </c>
      <c r="DP44">
        <f t="shared" si="64"/>
        <v>9.0395480225988714E-2</v>
      </c>
      <c r="DQ44">
        <f t="shared" si="65"/>
        <v>2.5000000000000005E-2</v>
      </c>
      <c r="DR44">
        <f t="shared" si="66"/>
        <v>1.0714285714285723E-2</v>
      </c>
      <c r="DU44" s="3"/>
      <c r="DV44" s="3"/>
      <c r="DW44" s="5" t="s">
        <v>74</v>
      </c>
      <c r="DX44" s="11">
        <v>18.600000000000001</v>
      </c>
      <c r="DY44">
        <f>0.4+1.35</f>
        <v>1.75</v>
      </c>
      <c r="EA44">
        <f>0.55+1.25</f>
        <v>1.8</v>
      </c>
      <c r="EC44">
        <f t="shared" si="67"/>
        <v>9.4086021505376344E-2</v>
      </c>
      <c r="ED44">
        <f t="shared" si="68"/>
        <v>9.6774193548387094E-2</v>
      </c>
      <c r="EE44">
        <f>(DY44-DK44)/14</f>
        <v>3.5714285714285587E-3</v>
      </c>
      <c r="EF44">
        <f t="shared" si="70"/>
        <v>1.4285714285714282E-2</v>
      </c>
      <c r="EI44" s="3"/>
      <c r="EJ44" s="3"/>
      <c r="EK44" s="5" t="s">
        <v>74</v>
      </c>
      <c r="EL44" s="11">
        <v>19.399999999999999</v>
      </c>
      <c r="EM44">
        <f>0.55+1.5</f>
        <v>2.0499999999999998</v>
      </c>
      <c r="EO44">
        <f>0.6+1.45</f>
        <v>2.0499999999999998</v>
      </c>
      <c r="EQ44">
        <f t="shared" si="71"/>
        <v>0.1056701030927835</v>
      </c>
      <c r="ER44">
        <f t="shared" si="72"/>
        <v>0.1056701030927835</v>
      </c>
      <c r="ES44">
        <f>(EM44-DY44)/14</f>
        <v>2.1428571428571415E-2</v>
      </c>
      <c r="ET44">
        <f t="shared" si="48"/>
        <v>9.2592592592592518E-3</v>
      </c>
    </row>
    <row r="45" spans="1:150" x14ac:dyDescent="0.2">
      <c r="A45" s="7"/>
      <c r="B45" s="7"/>
      <c r="C45" s="5" t="s">
        <v>75</v>
      </c>
      <c r="D45" s="11">
        <v>14.2</v>
      </c>
      <c r="E45">
        <v>0.35</v>
      </c>
      <c r="F45" t="s">
        <v>24</v>
      </c>
      <c r="G45">
        <v>0.35</v>
      </c>
      <c r="H45" t="s">
        <v>24</v>
      </c>
      <c r="I45">
        <f t="shared" si="2"/>
        <v>2.464788732394366E-2</v>
      </c>
      <c r="J45">
        <f t="shared" si="3"/>
        <v>2.464788732394366E-2</v>
      </c>
      <c r="M45" s="3"/>
      <c r="N45" s="3"/>
      <c r="O45" s="5" t="s">
        <v>75</v>
      </c>
      <c r="P45" s="11">
        <v>14.5</v>
      </c>
      <c r="Q45">
        <v>0.35</v>
      </c>
      <c r="S45">
        <v>0.4</v>
      </c>
      <c r="U45">
        <f t="shared" si="4"/>
        <v>2.4137931034482758E-2</v>
      </c>
      <c r="V45">
        <f t="shared" si="5"/>
        <v>2.7586206896551727E-2</v>
      </c>
      <c r="W45">
        <f t="shared" si="49"/>
        <v>0</v>
      </c>
      <c r="X45">
        <f t="shared" si="55"/>
        <v>5.0000000000000044E-3</v>
      </c>
      <c r="AA45" s="3"/>
      <c r="AB45" s="3"/>
      <c r="AC45" s="5" t="s">
        <v>75</v>
      </c>
      <c r="AD45">
        <v>14.7</v>
      </c>
      <c r="AE45">
        <v>0.375</v>
      </c>
      <c r="AG45">
        <v>0.45</v>
      </c>
      <c r="AI45">
        <f t="shared" si="6"/>
        <v>2.5510204081632654E-2</v>
      </c>
      <c r="AJ45">
        <f t="shared" si="7"/>
        <v>3.0612244897959186E-2</v>
      </c>
      <c r="AK45">
        <f t="shared" si="8"/>
        <v>4.1666666666666701E-3</v>
      </c>
      <c r="AL45">
        <f t="shared" si="9"/>
        <v>8.3333333333333315E-3</v>
      </c>
      <c r="AO45" s="3"/>
      <c r="AP45" s="3"/>
      <c r="AQ45" s="5" t="s">
        <v>75</v>
      </c>
      <c r="AR45">
        <v>15.4</v>
      </c>
      <c r="AS45">
        <v>0.5</v>
      </c>
      <c r="AU45">
        <v>0.55000000000000004</v>
      </c>
      <c r="AW45">
        <f t="shared" si="10"/>
        <v>3.2467532467532464E-2</v>
      </c>
      <c r="AX45">
        <f t="shared" si="11"/>
        <v>3.5714285714285719E-2</v>
      </c>
      <c r="AY45">
        <f t="shared" si="12"/>
        <v>1.5625E-2</v>
      </c>
      <c r="AZ45">
        <f t="shared" si="13"/>
        <v>1.2500000000000004E-2</v>
      </c>
      <c r="BC45" s="3"/>
      <c r="BD45" s="3"/>
      <c r="BE45" s="5" t="s">
        <v>75</v>
      </c>
      <c r="BF45">
        <v>15.8</v>
      </c>
      <c r="BG45">
        <v>0.65</v>
      </c>
      <c r="BI45">
        <v>0.8</v>
      </c>
      <c r="BK45">
        <f t="shared" si="14"/>
        <v>4.1139240506329111E-2</v>
      </c>
      <c r="BL45">
        <f t="shared" si="15"/>
        <v>5.0632911392405063E-2</v>
      </c>
      <c r="BM45">
        <f t="shared" si="16"/>
        <v>1.8750000000000003E-2</v>
      </c>
      <c r="BN45">
        <f t="shared" si="17"/>
        <v>3.125E-2</v>
      </c>
      <c r="BQ45" s="3"/>
      <c r="BR45" s="3"/>
      <c r="BS45" s="5" t="s">
        <v>75</v>
      </c>
      <c r="BT45">
        <v>16.100000000000001</v>
      </c>
      <c r="BU45">
        <f>0.25+0.75</f>
        <v>1</v>
      </c>
      <c r="BW45">
        <f>0.25+1</f>
        <v>1.25</v>
      </c>
      <c r="BY45">
        <f t="shared" si="18"/>
        <v>6.2111801242236017E-2</v>
      </c>
      <c r="BZ45">
        <f t="shared" si="19"/>
        <v>7.7639751552795025E-2</v>
      </c>
      <c r="CA45">
        <f t="shared" si="20"/>
        <v>2.6923076923076921E-2</v>
      </c>
      <c r="CB45">
        <f t="shared" si="21"/>
        <v>3.461538461538461E-2</v>
      </c>
      <c r="CE45" s="3"/>
      <c r="CF45" s="3"/>
      <c r="CG45" s="5" t="s">
        <v>75</v>
      </c>
      <c r="CH45" s="11">
        <v>16.8</v>
      </c>
      <c r="CI45">
        <v>1.1499999999999999</v>
      </c>
      <c r="CK45">
        <v>1.25</v>
      </c>
      <c r="CM45">
        <f t="shared" si="22"/>
        <v>6.8452380952380945E-2</v>
      </c>
      <c r="CN45">
        <f t="shared" si="23"/>
        <v>7.4404761904761904E-2</v>
      </c>
      <c r="CO45">
        <f t="shared" si="24"/>
        <v>1.0714285714285707E-2</v>
      </c>
      <c r="CP45">
        <f t="shared" si="25"/>
        <v>0</v>
      </c>
      <c r="CS45" s="3"/>
      <c r="CT45" s="3"/>
      <c r="CU45" s="5" t="s">
        <v>75</v>
      </c>
      <c r="CV45" s="11">
        <v>17.2</v>
      </c>
      <c r="CW45">
        <f>0.3+1.15</f>
        <v>1.45</v>
      </c>
      <c r="CY45">
        <v>1.35</v>
      </c>
      <c r="DA45">
        <f t="shared" si="59"/>
        <v>8.4302325581395346E-2</v>
      </c>
      <c r="DB45">
        <f t="shared" si="60"/>
        <v>7.848837209302327E-2</v>
      </c>
      <c r="DC45">
        <f t="shared" si="61"/>
        <v>2.1428571428571432E-2</v>
      </c>
      <c r="DD45">
        <f t="shared" si="62"/>
        <v>7.1428571428571496E-3</v>
      </c>
      <c r="DG45" s="3"/>
      <c r="DH45" s="3"/>
      <c r="DI45" s="5" t="s">
        <v>75</v>
      </c>
      <c r="DJ45" s="11">
        <v>17.8</v>
      </c>
      <c r="DK45">
        <f>0.45+1.15</f>
        <v>1.5999999999999999</v>
      </c>
      <c r="DM45">
        <v>1.5</v>
      </c>
      <c r="DO45">
        <f t="shared" si="63"/>
        <v>8.9887640449438186E-2</v>
      </c>
      <c r="DP45">
        <f t="shared" si="64"/>
        <v>8.4269662921348312E-2</v>
      </c>
      <c r="DQ45">
        <f t="shared" si="65"/>
        <v>1.0714285714285707E-2</v>
      </c>
      <c r="DR45">
        <f t="shared" si="66"/>
        <v>1.0714285714285707E-2</v>
      </c>
      <c r="DU45" s="3"/>
      <c r="DV45" s="3"/>
      <c r="DW45" s="5" t="s">
        <v>75</v>
      </c>
      <c r="DX45" s="11">
        <v>18.2</v>
      </c>
      <c r="DY45">
        <f>0.35+1.3</f>
        <v>1.65</v>
      </c>
      <c r="EA45">
        <v>1.7</v>
      </c>
      <c r="EC45">
        <f t="shared" si="67"/>
        <v>9.0659340659340656E-2</v>
      </c>
      <c r="ED45">
        <f t="shared" si="68"/>
        <v>9.3406593406593408E-2</v>
      </c>
      <c r="EE45">
        <f t="shared" si="69"/>
        <v>3.5714285714285748E-3</v>
      </c>
      <c r="EF45">
        <f t="shared" si="70"/>
        <v>1.4285714285714282E-2</v>
      </c>
      <c r="EI45" s="3"/>
      <c r="EJ45" s="3"/>
      <c r="EK45" s="5" t="s">
        <v>75</v>
      </c>
      <c r="EL45" s="11">
        <v>18.399999999999999</v>
      </c>
      <c r="EM45">
        <f>0.4+1.35</f>
        <v>1.75</v>
      </c>
      <c r="EO45">
        <f>0.45+1.4</f>
        <v>1.8499999999999999</v>
      </c>
      <c r="EQ45">
        <f t="shared" si="71"/>
        <v>9.5108695652173919E-2</v>
      </c>
      <c r="ER45">
        <f t="shared" si="72"/>
        <v>0.10054347826086957</v>
      </c>
      <c r="ES45">
        <f t="shared" ref="ES45:ES52" si="74">(EM45-DY45)/14</f>
        <v>7.1428571428571496E-3</v>
      </c>
      <c r="ET45">
        <f t="shared" si="48"/>
        <v>5.5555555555555523E-3</v>
      </c>
    </row>
    <row r="46" spans="1:150" x14ac:dyDescent="0.2">
      <c r="A46" s="7"/>
      <c r="B46" s="7"/>
      <c r="C46" s="5" t="s">
        <v>76</v>
      </c>
      <c r="D46" s="11">
        <v>14.3</v>
      </c>
      <c r="E46">
        <v>0.3</v>
      </c>
      <c r="F46" t="s">
        <v>24</v>
      </c>
      <c r="G46">
        <v>0.3</v>
      </c>
      <c r="H46" t="s">
        <v>24</v>
      </c>
      <c r="I46">
        <f t="shared" si="2"/>
        <v>2.0979020979020976E-2</v>
      </c>
      <c r="J46">
        <f t="shared" si="3"/>
        <v>2.0979020979020976E-2</v>
      </c>
      <c r="M46" s="3"/>
      <c r="N46" s="3"/>
      <c r="O46" s="5" t="s">
        <v>76</v>
      </c>
      <c r="P46" s="11">
        <v>14.8</v>
      </c>
      <c r="Q46">
        <v>0.3</v>
      </c>
      <c r="S46">
        <v>0.3</v>
      </c>
      <c r="U46">
        <f t="shared" si="4"/>
        <v>2.0270270270270268E-2</v>
      </c>
      <c r="V46">
        <f t="shared" si="5"/>
        <v>2.0270270270270268E-2</v>
      </c>
      <c r="W46">
        <f t="shared" si="49"/>
        <v>0</v>
      </c>
      <c r="X46">
        <f t="shared" si="55"/>
        <v>0</v>
      </c>
      <c r="AA46" s="3"/>
      <c r="AB46" s="3"/>
      <c r="AC46" s="5" t="s">
        <v>76</v>
      </c>
      <c r="AD46">
        <v>15.2</v>
      </c>
      <c r="AE46">
        <v>0.4</v>
      </c>
      <c r="AG46">
        <v>0.3</v>
      </c>
      <c r="AI46">
        <f t="shared" si="6"/>
        <v>2.6315789473684213E-2</v>
      </c>
      <c r="AJ46">
        <f t="shared" si="7"/>
        <v>1.9736842105263157E-2</v>
      </c>
      <c r="AK46">
        <f t="shared" si="8"/>
        <v>1.6666666666666673E-2</v>
      </c>
      <c r="AL46">
        <f t="shared" si="9"/>
        <v>0</v>
      </c>
      <c r="AO46" s="3"/>
      <c r="AP46" s="3"/>
      <c r="AQ46" s="5" t="s">
        <v>76</v>
      </c>
      <c r="AR46">
        <v>15.6</v>
      </c>
      <c r="AS46">
        <v>0.4</v>
      </c>
      <c r="AU46">
        <v>0.3</v>
      </c>
      <c r="AW46">
        <f t="shared" si="10"/>
        <v>2.5641025641025644E-2</v>
      </c>
      <c r="AX46">
        <f t="shared" si="11"/>
        <v>1.9230769230769232E-2</v>
      </c>
      <c r="AY46">
        <f t="shared" si="12"/>
        <v>0</v>
      </c>
      <c r="AZ46">
        <f t="shared" si="13"/>
        <v>0</v>
      </c>
      <c r="BC46" s="3"/>
      <c r="BD46" s="3"/>
      <c r="BE46" s="5" t="s">
        <v>76</v>
      </c>
      <c r="BF46">
        <v>16.3</v>
      </c>
      <c r="BG46">
        <v>0.4</v>
      </c>
      <c r="BI46">
        <v>0.35</v>
      </c>
      <c r="BK46">
        <f t="shared" si="14"/>
        <v>2.4539877300613498E-2</v>
      </c>
      <c r="BL46">
        <f t="shared" si="15"/>
        <v>2.1472392638036807E-2</v>
      </c>
      <c r="BM46">
        <f t="shared" si="16"/>
        <v>0</v>
      </c>
      <c r="BN46">
        <f t="shared" si="17"/>
        <v>6.2499999999999986E-3</v>
      </c>
      <c r="BQ46" s="3"/>
      <c r="BR46" s="3"/>
      <c r="BS46" s="5" t="s">
        <v>76</v>
      </c>
      <c r="BT46">
        <v>16.7</v>
      </c>
      <c r="BU46">
        <v>0.65</v>
      </c>
      <c r="BW46">
        <v>0.55000000000000004</v>
      </c>
      <c r="BY46">
        <f t="shared" si="18"/>
        <v>3.8922155688622756E-2</v>
      </c>
      <c r="BZ46">
        <f t="shared" si="19"/>
        <v>3.2934131736526949E-2</v>
      </c>
      <c r="CA46">
        <f t="shared" si="20"/>
        <v>1.9230769230769232E-2</v>
      </c>
      <c r="CB46">
        <f t="shared" si="21"/>
        <v>1.5384615384615389E-2</v>
      </c>
      <c r="CE46" s="3"/>
      <c r="CF46" s="3"/>
      <c r="CG46" s="5" t="s">
        <v>76</v>
      </c>
      <c r="CH46" s="11">
        <v>17.5</v>
      </c>
      <c r="CI46">
        <v>0.85</v>
      </c>
      <c r="CK46">
        <v>0.85</v>
      </c>
      <c r="CM46">
        <f t="shared" si="22"/>
        <v>4.8571428571428571E-2</v>
      </c>
      <c r="CN46">
        <f t="shared" si="23"/>
        <v>4.8571428571428571E-2</v>
      </c>
      <c r="CO46">
        <f t="shared" si="24"/>
        <v>1.4285714285714282E-2</v>
      </c>
      <c r="CP46">
        <f t="shared" si="25"/>
        <v>2.1428571428571425E-2</v>
      </c>
      <c r="CS46" s="3"/>
      <c r="CT46" s="3"/>
      <c r="CU46" s="5" t="s">
        <v>76</v>
      </c>
      <c r="CV46" s="11">
        <v>18</v>
      </c>
      <c r="CW46">
        <v>0.95</v>
      </c>
      <c r="CY46">
        <f>0.25+0.85</f>
        <v>1.1000000000000001</v>
      </c>
      <c r="DA46">
        <f t="shared" si="59"/>
        <v>5.2777777777777778E-2</v>
      </c>
      <c r="DB46">
        <f t="shared" si="60"/>
        <v>6.1111111111111116E-2</v>
      </c>
      <c r="DC46">
        <f t="shared" si="61"/>
        <v>7.1428571428571409E-3</v>
      </c>
      <c r="DD46">
        <f t="shared" si="62"/>
        <v>1.7857142857142867E-2</v>
      </c>
      <c r="DG46" s="3"/>
      <c r="DH46" s="3"/>
      <c r="DI46" s="5" t="s">
        <v>76</v>
      </c>
      <c r="DJ46" s="11">
        <v>18.600000000000001</v>
      </c>
      <c r="DK46">
        <f>0.3+0.9</f>
        <v>1.2</v>
      </c>
      <c r="DM46">
        <f>0.45+1</f>
        <v>1.45</v>
      </c>
      <c r="DO46">
        <f t="shared" si="63"/>
        <v>6.4516129032258063E-2</v>
      </c>
      <c r="DP46">
        <f t="shared" si="64"/>
        <v>7.7956989247311814E-2</v>
      </c>
      <c r="DQ46">
        <f t="shared" si="65"/>
        <v>1.7857142857142856E-2</v>
      </c>
      <c r="DR46">
        <f t="shared" si="66"/>
        <v>2.4999999999999991E-2</v>
      </c>
      <c r="DU46" s="3"/>
      <c r="DV46" s="3"/>
      <c r="DW46" s="5" t="s">
        <v>76</v>
      </c>
      <c r="DX46" s="11">
        <v>19</v>
      </c>
      <c r="DY46">
        <f>0.4+0.95</f>
        <v>1.35</v>
      </c>
      <c r="EA46">
        <f>0.45+1.1</f>
        <v>1.55</v>
      </c>
      <c r="EC46">
        <f t="shared" si="67"/>
        <v>7.1052631578947367E-2</v>
      </c>
      <c r="ED46">
        <f t="shared" si="68"/>
        <v>8.1578947368421056E-2</v>
      </c>
      <c r="EE46">
        <f t="shared" si="69"/>
        <v>1.0714285714285723E-2</v>
      </c>
      <c r="EF46">
        <f t="shared" si="70"/>
        <v>7.1428571428571496E-3</v>
      </c>
      <c r="EI46" s="3"/>
      <c r="EJ46" s="3"/>
      <c r="EK46" s="5" t="s">
        <v>76</v>
      </c>
      <c r="EL46" s="11">
        <v>19.3</v>
      </c>
      <c r="EM46">
        <f>0.4+1</f>
        <v>1.4</v>
      </c>
      <c r="EO46">
        <f>0.4+1.25</f>
        <v>1.65</v>
      </c>
      <c r="EQ46">
        <f t="shared" si="71"/>
        <v>7.2538860103626937E-2</v>
      </c>
      <c r="ER46">
        <f t="shared" si="72"/>
        <v>8.549222797927461E-2</v>
      </c>
      <c r="ES46">
        <f t="shared" si="74"/>
        <v>3.5714285714285587E-3</v>
      </c>
      <c r="ET46">
        <f t="shared" si="48"/>
        <v>3.7037037037036986E-3</v>
      </c>
    </row>
    <row r="47" spans="1:150" x14ac:dyDescent="0.2">
      <c r="A47" s="7"/>
      <c r="B47" s="7"/>
      <c r="C47" s="5" t="s">
        <v>77</v>
      </c>
      <c r="D47" s="11">
        <v>13.4</v>
      </c>
      <c r="E47">
        <v>0.3</v>
      </c>
      <c r="F47" t="s">
        <v>24</v>
      </c>
      <c r="G47">
        <v>0.35</v>
      </c>
      <c r="H47" t="s">
        <v>24</v>
      </c>
      <c r="I47">
        <f t="shared" si="2"/>
        <v>2.2388059701492536E-2</v>
      </c>
      <c r="J47">
        <f t="shared" si="3"/>
        <v>2.6119402985074626E-2</v>
      </c>
      <c r="M47" s="3"/>
      <c r="N47" s="3"/>
      <c r="O47" s="5" t="s">
        <v>77</v>
      </c>
      <c r="P47" s="11">
        <v>13.7</v>
      </c>
      <c r="Q47">
        <v>0.35</v>
      </c>
      <c r="S47">
        <v>0.4</v>
      </c>
      <c r="U47">
        <f t="shared" si="4"/>
        <v>2.5547445255474453E-2</v>
      </c>
      <c r="V47">
        <f t="shared" si="5"/>
        <v>2.9197080291970805E-2</v>
      </c>
      <c r="W47">
        <f t="shared" si="49"/>
        <v>4.9999999999999992E-3</v>
      </c>
      <c r="X47">
        <f t="shared" si="55"/>
        <v>5.0000000000000044E-3</v>
      </c>
      <c r="AA47" s="3"/>
      <c r="AB47" s="3"/>
      <c r="AC47" s="5" t="s">
        <v>77</v>
      </c>
      <c r="AD47">
        <v>14.2</v>
      </c>
      <c r="AE47">
        <v>0.55000000000000004</v>
      </c>
      <c r="AG47">
        <v>0.45</v>
      </c>
      <c r="AI47">
        <f t="shared" si="6"/>
        <v>3.8732394366197187E-2</v>
      </c>
      <c r="AJ47">
        <f t="shared" si="7"/>
        <v>3.1690140845070422E-2</v>
      </c>
      <c r="AK47">
        <f t="shared" si="8"/>
        <v>3.3333333333333347E-2</v>
      </c>
      <c r="AL47">
        <f t="shared" si="9"/>
        <v>8.3333333333333315E-3</v>
      </c>
      <c r="AO47" s="3"/>
      <c r="AP47" s="3"/>
      <c r="AQ47" s="5" t="s">
        <v>77</v>
      </c>
      <c r="AR47">
        <v>14.6</v>
      </c>
      <c r="AS47">
        <v>0.6</v>
      </c>
      <c r="AU47">
        <v>0.6</v>
      </c>
      <c r="AW47">
        <f t="shared" si="10"/>
        <v>4.1095890410958902E-2</v>
      </c>
      <c r="AX47">
        <f t="shared" si="11"/>
        <v>4.1095890410958902E-2</v>
      </c>
      <c r="AY47">
        <f t="shared" si="12"/>
        <v>6.2499999999999917E-3</v>
      </c>
      <c r="AZ47">
        <f t="shared" si="13"/>
        <v>1.8749999999999996E-2</v>
      </c>
      <c r="BC47" s="3"/>
      <c r="BD47" s="3"/>
      <c r="BE47" s="5" t="s">
        <v>77</v>
      </c>
      <c r="BF47">
        <v>15</v>
      </c>
      <c r="BG47">
        <v>0.6</v>
      </c>
      <c r="BI47">
        <v>0.6</v>
      </c>
      <c r="BK47">
        <f t="shared" si="14"/>
        <v>0.04</v>
      </c>
      <c r="BL47">
        <f t="shared" si="15"/>
        <v>0.04</v>
      </c>
      <c r="BM47">
        <f t="shared" si="16"/>
        <v>0</v>
      </c>
      <c r="BN47">
        <f t="shared" si="17"/>
        <v>0</v>
      </c>
      <c r="BQ47" s="3"/>
      <c r="BR47" s="3"/>
      <c r="BS47" s="5" t="s">
        <v>77</v>
      </c>
      <c r="BT47">
        <v>16.3</v>
      </c>
      <c r="BU47">
        <v>0.6</v>
      </c>
      <c r="BW47">
        <v>0.65</v>
      </c>
      <c r="BY47">
        <f t="shared" si="18"/>
        <v>3.6809815950920241E-2</v>
      </c>
      <c r="BZ47">
        <f t="shared" si="19"/>
        <v>3.9877300613496931E-2</v>
      </c>
      <c r="CA47">
        <f t="shared" si="20"/>
        <v>0</v>
      </c>
      <c r="CB47">
        <f t="shared" si="21"/>
        <v>3.8461538461538494E-3</v>
      </c>
      <c r="CE47" s="3"/>
      <c r="CF47" s="3"/>
      <c r="CG47" s="5" t="s">
        <v>77</v>
      </c>
      <c r="CH47" s="11">
        <v>16.899999999999999</v>
      </c>
      <c r="CI47">
        <v>0.6</v>
      </c>
      <c r="CK47">
        <v>0.65</v>
      </c>
      <c r="CM47">
        <f t="shared" si="22"/>
        <v>3.5502958579881658E-2</v>
      </c>
      <c r="CN47">
        <f t="shared" si="23"/>
        <v>3.8461538461538464E-2</v>
      </c>
      <c r="CO47">
        <f t="shared" si="24"/>
        <v>0</v>
      </c>
      <c r="CP47">
        <f t="shared" si="25"/>
        <v>0</v>
      </c>
      <c r="CS47" s="3"/>
      <c r="CT47" s="3"/>
      <c r="CU47" s="5" t="s">
        <v>77</v>
      </c>
      <c r="CV47" s="11">
        <v>17.600000000000001</v>
      </c>
      <c r="CW47">
        <v>0.65</v>
      </c>
      <c r="CY47">
        <v>0.8</v>
      </c>
      <c r="DA47">
        <f t="shared" si="59"/>
        <v>3.6931818181818177E-2</v>
      </c>
      <c r="DB47">
        <f t="shared" si="60"/>
        <v>4.5454545454545456E-2</v>
      </c>
      <c r="DC47">
        <f t="shared" si="61"/>
        <v>3.5714285714285748E-3</v>
      </c>
      <c r="DD47">
        <f t="shared" si="62"/>
        <v>1.0714285714285716E-2</v>
      </c>
      <c r="DG47" s="3"/>
      <c r="DH47" s="3"/>
      <c r="DI47" s="5" t="s">
        <v>77</v>
      </c>
      <c r="DJ47" s="11">
        <v>18.2</v>
      </c>
      <c r="DK47">
        <f>0.85</f>
        <v>0.85</v>
      </c>
      <c r="DM47">
        <v>0.9</v>
      </c>
      <c r="DO47">
        <f t="shared" si="63"/>
        <v>4.6703296703296704E-2</v>
      </c>
      <c r="DP47">
        <f t="shared" si="64"/>
        <v>4.9450549450549455E-2</v>
      </c>
      <c r="DQ47">
        <f t="shared" si="65"/>
        <v>1.4285714285714282E-2</v>
      </c>
      <c r="DR47">
        <f t="shared" si="66"/>
        <v>7.1428571428571409E-3</v>
      </c>
      <c r="DU47" s="3"/>
      <c r="DV47" s="3"/>
      <c r="DW47" s="5" t="s">
        <v>77</v>
      </c>
      <c r="DX47" s="11">
        <v>19</v>
      </c>
      <c r="DY47">
        <v>0.95</v>
      </c>
      <c r="EA47">
        <v>1.1000000000000001</v>
      </c>
      <c r="EC47">
        <f t="shared" si="67"/>
        <v>4.9999999999999996E-2</v>
      </c>
      <c r="ED47">
        <f t="shared" si="68"/>
        <v>5.789473684210527E-2</v>
      </c>
      <c r="EE47">
        <f t="shared" si="69"/>
        <v>7.1428571428571409E-3</v>
      </c>
      <c r="EF47">
        <f t="shared" si="70"/>
        <v>1.428571428571429E-2</v>
      </c>
      <c r="EI47" s="3"/>
      <c r="EJ47" s="3"/>
      <c r="EK47" s="5" t="s">
        <v>77</v>
      </c>
      <c r="EL47" s="11">
        <v>19.899999999999999</v>
      </c>
      <c r="EM47">
        <v>1.05</v>
      </c>
      <c r="EO47">
        <v>1.1000000000000001</v>
      </c>
      <c r="EQ47">
        <f t="shared" si="71"/>
        <v>5.2763819095477393E-2</v>
      </c>
      <c r="ER47">
        <f t="shared" si="72"/>
        <v>5.5276381909547749E-2</v>
      </c>
      <c r="ES47">
        <f t="shared" si="74"/>
        <v>7.1428571428571496E-3</v>
      </c>
      <c r="ET47" s="8">
        <f t="shared" si="48"/>
        <v>0</v>
      </c>
    </row>
    <row r="48" spans="1:150" x14ac:dyDescent="0.2">
      <c r="A48" s="3" t="s">
        <v>78</v>
      </c>
      <c r="B48" s="3"/>
      <c r="C48" s="5" t="s">
        <v>79</v>
      </c>
      <c r="D48" s="9">
        <v>14.2</v>
      </c>
      <c r="E48" s="10">
        <f>0.9+1.55</f>
        <v>2.4500000000000002</v>
      </c>
      <c r="F48" s="10" t="s">
        <v>53</v>
      </c>
      <c r="G48" s="10">
        <f>0.95+1.6</f>
        <v>2.5499999999999998</v>
      </c>
      <c r="H48" s="10" t="s">
        <v>53</v>
      </c>
      <c r="I48" s="10">
        <f t="shared" si="2"/>
        <v>0.17253521126760565</v>
      </c>
      <c r="J48" s="10">
        <f t="shared" si="3"/>
        <v>0.17957746478873238</v>
      </c>
      <c r="M48" s="3" t="s">
        <v>80</v>
      </c>
      <c r="N48" s="3"/>
      <c r="O48" s="5" t="s">
        <v>79</v>
      </c>
      <c r="P48" s="9">
        <v>15</v>
      </c>
      <c r="Q48" s="10">
        <f>1+1.7</f>
        <v>2.7</v>
      </c>
      <c r="R48" s="10" t="s">
        <v>53</v>
      </c>
      <c r="S48" s="10">
        <f>0.95+1.7</f>
        <v>2.65</v>
      </c>
      <c r="T48" s="10" t="s">
        <v>53</v>
      </c>
      <c r="U48" s="10">
        <f t="shared" si="4"/>
        <v>0.18000000000000002</v>
      </c>
      <c r="V48" s="10">
        <f t="shared" si="5"/>
        <v>0.17666666666666667</v>
      </c>
      <c r="W48">
        <f t="shared" si="49"/>
        <v>2.5000000000000001E-2</v>
      </c>
      <c r="X48">
        <f t="shared" si="55"/>
        <v>1.0000000000000009E-2</v>
      </c>
      <c r="AA48" s="3" t="s">
        <v>80</v>
      </c>
      <c r="AB48" s="3"/>
      <c r="AC48" s="5" t="s">
        <v>79</v>
      </c>
      <c r="AD48">
        <v>15.3</v>
      </c>
      <c r="AE48">
        <f>1+1.8</f>
        <v>2.8</v>
      </c>
      <c r="AG48">
        <f>0.95+1.75</f>
        <v>2.7</v>
      </c>
      <c r="AI48" s="10">
        <f t="shared" si="6"/>
        <v>0.18300653594771241</v>
      </c>
      <c r="AJ48" s="10">
        <f t="shared" si="7"/>
        <v>0.17647058823529413</v>
      </c>
      <c r="AK48">
        <f t="shared" si="8"/>
        <v>1.6666666666666607E-2</v>
      </c>
      <c r="AL48">
        <f t="shared" si="9"/>
        <v>8.3333333333333783E-3</v>
      </c>
      <c r="AO48" s="3" t="s">
        <v>80</v>
      </c>
      <c r="AP48" s="3"/>
      <c r="AQ48" s="5" t="s">
        <v>79</v>
      </c>
      <c r="AR48">
        <v>16</v>
      </c>
      <c r="AS48">
        <f>1.1+1.8</f>
        <v>2.9000000000000004</v>
      </c>
      <c r="AU48">
        <f>0.9+2</f>
        <v>2.9</v>
      </c>
      <c r="AW48" s="10">
        <f t="shared" si="10"/>
        <v>0.18125000000000002</v>
      </c>
      <c r="AX48" s="10">
        <f t="shared" si="11"/>
        <v>0.18124999999999999</v>
      </c>
      <c r="AY48">
        <f t="shared" si="12"/>
        <v>1.2500000000000067E-2</v>
      </c>
      <c r="AZ48">
        <f t="shared" si="13"/>
        <v>2.4999999999999967E-2</v>
      </c>
      <c r="BC48" s="3" t="s">
        <v>80</v>
      </c>
      <c r="BD48" s="3"/>
      <c r="BE48" s="5" t="s">
        <v>79</v>
      </c>
      <c r="BF48">
        <v>16.600000000000001</v>
      </c>
      <c r="BG48">
        <f>1.05+1.85</f>
        <v>2.9000000000000004</v>
      </c>
      <c r="BI48">
        <f>1.05+2</f>
        <v>3.05</v>
      </c>
      <c r="BK48" s="10">
        <f t="shared" si="14"/>
        <v>0.1746987951807229</v>
      </c>
      <c r="BL48" s="10">
        <f t="shared" si="15"/>
        <v>0.18373493975903613</v>
      </c>
      <c r="BM48">
        <f t="shared" si="16"/>
        <v>0</v>
      </c>
      <c r="BN48">
        <f t="shared" si="17"/>
        <v>1.8749999999999989E-2</v>
      </c>
      <c r="BQ48" s="3" t="s">
        <v>80</v>
      </c>
      <c r="BR48" s="3"/>
      <c r="BS48" s="5" t="s">
        <v>79</v>
      </c>
      <c r="BT48">
        <v>17.3</v>
      </c>
      <c r="BU48">
        <f>1.05+2</f>
        <v>3.05</v>
      </c>
      <c r="BW48">
        <f>1.05+2.15</f>
        <v>3.2</v>
      </c>
      <c r="BY48" s="10">
        <f t="shared" si="18"/>
        <v>0.17630057803468208</v>
      </c>
      <c r="BZ48" s="10">
        <f t="shared" si="19"/>
        <v>0.18497109826589594</v>
      </c>
      <c r="CA48">
        <f t="shared" si="20"/>
        <v>1.1538461538461497E-2</v>
      </c>
      <c r="CB48">
        <f t="shared" si="21"/>
        <v>1.1538461538461565E-2</v>
      </c>
      <c r="CE48" s="3" t="s">
        <v>80</v>
      </c>
      <c r="CF48" s="3"/>
      <c r="CG48" s="5" t="s">
        <v>79</v>
      </c>
      <c r="CH48" s="9">
        <v>17.8</v>
      </c>
      <c r="CI48" s="10">
        <f>1.05+2</f>
        <v>3.05</v>
      </c>
      <c r="CJ48" s="10"/>
      <c r="CK48" s="10">
        <f>1.05+2</f>
        <v>3.05</v>
      </c>
      <c r="CL48" s="10"/>
      <c r="CM48" s="10">
        <f t="shared" si="22"/>
        <v>0.17134831460674155</v>
      </c>
      <c r="CN48" s="10">
        <f t="shared" si="23"/>
        <v>0.17134831460674155</v>
      </c>
      <c r="CO48" s="10">
        <f t="shared" si="24"/>
        <v>0</v>
      </c>
      <c r="CP48" s="10">
        <f t="shared" si="25"/>
        <v>-1.071428571428574E-2</v>
      </c>
      <c r="CS48" s="3" t="s">
        <v>80</v>
      </c>
      <c r="CT48" s="3"/>
      <c r="CU48" s="5" t="s">
        <v>79</v>
      </c>
      <c r="CV48" s="9">
        <v>18.5</v>
      </c>
      <c r="CW48" s="10">
        <f>1.15+2.25</f>
        <v>3.4</v>
      </c>
      <c r="CX48" s="10"/>
      <c r="CY48" s="10">
        <f>1.05+2.25</f>
        <v>3.3</v>
      </c>
      <c r="CZ48" s="10"/>
      <c r="DA48" s="10">
        <f t="shared" si="59"/>
        <v>0.18378378378378377</v>
      </c>
      <c r="DB48" s="10">
        <f t="shared" si="60"/>
        <v>0.17837837837837836</v>
      </c>
      <c r="DC48" s="10">
        <f t="shared" si="61"/>
        <v>2.5000000000000005E-2</v>
      </c>
      <c r="DD48" s="10">
        <f t="shared" si="62"/>
        <v>1.7857142857142856E-2</v>
      </c>
      <c r="DG48" s="3" t="s">
        <v>80</v>
      </c>
      <c r="DH48" s="3"/>
      <c r="DI48" s="5" t="s">
        <v>79</v>
      </c>
      <c r="DJ48" s="9">
        <v>19</v>
      </c>
      <c r="DK48" s="10">
        <f>1.25+2.1</f>
        <v>3.35</v>
      </c>
      <c r="DL48" s="10"/>
      <c r="DM48" s="10">
        <f>1.15+2.2</f>
        <v>3.35</v>
      </c>
      <c r="DN48" s="10"/>
      <c r="DO48" s="10">
        <f t="shared" si="63"/>
        <v>0.1763157894736842</v>
      </c>
      <c r="DP48" s="10">
        <f t="shared" si="64"/>
        <v>0.1763157894736842</v>
      </c>
      <c r="DQ48" s="10">
        <f t="shared" si="65"/>
        <v>-3.5714285714285587E-3</v>
      </c>
      <c r="DR48" s="10">
        <f t="shared" si="66"/>
        <v>3.5714285714285904E-3</v>
      </c>
      <c r="DU48" s="3" t="s">
        <v>80</v>
      </c>
      <c r="DV48" s="3"/>
      <c r="DW48" s="5" t="s">
        <v>79</v>
      </c>
      <c r="DX48" s="9">
        <v>19.600000000000001</v>
      </c>
      <c r="DY48" s="10">
        <f>1.3+2.25</f>
        <v>3.55</v>
      </c>
      <c r="DZ48" s="10"/>
      <c r="EA48" s="10">
        <f>1.1+2.25</f>
        <v>3.35</v>
      </c>
      <c r="EB48" s="10"/>
      <c r="EC48" s="10">
        <f t="shared" si="67"/>
        <v>0.18112244897959182</v>
      </c>
      <c r="ED48" s="10">
        <f t="shared" si="68"/>
        <v>0.17091836734693877</v>
      </c>
      <c r="EE48" s="10">
        <f t="shared" si="69"/>
        <v>1.4285714285714266E-2</v>
      </c>
      <c r="EF48" s="10">
        <f t="shared" si="70"/>
        <v>0</v>
      </c>
      <c r="EI48" s="3" t="s">
        <v>80</v>
      </c>
      <c r="EJ48" s="3"/>
      <c r="EK48" s="5" t="s">
        <v>79</v>
      </c>
      <c r="EL48" s="9">
        <v>20.399999999999999</v>
      </c>
      <c r="EM48" s="10">
        <f>1.3+2.3</f>
        <v>3.5999999999999996</v>
      </c>
      <c r="EN48" s="10"/>
      <c r="EO48" s="10">
        <f>1.15+2.3</f>
        <v>3.4499999999999997</v>
      </c>
      <c r="EP48" s="10"/>
      <c r="EQ48" s="10">
        <f t="shared" si="71"/>
        <v>0.1764705882352941</v>
      </c>
      <c r="ER48" s="10">
        <f t="shared" si="72"/>
        <v>0.16911764705882354</v>
      </c>
      <c r="ES48" s="10">
        <f t="shared" si="74"/>
        <v>3.5714285714285587E-3</v>
      </c>
      <c r="ET48">
        <f t="shared" si="48"/>
        <v>3.7037037037036904E-3</v>
      </c>
    </row>
    <row r="49" spans="1:150" x14ac:dyDescent="0.2">
      <c r="A49" s="3"/>
      <c r="B49" s="3"/>
      <c r="C49" s="5" t="s">
        <v>81</v>
      </c>
      <c r="D49" s="11">
        <v>13.2</v>
      </c>
      <c r="E49">
        <f>0.95+1.55</f>
        <v>2.5</v>
      </c>
      <c r="F49" t="s">
        <v>53</v>
      </c>
      <c r="G49">
        <f>0.9+1.6</f>
        <v>2.5</v>
      </c>
      <c r="H49" t="s">
        <v>53</v>
      </c>
      <c r="I49">
        <f t="shared" si="2"/>
        <v>0.18939393939393939</v>
      </c>
      <c r="J49">
        <f t="shared" si="3"/>
        <v>0.18939393939393939</v>
      </c>
      <c r="M49" s="3"/>
      <c r="N49" s="3"/>
      <c r="O49" s="5" t="s">
        <v>81</v>
      </c>
      <c r="P49" s="11">
        <v>14.1</v>
      </c>
      <c r="Q49">
        <f>0.95+1.7</f>
        <v>2.65</v>
      </c>
      <c r="R49" t="s">
        <v>53</v>
      </c>
      <c r="S49">
        <f>0.95+1.8</f>
        <v>2.75</v>
      </c>
      <c r="T49" t="s">
        <v>53</v>
      </c>
      <c r="U49">
        <f t="shared" si="4"/>
        <v>0.18794326241134751</v>
      </c>
      <c r="V49">
        <f t="shared" si="5"/>
        <v>0.19503546099290781</v>
      </c>
      <c r="W49">
        <f t="shared" si="49"/>
        <v>1.4999999999999991E-2</v>
      </c>
      <c r="X49">
        <f t="shared" si="55"/>
        <v>2.5000000000000001E-2</v>
      </c>
      <c r="AA49" s="3"/>
      <c r="AB49" s="3"/>
      <c r="AC49" s="5" t="s">
        <v>81</v>
      </c>
      <c r="AD49">
        <v>14.3</v>
      </c>
      <c r="AE49">
        <f>1+1.75</f>
        <v>2.75</v>
      </c>
      <c r="AG49">
        <f>1+1.85</f>
        <v>2.85</v>
      </c>
      <c r="AI49">
        <f t="shared" si="6"/>
        <v>0.19230769230769229</v>
      </c>
      <c r="AJ49">
        <f t="shared" si="7"/>
        <v>0.1993006993006993</v>
      </c>
      <c r="AK49">
        <f t="shared" si="8"/>
        <v>1.666666666666668E-2</v>
      </c>
      <c r="AL49">
        <f t="shared" si="9"/>
        <v>1.666666666666668E-2</v>
      </c>
      <c r="AO49" s="3"/>
      <c r="AP49" s="3"/>
      <c r="AQ49" s="5" t="s">
        <v>81</v>
      </c>
      <c r="AR49">
        <v>15</v>
      </c>
      <c r="AS49">
        <f>0.9+1.85</f>
        <v>2.75</v>
      </c>
      <c r="AU49">
        <f>1+1.85</f>
        <v>2.85</v>
      </c>
      <c r="AW49">
        <f t="shared" si="10"/>
        <v>0.18333333333333332</v>
      </c>
      <c r="AX49">
        <f t="shared" si="11"/>
        <v>0.19</v>
      </c>
      <c r="AY49">
        <f t="shared" si="12"/>
        <v>0</v>
      </c>
      <c r="AZ49">
        <f t="shared" si="13"/>
        <v>0</v>
      </c>
      <c r="BC49" s="3"/>
      <c r="BD49" s="3"/>
      <c r="BE49" s="5" t="s">
        <v>81</v>
      </c>
      <c r="BF49">
        <v>15.7</v>
      </c>
      <c r="BG49">
        <f>1+1.9</f>
        <v>2.9</v>
      </c>
      <c r="BI49">
        <f>0.9+1.95</f>
        <v>2.85</v>
      </c>
      <c r="BK49">
        <f t="shared" si="14"/>
        <v>0.18471337579617836</v>
      </c>
      <c r="BL49">
        <f t="shared" si="15"/>
        <v>0.18152866242038218</v>
      </c>
      <c r="BM49">
        <f t="shared" si="16"/>
        <v>1.8749999999999989E-2</v>
      </c>
      <c r="BN49">
        <f t="shared" si="17"/>
        <v>0</v>
      </c>
      <c r="BQ49" s="3"/>
      <c r="BR49" s="3"/>
      <c r="BS49" s="5" t="s">
        <v>81</v>
      </c>
      <c r="BT49">
        <v>16</v>
      </c>
      <c r="BU49">
        <f>1.05+1.95</f>
        <v>3</v>
      </c>
      <c r="BW49">
        <f>0.95+2</f>
        <v>2.95</v>
      </c>
      <c r="BY49">
        <f t="shared" si="18"/>
        <v>0.1875</v>
      </c>
      <c r="BZ49">
        <f t="shared" si="19"/>
        <v>0.18437500000000001</v>
      </c>
      <c r="CA49">
        <f t="shared" si="20"/>
        <v>7.6923076923076988E-3</v>
      </c>
      <c r="CB49">
        <f t="shared" si="21"/>
        <v>7.6923076923076988E-3</v>
      </c>
      <c r="CE49" s="3"/>
      <c r="CF49" s="3"/>
      <c r="CG49" s="5" t="s">
        <v>81</v>
      </c>
      <c r="CH49" s="11">
        <v>16.7</v>
      </c>
      <c r="CI49">
        <f>1+2</f>
        <v>3</v>
      </c>
      <c r="CK49">
        <f>1.05+2.1</f>
        <v>3.1500000000000004</v>
      </c>
      <c r="CM49">
        <f t="shared" si="22"/>
        <v>0.17964071856287425</v>
      </c>
      <c r="CN49">
        <f t="shared" si="23"/>
        <v>0.18862275449101798</v>
      </c>
      <c r="CO49">
        <f t="shared" si="24"/>
        <v>0</v>
      </c>
      <c r="CP49">
        <f t="shared" si="25"/>
        <v>1.4285714285714299E-2</v>
      </c>
      <c r="CS49" s="3"/>
      <c r="CT49" s="3"/>
      <c r="CU49" s="5" t="s">
        <v>81</v>
      </c>
      <c r="CV49" s="11">
        <v>17.600000000000001</v>
      </c>
      <c r="CW49">
        <f>1.1+2.1</f>
        <v>3.2</v>
      </c>
      <c r="CY49">
        <f>1.05+2.3</f>
        <v>3.3499999999999996</v>
      </c>
      <c r="DA49">
        <f t="shared" si="59"/>
        <v>0.18181818181818182</v>
      </c>
      <c r="DB49">
        <f t="shared" si="60"/>
        <v>0.19034090909090906</v>
      </c>
      <c r="DC49">
        <f t="shared" si="61"/>
        <v>1.4285714285714299E-2</v>
      </c>
      <c r="DD49">
        <f t="shared" si="62"/>
        <v>1.4285714285714235E-2</v>
      </c>
      <c r="DG49" s="3"/>
      <c r="DH49" s="3"/>
      <c r="DI49" s="5" t="s">
        <v>81</v>
      </c>
      <c r="DJ49" s="11">
        <v>18.399999999999999</v>
      </c>
      <c r="DK49">
        <f>1.15+2.25</f>
        <v>3.4</v>
      </c>
      <c r="DM49">
        <f>1.15+2.25</f>
        <v>3.4</v>
      </c>
      <c r="DO49">
        <f t="shared" si="63"/>
        <v>0.18478260869565219</v>
      </c>
      <c r="DP49">
        <f t="shared" si="64"/>
        <v>0.18478260869565219</v>
      </c>
      <c r="DQ49">
        <f t="shared" si="65"/>
        <v>1.4285714285714266E-2</v>
      </c>
      <c r="DR49">
        <f t="shared" si="66"/>
        <v>3.5714285714285904E-3</v>
      </c>
      <c r="DU49" s="3"/>
      <c r="DV49" s="3"/>
      <c r="DW49" s="5" t="s">
        <v>81</v>
      </c>
      <c r="DX49" s="11">
        <v>19.399999999999999</v>
      </c>
      <c r="DY49">
        <f>1.2+2.25</f>
        <v>3.45</v>
      </c>
      <c r="EA49">
        <f>1.15+2.3</f>
        <v>3.4499999999999997</v>
      </c>
      <c r="EC49">
        <f t="shared" si="67"/>
        <v>0.17783505154639179</v>
      </c>
      <c r="ED49">
        <f t="shared" si="68"/>
        <v>0.17783505154639176</v>
      </c>
      <c r="EE49">
        <f t="shared" si="69"/>
        <v>3.5714285714285904E-3</v>
      </c>
      <c r="EF49">
        <f t="shared" si="70"/>
        <v>3.5714285714285587E-3</v>
      </c>
      <c r="EI49" s="3"/>
      <c r="EJ49" s="3"/>
      <c r="EK49" s="5" t="s">
        <v>81</v>
      </c>
      <c r="EL49" s="11">
        <v>19.8</v>
      </c>
      <c r="EM49">
        <f>1.2+2.25</f>
        <v>3.45</v>
      </c>
      <c r="EO49">
        <f>1.15+2.35</f>
        <v>3.5</v>
      </c>
      <c r="EQ49">
        <f t="shared" si="71"/>
        <v>0.17424242424242425</v>
      </c>
      <c r="ER49">
        <f t="shared" si="72"/>
        <v>0.17676767676767677</v>
      </c>
      <c r="ES49">
        <f t="shared" si="74"/>
        <v>0</v>
      </c>
      <c r="ET49">
        <f t="shared" si="48"/>
        <v>1.8518518518518617E-3</v>
      </c>
    </row>
    <row r="50" spans="1:150" x14ac:dyDescent="0.2">
      <c r="A50" s="3"/>
      <c r="B50" s="3"/>
      <c r="C50" s="5" t="s">
        <v>82</v>
      </c>
      <c r="D50" s="11">
        <v>14</v>
      </c>
      <c r="E50">
        <f>1.05+1.5</f>
        <v>2.5499999999999998</v>
      </c>
      <c r="F50" t="s">
        <v>53</v>
      </c>
      <c r="G50">
        <f>0.95+1.55</f>
        <v>2.5</v>
      </c>
      <c r="H50" t="s">
        <v>53</v>
      </c>
      <c r="I50">
        <f t="shared" si="2"/>
        <v>0.18214285714285713</v>
      </c>
      <c r="J50">
        <f t="shared" si="3"/>
        <v>0.17857142857142858</v>
      </c>
      <c r="M50" s="3"/>
      <c r="N50" s="3"/>
      <c r="O50" s="5" t="s">
        <v>82</v>
      </c>
      <c r="P50" s="11">
        <v>14.9</v>
      </c>
      <c r="Q50">
        <f>1.05+1.6</f>
        <v>2.6500000000000004</v>
      </c>
      <c r="R50" t="s">
        <v>53</v>
      </c>
      <c r="S50">
        <f>1+1.8</f>
        <v>2.8</v>
      </c>
      <c r="T50" t="s">
        <v>53</v>
      </c>
      <c r="U50">
        <f t="shared" si="4"/>
        <v>0.17785234899328861</v>
      </c>
      <c r="V50">
        <f t="shared" si="5"/>
        <v>0.1879194630872483</v>
      </c>
      <c r="W50">
        <f t="shared" si="49"/>
        <v>1.0000000000000054E-2</v>
      </c>
      <c r="X50">
        <f t="shared" si="55"/>
        <v>2.9999999999999982E-2</v>
      </c>
      <c r="AA50" s="3"/>
      <c r="AB50" s="3"/>
      <c r="AC50" s="5" t="s">
        <v>82</v>
      </c>
      <c r="AD50">
        <v>15</v>
      </c>
      <c r="AE50">
        <f>1.15+1.6</f>
        <v>2.75</v>
      </c>
      <c r="AG50">
        <f>1+1.75</f>
        <v>2.75</v>
      </c>
      <c r="AI50">
        <f t="shared" si="6"/>
        <v>0.18333333333333332</v>
      </c>
      <c r="AJ50">
        <f t="shared" si="7"/>
        <v>0.18333333333333332</v>
      </c>
      <c r="AK50">
        <f t="shared" si="8"/>
        <v>1.6666666666666607E-2</v>
      </c>
      <c r="AL50">
        <f t="shared" si="9"/>
        <v>-8.3333333333333037E-3</v>
      </c>
      <c r="AO50" s="3"/>
      <c r="AP50" s="3"/>
      <c r="AQ50" s="5" t="s">
        <v>82</v>
      </c>
      <c r="AR50">
        <v>15.7</v>
      </c>
      <c r="AS50">
        <f>1.05+1.7</f>
        <v>2.75</v>
      </c>
      <c r="AU50">
        <f>1+1.825</f>
        <v>2.8250000000000002</v>
      </c>
      <c r="AW50">
        <f t="shared" si="10"/>
        <v>0.17515923566878983</v>
      </c>
      <c r="AX50">
        <f t="shared" si="11"/>
        <v>0.17993630573248409</v>
      </c>
      <c r="AY50">
        <f t="shared" si="12"/>
        <v>0</v>
      </c>
      <c r="AZ50">
        <f t="shared" si="13"/>
        <v>9.3750000000000222E-3</v>
      </c>
      <c r="BC50" s="3"/>
      <c r="BD50" s="3"/>
      <c r="BE50" s="5" t="s">
        <v>82</v>
      </c>
      <c r="BF50">
        <v>16.399999999999999</v>
      </c>
      <c r="BG50">
        <f>1.1+1.85</f>
        <v>2.95</v>
      </c>
      <c r="BI50">
        <f>1+1.95</f>
        <v>2.95</v>
      </c>
      <c r="BK50">
        <f t="shared" si="14"/>
        <v>0.17987804878048783</v>
      </c>
      <c r="BL50">
        <f t="shared" si="15"/>
        <v>0.17987804878048783</v>
      </c>
      <c r="BM50">
        <f t="shared" si="16"/>
        <v>2.5000000000000022E-2</v>
      </c>
      <c r="BN50">
        <f t="shared" si="17"/>
        <v>1.5625E-2</v>
      </c>
      <c r="BQ50" s="3"/>
      <c r="BR50" s="3"/>
      <c r="BS50" s="5" t="s">
        <v>82</v>
      </c>
      <c r="BT50">
        <v>16.899999999999999</v>
      </c>
      <c r="BU50">
        <f>1.15+1.85</f>
        <v>3</v>
      </c>
      <c r="BW50">
        <f>0.95+1.95</f>
        <v>2.9</v>
      </c>
      <c r="BY50">
        <f t="shared" si="18"/>
        <v>0.1775147928994083</v>
      </c>
      <c r="BZ50">
        <f t="shared" si="19"/>
        <v>0.17159763313609469</v>
      </c>
      <c r="CA50">
        <f t="shared" si="20"/>
        <v>3.8461538461538325E-3</v>
      </c>
      <c r="CB50">
        <f t="shared" si="21"/>
        <v>-3.8461538461538668E-3</v>
      </c>
      <c r="CE50" s="3"/>
      <c r="CF50" s="3"/>
      <c r="CG50" s="5" t="s">
        <v>82</v>
      </c>
      <c r="CH50" s="11">
        <v>17.7</v>
      </c>
      <c r="CI50">
        <f>1.15+1.9</f>
        <v>3.05</v>
      </c>
      <c r="CK50">
        <f>1+2</f>
        <v>3</v>
      </c>
      <c r="CM50">
        <f t="shared" si="22"/>
        <v>0.17231638418079095</v>
      </c>
      <c r="CN50">
        <f t="shared" si="23"/>
        <v>0.16949152542372883</v>
      </c>
      <c r="CO50">
        <f t="shared" si="24"/>
        <v>3.5714285714285587E-3</v>
      </c>
      <c r="CP50">
        <f t="shared" si="25"/>
        <v>7.1428571428571496E-3</v>
      </c>
      <c r="CS50" s="3"/>
      <c r="CT50" s="3"/>
      <c r="CU50" s="5" t="s">
        <v>82</v>
      </c>
      <c r="CV50" s="11">
        <v>18.100000000000001</v>
      </c>
      <c r="CW50">
        <f>1.3+2</f>
        <v>3.3</v>
      </c>
      <c r="CY50">
        <f>1+2.05</f>
        <v>3.05</v>
      </c>
      <c r="DA50">
        <f t="shared" si="59"/>
        <v>0.18232044198895025</v>
      </c>
      <c r="DB50">
        <f t="shared" si="60"/>
        <v>0.16850828729281767</v>
      </c>
      <c r="DC50">
        <f t="shared" si="61"/>
        <v>1.7857142857142856E-2</v>
      </c>
      <c r="DD50">
        <f t="shared" si="62"/>
        <v>3.5714285714285587E-3</v>
      </c>
      <c r="DG50" s="3"/>
      <c r="DH50" s="3"/>
      <c r="DI50" s="5" t="s">
        <v>82</v>
      </c>
      <c r="DJ50" s="11">
        <v>18.8</v>
      </c>
      <c r="DK50">
        <f>1.25+2.05</f>
        <v>3.3</v>
      </c>
      <c r="DM50">
        <f>1.05+2.05</f>
        <v>3.0999999999999996</v>
      </c>
      <c r="DO50">
        <f t="shared" si="63"/>
        <v>0.175531914893617</v>
      </c>
      <c r="DP50">
        <f t="shared" si="64"/>
        <v>0.16489361702127658</v>
      </c>
      <c r="DQ50">
        <f t="shared" si="65"/>
        <v>0</v>
      </c>
      <c r="DR50">
        <f t="shared" si="66"/>
        <v>3.5714285714285587E-3</v>
      </c>
      <c r="DU50" s="3"/>
      <c r="DV50" s="3"/>
      <c r="DW50" s="5" t="s">
        <v>82</v>
      </c>
      <c r="DX50" s="11">
        <v>19.600000000000001</v>
      </c>
      <c r="DY50">
        <f>1.2+2.1</f>
        <v>3.3</v>
      </c>
      <c r="EA50">
        <f>1.1+2.2</f>
        <v>3.3000000000000003</v>
      </c>
      <c r="EC50">
        <f t="shared" si="67"/>
        <v>0.16836734693877548</v>
      </c>
      <c r="ED50">
        <f t="shared" si="68"/>
        <v>0.1683673469387755</v>
      </c>
      <c r="EE50">
        <f t="shared" si="69"/>
        <v>0</v>
      </c>
      <c r="EF50">
        <f t="shared" si="70"/>
        <v>1.428571428571433E-2</v>
      </c>
      <c r="EI50" s="3"/>
      <c r="EJ50" s="3"/>
      <c r="EK50" s="5" t="s">
        <v>82</v>
      </c>
      <c r="EL50" s="11">
        <v>20.100000000000001</v>
      </c>
      <c r="EM50">
        <f>1.3+2.1</f>
        <v>3.4000000000000004</v>
      </c>
      <c r="EO50">
        <f>1.1+2.2</f>
        <v>3.3000000000000003</v>
      </c>
      <c r="EQ50">
        <f t="shared" si="71"/>
        <v>0.1691542288557214</v>
      </c>
      <c r="ER50">
        <f t="shared" si="72"/>
        <v>0.16417910447761194</v>
      </c>
      <c r="ES50">
        <f t="shared" si="74"/>
        <v>7.1428571428571808E-3</v>
      </c>
      <c r="ET50">
        <f t="shared" si="48"/>
        <v>0</v>
      </c>
    </row>
    <row r="51" spans="1:150" x14ac:dyDescent="0.2">
      <c r="A51" s="3"/>
      <c r="B51" s="3"/>
      <c r="C51" s="5" t="s">
        <v>83</v>
      </c>
      <c r="D51" s="11">
        <v>12.7</v>
      </c>
      <c r="E51">
        <f>1.05+1.9</f>
        <v>2.95</v>
      </c>
      <c r="F51" t="s">
        <v>53</v>
      </c>
      <c r="G51">
        <f>0.95+1.75</f>
        <v>2.7</v>
      </c>
      <c r="H51" t="s">
        <v>53</v>
      </c>
      <c r="I51">
        <f t="shared" si="2"/>
        <v>0.23228346456692917</v>
      </c>
      <c r="J51">
        <f t="shared" si="3"/>
        <v>0.21259842519685043</v>
      </c>
      <c r="M51" s="3"/>
      <c r="N51" s="3"/>
      <c r="O51" s="5" t="s">
        <v>83</v>
      </c>
      <c r="P51" s="11">
        <v>13.5</v>
      </c>
      <c r="Q51">
        <f>1.05+2.05</f>
        <v>3.0999999999999996</v>
      </c>
      <c r="R51" t="s">
        <v>53</v>
      </c>
      <c r="S51">
        <f>1.05+1.9</f>
        <v>2.95</v>
      </c>
      <c r="T51" t="s">
        <v>53</v>
      </c>
      <c r="U51">
        <f t="shared" si="4"/>
        <v>0.2296296296296296</v>
      </c>
      <c r="V51">
        <f t="shared" si="5"/>
        <v>0.21851851851851853</v>
      </c>
      <c r="W51">
        <f t="shared" si="49"/>
        <v>1.4999999999999947E-2</v>
      </c>
      <c r="X51">
        <f t="shared" si="55"/>
        <v>2.5000000000000001E-2</v>
      </c>
      <c r="AA51" s="3"/>
      <c r="AB51" s="3"/>
      <c r="AC51" s="5" t="s">
        <v>83</v>
      </c>
      <c r="AD51">
        <v>13.8</v>
      </c>
      <c r="AE51">
        <f>1+1.95</f>
        <v>2.95</v>
      </c>
      <c r="AG51">
        <f>1.05+1.8</f>
        <v>2.85</v>
      </c>
      <c r="AI51">
        <f t="shared" si="6"/>
        <v>0.21376811594202899</v>
      </c>
      <c r="AJ51">
        <f t="shared" si="7"/>
        <v>0.20652173913043478</v>
      </c>
      <c r="AK51">
        <f t="shared" si="8"/>
        <v>-2.4999999999999911E-2</v>
      </c>
      <c r="AL51">
        <f t="shared" si="9"/>
        <v>-1.666666666666668E-2</v>
      </c>
      <c r="AO51" s="3"/>
      <c r="AP51" s="3"/>
      <c r="AQ51" s="5" t="s">
        <v>83</v>
      </c>
      <c r="AR51">
        <v>14.2</v>
      </c>
      <c r="AS51">
        <f>1.05+2.1</f>
        <v>3.1500000000000004</v>
      </c>
      <c r="AU51">
        <f>1.05+2</f>
        <v>3.05</v>
      </c>
      <c r="AW51">
        <f t="shared" si="10"/>
        <v>0.221830985915493</v>
      </c>
      <c r="AX51">
        <f t="shared" si="11"/>
        <v>0.21478873239436619</v>
      </c>
      <c r="AY51">
        <f t="shared" si="12"/>
        <v>2.5000000000000022E-2</v>
      </c>
      <c r="AZ51">
        <f t="shared" si="13"/>
        <v>2.4999999999999967E-2</v>
      </c>
      <c r="BC51" s="3"/>
      <c r="BD51" s="3"/>
      <c r="BE51" s="5" t="s">
        <v>83</v>
      </c>
      <c r="BF51">
        <v>14.7</v>
      </c>
      <c r="BG51">
        <f>1+2.2</f>
        <v>3.2</v>
      </c>
      <c r="BI51">
        <f>1.15+2.05</f>
        <v>3.1999999999999997</v>
      </c>
      <c r="BK51">
        <f t="shared" si="14"/>
        <v>0.21768707482993199</v>
      </c>
      <c r="BL51">
        <f t="shared" si="15"/>
        <v>0.21768707482993196</v>
      </c>
      <c r="BM51">
        <f t="shared" si="16"/>
        <v>6.2499999999999778E-3</v>
      </c>
      <c r="BN51">
        <f t="shared" si="17"/>
        <v>1.8749999999999989E-2</v>
      </c>
      <c r="BQ51" s="3"/>
      <c r="BR51" s="3"/>
      <c r="BS51" s="5" t="s">
        <v>83</v>
      </c>
      <c r="BT51">
        <v>15.4</v>
      </c>
      <c r="BU51">
        <f>1.1+2.3</f>
        <v>3.4</v>
      </c>
      <c r="BW51">
        <f>1.1+2.1</f>
        <v>3.2</v>
      </c>
      <c r="BY51">
        <f t="shared" si="18"/>
        <v>0.22077922077922077</v>
      </c>
      <c r="BZ51">
        <f t="shared" si="19"/>
        <v>0.20779220779220781</v>
      </c>
      <c r="CA51">
        <f t="shared" si="20"/>
        <v>1.5384615384615365E-2</v>
      </c>
      <c r="CB51">
        <f t="shared" si="21"/>
        <v>3.4160708450004819E-17</v>
      </c>
      <c r="CE51" s="3"/>
      <c r="CF51" s="3"/>
      <c r="CG51" s="5" t="s">
        <v>83</v>
      </c>
      <c r="CH51" s="11">
        <v>15.9</v>
      </c>
      <c r="CI51">
        <f>1.15+2.4</f>
        <v>3.55</v>
      </c>
      <c r="CK51">
        <f>1.2+2.05</f>
        <v>3.25</v>
      </c>
      <c r="CM51">
        <f t="shared" si="22"/>
        <v>0.22327044025157231</v>
      </c>
      <c r="CN51">
        <f t="shared" si="23"/>
        <v>0.20440251572327042</v>
      </c>
      <c r="CO51">
        <f t="shared" si="24"/>
        <v>1.0714285714285707E-2</v>
      </c>
      <c r="CP51">
        <f t="shared" si="25"/>
        <v>3.5714285714285587E-3</v>
      </c>
      <c r="CS51" s="3"/>
      <c r="CT51" s="3"/>
      <c r="CU51" s="5" t="s">
        <v>83</v>
      </c>
      <c r="CV51" s="11">
        <v>16.600000000000001</v>
      </c>
      <c r="CW51">
        <f>1.1+2.35</f>
        <v>3.45</v>
      </c>
      <c r="CY51">
        <f>1.15+2.15</f>
        <v>3.3</v>
      </c>
      <c r="DA51">
        <f t="shared" si="59"/>
        <v>0.20783132530120482</v>
      </c>
      <c r="DB51">
        <f t="shared" si="60"/>
        <v>0.19879518072289154</v>
      </c>
      <c r="DC51">
        <f t="shared" si="61"/>
        <v>-7.1428571428571175E-3</v>
      </c>
      <c r="DD51">
        <f t="shared" si="62"/>
        <v>3.5714285714285587E-3</v>
      </c>
      <c r="DG51" s="3"/>
      <c r="DH51" s="3"/>
      <c r="DI51" s="5" t="s">
        <v>83</v>
      </c>
      <c r="DJ51" s="11">
        <v>17.2</v>
      </c>
      <c r="DK51">
        <f>1.25+2.55</f>
        <v>3.8</v>
      </c>
      <c r="DM51">
        <f>1.15+2.35</f>
        <v>3.5</v>
      </c>
      <c r="DO51">
        <f t="shared" si="63"/>
        <v>0.22093023255813954</v>
      </c>
      <c r="DP51">
        <f t="shared" si="64"/>
        <v>0.20348837209302326</v>
      </c>
      <c r="DQ51">
        <f t="shared" si="65"/>
        <v>2.4999999999999974E-2</v>
      </c>
      <c r="DR51">
        <f t="shared" si="66"/>
        <v>1.4285714285714299E-2</v>
      </c>
      <c r="DU51" s="3"/>
      <c r="DV51" s="3"/>
      <c r="DW51" s="5" t="s">
        <v>83</v>
      </c>
      <c r="DX51" s="11">
        <v>18.2</v>
      </c>
      <c r="DY51">
        <f>1.3+2.55</f>
        <v>3.8499999999999996</v>
      </c>
      <c r="EA51">
        <f>1.3+2.4</f>
        <v>3.7</v>
      </c>
      <c r="EC51">
        <f t="shared" si="67"/>
        <v>0.21153846153846154</v>
      </c>
      <c r="ED51">
        <f t="shared" si="68"/>
        <v>0.20329670329670332</v>
      </c>
      <c r="EE51">
        <f t="shared" si="69"/>
        <v>3.5714285714285587E-3</v>
      </c>
      <c r="EF51">
        <f t="shared" si="70"/>
        <v>1.4285714285714299E-2</v>
      </c>
      <c r="EI51" s="3"/>
      <c r="EJ51" s="3"/>
      <c r="EK51" s="5" t="s">
        <v>83</v>
      </c>
      <c r="EL51" s="11">
        <v>19</v>
      </c>
      <c r="EM51">
        <f>1.35+2.5</f>
        <v>3.85</v>
      </c>
      <c r="EO51">
        <f>1.25+2.5</f>
        <v>3.75</v>
      </c>
      <c r="EQ51">
        <f t="shared" si="71"/>
        <v>0.20263157894736841</v>
      </c>
      <c r="ER51">
        <f t="shared" si="72"/>
        <v>0.19736842105263158</v>
      </c>
      <c r="ES51">
        <f t="shared" si="74"/>
        <v>3.1720657846433042E-17</v>
      </c>
      <c r="ET51">
        <f t="shared" si="48"/>
        <v>1.8518518518518452E-3</v>
      </c>
    </row>
    <row r="52" spans="1:150" x14ac:dyDescent="0.2">
      <c r="A52" s="3"/>
      <c r="B52" s="3"/>
      <c r="C52" s="5" t="s">
        <v>84</v>
      </c>
      <c r="D52" s="12">
        <v>14.5</v>
      </c>
      <c r="E52" s="8">
        <f>1.1+1.7</f>
        <v>2.8</v>
      </c>
      <c r="F52" s="8" t="s">
        <v>53</v>
      </c>
      <c r="G52" s="8">
        <f>0.95+1.75</f>
        <v>2.7</v>
      </c>
      <c r="H52" t="s">
        <v>53</v>
      </c>
      <c r="I52">
        <f t="shared" si="2"/>
        <v>0.19310344827586207</v>
      </c>
      <c r="J52">
        <f t="shared" si="3"/>
        <v>0.18620689655172415</v>
      </c>
      <c r="M52" s="3"/>
      <c r="N52" s="3"/>
      <c r="O52" s="5" t="s">
        <v>84</v>
      </c>
      <c r="P52" s="12">
        <v>15.3</v>
      </c>
      <c r="Q52" s="8">
        <f>1.05+1.75</f>
        <v>2.8</v>
      </c>
      <c r="R52" s="8" t="s">
        <v>53</v>
      </c>
      <c r="S52" s="8">
        <f>1.05+2</f>
        <v>3.05</v>
      </c>
      <c r="T52" t="s">
        <v>53</v>
      </c>
      <c r="U52">
        <f t="shared" si="4"/>
        <v>0.18300653594771241</v>
      </c>
      <c r="V52">
        <f t="shared" si="5"/>
        <v>0.19934640522875816</v>
      </c>
      <c r="W52">
        <f t="shared" si="49"/>
        <v>0</v>
      </c>
      <c r="X52">
        <f t="shared" si="55"/>
        <v>3.4999999999999962E-2</v>
      </c>
      <c r="AA52" s="3"/>
      <c r="AB52" s="3"/>
      <c r="AC52" s="5" t="s">
        <v>84</v>
      </c>
      <c r="AD52">
        <v>15.6</v>
      </c>
      <c r="AE52">
        <f>1.05+1.9</f>
        <v>2.95</v>
      </c>
      <c r="AG52">
        <f>1.1+1.9</f>
        <v>3</v>
      </c>
      <c r="AI52">
        <f t="shared" si="6"/>
        <v>0.18910256410256412</v>
      </c>
      <c r="AJ52">
        <f t="shared" si="7"/>
        <v>0.19230769230769232</v>
      </c>
      <c r="AK52">
        <f t="shared" si="8"/>
        <v>2.500000000000006E-2</v>
      </c>
      <c r="AL52">
        <f t="shared" si="9"/>
        <v>-8.3333333333333037E-3</v>
      </c>
      <c r="AO52" s="3"/>
      <c r="AP52" s="3"/>
      <c r="AQ52" s="5" t="s">
        <v>84</v>
      </c>
      <c r="AR52">
        <v>16.2</v>
      </c>
      <c r="AS52">
        <f>1.15+1.95</f>
        <v>3.0999999999999996</v>
      </c>
      <c r="AU52">
        <f>1.1+1.95</f>
        <v>3.05</v>
      </c>
      <c r="AW52">
        <f t="shared" si="10"/>
        <v>0.19135802469135801</v>
      </c>
      <c r="AX52">
        <f t="shared" si="11"/>
        <v>0.18827160493827161</v>
      </c>
      <c r="AY52">
        <f t="shared" si="12"/>
        <v>1.8749999999999933E-2</v>
      </c>
      <c r="AZ52">
        <f t="shared" si="13"/>
        <v>6.2499999999999778E-3</v>
      </c>
      <c r="BC52" s="3"/>
      <c r="BD52" s="3"/>
      <c r="BE52" s="5" t="s">
        <v>84</v>
      </c>
      <c r="BF52">
        <v>16.7</v>
      </c>
      <c r="BG52">
        <f>1.1+2.05</f>
        <v>3.15</v>
      </c>
      <c r="BI52">
        <f>1.1+2.15</f>
        <v>3.25</v>
      </c>
      <c r="BK52">
        <f t="shared" si="14"/>
        <v>0.18862275449101798</v>
      </c>
      <c r="BL52">
        <f t="shared" si="15"/>
        <v>0.19461077844311378</v>
      </c>
      <c r="BM52">
        <f t="shared" si="16"/>
        <v>6.2500000000000333E-3</v>
      </c>
      <c r="BN52">
        <f t="shared" si="17"/>
        <v>2.5000000000000022E-2</v>
      </c>
      <c r="BQ52" s="3"/>
      <c r="BR52" s="3"/>
      <c r="BS52" s="5" t="s">
        <v>84</v>
      </c>
      <c r="BT52">
        <v>17.3</v>
      </c>
      <c r="BU52">
        <f>1.15+2.1</f>
        <v>3.25</v>
      </c>
      <c r="BW52">
        <f>1.15+2.1</f>
        <v>3.25</v>
      </c>
      <c r="BY52">
        <f t="shared" si="18"/>
        <v>0.18786127167630057</v>
      </c>
      <c r="BZ52">
        <f t="shared" si="19"/>
        <v>0.18786127167630057</v>
      </c>
      <c r="CA52">
        <f t="shared" si="20"/>
        <v>7.6923076923076988E-3</v>
      </c>
      <c r="CB52">
        <f t="shared" si="21"/>
        <v>0</v>
      </c>
      <c r="CE52" s="3"/>
      <c r="CF52" s="3"/>
      <c r="CG52" s="5" t="s">
        <v>84</v>
      </c>
      <c r="CH52" s="12">
        <v>17.899999999999999</v>
      </c>
      <c r="CI52" s="8">
        <f>1.1+2.25</f>
        <v>3.35</v>
      </c>
      <c r="CJ52" s="8"/>
      <c r="CK52" s="8">
        <f>1.05+2.25</f>
        <v>3.3</v>
      </c>
      <c r="CL52" s="8"/>
      <c r="CM52" s="8">
        <f t="shared" si="22"/>
        <v>0.18715083798882684</v>
      </c>
      <c r="CN52" s="8">
        <f t="shared" si="23"/>
        <v>0.18435754189944134</v>
      </c>
      <c r="CO52" s="8">
        <f t="shared" si="24"/>
        <v>7.1428571428571496E-3</v>
      </c>
      <c r="CP52" s="8">
        <f t="shared" si="25"/>
        <v>3.5714285714285587E-3</v>
      </c>
      <c r="CS52" s="3"/>
      <c r="CT52" s="3"/>
      <c r="CU52" s="5" t="s">
        <v>84</v>
      </c>
      <c r="CV52" s="12">
        <v>18.399999999999999</v>
      </c>
      <c r="CW52" s="8">
        <f>1.15+2.35</f>
        <v>3.5</v>
      </c>
      <c r="CX52" s="8"/>
      <c r="CY52" s="8">
        <f>1.25+2.25</f>
        <v>3.5</v>
      </c>
      <c r="CZ52" s="8"/>
      <c r="DA52" s="8">
        <f t="shared" si="59"/>
        <v>0.19021739130434784</v>
      </c>
      <c r="DB52" s="8">
        <f t="shared" si="60"/>
        <v>0.19021739130434784</v>
      </c>
      <c r="DC52" s="8">
        <f t="shared" si="61"/>
        <v>1.0714285714285707E-2</v>
      </c>
      <c r="DD52" s="8">
        <f t="shared" si="62"/>
        <v>1.4285714285714299E-2</v>
      </c>
      <c r="DG52" s="3"/>
      <c r="DH52" s="3"/>
      <c r="DI52" s="5" t="s">
        <v>84</v>
      </c>
      <c r="DJ52" s="12">
        <v>18.600000000000001</v>
      </c>
      <c r="DK52" s="8">
        <f>1.15+2.35</f>
        <v>3.5</v>
      </c>
      <c r="DL52" s="8"/>
      <c r="DM52" s="8">
        <f>1.2+2.35</f>
        <v>3.55</v>
      </c>
      <c r="DN52" s="8"/>
      <c r="DO52" s="8">
        <f t="shared" si="63"/>
        <v>0.18817204301075269</v>
      </c>
      <c r="DP52" s="8">
        <f t="shared" si="64"/>
        <v>0.19086021505376341</v>
      </c>
      <c r="DQ52" s="8">
        <f t="shared" si="65"/>
        <v>0</v>
      </c>
      <c r="DR52" s="8">
        <f t="shared" si="66"/>
        <v>3.5714285714285587E-3</v>
      </c>
      <c r="DU52" s="3"/>
      <c r="DV52" s="3"/>
      <c r="DW52" s="5" t="s">
        <v>84</v>
      </c>
      <c r="DX52" s="12">
        <v>19</v>
      </c>
      <c r="DY52" s="8">
        <f>1.25+2.35</f>
        <v>3.6</v>
      </c>
      <c r="DZ52" s="8"/>
      <c r="EA52" s="8">
        <f>1.25+2.35</f>
        <v>3.6</v>
      </c>
      <c r="EB52" s="8"/>
      <c r="EC52" s="8">
        <f t="shared" si="67"/>
        <v>0.18947368421052632</v>
      </c>
      <c r="ED52" s="8">
        <f t="shared" si="68"/>
        <v>0.18947368421052632</v>
      </c>
      <c r="EE52" s="8">
        <f t="shared" si="69"/>
        <v>7.1428571428571496E-3</v>
      </c>
      <c r="EF52" s="8">
        <f t="shared" si="70"/>
        <v>3.5714285714285904E-3</v>
      </c>
      <c r="EI52" s="3"/>
      <c r="EJ52" s="3"/>
      <c r="EK52" s="5" t="s">
        <v>84</v>
      </c>
      <c r="EL52" s="12">
        <v>19.100000000000001</v>
      </c>
      <c r="EM52" s="8">
        <f>1.35+2.35</f>
        <v>3.7</v>
      </c>
      <c r="EN52" s="8"/>
      <c r="EO52" s="8">
        <f>1.35+2.35</f>
        <v>3.7</v>
      </c>
      <c r="EP52" s="8"/>
      <c r="EQ52" s="8">
        <f t="shared" si="71"/>
        <v>0.19371727748691098</v>
      </c>
      <c r="ER52" s="8">
        <f t="shared" si="72"/>
        <v>0.19371727748691098</v>
      </c>
      <c r="ES52" s="8">
        <f t="shared" si="74"/>
        <v>7.1428571428571496E-3</v>
      </c>
      <c r="ET52" s="8">
        <f t="shared" si="48"/>
        <v>3.7037037037037069E-3</v>
      </c>
    </row>
    <row r="53" spans="1:150" x14ac:dyDescent="0.2">
      <c r="H53" s="10"/>
      <c r="I53" s="10"/>
      <c r="J53" s="10"/>
      <c r="T53" s="10"/>
      <c r="U53" s="10"/>
      <c r="V53" s="10"/>
      <c r="W53" s="10"/>
    </row>
    <row r="54" spans="1:150" x14ac:dyDescent="0.2">
      <c r="A54" s="5" t="s">
        <v>85</v>
      </c>
      <c r="B54" s="14" t="s">
        <v>86</v>
      </c>
      <c r="C54" s="15"/>
      <c r="D54" s="15"/>
      <c r="E54" s="15"/>
      <c r="F54" s="15"/>
      <c r="G54" s="16"/>
      <c r="M54" s="5" t="s">
        <v>85</v>
      </c>
      <c r="N54" s="14" t="s">
        <v>86</v>
      </c>
      <c r="O54" s="15"/>
      <c r="P54" s="15"/>
      <c r="Q54" s="15"/>
      <c r="R54" s="15"/>
      <c r="S54" s="16"/>
      <c r="AA54" s="5" t="s">
        <v>85</v>
      </c>
      <c r="AB54" s="14" t="s">
        <v>86</v>
      </c>
      <c r="AC54" s="15"/>
      <c r="AD54" s="15"/>
      <c r="AE54" s="15"/>
      <c r="AF54" s="15"/>
      <c r="AG54" s="16"/>
      <c r="AO54" s="5" t="s">
        <v>85</v>
      </c>
      <c r="AP54" s="14" t="s">
        <v>86</v>
      </c>
      <c r="AQ54" s="15"/>
      <c r="AR54" s="15"/>
      <c r="AS54" s="15"/>
      <c r="AT54" s="15"/>
      <c r="AU54" s="16"/>
      <c r="BC54" s="5" t="s">
        <v>85</v>
      </c>
      <c r="BD54" s="14" t="s">
        <v>86</v>
      </c>
      <c r="BE54" s="15"/>
      <c r="BF54" s="15"/>
      <c r="BG54" s="15"/>
      <c r="BH54" s="15"/>
      <c r="BI54" s="16"/>
      <c r="BQ54" s="5" t="s">
        <v>85</v>
      </c>
      <c r="BR54" s="14" t="s">
        <v>86</v>
      </c>
      <c r="BS54" s="15"/>
      <c r="BT54" s="15"/>
      <c r="BU54" s="15"/>
      <c r="BV54" s="15"/>
      <c r="BW54" s="16"/>
      <c r="CE54" s="5" t="s">
        <v>85</v>
      </c>
      <c r="CF54" s="14" t="s">
        <v>86</v>
      </c>
      <c r="CG54" s="15"/>
      <c r="CH54" s="15"/>
      <c r="CI54" s="15"/>
      <c r="CJ54" s="15"/>
      <c r="CK54" s="16"/>
      <c r="CS54" s="5" t="s">
        <v>85</v>
      </c>
      <c r="CT54" s="14" t="s">
        <v>86</v>
      </c>
      <c r="CU54" s="15"/>
      <c r="CV54" s="15"/>
      <c r="CW54" s="15"/>
      <c r="CX54" s="15"/>
      <c r="CY54" s="16"/>
      <c r="DG54" s="5" t="s">
        <v>85</v>
      </c>
      <c r="DH54" s="14" t="s">
        <v>86</v>
      </c>
      <c r="DI54" s="15"/>
      <c r="DJ54" s="15"/>
      <c r="DK54" s="15"/>
      <c r="DL54" s="15"/>
      <c r="DM54" s="16"/>
      <c r="DU54" s="5" t="s">
        <v>85</v>
      </c>
      <c r="DV54" s="14" t="s">
        <v>86</v>
      </c>
      <c r="DW54" s="15"/>
      <c r="DX54" s="15"/>
      <c r="DY54" s="15"/>
      <c r="DZ54" s="15"/>
      <c r="EA54" s="16"/>
      <c r="EI54" s="5" t="s">
        <v>85</v>
      </c>
      <c r="EJ54" s="14" t="s">
        <v>86</v>
      </c>
      <c r="EK54" s="15"/>
      <c r="EL54" s="15"/>
      <c r="EM54" s="15"/>
      <c r="EN54" s="15"/>
      <c r="EO54" s="16"/>
    </row>
    <row r="55" spans="1:150" x14ac:dyDescent="0.2">
      <c r="A55" s="5" t="s">
        <v>87</v>
      </c>
      <c r="B55" s="17" t="s">
        <v>88</v>
      </c>
      <c r="C55" s="17"/>
      <c r="D55" s="17"/>
      <c r="E55" s="14" t="s">
        <v>89</v>
      </c>
      <c r="F55" s="15"/>
      <c r="G55" s="16"/>
      <c r="I55" t="s">
        <v>90</v>
      </c>
      <c r="M55" s="5" t="s">
        <v>87</v>
      </c>
      <c r="N55" s="17" t="s">
        <v>88</v>
      </c>
      <c r="O55" s="17"/>
      <c r="P55" s="17"/>
      <c r="Q55" s="14" t="s">
        <v>89</v>
      </c>
      <c r="R55" s="15"/>
      <c r="S55" s="16"/>
      <c r="AA55" s="5" t="s">
        <v>87</v>
      </c>
      <c r="AB55" s="17" t="s">
        <v>88</v>
      </c>
      <c r="AC55" s="17"/>
      <c r="AD55" s="17"/>
      <c r="AE55" s="14" t="s">
        <v>89</v>
      </c>
      <c r="AF55" s="15"/>
      <c r="AG55" s="16"/>
      <c r="AO55" s="5" t="s">
        <v>87</v>
      </c>
      <c r="AP55" s="17" t="s">
        <v>88</v>
      </c>
      <c r="AQ55" s="17"/>
      <c r="AR55" s="17"/>
      <c r="AS55" s="14" t="s">
        <v>89</v>
      </c>
      <c r="AT55" s="15"/>
      <c r="AU55" s="16"/>
      <c r="BC55" s="5" t="s">
        <v>87</v>
      </c>
      <c r="BD55" s="17" t="s">
        <v>88</v>
      </c>
      <c r="BE55" s="17"/>
      <c r="BF55" s="17"/>
      <c r="BG55" s="14" t="s">
        <v>89</v>
      </c>
      <c r="BH55" s="15"/>
      <c r="BI55" s="16"/>
      <c r="BQ55" s="5" t="s">
        <v>87</v>
      </c>
      <c r="BR55" s="14" t="s">
        <v>88</v>
      </c>
      <c r="BS55" s="15"/>
      <c r="BT55" s="16"/>
      <c r="BU55" s="14" t="s">
        <v>89</v>
      </c>
      <c r="BV55" s="15"/>
      <c r="BW55" s="16"/>
      <c r="CE55" s="5" t="s">
        <v>87</v>
      </c>
      <c r="CF55" s="14" t="s">
        <v>88</v>
      </c>
      <c r="CG55" s="15"/>
      <c r="CH55" s="16"/>
      <c r="CI55" s="14" t="s">
        <v>89</v>
      </c>
      <c r="CJ55" s="15"/>
      <c r="CK55" s="16"/>
      <c r="CS55" s="5" t="s">
        <v>87</v>
      </c>
      <c r="CT55" s="14" t="s">
        <v>88</v>
      </c>
      <c r="CU55" s="15"/>
      <c r="CV55" s="16"/>
      <c r="CW55" s="14" t="s">
        <v>89</v>
      </c>
      <c r="CX55" s="15"/>
      <c r="CY55" s="16"/>
      <c r="DG55" s="5" t="s">
        <v>87</v>
      </c>
      <c r="DH55" s="14" t="s">
        <v>88</v>
      </c>
      <c r="DI55" s="15"/>
      <c r="DJ55" s="16"/>
      <c r="DK55" s="14" t="s">
        <v>89</v>
      </c>
      <c r="DL55" s="15"/>
      <c r="DM55" s="16"/>
      <c r="DP55" t="s">
        <v>90</v>
      </c>
      <c r="DU55" s="5" t="s">
        <v>87</v>
      </c>
      <c r="DV55" s="14" t="s">
        <v>88</v>
      </c>
      <c r="DW55" s="15"/>
      <c r="DX55" s="16"/>
      <c r="DY55" s="14" t="s">
        <v>89</v>
      </c>
      <c r="DZ55" s="15"/>
      <c r="EA55" s="16"/>
      <c r="ED55" t="s">
        <v>90</v>
      </c>
      <c r="EI55" s="5" t="s">
        <v>87</v>
      </c>
      <c r="EJ55" s="14" t="s">
        <v>88</v>
      </c>
      <c r="EK55" s="15"/>
      <c r="EL55" s="16"/>
      <c r="EM55" s="14" t="s">
        <v>89</v>
      </c>
      <c r="EN55" s="15"/>
      <c r="EO55" s="16"/>
      <c r="ER55" t="s">
        <v>90</v>
      </c>
    </row>
    <row r="56" spans="1:150" x14ac:dyDescent="0.2">
      <c r="A56" s="5" t="s">
        <v>91</v>
      </c>
      <c r="B56" s="5" t="s">
        <v>92</v>
      </c>
      <c r="C56" s="5" t="s">
        <v>93</v>
      </c>
      <c r="D56" s="5" t="s">
        <v>94</v>
      </c>
      <c r="E56" s="5" t="s">
        <v>92</v>
      </c>
      <c r="F56" s="5" t="s">
        <v>93</v>
      </c>
      <c r="G56" s="5" t="s">
        <v>94</v>
      </c>
      <c r="I56">
        <f>TTEST(E26:G30,E48:G52,2,2)</f>
        <v>2.3406121009102974E-13</v>
      </c>
      <c r="M56" s="5" t="s">
        <v>91</v>
      </c>
      <c r="N56" s="5" t="s">
        <v>27</v>
      </c>
      <c r="O56" s="5" t="s">
        <v>41</v>
      </c>
      <c r="P56" s="5" t="s">
        <v>94</v>
      </c>
      <c r="Q56" s="5" t="s">
        <v>27</v>
      </c>
      <c r="R56" s="5" t="s">
        <v>41</v>
      </c>
      <c r="S56" s="5" t="s">
        <v>94</v>
      </c>
      <c r="AA56" s="5" t="s">
        <v>91</v>
      </c>
      <c r="AB56" s="5" t="s">
        <v>27</v>
      </c>
      <c r="AC56" s="5" t="s">
        <v>41</v>
      </c>
      <c r="AD56" s="5" t="s">
        <v>94</v>
      </c>
      <c r="AE56" s="5" t="s">
        <v>27</v>
      </c>
      <c r="AF56" s="5" t="s">
        <v>41</v>
      </c>
      <c r="AG56" s="5" t="s">
        <v>94</v>
      </c>
      <c r="AO56" s="5" t="s">
        <v>91</v>
      </c>
      <c r="AP56" s="5" t="s">
        <v>27</v>
      </c>
      <c r="AQ56" s="5" t="s">
        <v>41</v>
      </c>
      <c r="AR56" s="5" t="s">
        <v>94</v>
      </c>
      <c r="AS56" s="5" t="s">
        <v>27</v>
      </c>
      <c r="AT56" s="5" t="s">
        <v>41</v>
      </c>
      <c r="AU56" s="5" t="s">
        <v>94</v>
      </c>
      <c r="BC56" s="5" t="s">
        <v>91</v>
      </c>
      <c r="BD56" s="5" t="s">
        <v>27</v>
      </c>
      <c r="BE56" s="5" t="s">
        <v>41</v>
      </c>
      <c r="BF56" s="5" t="s">
        <v>94</v>
      </c>
      <c r="BG56" s="5" t="s">
        <v>27</v>
      </c>
      <c r="BH56" s="5" t="s">
        <v>41</v>
      </c>
      <c r="BI56" s="5" t="s">
        <v>94</v>
      </c>
      <c r="BQ56" s="5" t="s">
        <v>91</v>
      </c>
      <c r="BR56" s="5" t="s">
        <v>27</v>
      </c>
      <c r="BS56" s="5" t="s">
        <v>41</v>
      </c>
      <c r="BT56" s="5" t="s">
        <v>94</v>
      </c>
      <c r="BU56" s="5" t="s">
        <v>27</v>
      </c>
      <c r="BV56" s="5" t="s">
        <v>41</v>
      </c>
      <c r="BW56" s="5" t="s">
        <v>94</v>
      </c>
      <c r="CE56" s="5" t="s">
        <v>91</v>
      </c>
      <c r="CF56" s="5" t="s">
        <v>92</v>
      </c>
      <c r="CG56" s="5" t="s">
        <v>93</v>
      </c>
      <c r="CH56" s="5" t="s">
        <v>94</v>
      </c>
      <c r="CI56" s="5" t="s">
        <v>92</v>
      </c>
      <c r="CJ56" s="5" t="s">
        <v>93</v>
      </c>
      <c r="CK56" s="5" t="s">
        <v>94</v>
      </c>
      <c r="CS56" s="5" t="s">
        <v>91</v>
      </c>
      <c r="CT56" s="5" t="s">
        <v>92</v>
      </c>
      <c r="CU56" s="5" t="s">
        <v>93</v>
      </c>
      <c r="CV56" s="5" t="s">
        <v>94</v>
      </c>
      <c r="CW56" s="5" t="s">
        <v>92</v>
      </c>
      <c r="CX56" s="5" t="s">
        <v>93</v>
      </c>
      <c r="CY56" s="5" t="s">
        <v>94</v>
      </c>
      <c r="DG56" s="5" t="s">
        <v>91</v>
      </c>
      <c r="DH56" s="5" t="s">
        <v>92</v>
      </c>
      <c r="DI56" s="5" t="s">
        <v>93</v>
      </c>
      <c r="DJ56" s="5" t="s">
        <v>94</v>
      </c>
      <c r="DK56" s="5" t="s">
        <v>92</v>
      </c>
      <c r="DL56" s="5" t="s">
        <v>93</v>
      </c>
      <c r="DM56" s="5" t="s">
        <v>94</v>
      </c>
      <c r="DP56">
        <f>TTEST(DK26:DM30,DK48:DM52,2,2)</f>
        <v>8.5054143338155653E-10</v>
      </c>
      <c r="DU56" s="5" t="s">
        <v>91</v>
      </c>
      <c r="DV56" s="5" t="s">
        <v>92</v>
      </c>
      <c r="DW56" s="5" t="s">
        <v>93</v>
      </c>
      <c r="DX56" s="5" t="s">
        <v>94</v>
      </c>
      <c r="DY56" s="5" t="s">
        <v>92</v>
      </c>
      <c r="DZ56" s="5" t="s">
        <v>93</v>
      </c>
      <c r="EA56" s="5" t="s">
        <v>94</v>
      </c>
      <c r="ED56">
        <f>TTEST(DY26:EA30,DY48:EA52,2,2)</f>
        <v>2.8563191607379871E-8</v>
      </c>
      <c r="EI56" s="5" t="s">
        <v>91</v>
      </c>
      <c r="EJ56" s="5" t="s">
        <v>92</v>
      </c>
      <c r="EK56" s="5" t="s">
        <v>93</v>
      </c>
      <c r="EL56" s="5" t="s">
        <v>94</v>
      </c>
      <c r="EM56" s="5" t="s">
        <v>92</v>
      </c>
      <c r="EN56" s="5" t="s">
        <v>93</v>
      </c>
      <c r="EO56" s="5" t="s">
        <v>94</v>
      </c>
      <c r="ER56">
        <f>TTEST(EM26:EO30,EM48:EO52,2,2)</f>
        <v>1.2250230178094305E-8</v>
      </c>
    </row>
    <row r="57" spans="1:150" x14ac:dyDescent="0.2">
      <c r="A57" s="5" t="s">
        <v>95</v>
      </c>
      <c r="B57">
        <f>AVERAGE(E6:E15,G6:G15)</f>
        <v>0.29999999999999988</v>
      </c>
      <c r="C57">
        <f>AVERAGE(E16:E25,G16:G25)</f>
        <v>0.31499999999999995</v>
      </c>
      <c r="D57">
        <f>AVERAGE(E26:E30,G26:G30)</f>
        <v>1.5450000000000002</v>
      </c>
      <c r="E57">
        <f>AVERAGE(E31:E37,G31:G37)</f>
        <v>0.32142857142857134</v>
      </c>
      <c r="F57">
        <f>AVERAGE(E38:E47,G38:G47)</f>
        <v>0.32749999999999985</v>
      </c>
      <c r="G57">
        <f>AVERAGE(E48:E52,G48:G52)</f>
        <v>2.62</v>
      </c>
      <c r="M57" s="5" t="s">
        <v>95</v>
      </c>
      <c r="N57">
        <f>AVERAGE(Q6:Q15,S6:S15)</f>
        <v>0.30499999999999988</v>
      </c>
      <c r="O57">
        <f>AVERAGE(Q16:Q25,S16:S25)</f>
        <v>0.31842105263157888</v>
      </c>
      <c r="P57">
        <f>AVERAGE(Q26:Q30,S26:S30)</f>
        <v>1.72</v>
      </c>
      <c r="Q57">
        <f>AVERAGE(Q31:Q37,S31:S37)</f>
        <v>0.34166666666666662</v>
      </c>
      <c r="R57">
        <f>AVERAGE(Q38:Q47,S38:S47)</f>
        <v>0.35833333333333339</v>
      </c>
      <c r="S57">
        <f>AVERAGE(Q48:Q52,S48:S52)</f>
        <v>2.8099999999999996</v>
      </c>
      <c r="AA57" s="5" t="s">
        <v>95</v>
      </c>
      <c r="AB57">
        <f>AVERAGE(AE6:AE15,AG6:AG15)</f>
        <v>0.393421052631579</v>
      </c>
      <c r="AC57">
        <f>AVERAGE(AE16:AE25,AG16:AG25)</f>
        <v>0.38289473684210529</v>
      </c>
      <c r="AD57">
        <f>AVERAGE(AE26:AE30,AG26:AG30)</f>
        <v>1.7899999999999998</v>
      </c>
      <c r="AE57">
        <f>AVERAGE(AE31:AE37,AG31:AG37)</f>
        <v>0.43541666666666679</v>
      </c>
      <c r="AF57">
        <f>AVERAGE(AE38:AE47,AG38:AG47)</f>
        <v>0.43676470588235294</v>
      </c>
      <c r="AG57">
        <f>AVERAGE(AE48:AE52,AG48:AG52)</f>
        <v>2.835</v>
      </c>
      <c r="AO57" s="5" t="s">
        <v>95</v>
      </c>
      <c r="AP57">
        <f>AVERAGE(AS6:AS15,AU6:AU15)</f>
        <v>0.44342105263157899</v>
      </c>
      <c r="AQ57">
        <f>AVERAGE(AS16:AS25,AU16:AU25)</f>
        <v>0.5</v>
      </c>
      <c r="AR57">
        <f>AVERAGE(AS26:AS30,AU26:AU30)</f>
        <v>1.895</v>
      </c>
      <c r="AS57">
        <f>AVERAGE(AS31:AS37,AU31:AU37)</f>
        <v>0.55999999999999994</v>
      </c>
      <c r="AT57">
        <f>AVERAGE(AS38:AS47,AU38:AU47)</f>
        <v>0.50277777777777777</v>
      </c>
      <c r="AU57">
        <f>AVERAGE(AS48:AS52,AU48:AU52)</f>
        <v>2.9325000000000001</v>
      </c>
      <c r="BC57" s="5" t="s">
        <v>95</v>
      </c>
      <c r="BD57">
        <f>AVERAGE(BG6:BG15,BI6:BI15)</f>
        <v>0.61447368421052639</v>
      </c>
      <c r="BE57">
        <f>AVERAGE(BG16:BG25,BI16:BI25)</f>
        <v>0.68947368421052635</v>
      </c>
      <c r="BF57">
        <f>AVERAGE(BG26:BG30,BI26:BI30)</f>
        <v>2.09</v>
      </c>
      <c r="BG57">
        <f>AVERAGE(BG31:BG37,BI31:BI37)</f>
        <v>0.74166666666666659</v>
      </c>
      <c r="BH57">
        <f>AVERAGE(BG38:BG47,BI38:BI47)</f>
        <v>0.64444444444444449</v>
      </c>
      <c r="BI57">
        <f>AVERAGE(BG48:BG52,BI48:BI52)</f>
        <v>3.04</v>
      </c>
      <c r="BQ57" s="5" t="s">
        <v>95</v>
      </c>
      <c r="BR57">
        <f>AVERAGE(BU6:BU15,BW6:BW15)</f>
        <v>0.77763157894736834</v>
      </c>
      <c r="BS57">
        <f>AVERAGE(BU16:BU25,BW16:BW25)</f>
        <v>0.84342105263157885</v>
      </c>
      <c r="BT57">
        <f>AVERAGE(BU26:BU30,BW26:BW30)</f>
        <v>2.2150000000000003</v>
      </c>
      <c r="BU57">
        <f>AVERAGE(BU31:BU37,BW31:BW37)</f>
        <v>0.88750000000000007</v>
      </c>
      <c r="BV57">
        <f>AVERAGE(BU38:BU47,BW38:BW47)</f>
        <v>0.8515625</v>
      </c>
      <c r="BW57">
        <f>AVERAGE(BU48:BU52,BW48:BW52)</f>
        <v>3.12</v>
      </c>
      <c r="CE57" s="5" t="s">
        <v>95</v>
      </c>
      <c r="CF57">
        <f>AVERAGE(CI6:CI15,CK6:CK15)</f>
        <v>0.9447368421052631</v>
      </c>
      <c r="CG57">
        <f>AVERAGE(CI16:CI25,CK16:CK25)</f>
        <v>0.9592105263157894</v>
      </c>
      <c r="CH57">
        <f>AVERAGE(CI26:CI30,CK26:CK30)</f>
        <v>2.42</v>
      </c>
      <c r="CI57">
        <f>AVERAGE(CI31:CI37,CK31:CK37)</f>
        <v>1.0291666666666668</v>
      </c>
      <c r="CJ57">
        <f>AVERAGE(CI38:CI47,CK38:CK47)</f>
        <v>0.99062499999999987</v>
      </c>
      <c r="CK57">
        <f>AVERAGE(CI48:CI52,CK48:CK52)</f>
        <v>3.1749999999999998</v>
      </c>
      <c r="CS57" s="5" t="s">
        <v>95</v>
      </c>
      <c r="CT57">
        <f>AVERAGE(CW6:CW15,CY6:CY15)</f>
        <v>1.1342105263157896</v>
      </c>
      <c r="CU57">
        <f>AVERAGE(CW16:CW25,CY16:CY25)</f>
        <v>1.1552631578947365</v>
      </c>
      <c r="CV57">
        <f>AVERAGE(CW26:CW30,CY26:CY30)</f>
        <v>2.5499999999999998</v>
      </c>
      <c r="CW57">
        <f>AVERAGE(CW31:CW37,CY31:CY37)</f>
        <v>1.1354166666666667</v>
      </c>
      <c r="CX57">
        <f>AVERAGE(CW38:CW47,CY38:CY47)</f>
        <v>1.1656250000000004</v>
      </c>
      <c r="CY57">
        <f>AVERAGE(CW48:CW52,CY48:CY52)</f>
        <v>3.335</v>
      </c>
      <c r="DG57" s="5" t="s">
        <v>95</v>
      </c>
      <c r="DH57">
        <f>AVERAGE(DK6:DK15,DM6:DM15)</f>
        <v>1.3315789473684212</v>
      </c>
      <c r="DI57">
        <f>AVERAGE(DK16:DK25,DM16:DM25)</f>
        <v>1.3236842105263158</v>
      </c>
      <c r="DJ57">
        <f>AVERAGE(DK26:DK30,DM26:DM30)</f>
        <v>2.6625000000000001</v>
      </c>
      <c r="DK57">
        <f>AVERAGE(DK31:DK37,DM31:DM37)</f>
        <v>1.3479166666666667</v>
      </c>
      <c r="DL57">
        <f>AVERAGE(DK38:DK47,DM38:DM47)</f>
        <v>1.3312499999999998</v>
      </c>
      <c r="DM57">
        <f>AVERAGE(DK48:DK52,DM48:DM52)</f>
        <v>3.4249999999999998</v>
      </c>
      <c r="DU57" s="5" t="s">
        <v>95</v>
      </c>
      <c r="DV57">
        <f>AVERAGE(DY6:DY15,EA6:EA15)</f>
        <v>1.5289473684210528</v>
      </c>
      <c r="DW57">
        <f>AVERAGE(DY16:DY25,EA16:EA25)</f>
        <v>1.5368421052631576</v>
      </c>
      <c r="DX57">
        <f>AVERAGE(DY26:DY30,EA26:EA30)</f>
        <v>2.87</v>
      </c>
      <c r="DY57">
        <f>AVERAGE(DY31:DY37,EA31:EA37)</f>
        <v>1.5374999999999999</v>
      </c>
      <c r="DZ57">
        <f>AVERAGE(DY38:DY47,EA38:EA47)</f>
        <v>1.4781249999999999</v>
      </c>
      <c r="EA57">
        <f>AVERAGE(DY48:DY52,EA48:EA52)</f>
        <v>3.5149999999999997</v>
      </c>
      <c r="EI57" s="5" t="s">
        <v>95</v>
      </c>
      <c r="EJ57">
        <f>AVERAGE(EM6:EM15,EO6:EO15)</f>
        <v>1.6342105263157896</v>
      </c>
      <c r="EK57">
        <f>AVERAGE(EM16:EM25,EO16:EO25)</f>
        <v>1.7105263157894737</v>
      </c>
      <c r="EL57">
        <f>AVERAGE(EM26:EM30,EO26:EO30)</f>
        <v>2.9</v>
      </c>
      <c r="EM57">
        <f>AVERAGE(EM31:EM37,EO31:EO37)</f>
        <v>1.6125</v>
      </c>
      <c r="EN57">
        <f>AVERAGE(EM38:EM47,EO38:EO47)</f>
        <v>1.590625</v>
      </c>
      <c r="EO57">
        <f>AVERAGE(EM48:EM52,EO48:EO52)</f>
        <v>3.5700000000000003</v>
      </c>
    </row>
    <row r="58" spans="1:150" x14ac:dyDescent="0.2">
      <c r="A58" s="5" t="s">
        <v>96</v>
      </c>
      <c r="B58">
        <f>STDEV(E6:E15,G6:G15)</f>
        <v>1.6222142113076252E-2</v>
      </c>
      <c r="C58">
        <f>STDEV(E16:E25,G16:G25)</f>
        <v>3.6634754853253022E-2</v>
      </c>
      <c r="D58">
        <f>STDEV(E26:E30,G26:G30)</f>
        <v>7.6194196337749764E-2</v>
      </c>
      <c r="E58">
        <f>STDEV(E31:E37,G31:G37)</f>
        <v>3.2310308632943194E-2</v>
      </c>
      <c r="F58">
        <f>STDEV(E38:E47,G38:G47)</f>
        <v>3.0240265941464978E-2</v>
      </c>
      <c r="G58">
        <f>STDEV(E48:E52,G48:G52)</f>
        <v>0.16193277068654829</v>
      </c>
      <c r="M58" s="5" t="s">
        <v>96</v>
      </c>
      <c r="N58">
        <f>STDEV(Q6:Q15,S6:S15)</f>
        <v>2.2360679774997894E-2</v>
      </c>
      <c r="O58">
        <f>STDEV(Q16:Q25,S16:S25)</f>
        <v>3.8044295512634885E-2</v>
      </c>
      <c r="P58">
        <f>STDEV(Q26:Q30,S26:S30)</f>
        <v>8.2327260234856481E-2</v>
      </c>
      <c r="Q58">
        <f>STDEV(Q31:Q37,S31:S37)</f>
        <v>5.1492865054444024E-2</v>
      </c>
      <c r="R58">
        <f>STDEV(Q38:Q47,S38:S47)</f>
        <v>4.6177407259139873E-2</v>
      </c>
      <c r="S58">
        <f>STDEV(Q48:Q52,S48:S52)</f>
        <v>0.1679947089113886</v>
      </c>
      <c r="AA58" s="5" t="s">
        <v>96</v>
      </c>
      <c r="AB58">
        <f>STDEV(AE6:AE15,AG6:AG15)</f>
        <v>3.9827845911391206E-2</v>
      </c>
      <c r="AC58">
        <f>STDEV(AE16:AE25,AG16:AG25)</f>
        <v>5.7766671222198751E-2</v>
      </c>
      <c r="AD58">
        <f>STDEV(AE26:AE30,AG26:AG30)</f>
        <v>6.9920589878010003E-2</v>
      </c>
      <c r="AE58">
        <f>STDEV(AE31:AE37,AG31:AG37)</f>
        <v>5.3786545011204959E-2</v>
      </c>
      <c r="AF58">
        <f>STDEV(AE38:AE47,AG38:AG47)</f>
        <v>6.2573486209980628E-2</v>
      </c>
      <c r="AG58">
        <f>STDEV(AE48:AE52,AG48:AG52)</f>
        <v>0.10287532908007312</v>
      </c>
      <c r="AO58" s="5" t="s">
        <v>96</v>
      </c>
      <c r="AP58">
        <f>STDEV(AS6:AS15,AU6:AU15)</f>
        <v>9.1606838530194204E-2</v>
      </c>
      <c r="AQ58">
        <f>STDEV(AS16:AS25,AU16:AU25)</f>
        <v>9.9652172859178309E-2</v>
      </c>
      <c r="AR58">
        <f>STDEV(AS26:AS30,AU26:AU30)</f>
        <v>7.2456883730947205E-2</v>
      </c>
      <c r="AS58">
        <f>STDEV(AS31:AS37,AU31:AU37)</f>
        <v>0.10009086780611849</v>
      </c>
      <c r="AT58">
        <f>STDEV(AS38:AS47,AU38:AU47)</f>
        <v>0.13363935469831847</v>
      </c>
      <c r="AU58">
        <f>STDEV(AS48:AS52,AU48:AU52)</f>
        <v>0.14532052695870443</v>
      </c>
      <c r="BC58" s="5" t="s">
        <v>96</v>
      </c>
      <c r="BD58">
        <f>STDEV(BG6:BG15,BI6:BI15)</f>
        <v>0.16547821891618386</v>
      </c>
      <c r="BE58">
        <f>STDEV(BG16:BG25,BI16:BI25)</f>
        <v>0.16941807866965392</v>
      </c>
      <c r="BF58">
        <f>STDEV(BG26:BG30,BI26:BI30)</f>
        <v>9.0676470058236355E-2</v>
      </c>
      <c r="BG58">
        <f>STDEV(BG31:BG37,BI31:BI37)</f>
        <v>0.21514618004482228</v>
      </c>
      <c r="BH58">
        <f>STDEV(BG38:BG47,BI38:BI47)</f>
        <v>0.19165600993391999</v>
      </c>
      <c r="BI58">
        <f>STDEV(BG48:BG52,BI48:BI52)</f>
        <v>0.14869805348796966</v>
      </c>
      <c r="BQ58" s="5" t="s">
        <v>96</v>
      </c>
      <c r="BR58">
        <f>STDEV(BU6:BU15,BW6:BW15)</f>
        <v>0.13173382697542368</v>
      </c>
      <c r="BS58">
        <f>STDEV(BU16:BU25,BW16:BW25)</f>
        <v>0.16004385363930515</v>
      </c>
      <c r="BT58">
        <f>STDEV(BU26:BU30,BW26:BW30)</f>
        <v>0.12703892666773003</v>
      </c>
      <c r="BU58">
        <f>STDEV(BU31:BU37,BW31:BW37)</f>
        <v>0.32130769733020137</v>
      </c>
      <c r="BV58">
        <f>STDEV(BU38:BU47,BW38:BW47)</f>
        <v>0.19417963118377474</v>
      </c>
      <c r="BW58">
        <f>STDEV(BU48:BU52,BW48:BW52)</f>
        <v>0.16193277068654827</v>
      </c>
      <c r="CE58" s="5" t="s">
        <v>96</v>
      </c>
      <c r="CF58">
        <f>STDEV(CI6:CI15,CK6:CK15)</f>
        <v>0.14519597565025516</v>
      </c>
      <c r="CG58">
        <f>STDEV(CI16:CI25,CK16:CK25)</f>
        <v>0.18127835531376391</v>
      </c>
      <c r="CH58">
        <f>STDEV(CI26:CI30,CK26:CK30)</f>
        <v>0.11105554165971795</v>
      </c>
      <c r="CI58">
        <f>STDEV(CI31:CI37,CK31:CK37)</f>
        <v>0.37139683097814113</v>
      </c>
      <c r="CJ58">
        <f>STDEV(CI38:CI47,CK38:CK47)</f>
        <v>0.22892411406402791</v>
      </c>
      <c r="CK58">
        <f>STDEV(CI48:CI52,CK48:CK52)</f>
        <v>0.1829541533341679</v>
      </c>
      <c r="CS58" s="5" t="s">
        <v>96</v>
      </c>
      <c r="CT58">
        <f>STDEV(CW6:CW15,CY6:CY15)</f>
        <v>0.17143401028687688</v>
      </c>
      <c r="CU58">
        <f>STDEV(CW16:CW25,CY16:CY25)</f>
        <v>0.17630051430733115</v>
      </c>
      <c r="CV58">
        <f>STDEV(CW26:CW30,CY26:CY30)</f>
        <v>0.11303883305208776</v>
      </c>
      <c r="CW58">
        <f>STDEV(CW31:CW37,CY31:CY37)</f>
        <v>0.31845834844916482</v>
      </c>
      <c r="CX58">
        <f>STDEV(CW38:CW47,CY38:CY47)</f>
        <v>0.28030860969057975</v>
      </c>
      <c r="CY58">
        <f>STDEV(CW48:CW52,CY48:CY52)</f>
        <v>0.13954290459289659</v>
      </c>
      <c r="DG58" s="5" t="s">
        <v>96</v>
      </c>
      <c r="DH58">
        <f>STDEV(DK6:DK15,DM6:DM15)</f>
        <v>0.20562271701926815</v>
      </c>
      <c r="DI58">
        <f>STDEV(DK16:DK25,DM16:DM25)</f>
        <v>0.19763773049349559</v>
      </c>
      <c r="DJ58">
        <f>STDEV(DK26:DK30,DM26:DM30)</f>
        <v>9.8071685799498626E-2</v>
      </c>
      <c r="DK58">
        <f>STDEV(DK31:DK37,DM31:DM37)</f>
        <v>0.40034904278717331</v>
      </c>
      <c r="DL58">
        <f>STDEV(DK38:DK47,DM38:DM47)</f>
        <v>0.28438530201119805</v>
      </c>
      <c r="DM58">
        <f>STDEV(DK48:DK52,DM48:DM52)</f>
        <v>0.18295415333416792</v>
      </c>
      <c r="DU58" s="5" t="s">
        <v>96</v>
      </c>
      <c r="DV58">
        <f>STDEV(DY6:DY15,EA6:EA15)</f>
        <v>0.26474085309646561</v>
      </c>
      <c r="DW58">
        <f>STDEV(DY16:DY25,EA16:EA25)</f>
        <v>0.22720652943422465</v>
      </c>
      <c r="DX58">
        <f>STDEV(DY26:DY30,EA26:EA30)</f>
        <v>0.1273664878302854</v>
      </c>
      <c r="DY58">
        <f>STDEV(DY31:DY37,EA31:EA37)</f>
        <v>0.38737167963316438</v>
      </c>
      <c r="DZ58">
        <f>STDEV(DY38:DY47,EA38:EA47)</f>
        <v>0.31726369158792983</v>
      </c>
      <c r="EA58">
        <f>STDEV(DY48:DY52,EA48:EA52)</f>
        <v>0.17958284996067964</v>
      </c>
      <c r="EI58" s="5" t="s">
        <v>96</v>
      </c>
      <c r="EJ58">
        <f>STDEV(EM6:EM15,EO6:EO15)</f>
        <v>0.29441685846722038</v>
      </c>
      <c r="EK58">
        <f>STDEV(EM16:EM25,EO16:EO25)</f>
        <v>0.22643305815309145</v>
      </c>
      <c r="EL58">
        <f>STDEV(EM26:EM30,EO26:EO30)</f>
        <v>0.1247219128924647</v>
      </c>
      <c r="EM58">
        <f>STDEV(EM31:EM37,EO31:EO37)</f>
        <v>0.40905934221643858</v>
      </c>
      <c r="EN58">
        <f>STDEV(EM38:EM47,EO38:EO47)</f>
        <v>0.3615792905205345</v>
      </c>
      <c r="EO58">
        <f>STDEV(EM48:EM52,EO48:EO52)</f>
        <v>0.17669811040931424</v>
      </c>
    </row>
    <row r="59" spans="1:150" x14ac:dyDescent="0.2">
      <c r="A59" s="18" t="s">
        <v>97</v>
      </c>
      <c r="B59">
        <f>STDEV(E6:E15,G6:G15)/SQRT(COUNT(E6:E15,G6:G15))</f>
        <v>3.6273812505500575E-3</v>
      </c>
      <c r="C59">
        <f>STDEV(E16:E25,G16:G25)/SQRT(COUNT(E16:E25,G16:G25))</f>
        <v>8.1917802190914091E-3</v>
      </c>
      <c r="D59">
        <f>STDEV(E26:E30,G26:G30)/SQRT(COUNT(E26:E30,G26:G30))</f>
        <v>2.4094720491334942E-2</v>
      </c>
      <c r="E59">
        <f>STDEV(E31:E37,G31:G37)/SQRT(COUNT(E31:E37,G31:G37))</f>
        <v>8.6352932118141257E-3</v>
      </c>
      <c r="F59">
        <f>STDEV(E38:E47,G38:G47)/SQRT(COUNT(E38:E47,G38:G47))</f>
        <v>6.761929030278736E-3</v>
      </c>
      <c r="G59">
        <f>STDEV(E48:E52,G48:G52)/SQRT(COUNT(E48:E52,G48:G52))</f>
        <v>5.120763831912406E-2</v>
      </c>
      <c r="M59" s="18" t="s">
        <v>97</v>
      </c>
      <c r="N59">
        <f>STDEV(Q6:Q15,S6:S15)/SQRT(COUNT(Q6:Q15,S6:S15))</f>
        <v>4.9999999999999992E-3</v>
      </c>
      <c r="O59">
        <f>STDEV(Q16:Q25,S16:S25)/SQRT(COUNT(Q16:Q25,S16:S25))</f>
        <v>8.727959974619651E-3</v>
      </c>
      <c r="P59">
        <f>STDEV(Q26:Q30,S26:S30)/SQRT(COUNT(Q26:Q30,S26:S30))</f>
        <v>2.6034165586355521E-2</v>
      </c>
      <c r="Q59">
        <f>STDEV(Q31:Q37,S31:S37)/SQRT(COUNT(Q31:Q37,S31:S37))</f>
        <v>1.4864709750264167E-2</v>
      </c>
      <c r="R59">
        <f>STDEV(Q38:Q47,S38:S47)/SQRT(COUNT(Q38:Q47,S38:S47))</f>
        <v>1.0884119270183571E-2</v>
      </c>
      <c r="S59">
        <f>STDEV(Q48:Q52,S48:S52)/SQRT(COUNT(Q48:Q52,S48:S52))</f>
        <v>5.3124591501697391E-2</v>
      </c>
      <c r="AA59" s="18" t="s">
        <v>97</v>
      </c>
      <c r="AB59">
        <f>STDEV(AE6:AE15,AG6:AG15)/SQRT(COUNT(AE6:AE15,AG6:AG15))</f>
        <v>9.1371344982454656E-3</v>
      </c>
      <c r="AC59">
        <f>STDEV(AE16:AE25,AG16:AG25)/SQRT(COUNT(AE16:AE25,AG16:AG25))</f>
        <v>1.3252583271700187E-2</v>
      </c>
      <c r="AD59">
        <f>STDEV(AE26:AE30,AG26:AG30)/SQRT(COUNT(AE26:AE30,AG26:AG30))</f>
        <v>2.2110831935702634E-2</v>
      </c>
      <c r="AE59">
        <f>STDEV(AE31:AE37,AG31:AG37)/SQRT(COUNT(AE31:AE37,AG31:AG37))</f>
        <v>1.5526838120499554E-2</v>
      </c>
      <c r="AF59">
        <f>STDEV(AE38:AE47,AG38:AG47)/SQRT(COUNT(AE38:AE47,AG38:AG47))</f>
        <v>1.5176299588640014E-2</v>
      </c>
      <c r="AG59">
        <f>STDEV(AE48:AE52,AG48:AG52)/SQRT(COUNT(AE48:AE52,AG48:AG52))</f>
        <v>3.2532035493238562E-2</v>
      </c>
      <c r="AO59" s="18" t="s">
        <v>97</v>
      </c>
      <c r="AP59">
        <f>STDEV(AS6:AS15,AU6:AU15)/SQRT(COUNT(AS6:AS15,AU6:AU15))</f>
        <v>2.1016050088966554E-2</v>
      </c>
      <c r="AQ59">
        <f>STDEV(AS16:AS25,AU16:AU25)/SQRT(COUNT(AS16:AS25,AU16:AU25))</f>
        <v>2.2861776368284466E-2</v>
      </c>
      <c r="AR59">
        <f>STDEV(AS26:AS30,AU26:AU30)/SQRT(COUNT(AS26:AS30,AU26:AU30))</f>
        <v>2.2912878474779203E-2</v>
      </c>
      <c r="AS59">
        <f>STDEV(AS31:AS37,AU31:AU37)/SQRT(COUNT(AS31:AS37,AU31:AU37))</f>
        <v>2.8893744735642882E-2</v>
      </c>
      <c r="AT59">
        <f>STDEV(AS38:AS47,AU38:AU47)/SQRT(COUNT(AS38:AS47,AU38:AU47))</f>
        <v>3.1499097980191765E-2</v>
      </c>
      <c r="AU59">
        <f>STDEV(AS48:AS52,AU48:AU52)/SQRT(COUNT(AS48:AS52,AU48:AU52))</f>
        <v>4.5954385596540769E-2</v>
      </c>
      <c r="BC59" s="18" t="s">
        <v>97</v>
      </c>
      <c r="BD59">
        <f>STDEV(BG6:BG15,BI6:BI15)/SQRT(COUNT(BG6:BG15,BI6:BI15))</f>
        <v>3.7963307032249795E-2</v>
      </c>
      <c r="BE59">
        <f>STDEV(BG16:BG25,BI16:BI25)/SQRT(COUNT(BG16:BG25,BI16:BI25))</f>
        <v>3.8867172848939216E-2</v>
      </c>
      <c r="BF59">
        <f>STDEV(BG26:BG30,BI26:BI30)/SQRT(COUNT(BG26:BG30,BI26:BI30))</f>
        <v>2.8674417556808777E-2</v>
      </c>
      <c r="BG59">
        <f>STDEV(BG31:BG37,BI31:BI37)/SQRT(COUNT(BG31:BG37,BI31:BI37))</f>
        <v>6.2107352481998918E-2</v>
      </c>
      <c r="BH59">
        <f>STDEV(BG38:BG47,BI38:BI47)/SQRT(COUNT(BG38:BG47,BI38:BI47))</f>
        <v>4.5173754759810385E-2</v>
      </c>
      <c r="BI59">
        <f>STDEV(BG48:BG52,BI48:BI52)/SQRT(COUNT(BG48:BG52,BI48:BI52))</f>
        <v>4.7022453265552919E-2</v>
      </c>
      <c r="BQ59" s="18" t="s">
        <v>97</v>
      </c>
      <c r="BR59">
        <f>STDEV(BU6:BU15,BW6:BW15)/SQRT(COUNT(BU6:BU15,BW6:BW15))</f>
        <v>3.0221812591144429E-2</v>
      </c>
      <c r="BS59">
        <f>STDEV(BU16:BU25,BW16:BW25)/SQRT(COUNT(BU16:BU25,BW16:BW25))</f>
        <v>3.6716578134133968E-2</v>
      </c>
      <c r="BT59">
        <f>STDEV(BU26:BU30,BW26:BW30)/SQRT(COUNT(BU26:BU30,BW26:BW30))</f>
        <v>4.0173235977313163E-2</v>
      </c>
      <c r="BU59">
        <f>STDEV(BU31:BU37,BW31:BW37)/SQRT(COUNT(BU31:BU37,BW31:BW37))</f>
        <v>9.2753542773145292E-2</v>
      </c>
      <c r="BV59">
        <f>STDEV(BU38:BU47,BW38:BW47)/SQRT(COUNT(BU38:BU47,BW38:BW47))</f>
        <v>4.8544907795943684E-2</v>
      </c>
      <c r="BW59">
        <f>STDEV(BU48:BU52,BW48:BW52)/SQRT(COUNT(BU48:BU52,BW48:BW52))</f>
        <v>5.1207638319124053E-2</v>
      </c>
      <c r="CE59" s="18" t="s">
        <v>97</v>
      </c>
      <c r="CF59">
        <f>STDEV(CI6:CI15,CK6:CK15)/SQRT(COUNT(CI6:CI15,CK6:CK15))</f>
        <v>3.3310241308855501E-2</v>
      </c>
      <c r="CG59">
        <f>STDEV(CI16:CI25,CK16:CK25)/SQRT(COUNT(CI16:CI25,CK16:CK25))</f>
        <v>4.1588106919155592E-2</v>
      </c>
      <c r="CH59">
        <f>STDEV(CI26:CI30,CK26:CK30)/SQRT(COUNT(CI26:CI30,CK26:CK30))</f>
        <v>3.5118845842842486E-2</v>
      </c>
      <c r="CI59">
        <f>STDEV(CI31:CI37,CK31:CK37)/SQRT(COUNT(CI31:CI37,CK31:CK37))</f>
        <v>0.10721303017070187</v>
      </c>
      <c r="CJ59">
        <f>STDEV(CI38:CI47,CK38:CK47)/SQRT(COUNT(CI38:CI47,CK38:CK47))</f>
        <v>5.7231028516006976E-2</v>
      </c>
      <c r="CK59">
        <f>STDEV(CI48:CI52,CK48:CK52)/SQRT(COUNT(CI48:CI52,CK48:CK52))</f>
        <v>5.7855183192365933E-2</v>
      </c>
      <c r="CS59" s="18" t="s">
        <v>97</v>
      </c>
      <c r="CT59">
        <f>STDEV(CW6:CW15,CY6:CY15)/SQRT(COUNT(CW6:CW15,CY6:CY15))</f>
        <v>3.9329659280337291E-2</v>
      </c>
      <c r="CU59">
        <f>STDEV(CW16:CW25,CY16:CY25)/SQRT(COUNT(CW16:CW25,CY16:CY25))</f>
        <v>4.0446111871573848E-2</v>
      </c>
      <c r="CV59">
        <f>STDEV(CW26:CW30,CY26:CY30)/SQRT(COUNT(CW26:CW30,CY26:CY30))</f>
        <v>3.5746017649212009E-2</v>
      </c>
      <c r="CW59">
        <f>STDEV(CW31:CW37,CY31:CY37)/SQRT(COUNT(CW31:CW37,CY31:CY37))</f>
        <v>9.1931006601404477E-2</v>
      </c>
      <c r="CX59">
        <f>STDEV(CW38:CW47,CY38:CY47)/SQRT(COUNT(CW38:CW47,CY38:CY47))</f>
        <v>7.0077152422644937E-2</v>
      </c>
      <c r="CY59">
        <f>STDEV(CW48:CW52,CY48:CY52)/SQRT(COUNT(CW48:CW52,CY48:CY52))</f>
        <v>4.412734098291244E-2</v>
      </c>
      <c r="DG59" s="18" t="s">
        <v>97</v>
      </c>
      <c r="DH59">
        <f>STDEV(DK6:DK15,DM6:DM15)/SQRT(COUNT(DK6:DK15,DM6:DM15))</f>
        <v>4.7173086525434248E-2</v>
      </c>
      <c r="DI59">
        <f>STDEV(DK16:DK25,DM16:DM25)/SQRT(COUNT(DK16:DK25,DM16:DM25))</f>
        <v>4.5341204981677589E-2</v>
      </c>
      <c r="DJ59">
        <f>STDEV(DK26:DK30,DM26:DM30)/SQRT(COUNT(DK26:DK30,DM26:DM30))</f>
        <v>3.1012990109880696E-2</v>
      </c>
      <c r="DK59">
        <f>STDEV(DK31:DK37,DM31:DM37)/SQRT(COUNT(DK31:DK37,DM31:DM37))</f>
        <v>0.11557081381149177</v>
      </c>
      <c r="DL59">
        <f>STDEV(DK38:DK47,DM38:DM47)/SQRT(COUNT(DK38:DK47,DM38:DM47))</f>
        <v>7.1096325502799512E-2</v>
      </c>
      <c r="DM59">
        <f>STDEV(DK48:DK52,DM48:DM52)/SQRT(COUNT(DK48:DK52,DM48:DM52))</f>
        <v>5.785518319236594E-2</v>
      </c>
      <c r="DU59" s="18" t="s">
        <v>97</v>
      </c>
      <c r="DV59">
        <f>STDEV(DY6:DY15,EA6:EA15)/SQRT(COUNT(DY6:DY15,EA6:EA15))</f>
        <v>6.0735717098644233E-2</v>
      </c>
      <c r="DW59">
        <f>STDEV(DY16:DY25,EA16:EA25)/SQRT(COUNT(DY16:DY25,EA16:EA25))</f>
        <v>5.2124752690336035E-2</v>
      </c>
      <c r="DX59">
        <f>STDEV(DY26:DY30,EA26:EA30)/SQRT(COUNT(DY26:DY30,EA26:EA30))</f>
        <v>4.0276819911981926E-2</v>
      </c>
      <c r="DY59">
        <f>STDEV(DY31:DY37,EA31:EA37)/SQRT(COUNT(DY31:DY37,EA31:EA37))</f>
        <v>0.11182457175632247</v>
      </c>
      <c r="DZ59">
        <f>STDEV(DY38:DY47,EA38:EA47)/SQRT(COUNT(DY38:DY47,EA38:EA47))</f>
        <v>7.9315922896982458E-2</v>
      </c>
      <c r="EA59">
        <f>STDEV(DY48:DY52,EA48:EA52)/SQRT(COUNT(DY48:DY52,EA48:EA52))</f>
        <v>5.6789083458002709E-2</v>
      </c>
      <c r="EI59" s="18" t="s">
        <v>97</v>
      </c>
      <c r="EJ59">
        <f>STDEV(EM6:EM15,EO6:EO15)/SQRT(COUNT(EM6:EM15,EO6:EO15))</f>
        <v>6.754385964912267E-2</v>
      </c>
      <c r="EK59">
        <f>STDEV(EM16:EM25,EO16:EO25)/SQRT(COUNT(EM16:EM25,EO16:EO25))</f>
        <v>5.194730620874706E-2</v>
      </c>
      <c r="EL59">
        <f>STDEV(EM26:EM30,EO26:EO30)/SQRT(COUNT(EM26:EM30,EO26:EO30))</f>
        <v>3.9440531887330765E-2</v>
      </c>
      <c r="EM59">
        <f>STDEV(EM31:EM37,EO31:EO37)/SQRT(COUNT(EM31:EM37,EO31:EO37))</f>
        <v>0.11808526067159604</v>
      </c>
      <c r="EN59">
        <f>STDEV(EM38:EM47,EO38:EO47)/SQRT(COUNT(EM38:EM47,EO38:EO47))</f>
        <v>9.0394822630133626E-2</v>
      </c>
      <c r="EO59">
        <f>STDEV(EM48:EM52,EO48:EO52)/SQRT(COUNT(EM48:EM52,EO48:EO52))</f>
        <v>5.5876848714134016E-2</v>
      </c>
    </row>
    <row r="62" spans="1:150" x14ac:dyDescent="0.2">
      <c r="A62" s="20" t="s">
        <v>98</v>
      </c>
      <c r="B62" s="21"/>
      <c r="C62" s="21"/>
      <c r="D62" s="21"/>
      <c r="E62" s="21"/>
      <c r="F62" s="21"/>
      <c r="G62" s="21"/>
      <c r="H62" s="22"/>
    </row>
    <row r="63" spans="1:150" x14ac:dyDescent="0.2">
      <c r="A63" s="7" t="s">
        <v>99</v>
      </c>
      <c r="B63" s="14" t="s">
        <v>95</v>
      </c>
      <c r="C63" s="15"/>
      <c r="D63" s="16"/>
      <c r="E63" s="17" t="s">
        <v>100</v>
      </c>
      <c r="F63" s="14" t="s">
        <v>97</v>
      </c>
      <c r="G63" s="15"/>
      <c r="H63" s="16"/>
      <c r="J63" s="5"/>
      <c r="K63" s="16" t="s">
        <v>101</v>
      </c>
      <c r="L63" s="17"/>
      <c r="M63" s="5"/>
      <c r="N63" s="17" t="s">
        <v>102</v>
      </c>
      <c r="O63" s="17"/>
    </row>
    <row r="64" spans="1:150" x14ac:dyDescent="0.2">
      <c r="A64" s="7"/>
      <c r="B64" s="23"/>
      <c r="C64" s="5" t="s">
        <v>88</v>
      </c>
      <c r="D64" s="5" t="s">
        <v>89</v>
      </c>
      <c r="E64" s="17"/>
      <c r="F64" s="5"/>
      <c r="G64" s="5" t="s">
        <v>88</v>
      </c>
      <c r="H64" s="5" t="s">
        <v>89</v>
      </c>
      <c r="J64" s="5"/>
      <c r="K64" s="23" t="s">
        <v>22</v>
      </c>
      <c r="L64" s="5" t="s">
        <v>59</v>
      </c>
      <c r="M64" s="5"/>
      <c r="N64" s="5" t="s">
        <v>22</v>
      </c>
      <c r="O64" s="5" t="s">
        <v>59</v>
      </c>
    </row>
    <row r="65" spans="1:15" x14ac:dyDescent="0.2">
      <c r="A65" s="7"/>
      <c r="B65" s="23" t="s">
        <v>103</v>
      </c>
      <c r="C65" s="5" t="s">
        <v>92</v>
      </c>
      <c r="D65" s="5" t="s">
        <v>92</v>
      </c>
      <c r="E65" s="17"/>
      <c r="F65" s="5" t="s">
        <v>103</v>
      </c>
      <c r="G65" s="5" t="s">
        <v>92</v>
      </c>
      <c r="H65" s="5" t="s">
        <v>92</v>
      </c>
      <c r="J65" s="7" t="s">
        <v>99</v>
      </c>
      <c r="K65">
        <v>0.3</v>
      </c>
      <c r="L65">
        <v>0.3</v>
      </c>
      <c r="N65">
        <f>0.35+1.4</f>
        <v>1.75</v>
      </c>
      <c r="O65">
        <f>0.55+0.8</f>
        <v>1.35</v>
      </c>
    </row>
    <row r="66" spans="1:15" x14ac:dyDescent="0.2">
      <c r="A66" s="7"/>
      <c r="B66">
        <v>0</v>
      </c>
      <c r="C66">
        <v>0.29999999999999988</v>
      </c>
      <c r="D66">
        <v>0.32142857142857134</v>
      </c>
      <c r="F66">
        <v>0</v>
      </c>
      <c r="G66">
        <v>3.6273812505500575E-3</v>
      </c>
      <c r="H66">
        <v>8.6352932118141257E-3</v>
      </c>
      <c r="J66" s="7"/>
      <c r="K66">
        <v>0.3</v>
      </c>
      <c r="L66">
        <v>0.35</v>
      </c>
      <c r="N66">
        <f>0.45+1.25</f>
        <v>1.7</v>
      </c>
      <c r="O66">
        <f>0.4+1.6</f>
        <v>2</v>
      </c>
    </row>
    <row r="67" spans="1:15" x14ac:dyDescent="0.2">
      <c r="A67" s="7"/>
      <c r="B67">
        <v>10</v>
      </c>
      <c r="C67">
        <v>0.30499999999999988</v>
      </c>
      <c r="D67">
        <v>0.34166666666666662</v>
      </c>
      <c r="F67">
        <v>10</v>
      </c>
      <c r="G67">
        <v>4.9999999999999992E-3</v>
      </c>
      <c r="H67">
        <v>1.4864709750264167E-2</v>
      </c>
      <c r="J67" s="7"/>
      <c r="K67">
        <v>0.3</v>
      </c>
      <c r="L67">
        <v>0.35</v>
      </c>
      <c r="N67">
        <f>0.45+1.05</f>
        <v>1.5</v>
      </c>
      <c r="O67">
        <f>0.7+1.6</f>
        <v>2.2999999999999998</v>
      </c>
    </row>
    <row r="68" spans="1:15" x14ac:dyDescent="0.2">
      <c r="A68" s="7"/>
      <c r="B68">
        <v>16</v>
      </c>
      <c r="C68">
        <v>0.393421052631579</v>
      </c>
      <c r="D68">
        <v>0.43541666666666679</v>
      </c>
      <c r="F68">
        <v>16</v>
      </c>
      <c r="G68">
        <v>9.1371344982454656E-3</v>
      </c>
      <c r="H68">
        <v>1.5526838120499554E-2</v>
      </c>
      <c r="J68" s="7"/>
      <c r="K68">
        <v>0.3</v>
      </c>
      <c r="L68">
        <v>0.25</v>
      </c>
      <c r="N68">
        <f>1.5</f>
        <v>1.5</v>
      </c>
      <c r="O68">
        <f>0.55+1.25</f>
        <v>1.8</v>
      </c>
    </row>
    <row r="69" spans="1:15" x14ac:dyDescent="0.2">
      <c r="A69" s="7"/>
      <c r="B69">
        <v>24</v>
      </c>
      <c r="C69">
        <v>0.44342105263157899</v>
      </c>
      <c r="D69">
        <v>0.55999999999999994</v>
      </c>
      <c r="F69">
        <v>24</v>
      </c>
      <c r="G69">
        <v>2.1016050088966554E-2</v>
      </c>
      <c r="H69">
        <v>2.8893744735642882E-2</v>
      </c>
      <c r="J69" s="7"/>
      <c r="K69">
        <v>0.3</v>
      </c>
      <c r="L69">
        <v>0.35</v>
      </c>
      <c r="N69">
        <f>0.5+1.5</f>
        <v>2</v>
      </c>
      <c r="O69">
        <f>0.4+1.05</f>
        <v>1.4500000000000002</v>
      </c>
    </row>
    <row r="70" spans="1:15" x14ac:dyDescent="0.2">
      <c r="A70" s="7"/>
      <c r="B70">
        <v>32</v>
      </c>
      <c r="C70">
        <v>0.61447368421052639</v>
      </c>
      <c r="D70">
        <v>0.74166666666666659</v>
      </c>
      <c r="F70">
        <v>32</v>
      </c>
      <c r="G70">
        <v>3.7963307032249795E-2</v>
      </c>
      <c r="H70">
        <v>6.2107352481998918E-2</v>
      </c>
      <c r="J70" s="7"/>
      <c r="K70">
        <v>0.25</v>
      </c>
      <c r="L70">
        <v>0.3</v>
      </c>
      <c r="N70">
        <f>0.4+1.3</f>
        <v>1.7000000000000002</v>
      </c>
      <c r="O70">
        <f>0.55+0.85</f>
        <v>1.4</v>
      </c>
    </row>
    <row r="71" spans="1:15" x14ac:dyDescent="0.2">
      <c r="A71" s="7"/>
      <c r="B71">
        <v>45</v>
      </c>
      <c r="C71">
        <v>0.77763157894736834</v>
      </c>
      <c r="D71">
        <v>0.88750000000000007</v>
      </c>
      <c r="F71">
        <v>45</v>
      </c>
      <c r="G71">
        <v>3.0221812591144429E-2</v>
      </c>
      <c r="H71">
        <v>9.2753542773145292E-2</v>
      </c>
      <c r="J71" s="7"/>
      <c r="K71">
        <v>0.3</v>
      </c>
      <c r="L71">
        <v>0.3</v>
      </c>
      <c r="N71">
        <f>0.55+1.5</f>
        <v>2.0499999999999998</v>
      </c>
      <c r="O71">
        <f>0.55+1.35</f>
        <v>1.9000000000000001</v>
      </c>
    </row>
    <row r="72" spans="1:15" x14ac:dyDescent="0.2">
      <c r="A72" s="7"/>
      <c r="B72">
        <v>59</v>
      </c>
      <c r="C72">
        <v>0.9447368421052631</v>
      </c>
      <c r="D72">
        <v>1.0291666666666668</v>
      </c>
      <c r="F72">
        <v>59</v>
      </c>
      <c r="G72">
        <v>3.3310241308855501E-2</v>
      </c>
      <c r="H72">
        <v>0.10721303017070187</v>
      </c>
      <c r="J72" s="7"/>
      <c r="K72">
        <v>0.3</v>
      </c>
      <c r="L72">
        <v>0.3</v>
      </c>
      <c r="N72">
        <f>0.4+1.3</f>
        <v>1.7000000000000002</v>
      </c>
      <c r="O72">
        <f>0.55+1.5</f>
        <v>2.0499999999999998</v>
      </c>
    </row>
    <row r="73" spans="1:15" x14ac:dyDescent="0.2">
      <c r="A73" s="7"/>
      <c r="B73">
        <v>73</v>
      </c>
      <c r="C73">
        <v>1.1342105263157896</v>
      </c>
      <c r="D73">
        <v>1.1354166666666667</v>
      </c>
      <c r="F73">
        <v>73</v>
      </c>
      <c r="G73">
        <v>3.9329659280337291E-2</v>
      </c>
      <c r="H73">
        <v>9.1931006601404477E-2</v>
      </c>
      <c r="J73" s="7"/>
      <c r="K73">
        <v>0.3</v>
      </c>
      <c r="L73">
        <v>0.3</v>
      </c>
      <c r="N73">
        <v>1.2</v>
      </c>
      <c r="O73">
        <f>1.35</f>
        <v>1.35</v>
      </c>
    </row>
    <row r="74" spans="1:15" x14ac:dyDescent="0.2">
      <c r="A74" s="7"/>
      <c r="B74">
        <v>87</v>
      </c>
      <c r="C74">
        <v>1.3315789473684212</v>
      </c>
      <c r="D74">
        <v>1.3479166666666667</v>
      </c>
      <c r="F74">
        <v>87</v>
      </c>
      <c r="G74">
        <v>4.7173086525434248E-2</v>
      </c>
      <c r="H74">
        <v>0.11557081381149177</v>
      </c>
      <c r="J74" s="7"/>
      <c r="K74">
        <v>0.3</v>
      </c>
      <c r="L74">
        <v>0.35</v>
      </c>
      <c r="N74">
        <f>0.2+1.05</f>
        <v>1.25</v>
      </c>
      <c r="O74">
        <v>1</v>
      </c>
    </row>
    <row r="75" spans="1:15" x14ac:dyDescent="0.2">
      <c r="A75" s="7"/>
      <c r="B75">
        <v>108</v>
      </c>
      <c r="C75">
        <v>1.5289473684210528</v>
      </c>
      <c r="D75">
        <v>1.5374999999999999</v>
      </c>
      <c r="F75">
        <v>108</v>
      </c>
      <c r="G75">
        <v>6.0735717098644233E-2</v>
      </c>
      <c r="H75">
        <v>0.11182457175632247</v>
      </c>
      <c r="J75" s="7"/>
      <c r="K75">
        <v>0.3</v>
      </c>
      <c r="L75">
        <v>0.3</v>
      </c>
      <c r="N75">
        <v>1.45</v>
      </c>
      <c r="O75">
        <f>0.35+1.35</f>
        <v>1.7000000000000002</v>
      </c>
    </row>
    <row r="76" spans="1:15" x14ac:dyDescent="0.2">
      <c r="A76" s="7"/>
      <c r="B76">
        <v>135</v>
      </c>
      <c r="C76">
        <v>1.6342105263157896</v>
      </c>
      <c r="D76">
        <v>1.6125</v>
      </c>
      <c r="F76">
        <v>135</v>
      </c>
      <c r="G76">
        <v>6.754385964912267E-2</v>
      </c>
      <c r="H76">
        <v>0.11808526067159604</v>
      </c>
      <c r="J76" s="7"/>
      <c r="K76">
        <v>0.3</v>
      </c>
      <c r="L76">
        <v>0.35</v>
      </c>
      <c r="N76">
        <f>0.35+1.2</f>
        <v>1.5499999999999998</v>
      </c>
      <c r="O76">
        <f>0.25+0.8</f>
        <v>1.05</v>
      </c>
    </row>
    <row r="77" spans="1:15" x14ac:dyDescent="0.2">
      <c r="J77" s="7"/>
      <c r="K77">
        <v>0.3</v>
      </c>
      <c r="L77">
        <v>0.35</v>
      </c>
      <c r="N77">
        <f>0.45+1.05</f>
        <v>1.5</v>
      </c>
    </row>
    <row r="78" spans="1:15" x14ac:dyDescent="0.2">
      <c r="J78" s="7"/>
      <c r="K78">
        <v>0.35</v>
      </c>
      <c r="L78">
        <v>0.35</v>
      </c>
      <c r="N78">
        <v>1.25</v>
      </c>
    </row>
    <row r="79" spans="1:15" x14ac:dyDescent="0.2">
      <c r="J79" s="7"/>
      <c r="K79">
        <v>0.3</v>
      </c>
      <c r="N79">
        <f>0.45+1.4</f>
        <v>1.8499999999999999</v>
      </c>
    </row>
    <row r="80" spans="1:15" x14ac:dyDescent="0.2">
      <c r="J80" s="7"/>
      <c r="K80">
        <v>0.3</v>
      </c>
      <c r="N80">
        <v>1.35</v>
      </c>
    </row>
    <row r="81" spans="1:15" x14ac:dyDescent="0.2">
      <c r="J81" s="7"/>
      <c r="K81">
        <v>0.3</v>
      </c>
      <c r="N81">
        <f>0.85+1.45</f>
        <v>2.2999999999999998</v>
      </c>
    </row>
    <row r="82" spans="1:15" x14ac:dyDescent="0.2">
      <c r="J82" s="7"/>
      <c r="K82">
        <v>0.3</v>
      </c>
      <c r="N82">
        <f>0.6+1.3</f>
        <v>1.9</v>
      </c>
    </row>
    <row r="83" spans="1:15" x14ac:dyDescent="0.2">
      <c r="J83" s="7"/>
      <c r="K83">
        <v>0.3</v>
      </c>
      <c r="N83">
        <f>0.7+0.85</f>
        <v>1.5499999999999998</v>
      </c>
    </row>
    <row r="84" spans="1:15" x14ac:dyDescent="0.2">
      <c r="J84" s="7"/>
      <c r="K84">
        <v>0.3</v>
      </c>
    </row>
    <row r="85" spans="1:15" x14ac:dyDescent="0.2">
      <c r="J85" s="5" t="s">
        <v>95</v>
      </c>
      <c r="K85" s="5">
        <f>AVERAGE(K65:K84)</f>
        <v>0.29999999999999988</v>
      </c>
      <c r="L85" s="5">
        <f>AVERAGE(L65:L84)</f>
        <v>0.32142857142857134</v>
      </c>
      <c r="N85" s="5">
        <f>AVERAGE(N65:N83)</f>
        <v>1.6342105263157896</v>
      </c>
      <c r="O85" s="5">
        <f>AVERAGE(O65:O84)</f>
        <v>1.6125</v>
      </c>
    </row>
    <row r="86" spans="1:15" x14ac:dyDescent="0.2">
      <c r="J86" s="5" t="s">
        <v>97</v>
      </c>
      <c r="K86" s="5">
        <f>STDEV(K65:K84)/(SQRT(COUNT(K65:K84)))</f>
        <v>3.6273812505500575E-3</v>
      </c>
      <c r="L86" s="5">
        <f>STDEV(L65:L84)/(SQRT(COUNT(L65:L84)))</f>
        <v>8.6352932118141257E-3</v>
      </c>
      <c r="N86" s="5">
        <f>STDEV(N65:N83)/(SQRT(COUNT(N65:N83)))</f>
        <v>6.754385964912267E-2</v>
      </c>
      <c r="O86" s="5">
        <f>STDEV(O65:O84)/(SQRT(COUNT(O65:O84)))</f>
        <v>0.11808526067159604</v>
      </c>
    </row>
    <row r="87" spans="1:15" x14ac:dyDescent="0.2">
      <c r="J87" s="5" t="s">
        <v>100</v>
      </c>
      <c r="K87" s="17">
        <f>TTEST(K65:K84,L65:L78,2,3)</f>
        <v>3.4746608978562118E-2</v>
      </c>
      <c r="L87" s="17"/>
      <c r="N87" s="17">
        <f>TTEST(N65:N83,O65:O78,2,3)</f>
        <v>0.87496180591447759</v>
      </c>
      <c r="O87" s="17"/>
    </row>
    <row r="89" spans="1:15" x14ac:dyDescent="0.2">
      <c r="A89" s="26" t="s">
        <v>104</v>
      </c>
      <c r="B89" s="26"/>
      <c r="C89" s="26"/>
      <c r="D89" s="26"/>
      <c r="E89" s="26"/>
      <c r="F89" s="26"/>
      <c r="G89" s="26"/>
      <c r="H89" s="26"/>
    </row>
    <row r="90" spans="1:15" x14ac:dyDescent="0.2">
      <c r="A90" s="24" t="s">
        <v>95</v>
      </c>
      <c r="B90" s="24"/>
      <c r="C90" s="24"/>
      <c r="D90" s="25" t="s">
        <v>105</v>
      </c>
      <c r="F90" s="24" t="s">
        <v>97</v>
      </c>
      <c r="G90" s="24"/>
      <c r="H90" s="24"/>
    </row>
    <row r="91" spans="1:15" x14ac:dyDescent="0.2">
      <c r="A91" s="5"/>
      <c r="B91" s="5" t="s">
        <v>106</v>
      </c>
      <c r="C91" s="5" t="s">
        <v>107</v>
      </c>
      <c r="D91" s="17"/>
      <c r="F91" s="5"/>
      <c r="G91" s="5" t="s">
        <v>106</v>
      </c>
      <c r="H91" s="5" t="s">
        <v>107</v>
      </c>
    </row>
    <row r="92" spans="1:15" x14ac:dyDescent="0.2">
      <c r="A92" s="5" t="s">
        <v>101</v>
      </c>
      <c r="B92">
        <v>1.5450000000000002</v>
      </c>
      <c r="C92">
        <v>2.62</v>
      </c>
      <c r="D92">
        <v>2.3406121009102974E-13</v>
      </c>
      <c r="F92" s="5" t="s">
        <v>101</v>
      </c>
      <c r="G92">
        <v>2.4094720491334942E-2</v>
      </c>
      <c r="H92">
        <v>5.120763831912406E-2</v>
      </c>
    </row>
    <row r="93" spans="1:15" x14ac:dyDescent="0.2">
      <c r="A93" s="5" t="s">
        <v>102</v>
      </c>
      <c r="B93">
        <v>2.9</v>
      </c>
      <c r="C93">
        <v>3.5700000000000003</v>
      </c>
      <c r="D93">
        <v>1.2250230178094305E-8</v>
      </c>
      <c r="F93" s="5" t="s">
        <v>102</v>
      </c>
      <c r="G93">
        <v>3.9440531887330765E-2</v>
      </c>
      <c r="H93">
        <v>5.5876848714134016E-2</v>
      </c>
    </row>
  </sheetData>
  <mergeCells count="211">
    <mergeCell ref="N63:O63"/>
    <mergeCell ref="J65:J84"/>
    <mergeCell ref="K87:L87"/>
    <mergeCell ref="N87:O87"/>
    <mergeCell ref="A89:H89"/>
    <mergeCell ref="A90:C90"/>
    <mergeCell ref="D90:D91"/>
    <mergeCell ref="F90:H90"/>
    <mergeCell ref="DV55:DX55"/>
    <mergeCell ref="DY55:EA55"/>
    <mergeCell ref="EJ55:EL55"/>
    <mergeCell ref="EM55:EO55"/>
    <mergeCell ref="A62:H62"/>
    <mergeCell ref="A63:A76"/>
    <mergeCell ref="B63:D63"/>
    <mergeCell ref="E63:E65"/>
    <mergeCell ref="F63:H63"/>
    <mergeCell ref="K63:L63"/>
    <mergeCell ref="CF55:CH55"/>
    <mergeCell ref="CI55:CK55"/>
    <mergeCell ref="CT55:CV55"/>
    <mergeCell ref="CW55:CY55"/>
    <mergeCell ref="DH55:DJ55"/>
    <mergeCell ref="DK55:DM55"/>
    <mergeCell ref="AP55:AR55"/>
    <mergeCell ref="AS55:AU55"/>
    <mergeCell ref="BD55:BF55"/>
    <mergeCell ref="BG55:BI55"/>
    <mergeCell ref="BR55:BT55"/>
    <mergeCell ref="BU55:BW55"/>
    <mergeCell ref="CT54:CY54"/>
    <mergeCell ref="DH54:DM54"/>
    <mergeCell ref="DV54:EA54"/>
    <mergeCell ref="EJ54:EO54"/>
    <mergeCell ref="B55:D55"/>
    <mergeCell ref="E55:G55"/>
    <mergeCell ref="N55:P55"/>
    <mergeCell ref="Q55:S55"/>
    <mergeCell ref="AB55:AD55"/>
    <mergeCell ref="AE55:AG55"/>
    <mergeCell ref="DG48:DH52"/>
    <mergeCell ref="DU48:DV52"/>
    <mergeCell ref="EI48:EJ52"/>
    <mergeCell ref="B54:G54"/>
    <mergeCell ref="N54:S54"/>
    <mergeCell ref="AB54:AG54"/>
    <mergeCell ref="AP54:AU54"/>
    <mergeCell ref="BD54:BI54"/>
    <mergeCell ref="BR54:BW54"/>
    <mergeCell ref="CF54:CK54"/>
    <mergeCell ref="DV38:DV47"/>
    <mergeCell ref="EJ38:EJ47"/>
    <mergeCell ref="A48:B52"/>
    <mergeCell ref="M48:N52"/>
    <mergeCell ref="AA48:AB52"/>
    <mergeCell ref="AO48:AP52"/>
    <mergeCell ref="BC48:BD52"/>
    <mergeCell ref="BQ48:BR52"/>
    <mergeCell ref="CE48:CF52"/>
    <mergeCell ref="CS48:CT52"/>
    <mergeCell ref="DV31:DV37"/>
    <mergeCell ref="EI31:EI47"/>
    <mergeCell ref="EJ31:EJ37"/>
    <mergeCell ref="B38:B47"/>
    <mergeCell ref="N38:N47"/>
    <mergeCell ref="AB38:AB47"/>
    <mergeCell ref="AP38:AP47"/>
    <mergeCell ref="BD38:BD47"/>
    <mergeCell ref="BR38:BR47"/>
    <mergeCell ref="CF38:CF47"/>
    <mergeCell ref="CF31:CF37"/>
    <mergeCell ref="CS31:CS47"/>
    <mergeCell ref="CT31:CT37"/>
    <mergeCell ref="DG31:DG47"/>
    <mergeCell ref="DH31:DH37"/>
    <mergeCell ref="DU31:DU47"/>
    <mergeCell ref="CT38:CT47"/>
    <mergeCell ref="DH38:DH47"/>
    <mergeCell ref="AP31:AP37"/>
    <mergeCell ref="BC31:BC47"/>
    <mergeCell ref="BD31:BD37"/>
    <mergeCell ref="BQ31:BQ47"/>
    <mergeCell ref="BR31:BR37"/>
    <mergeCell ref="CE31:CE47"/>
    <mergeCell ref="DG26:DH30"/>
    <mergeCell ref="DU26:DV30"/>
    <mergeCell ref="EI26:EJ30"/>
    <mergeCell ref="A31:A47"/>
    <mergeCell ref="B31:B37"/>
    <mergeCell ref="M31:M47"/>
    <mergeCell ref="N31:N37"/>
    <mergeCell ref="AA31:AA47"/>
    <mergeCell ref="AB31:AB37"/>
    <mergeCell ref="AO31:AO47"/>
    <mergeCell ref="DV16:DV25"/>
    <mergeCell ref="EJ16:EJ25"/>
    <mergeCell ref="A26:B30"/>
    <mergeCell ref="M26:N30"/>
    <mergeCell ref="AA26:AB30"/>
    <mergeCell ref="AO26:AP30"/>
    <mergeCell ref="BC26:BD30"/>
    <mergeCell ref="BQ26:BR30"/>
    <mergeCell ref="CE26:CF30"/>
    <mergeCell ref="CS26:CT30"/>
    <mergeCell ref="DU6:DU25"/>
    <mergeCell ref="DV6:DV15"/>
    <mergeCell ref="EI6:EI25"/>
    <mergeCell ref="EJ6:EJ15"/>
    <mergeCell ref="B16:B25"/>
    <mergeCell ref="N16:N25"/>
    <mergeCell ref="AB16:AB25"/>
    <mergeCell ref="AP16:AP25"/>
    <mergeCell ref="BD16:BD25"/>
    <mergeCell ref="BR16:BR25"/>
    <mergeCell ref="CE6:CE25"/>
    <mergeCell ref="CF6:CF15"/>
    <mergeCell ref="CS6:CS25"/>
    <mergeCell ref="CT6:CT15"/>
    <mergeCell ref="DG6:DG25"/>
    <mergeCell ref="DH6:DH15"/>
    <mergeCell ref="CF16:CF25"/>
    <mergeCell ref="CT16:CT25"/>
    <mergeCell ref="DH16:DH25"/>
    <mergeCell ref="AO6:AO25"/>
    <mergeCell ref="AP6:AP15"/>
    <mergeCell ref="BC6:BC25"/>
    <mergeCell ref="BD6:BD15"/>
    <mergeCell ref="BQ6:BQ25"/>
    <mergeCell ref="BR6:BR15"/>
    <mergeCell ref="EL4:EL5"/>
    <mergeCell ref="EM4:EP4"/>
    <mergeCell ref="EQ4:ER4"/>
    <mergeCell ref="ES4:ET4"/>
    <mergeCell ref="A6:A25"/>
    <mergeCell ref="B6:B15"/>
    <mergeCell ref="M6:M25"/>
    <mergeCell ref="N6:N15"/>
    <mergeCell ref="AA6:AA25"/>
    <mergeCell ref="AB6:AB15"/>
    <mergeCell ref="DY4:EB4"/>
    <mergeCell ref="EC4:ED4"/>
    <mergeCell ref="EE4:EF4"/>
    <mergeCell ref="EI4:EI5"/>
    <mergeCell ref="EJ4:EJ5"/>
    <mergeCell ref="EK4:EK5"/>
    <mergeCell ref="DO4:DP4"/>
    <mergeCell ref="DQ4:DR4"/>
    <mergeCell ref="DU4:DU5"/>
    <mergeCell ref="DV4:DV5"/>
    <mergeCell ref="DW4:DW5"/>
    <mergeCell ref="DX4:DX5"/>
    <mergeCell ref="DC4:DD4"/>
    <mergeCell ref="DG4:DG5"/>
    <mergeCell ref="DH4:DH5"/>
    <mergeCell ref="DI4:DI5"/>
    <mergeCell ref="DJ4:DJ5"/>
    <mergeCell ref="DK4:DN4"/>
    <mergeCell ref="CS4:CS5"/>
    <mergeCell ref="CT4:CT5"/>
    <mergeCell ref="CU4:CU5"/>
    <mergeCell ref="CV4:CV5"/>
    <mergeCell ref="CW4:CZ4"/>
    <mergeCell ref="DA4:DB4"/>
    <mergeCell ref="CF4:CF5"/>
    <mergeCell ref="CG4:CG5"/>
    <mergeCell ref="CH4:CH5"/>
    <mergeCell ref="CI4:CL4"/>
    <mergeCell ref="CM4:CN4"/>
    <mergeCell ref="CO4:CP4"/>
    <mergeCell ref="BS4:BS5"/>
    <mergeCell ref="BT4:BT5"/>
    <mergeCell ref="BU4:BX4"/>
    <mergeCell ref="BY4:BZ4"/>
    <mergeCell ref="CA4:CB4"/>
    <mergeCell ref="CE4:CE5"/>
    <mergeCell ref="BF4:BF5"/>
    <mergeCell ref="BG4:BJ4"/>
    <mergeCell ref="BK4:BL4"/>
    <mergeCell ref="BM4:BN4"/>
    <mergeCell ref="BQ4:BQ5"/>
    <mergeCell ref="BR4:BR5"/>
    <mergeCell ref="AS4:AV4"/>
    <mergeCell ref="AW4:AX4"/>
    <mergeCell ref="AY4:AZ4"/>
    <mergeCell ref="BC4:BC5"/>
    <mergeCell ref="BD4:BD5"/>
    <mergeCell ref="BE4:BE5"/>
    <mergeCell ref="AI4:AJ4"/>
    <mergeCell ref="AK4:AL4"/>
    <mergeCell ref="AO4:AO5"/>
    <mergeCell ref="AP4:AP5"/>
    <mergeCell ref="AQ4:AQ5"/>
    <mergeCell ref="AR4:AR5"/>
    <mergeCell ref="W4:X4"/>
    <mergeCell ref="AA4:AA5"/>
    <mergeCell ref="AB4:AB5"/>
    <mergeCell ref="AC4:AC5"/>
    <mergeCell ref="AD4:AD5"/>
    <mergeCell ref="AE4:AH4"/>
    <mergeCell ref="M4:M5"/>
    <mergeCell ref="N4:N5"/>
    <mergeCell ref="O4:O5"/>
    <mergeCell ref="P4:P5"/>
    <mergeCell ref="Q4:T4"/>
    <mergeCell ref="U4:V4"/>
    <mergeCell ref="A4:A5"/>
    <mergeCell ref="B4:B5"/>
    <mergeCell ref="C4:C5"/>
    <mergeCell ref="D4:D5"/>
    <mergeCell ref="E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2021-11-08T21:38:23Z</dcterms:created>
  <dcterms:modified xsi:type="dcterms:W3CDTF">2021-11-08T21:41:09Z</dcterms:modified>
</cp:coreProperties>
</file>