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yo MITOME\Documents\21卒業論文\"/>
    </mc:Choice>
  </mc:AlternateContent>
  <xr:revisionPtr revIDLastSave="0" documentId="13_ncr:1_{8F191669-545A-4A2F-BF1E-9BF8A8D5E61F}" xr6:coauthVersionLast="47" xr6:coauthVersionMax="47" xr10:uidLastSave="{00000000-0000-0000-0000-000000000000}"/>
  <bookViews>
    <workbookView xWindow="-108" yWindow="-108" windowWidth="23256" windowHeight="12576" xr2:uid="{E2BCB7A0-3256-469A-956C-45BBB9062339}"/>
  </bookViews>
  <sheets>
    <sheet name="Figure 2b" sheetId="15" r:id="rId1"/>
    <sheet name="figure2b-data source" sheetId="4" r:id="rId2"/>
    <sheet name="ef-ei Regression Analysis" sheetId="11" r:id="rId3"/>
    <sheet name="ef-ei 1-5 Sample from mean&amp;SD " sheetId="9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5" l="1"/>
  <c r="E8" i="15"/>
  <c r="F7" i="15"/>
  <c r="E7" i="15"/>
  <c r="F6" i="15"/>
  <c r="E6" i="15"/>
  <c r="F5" i="15"/>
  <c r="E5" i="15"/>
  <c r="F4" i="15"/>
  <c r="E4" i="15"/>
  <c r="F3" i="15"/>
  <c r="E3" i="15"/>
  <c r="F2" i="15"/>
  <c r="E2" i="15"/>
  <c r="O43" i="4" l="1"/>
  <c r="Q43" i="4" s="1"/>
  <c r="G43" i="4"/>
  <c r="F43" i="4"/>
  <c r="O42" i="4"/>
  <c r="Q42" i="4" s="1"/>
  <c r="G42" i="4"/>
  <c r="F42" i="4"/>
  <c r="O57" i="4"/>
  <c r="Q57" i="4" s="1"/>
  <c r="G57" i="4"/>
  <c r="F57" i="4"/>
  <c r="O56" i="4"/>
  <c r="G56" i="4"/>
  <c r="F56" i="4"/>
  <c r="P56" i="4" l="1"/>
  <c r="P42" i="4"/>
  <c r="P43" i="4"/>
  <c r="Q56" i="4"/>
  <c r="P57" i="4"/>
  <c r="O70" i="4" l="1"/>
  <c r="Q70" i="4" s="1"/>
  <c r="G70" i="4"/>
  <c r="F70" i="4"/>
  <c r="O72" i="4"/>
  <c r="V72" i="4" s="1"/>
  <c r="O71" i="4"/>
  <c r="V71" i="4" s="1"/>
  <c r="O66" i="4"/>
  <c r="T4" i="4"/>
  <c r="O87" i="4"/>
  <c r="V87" i="4" s="1"/>
  <c r="G87" i="4"/>
  <c r="F87" i="4"/>
  <c r="L86" i="4"/>
  <c r="O86" i="4" s="1"/>
  <c r="G86" i="4"/>
  <c r="F86" i="4"/>
  <c r="M86" i="4"/>
  <c r="O85" i="4"/>
  <c r="V85" i="4" s="1"/>
  <c r="G85" i="4"/>
  <c r="F85" i="4"/>
  <c r="O83" i="4"/>
  <c r="V83" i="4" s="1"/>
  <c r="G83" i="4"/>
  <c r="F83" i="4"/>
  <c r="O82" i="4"/>
  <c r="V82" i="4" s="1"/>
  <c r="G82" i="4"/>
  <c r="F82" i="4"/>
  <c r="O81" i="4"/>
  <c r="V81" i="4" s="1"/>
  <c r="G81" i="4"/>
  <c r="F81" i="4"/>
  <c r="O79" i="4"/>
  <c r="V79" i="4" s="1"/>
  <c r="G79" i="4"/>
  <c r="F79" i="4"/>
  <c r="O78" i="4"/>
  <c r="V78" i="4" s="1"/>
  <c r="G78" i="4"/>
  <c r="F78" i="4"/>
  <c r="O77" i="4"/>
  <c r="V77" i="4" s="1"/>
  <c r="G77" i="4"/>
  <c r="F77" i="4"/>
  <c r="O76" i="4"/>
  <c r="V76" i="4" s="1"/>
  <c r="G76" i="4"/>
  <c r="F76" i="4"/>
  <c r="G72" i="4"/>
  <c r="F72" i="4"/>
  <c r="G71" i="4"/>
  <c r="F71" i="4"/>
  <c r="G66" i="4"/>
  <c r="F66" i="4"/>
  <c r="O68" i="4"/>
  <c r="V68" i="4" s="1"/>
  <c r="G68" i="4"/>
  <c r="F68" i="4"/>
  <c r="O67" i="4"/>
  <c r="G67" i="4"/>
  <c r="F67" i="4"/>
  <c r="O64" i="4"/>
  <c r="G64" i="4"/>
  <c r="F64" i="4"/>
  <c r="O63" i="4"/>
  <c r="V63" i="4" s="1"/>
  <c r="G63" i="4"/>
  <c r="F63" i="4"/>
  <c r="O62" i="4"/>
  <c r="G62" i="4"/>
  <c r="F62" i="4"/>
  <c r="O61" i="4"/>
  <c r="V61" i="4" s="1"/>
  <c r="G61" i="4"/>
  <c r="F61" i="4"/>
  <c r="V57" i="4"/>
  <c r="V56" i="4"/>
  <c r="O54" i="4"/>
  <c r="G54" i="4"/>
  <c r="F54" i="4"/>
  <c r="O53" i="4"/>
  <c r="V53" i="4" s="1"/>
  <c r="G53" i="4"/>
  <c r="F53" i="4"/>
  <c r="O52" i="4"/>
  <c r="G52" i="4"/>
  <c r="F52" i="4"/>
  <c r="O50" i="4"/>
  <c r="G50" i="4"/>
  <c r="F50" i="4"/>
  <c r="O49" i="4"/>
  <c r="V49" i="4" s="1"/>
  <c r="G49" i="4"/>
  <c r="F49" i="4"/>
  <c r="O48" i="4"/>
  <c r="G48" i="4"/>
  <c r="F48" i="4"/>
  <c r="O47" i="4"/>
  <c r="G47" i="4"/>
  <c r="F47" i="4"/>
  <c r="V43" i="4"/>
  <c r="O41" i="4"/>
  <c r="O44" i="4" s="1"/>
  <c r="G41" i="4"/>
  <c r="F41" i="4"/>
  <c r="O39" i="4"/>
  <c r="G39" i="4"/>
  <c r="F39" i="4"/>
  <c r="O38" i="4"/>
  <c r="G38" i="4"/>
  <c r="F38" i="4"/>
  <c r="O37" i="4"/>
  <c r="G37" i="4"/>
  <c r="F37" i="4"/>
  <c r="O35" i="4"/>
  <c r="V35" i="4" s="1"/>
  <c r="G35" i="4"/>
  <c r="F35" i="4"/>
  <c r="O34" i="4"/>
  <c r="G34" i="4"/>
  <c r="F34" i="4"/>
  <c r="O33" i="4"/>
  <c r="V33" i="4" s="1"/>
  <c r="G33" i="4"/>
  <c r="F33" i="4"/>
  <c r="O32" i="4"/>
  <c r="G32" i="4"/>
  <c r="F32" i="4"/>
  <c r="O28" i="4"/>
  <c r="O29" i="4" s="1"/>
  <c r="G28" i="4"/>
  <c r="F28" i="4"/>
  <c r="O27" i="4"/>
  <c r="G27" i="4"/>
  <c r="F27" i="4"/>
  <c r="O26" i="4"/>
  <c r="Q26" i="4" s="1"/>
  <c r="G26" i="4"/>
  <c r="F26" i="4"/>
  <c r="O24" i="4"/>
  <c r="G24" i="4"/>
  <c r="F24" i="4"/>
  <c r="O23" i="4"/>
  <c r="Q23" i="4" s="1"/>
  <c r="G23" i="4"/>
  <c r="F23" i="4"/>
  <c r="O22" i="4"/>
  <c r="G22" i="4"/>
  <c r="F22" i="4"/>
  <c r="O20" i="4"/>
  <c r="G20" i="4"/>
  <c r="F20" i="4"/>
  <c r="O19" i="4"/>
  <c r="G19" i="4"/>
  <c r="F19" i="4"/>
  <c r="O18" i="4"/>
  <c r="V18" i="4" s="1"/>
  <c r="G18" i="4"/>
  <c r="F18" i="4"/>
  <c r="L14" i="4"/>
  <c r="O14" i="4" s="1"/>
  <c r="G14" i="4"/>
  <c r="F14" i="4"/>
  <c r="M14" i="4"/>
  <c r="L13" i="4"/>
  <c r="O13" i="4" s="1"/>
  <c r="V13" i="4" s="1"/>
  <c r="G13" i="4"/>
  <c r="F13" i="4"/>
  <c r="M13" i="4"/>
  <c r="L12" i="4"/>
  <c r="O12" i="4" s="1"/>
  <c r="V12" i="4" s="1"/>
  <c r="C12" i="4"/>
  <c r="G12" i="4" s="1"/>
  <c r="E12" i="4"/>
  <c r="F12" i="4"/>
  <c r="M12" i="4"/>
  <c r="O10" i="4"/>
  <c r="V10" i="4" s="1"/>
  <c r="G10" i="4"/>
  <c r="F10" i="4"/>
  <c r="M10" i="4"/>
  <c r="O9" i="4"/>
  <c r="V9" i="4" s="1"/>
  <c r="G9" i="4"/>
  <c r="F9" i="4"/>
  <c r="M9" i="4"/>
  <c r="O8" i="4"/>
  <c r="V8" i="4" s="1"/>
  <c r="G8" i="4"/>
  <c r="F8" i="4"/>
  <c r="M8" i="4"/>
  <c r="O6" i="4"/>
  <c r="V6" i="4" s="1"/>
  <c r="G6" i="4"/>
  <c r="F6" i="4"/>
  <c r="M6" i="4"/>
  <c r="O5" i="4"/>
  <c r="V5" i="4" s="1"/>
  <c r="G5" i="4"/>
  <c r="F5" i="4"/>
  <c r="M5" i="4"/>
  <c r="O4" i="4"/>
  <c r="V4" i="4" s="1"/>
  <c r="G4" i="4"/>
  <c r="F4" i="4"/>
  <c r="M4" i="4"/>
  <c r="L91" i="4"/>
  <c r="O91" i="4" s="1"/>
  <c r="V91" i="4" s="1"/>
  <c r="G91" i="4"/>
  <c r="F91" i="4"/>
  <c r="M91" i="4"/>
  <c r="L92" i="4"/>
  <c r="O92" i="4" s="1"/>
  <c r="G92" i="4"/>
  <c r="F92" i="4"/>
  <c r="M92" i="4"/>
  <c r="N92" i="4" s="1"/>
  <c r="L93" i="4"/>
  <c r="O93" i="4" s="1"/>
  <c r="G93" i="4"/>
  <c r="F93" i="4"/>
  <c r="M93" i="4"/>
  <c r="O95" i="4"/>
  <c r="V95" i="4" s="1"/>
  <c r="O96" i="4"/>
  <c r="V96" i="4" s="1"/>
  <c r="O97" i="4"/>
  <c r="V97" i="4" s="1"/>
  <c r="O99" i="4"/>
  <c r="V99" i="4" s="1"/>
  <c r="O100" i="4"/>
  <c r="V100" i="4" s="1"/>
  <c r="O58" i="4"/>
  <c r="N93" i="4"/>
  <c r="Q8" i="4"/>
  <c r="Q20" i="4"/>
  <c r="N91" i="4"/>
  <c r="F97" i="4"/>
  <c r="G97" i="4"/>
  <c r="F99" i="4"/>
  <c r="G99" i="4"/>
  <c r="F100" i="4"/>
  <c r="G100" i="4"/>
  <c r="F96" i="4"/>
  <c r="G96" i="4"/>
  <c r="F95" i="4"/>
  <c r="G95" i="4"/>
  <c r="Q24" i="4"/>
  <c r="Q39" i="4"/>
  <c r="Q19" i="4"/>
  <c r="Q37" i="4"/>
  <c r="Q53" i="4"/>
  <c r="Q68" i="4"/>
  <c r="Q71" i="4"/>
  <c r="Q72" i="4"/>
  <c r="Q81" i="4"/>
  <c r="Q54" i="4"/>
  <c r="Q82" i="4"/>
  <c r="Q83" i="4"/>
  <c r="Q100" i="4" l="1"/>
  <c r="Q95" i="4"/>
  <c r="O7" i="4"/>
  <c r="Q85" i="4"/>
  <c r="O51" i="4"/>
  <c r="P67" i="4"/>
  <c r="W67" i="4" s="1"/>
  <c r="O73" i="4"/>
  <c r="O25" i="4"/>
  <c r="Q67" i="4"/>
  <c r="Q99" i="4"/>
  <c r="Q87" i="4"/>
  <c r="Q28" i="4"/>
  <c r="Q18" i="4"/>
  <c r="O80" i="4"/>
  <c r="V70" i="4"/>
  <c r="V66" i="4"/>
  <c r="O69" i="4"/>
  <c r="Q96" i="4"/>
  <c r="Q97" i="4"/>
  <c r="Q41" i="4"/>
  <c r="Q93" i="4"/>
  <c r="P76" i="4"/>
  <c r="P81" i="4"/>
  <c r="V86" i="4"/>
  <c r="P86" i="4"/>
  <c r="W86" i="4" s="1"/>
  <c r="Q86" i="4"/>
  <c r="V67" i="4"/>
  <c r="O84" i="4"/>
  <c r="Y99" i="4"/>
  <c r="P95" i="4"/>
  <c r="W95" i="4" s="1"/>
  <c r="P68" i="4"/>
  <c r="W68" i="4" s="1"/>
  <c r="P79" i="4"/>
  <c r="Y81" i="4"/>
  <c r="P85" i="4"/>
  <c r="W85" i="4" s="1"/>
  <c r="P91" i="4"/>
  <c r="P78" i="4"/>
  <c r="P83" i="4"/>
  <c r="W83" i="4" s="1"/>
  <c r="P100" i="4"/>
  <c r="W100" i="4" s="1"/>
  <c r="P96" i="4"/>
  <c r="W96" i="4" s="1"/>
  <c r="P6" i="4"/>
  <c r="P77" i="4"/>
  <c r="P82" i="4"/>
  <c r="W82" i="4" s="1"/>
  <c r="Z81" i="4" s="1"/>
  <c r="W81" i="4"/>
  <c r="P8" i="4"/>
  <c r="W8" i="4" s="1"/>
  <c r="P13" i="4"/>
  <c r="W13" i="4" s="1"/>
  <c r="P72" i="4"/>
  <c r="W72" i="4" s="1"/>
  <c r="P27" i="4"/>
  <c r="W27" i="4" s="1"/>
  <c r="P71" i="4"/>
  <c r="W71" i="4" s="1"/>
  <c r="V14" i="4"/>
  <c r="Y12" i="4" s="1"/>
  <c r="P14" i="4"/>
  <c r="W14" i="4" s="1"/>
  <c r="V92" i="4"/>
  <c r="P92" i="4"/>
  <c r="O94" i="4"/>
  <c r="Q92" i="4"/>
  <c r="V39" i="4"/>
  <c r="P39" i="4"/>
  <c r="W39" i="4" s="1"/>
  <c r="V47" i="4"/>
  <c r="P47" i="4"/>
  <c r="V52" i="4"/>
  <c r="P52" i="4"/>
  <c r="V64" i="4"/>
  <c r="P64" i="4"/>
  <c r="Q22" i="4"/>
  <c r="O40" i="4"/>
  <c r="P93" i="4"/>
  <c r="P10" i="4"/>
  <c r="W10" i="4" s="1"/>
  <c r="P33" i="4"/>
  <c r="V38" i="4"/>
  <c r="P38" i="4"/>
  <c r="W38" i="4" s="1"/>
  <c r="O15" i="4"/>
  <c r="O36" i="4"/>
  <c r="O65" i="4"/>
  <c r="O101" i="4"/>
  <c r="P97" i="4"/>
  <c r="W97" i="4" s="1"/>
  <c r="P12" i="4"/>
  <c r="P19" i="4"/>
  <c r="W19" i="4" s="1"/>
  <c r="P24" i="4"/>
  <c r="W24" i="4" s="1"/>
  <c r="V32" i="4"/>
  <c r="P32" i="4"/>
  <c r="V37" i="4"/>
  <c r="P37" i="4"/>
  <c r="W42" i="4"/>
  <c r="V42" i="4"/>
  <c r="P49" i="4"/>
  <c r="P54" i="4"/>
  <c r="W54" i="4" s="1"/>
  <c r="P62" i="4"/>
  <c r="W62" i="4" s="1"/>
  <c r="V24" i="4"/>
  <c r="V19" i="4"/>
  <c r="P4" i="4"/>
  <c r="P9" i="4"/>
  <c r="W9" i="4" s="1"/>
  <c r="V22" i="4"/>
  <c r="P22" i="4"/>
  <c r="P34" i="4"/>
  <c r="V34" i="4"/>
  <c r="P5" i="4"/>
  <c r="W5" i="4" s="1"/>
  <c r="V20" i="4"/>
  <c r="P20" i="4"/>
  <c r="W20" i="4" s="1"/>
  <c r="P26" i="4"/>
  <c r="V26" i="4"/>
  <c r="W43" i="4"/>
  <c r="V50" i="4"/>
  <c r="P50" i="4"/>
  <c r="P63" i="4"/>
  <c r="W63" i="4" s="1"/>
  <c r="V93" i="4"/>
  <c r="Y91" i="4" s="1"/>
  <c r="Y100" i="4" s="1"/>
  <c r="Q38" i="4"/>
  <c r="Q52" i="4"/>
  <c r="Q10" i="4"/>
  <c r="Q9" i="4"/>
  <c r="Q91" i="4"/>
  <c r="Q27" i="4"/>
  <c r="O11" i="4"/>
  <c r="O21" i="4"/>
  <c r="O55" i="4"/>
  <c r="P99" i="4"/>
  <c r="Y95" i="4"/>
  <c r="P18" i="4"/>
  <c r="P23" i="4"/>
  <c r="W23" i="4" s="1"/>
  <c r="V23" i="4"/>
  <c r="V28" i="4"/>
  <c r="P28" i="4"/>
  <c r="W28" i="4" s="1"/>
  <c r="P35" i="4"/>
  <c r="P41" i="4"/>
  <c r="V41" i="4"/>
  <c r="Y41" i="4" s="1"/>
  <c r="P48" i="4"/>
  <c r="V48" i="4"/>
  <c r="V27" i="4"/>
  <c r="V62" i="4"/>
  <c r="Y61" i="4" s="1"/>
  <c r="V54" i="4"/>
  <c r="P53" i="4"/>
  <c r="W53" i="4" s="1"/>
  <c r="W57" i="4"/>
  <c r="P61" i="4"/>
  <c r="P87" i="4"/>
  <c r="P70" i="4"/>
  <c r="Y56" i="4"/>
  <c r="Y37" i="4"/>
  <c r="Y8" i="4"/>
  <c r="Y85" i="4"/>
  <c r="P66" i="4"/>
  <c r="Q66" i="4"/>
  <c r="Y70" i="4"/>
  <c r="Y76" i="4"/>
  <c r="W6" i="4"/>
  <c r="W78" i="4"/>
  <c r="W92" i="4"/>
  <c r="W47" i="4"/>
  <c r="W76" i="4"/>
  <c r="W91" i="4"/>
  <c r="W64" i="4"/>
  <c r="W79" i="4"/>
  <c r="W77" i="4"/>
  <c r="W93" i="4"/>
  <c r="Y4" i="4"/>
  <c r="P80" i="4" l="1"/>
  <c r="W49" i="4"/>
  <c r="Z95" i="4"/>
  <c r="P73" i="4"/>
  <c r="Y13" i="4"/>
  <c r="Y66" i="4"/>
  <c r="Y71" i="4" s="1"/>
  <c r="W66" i="4"/>
  <c r="Z66" i="4" s="1"/>
  <c r="P69" i="4"/>
  <c r="P65" i="4"/>
  <c r="Y86" i="4"/>
  <c r="Y52" i="4"/>
  <c r="Y26" i="4"/>
  <c r="Y47" i="4"/>
  <c r="P94" i="4"/>
  <c r="Y18" i="4"/>
  <c r="O16" i="4"/>
  <c r="P84" i="4"/>
  <c r="O88" i="4"/>
  <c r="W48" i="4"/>
  <c r="Z47" i="4" s="1"/>
  <c r="W50" i="4"/>
  <c r="P11" i="4"/>
  <c r="O98" i="4"/>
  <c r="W61" i="4"/>
  <c r="Z61" i="4" s="1"/>
  <c r="W18" i="4"/>
  <c r="Z18" i="4" s="1"/>
  <c r="P21" i="4"/>
  <c r="W34" i="4"/>
  <c r="W37" i="4"/>
  <c r="Z37" i="4" s="1"/>
  <c r="P40" i="4"/>
  <c r="W35" i="4"/>
  <c r="O30" i="4"/>
  <c r="W26" i="4"/>
  <c r="Z26" i="4" s="1"/>
  <c r="P29" i="4"/>
  <c r="P98" i="4"/>
  <c r="W22" i="4"/>
  <c r="Z22" i="4" s="1"/>
  <c r="P25" i="4"/>
  <c r="Y32" i="4"/>
  <c r="Y42" i="4" s="1"/>
  <c r="W33" i="4"/>
  <c r="W4" i="4"/>
  <c r="Z4" i="4" s="1"/>
  <c r="P7" i="4"/>
  <c r="W56" i="4"/>
  <c r="Z56" i="4" s="1"/>
  <c r="P58" i="4"/>
  <c r="W52" i="4"/>
  <c r="Z52" i="4" s="1"/>
  <c r="P55" i="4"/>
  <c r="Z91" i="4"/>
  <c r="P88" i="4"/>
  <c r="P89" i="4" s="1"/>
  <c r="W87" i="4"/>
  <c r="Z85" i="4" s="1"/>
  <c r="W41" i="4"/>
  <c r="Z41" i="4" s="1"/>
  <c r="P44" i="4"/>
  <c r="W99" i="4"/>
  <c r="Z99" i="4" s="1"/>
  <c r="P101" i="4"/>
  <c r="O59" i="4"/>
  <c r="Y22" i="4"/>
  <c r="W32" i="4"/>
  <c r="P36" i="4"/>
  <c r="W12" i="4"/>
  <c r="P15" i="4"/>
  <c r="O45" i="4"/>
  <c r="P51" i="4"/>
  <c r="Z8" i="4"/>
  <c r="W70" i="4"/>
  <c r="Z70" i="4" s="1"/>
  <c r="P74" i="4"/>
  <c r="Z76" i="4"/>
  <c r="Z12" i="4"/>
  <c r="Z57" i="4" l="1"/>
  <c r="Z13" i="4"/>
  <c r="P59" i="4"/>
  <c r="Z86" i="4"/>
  <c r="Y57" i="4"/>
  <c r="Y27" i="4"/>
  <c r="Z71" i="4"/>
  <c r="O102" i="4"/>
  <c r="Z100" i="4"/>
  <c r="O89" i="4"/>
  <c r="P102" i="4"/>
  <c r="P30" i="4"/>
  <c r="Z27" i="4"/>
  <c r="Z32" i="4"/>
  <c r="Z42" i="4" s="1"/>
  <c r="P45" i="4"/>
  <c r="P16" i="4"/>
  <c r="O74" i="4" l="1"/>
</calcChain>
</file>

<file path=xl/sharedStrings.xml><?xml version="1.0" encoding="utf-8"?>
<sst xmlns="http://schemas.openxmlformats.org/spreadsheetml/2006/main" count="136" uniqueCount="52">
  <si>
    <t>ATP</t>
    <phoneticPr fontId="1"/>
  </si>
  <si>
    <t>ATP synthesis</t>
    <phoneticPr fontId="1"/>
  </si>
  <si>
    <t>ATPase in LDAO</t>
    <phoneticPr fontId="1"/>
  </si>
  <si>
    <t>AVERAGE</t>
    <phoneticPr fontId="1"/>
  </si>
  <si>
    <t>SD</t>
    <phoneticPr fontId="1"/>
  </si>
  <si>
    <t>SE</t>
    <phoneticPr fontId="1"/>
  </si>
  <si>
    <t>Average</t>
    <phoneticPr fontId="1"/>
  </si>
  <si>
    <t>(e+ef+eg+eh)/4</t>
    <phoneticPr fontId="1"/>
  </si>
  <si>
    <t>c10</t>
    <phoneticPr fontId="1"/>
  </si>
  <si>
    <t>e</t>
    <phoneticPr fontId="1"/>
  </si>
  <si>
    <t>ef</t>
    <phoneticPr fontId="1"/>
  </si>
  <si>
    <t>eg</t>
    <phoneticPr fontId="1"/>
  </si>
  <si>
    <t>eh</t>
    <phoneticPr fontId="1"/>
  </si>
  <si>
    <t>ei</t>
    <phoneticPr fontId="1"/>
  </si>
  <si>
    <t>ej</t>
    <phoneticPr fontId="1"/>
  </si>
  <si>
    <t>ATP synthesis (3 or 4 times)</t>
    <phoneticPr fontId="1"/>
  </si>
  <si>
    <t>sec</t>
    <phoneticPr fontId="1"/>
  </si>
  <si>
    <t>/sec</t>
    <phoneticPr fontId="1"/>
  </si>
  <si>
    <t>分散/s</t>
    <rPh sb="0" eb="2">
      <t>ブンサン</t>
    </rPh>
    <phoneticPr fontId="1"/>
  </si>
  <si>
    <t>ATP</t>
  </si>
  <si>
    <t>ef</t>
  </si>
  <si>
    <t>eg</t>
  </si>
  <si>
    <t>eh</t>
  </si>
  <si>
    <t>ei</t>
  </si>
  <si>
    <t>c10</t>
  </si>
  <si>
    <t>(SD)²</t>
    <phoneticPr fontId="1"/>
  </si>
  <si>
    <t>切片</t>
  </si>
  <si>
    <t xml:space="preserve">t </t>
  </si>
  <si>
    <t>X 値 1</t>
  </si>
  <si>
    <t>E56Q</t>
    <phoneticPr fontId="1"/>
  </si>
  <si>
    <t>Std. Error</t>
    <phoneticPr fontId="1"/>
  </si>
  <si>
    <t>P-value</t>
    <phoneticPr fontId="1"/>
  </si>
  <si>
    <t>coefficients</t>
    <phoneticPr fontId="1"/>
  </si>
  <si>
    <t>Regression</t>
    <phoneticPr fontId="1"/>
  </si>
  <si>
    <t>Residual</t>
    <phoneticPr fontId="1"/>
  </si>
  <si>
    <t>Total</t>
    <phoneticPr fontId="1"/>
  </si>
  <si>
    <t>df</t>
    <phoneticPr fontId="1"/>
  </si>
  <si>
    <t>Significance F</t>
    <phoneticPr fontId="1"/>
  </si>
  <si>
    <t>Regression Statistics</t>
    <phoneticPr fontId="1"/>
  </si>
  <si>
    <t>Multiple R</t>
    <phoneticPr fontId="1"/>
  </si>
  <si>
    <t>R Square</t>
    <phoneticPr fontId="1"/>
  </si>
  <si>
    <t>Adusted R Square</t>
    <phoneticPr fontId="1"/>
  </si>
  <si>
    <t>Standared Error</t>
    <phoneticPr fontId="1"/>
  </si>
  <si>
    <t>Obserations</t>
    <phoneticPr fontId="1"/>
  </si>
  <si>
    <t>Lower 95%</t>
    <phoneticPr fontId="1"/>
  </si>
  <si>
    <t>Upper 95%</t>
    <phoneticPr fontId="1"/>
  </si>
  <si>
    <t>ANOVA</t>
    <phoneticPr fontId="1"/>
  </si>
  <si>
    <t>SS</t>
    <phoneticPr fontId="1"/>
  </si>
  <si>
    <t>MS</t>
    <phoneticPr fontId="1"/>
  </si>
  <si>
    <t>F</t>
    <phoneticPr fontId="1"/>
  </si>
  <si>
    <t>SUMMARY OUTPUT</t>
    <phoneticPr fontId="1"/>
  </si>
  <si>
    <t>ATP synthesis(corrected)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</si>
</sst>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00"/>
    <numFmt numFmtId="177" formatCode="0.000"/>
    <numFmt numFmtId="178" formatCode="0.000000"/>
    <numFmt numFmtId="179" formatCode="0.00000000"/>
    <numFmt numFmtId="180" formatCode="0.0000"/>
    <numFmt numFmtId="181" formatCode="0.0"/>
    <numFmt numFmtId="182" formatCode="0.0000_);[Red]\(0.0000\)"/>
    <numFmt numFmtId="183" formatCode="0.0000000"/>
    <numFmt numFmtId="184" formatCode="0.00000_);[Red]\(0.00000\)"/>
    <numFmt numFmtId="185" formatCode="0.000000_);[Red]\(0.000000\)"/>
    <numFmt numFmtId="186" formatCode="0.0000000_);[Red]\(0.0000000\)"/>
    <numFmt numFmtId="187" formatCode="0.00000000000000000_);[Red]\(0.0000000000000000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rgb="FF333333"/>
      <name val="Arial"/>
      <family val="2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" fontId="0" fillId="0" borderId="0" xfId="0" applyNumberFormat="1">
      <alignment vertical="center"/>
    </xf>
    <xf numFmtId="181" fontId="0" fillId="0" borderId="0" xfId="0" applyNumberFormat="1">
      <alignment vertical="center"/>
    </xf>
    <xf numFmtId="182" fontId="0" fillId="0" borderId="0" xfId="1" applyNumberFormat="1" applyFont="1">
      <alignment vertical="center"/>
    </xf>
    <xf numFmtId="183" fontId="0" fillId="0" borderId="0" xfId="0" applyNumberFormat="1">
      <alignment vertical="center"/>
    </xf>
    <xf numFmtId="182" fontId="3" fillId="0" borderId="0" xfId="1" applyNumberFormat="1" applyFont="1">
      <alignment vertical="center"/>
    </xf>
    <xf numFmtId="0" fontId="3" fillId="0" borderId="0" xfId="0" applyFont="1">
      <alignment vertical="center"/>
    </xf>
    <xf numFmtId="184" fontId="3" fillId="0" borderId="0" xfId="1" applyNumberFormat="1" applyFont="1">
      <alignment vertical="center"/>
    </xf>
    <xf numFmtId="184" fontId="0" fillId="0" borderId="0" xfId="0" applyNumberFormat="1">
      <alignment vertical="center"/>
    </xf>
    <xf numFmtId="183" fontId="3" fillId="0" borderId="0" xfId="0" applyNumberFormat="1" applyFont="1">
      <alignment vertical="center"/>
    </xf>
    <xf numFmtId="2" fontId="0" fillId="0" borderId="0" xfId="0" applyNumberFormat="1" applyAlignment="1">
      <alignment horizontal="center" vertical="center"/>
    </xf>
    <xf numFmtId="185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7" fontId="0" fillId="0" borderId="0" xfId="0" applyNumberFormat="1">
      <alignment vertical="center"/>
    </xf>
    <xf numFmtId="186" fontId="3" fillId="0" borderId="0" xfId="1" applyNumberFormat="1" applyFont="1">
      <alignment vertical="center"/>
    </xf>
    <xf numFmtId="0" fontId="0" fillId="0" borderId="1" xfId="0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1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1" applyNumberFormat="1" applyFo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'[1]figure2b '!$D$2:$D$9</c:f>
                <c:numCache>
                  <c:formatCode>General</c:formatCode>
                  <c:ptCount val="8"/>
                  <c:pt idx="0">
                    <c:v>6.1967321514906429E-3</c:v>
                  </c:pt>
                  <c:pt idx="1">
                    <c:v>2.415798750178636E-3</c:v>
                  </c:pt>
                  <c:pt idx="2">
                    <c:v>2.5682532527962366E-3</c:v>
                  </c:pt>
                  <c:pt idx="3">
                    <c:v>2.440969226040722E-3</c:v>
                  </c:pt>
                  <c:pt idx="4">
                    <c:v>2.4632808476647374E-3</c:v>
                  </c:pt>
                  <c:pt idx="5">
                    <c:v>1.8663363550588201E-3</c:v>
                  </c:pt>
                  <c:pt idx="6">
                    <c:v>1.2900694534200682E-3</c:v>
                  </c:pt>
                  <c:pt idx="7">
                    <c:v>4.9319608133907111E-4</c:v>
                  </c:pt>
                </c:numCache>
              </c:numRef>
            </c:plus>
            <c:minus>
              <c:numRef>
                <c:f>'[1]figure2b '!$D$2:$D$9</c:f>
                <c:numCache>
                  <c:formatCode>General</c:formatCode>
                  <c:ptCount val="8"/>
                  <c:pt idx="0">
                    <c:v>6.1967321514906429E-3</c:v>
                  </c:pt>
                  <c:pt idx="1">
                    <c:v>2.415798750178636E-3</c:v>
                  </c:pt>
                  <c:pt idx="2">
                    <c:v>2.5682532527962366E-3</c:v>
                  </c:pt>
                  <c:pt idx="3">
                    <c:v>2.440969226040722E-3</c:v>
                  </c:pt>
                  <c:pt idx="4">
                    <c:v>2.4632808476647374E-3</c:v>
                  </c:pt>
                  <c:pt idx="5">
                    <c:v>1.8663363550588201E-3</c:v>
                  </c:pt>
                  <c:pt idx="6">
                    <c:v>1.2900694534200682E-3</c:v>
                  </c:pt>
                  <c:pt idx="7">
                    <c:v>4.9319608133907111E-4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'[1]figure2b '!$B$2:$B$9</c:f>
              <c:strCache>
                <c:ptCount val="8"/>
                <c:pt idx="0">
                  <c:v>c10</c:v>
                </c:pt>
                <c:pt idx="1">
                  <c:v>e</c:v>
                </c:pt>
                <c:pt idx="2">
                  <c:v>ef</c:v>
                </c:pt>
                <c:pt idx="3">
                  <c:v>eg</c:v>
                </c:pt>
                <c:pt idx="4">
                  <c:v>eh</c:v>
                </c:pt>
                <c:pt idx="5">
                  <c:v>ei</c:v>
                </c:pt>
                <c:pt idx="6">
                  <c:v>ej</c:v>
                </c:pt>
                <c:pt idx="7">
                  <c:v>E56Q</c:v>
                </c:pt>
              </c:strCache>
            </c:strRef>
          </c:cat>
          <c:val>
            <c:numRef>
              <c:f>'[1]figure2b '!$C$2:$C$9</c:f>
              <c:numCache>
                <c:formatCode>0.00000_);[Red]\(0.00000\)</c:formatCode>
                <c:ptCount val="8"/>
                <c:pt idx="0">
                  <c:v>2.758554818230417E-2</c:v>
                </c:pt>
                <c:pt idx="1">
                  <c:v>9.8182718778079079E-3</c:v>
                </c:pt>
                <c:pt idx="2" formatCode="0.0000000_);[Red]\(0.0000000\)">
                  <c:v>6.1518549204056085E-3</c:v>
                </c:pt>
                <c:pt idx="3" formatCode="0.0000000_);[Red]\(0.0000000\)">
                  <c:v>5.1749335735663963E-3</c:v>
                </c:pt>
                <c:pt idx="4" formatCode="0.0000000_);[Red]\(0.0000000\)">
                  <c:v>3.5968280144355997E-3</c:v>
                </c:pt>
                <c:pt idx="5" formatCode="0.0000000_);[Red]\(0.0000000\)">
                  <c:v>3.9716445469815996E-3</c:v>
                </c:pt>
                <c:pt idx="6" formatCode="0.0000000_);[Red]\(0.0000000\)">
                  <c:v>3.3273966911292301E-3</c:v>
                </c:pt>
                <c:pt idx="7" formatCode="0.00000">
                  <c:v>-3.8000000000000002E-4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E-45D2-B6A6-2D57A6378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3526144"/>
        <c:axId val="1113522816"/>
      </c:barChart>
      <c:catAx>
        <c:axId val="111352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3522816"/>
        <c:crosses val="autoZero"/>
        <c:auto val="1"/>
        <c:lblAlgn val="ctr"/>
        <c:lblOffset val="0"/>
        <c:noMultiLvlLbl val="0"/>
      </c:catAx>
      <c:valAx>
        <c:axId val="111352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 i="0" baseline="0">
                    <a:solidFill>
                      <a:schemeClr val="tx1"/>
                    </a:solidFill>
                  </a:rPr>
                  <a:t>U/mg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0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352614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0</xdr:row>
      <xdr:rowOff>194310</xdr:rowOff>
    </xdr:from>
    <xdr:to>
      <xdr:col>14</xdr:col>
      <xdr:colOff>3810</xdr:colOff>
      <xdr:row>13</xdr:row>
      <xdr:rowOff>205740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8EFCF40-609E-4E48-B1BA-7DE21CC8E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2b%20data%20source10-2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2b-data source"/>
      <sheetName val="figure2b "/>
      <sheetName val="平均とSDを与える標本"/>
      <sheetName val="ef-ei 1-5回帰分析"/>
      <sheetName val="ef-ei 1-5"/>
      <sheetName val="ef-eg 1-2, eh-ei 3回帰分析"/>
      <sheetName val="ef-eg 1-2, eh-ei 3"/>
    </sheetNames>
    <sheetDataSet>
      <sheetData sheetId="0"/>
      <sheetData sheetId="1">
        <row r="2">
          <cell r="B2" t="str">
            <v>c10</v>
          </cell>
          <cell r="C2">
            <v>2.758554818230417E-2</v>
          </cell>
          <cell r="D2">
            <v>6.1967321514906429E-3</v>
          </cell>
        </row>
        <row r="3">
          <cell r="B3" t="str">
            <v>e</v>
          </cell>
          <cell r="C3">
            <v>9.8182718778079079E-3</v>
          </cell>
          <cell r="D3">
            <v>2.415798750178636E-3</v>
          </cell>
        </row>
        <row r="4">
          <cell r="B4" t="str">
            <v>ef</v>
          </cell>
          <cell r="C4">
            <v>6.1518549204056085E-3</v>
          </cell>
          <cell r="D4">
            <v>2.5682532527962366E-3</v>
          </cell>
        </row>
        <row r="5">
          <cell r="B5" t="str">
            <v>eg</v>
          </cell>
          <cell r="C5">
            <v>5.1749335735663963E-3</v>
          </cell>
          <cell r="D5">
            <v>2.440969226040722E-3</v>
          </cell>
        </row>
        <row r="6">
          <cell r="B6" t="str">
            <v>eh</v>
          </cell>
          <cell r="C6">
            <v>3.5968280144355997E-3</v>
          </cell>
          <cell r="D6">
            <v>2.4632808476647374E-3</v>
          </cell>
        </row>
        <row r="7">
          <cell r="B7" t="str">
            <v>ei</v>
          </cell>
          <cell r="C7">
            <v>3.9716445469815996E-3</v>
          </cell>
          <cell r="D7">
            <v>1.8663363550588201E-3</v>
          </cell>
        </row>
        <row r="8">
          <cell r="B8" t="str">
            <v>ej</v>
          </cell>
          <cell r="C8">
            <v>3.3273966911292301E-3</v>
          </cell>
          <cell r="D8">
            <v>1.2900694534200682E-3</v>
          </cell>
        </row>
        <row r="9">
          <cell r="B9" t="str">
            <v>E56Q</v>
          </cell>
          <cell r="C9">
            <v>-3.8000000000000002E-4</v>
          </cell>
          <cell r="D9">
            <v>4.9319608133907111E-4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0C54-D462-43D5-8EF3-F922911A5BC1}">
  <dimension ref="A1:K20"/>
  <sheetViews>
    <sheetView tabSelected="1" workbookViewId="0"/>
  </sheetViews>
  <sheetFormatPr defaultRowHeight="18" x14ac:dyDescent="0.45"/>
  <cols>
    <col min="3" max="3" width="10.69921875" style="16" bestFit="1" customWidth="1"/>
    <col min="5" max="5" width="9.8984375" bestFit="1" customWidth="1"/>
    <col min="6" max="6" width="21.5" bestFit="1" customWidth="1"/>
    <col min="7" max="7" width="13" bestFit="1" customWidth="1"/>
    <col min="8" max="8" width="13.5" bestFit="1" customWidth="1"/>
    <col min="11" max="11" width="9.59765625" style="19" bestFit="1" customWidth="1"/>
    <col min="13" max="13" width="10.19921875" customWidth="1"/>
    <col min="14" max="14" width="13" bestFit="1" customWidth="1"/>
    <col min="15" max="15" width="14.59765625" bestFit="1" customWidth="1"/>
  </cols>
  <sheetData>
    <row r="1" spans="1:11" x14ac:dyDescent="0.45">
      <c r="D1" s="20" t="s">
        <v>4</v>
      </c>
      <c r="E1" s="20" t="s">
        <v>5</v>
      </c>
      <c r="F1" s="20" t="s">
        <v>25</v>
      </c>
      <c r="G1" s="20"/>
      <c r="H1" s="20"/>
      <c r="K1"/>
    </row>
    <row r="2" spans="1:11" x14ac:dyDescent="0.45">
      <c r="A2">
        <v>9</v>
      </c>
      <c r="B2" t="s">
        <v>8</v>
      </c>
      <c r="C2" s="15">
        <v>2.758554818230417E-2</v>
      </c>
      <c r="D2" s="14">
        <v>6.1967321514906429E-3</v>
      </c>
      <c r="E2" s="14">
        <f t="shared" ref="E2:E8" si="0">D2/SQRT(A2)</f>
        <v>2.0655773838302144E-3</v>
      </c>
      <c r="F2" s="21">
        <f t="shared" ref="F2:F8" si="1">D2*D2</f>
        <v>3.8399489357317854E-5</v>
      </c>
      <c r="K2"/>
    </row>
    <row r="3" spans="1:11" x14ac:dyDescent="0.45">
      <c r="A3">
        <v>9</v>
      </c>
      <c r="B3" t="s">
        <v>9</v>
      </c>
      <c r="C3" s="15">
        <v>9.8182718778079079E-3</v>
      </c>
      <c r="D3" s="14">
        <v>2.415798750178636E-3</v>
      </c>
      <c r="E3" s="14">
        <f t="shared" si="0"/>
        <v>8.0526625005954535E-4</v>
      </c>
      <c r="F3" s="21">
        <f t="shared" si="1"/>
        <v>5.8360836013646596E-6</v>
      </c>
      <c r="K3"/>
    </row>
    <row r="4" spans="1:11" x14ac:dyDescent="0.45">
      <c r="A4">
        <v>10</v>
      </c>
      <c r="B4" t="s">
        <v>10</v>
      </c>
      <c r="C4" s="22">
        <v>6.1518549204056085E-3</v>
      </c>
      <c r="D4" s="14">
        <v>2.5682532527962366E-3</v>
      </c>
      <c r="E4" s="14">
        <f t="shared" si="0"/>
        <v>8.1215298869723119E-4</v>
      </c>
      <c r="F4" s="21">
        <f t="shared" si="1"/>
        <v>6.5959247704984498E-6</v>
      </c>
      <c r="K4"/>
    </row>
    <row r="5" spans="1:11" x14ac:dyDescent="0.45">
      <c r="A5">
        <v>9</v>
      </c>
      <c r="B5" t="s">
        <v>11</v>
      </c>
      <c r="C5" s="22">
        <v>5.1749335735663963E-3</v>
      </c>
      <c r="D5" s="14">
        <v>2.440969226040722E-3</v>
      </c>
      <c r="E5" s="14">
        <f t="shared" si="0"/>
        <v>8.1365640868024064E-4</v>
      </c>
      <c r="F5" s="21">
        <f t="shared" si="1"/>
        <v>5.9583307624778415E-6</v>
      </c>
      <c r="G5" s="14"/>
      <c r="K5"/>
    </row>
    <row r="6" spans="1:11" x14ac:dyDescent="0.45">
      <c r="A6">
        <v>10</v>
      </c>
      <c r="B6" t="s">
        <v>12</v>
      </c>
      <c r="C6" s="22">
        <v>3.5968280144355997E-3</v>
      </c>
      <c r="D6" s="14">
        <v>2.4632808476647374E-3</v>
      </c>
      <c r="E6" s="14">
        <f t="shared" si="0"/>
        <v>7.7895779952908274E-4</v>
      </c>
      <c r="F6" s="21">
        <f t="shared" si="1"/>
        <v>6.0677525344719072E-6</v>
      </c>
      <c r="K6"/>
    </row>
    <row r="7" spans="1:11" x14ac:dyDescent="0.45">
      <c r="A7">
        <v>10</v>
      </c>
      <c r="B7" t="s">
        <v>13</v>
      </c>
      <c r="C7" s="22">
        <v>3.9716445469815996E-3</v>
      </c>
      <c r="D7" s="14">
        <v>1.8663363550588201E-3</v>
      </c>
      <c r="E7" s="17">
        <f t="shared" si="0"/>
        <v>5.9018737619625865E-4</v>
      </c>
      <c r="F7" s="21">
        <f t="shared" si="1"/>
        <v>3.4832113902142426E-6</v>
      </c>
      <c r="K7"/>
    </row>
    <row r="8" spans="1:11" x14ac:dyDescent="0.45">
      <c r="A8">
        <v>8</v>
      </c>
      <c r="B8" t="s">
        <v>14</v>
      </c>
      <c r="C8" s="22">
        <v>3.3273966911292301E-3</v>
      </c>
      <c r="D8" s="14">
        <v>1.2900694534200682E-3</v>
      </c>
      <c r="E8" s="14">
        <f t="shared" si="0"/>
        <v>4.5610842935747654E-4</v>
      </c>
      <c r="F8" s="21">
        <f t="shared" si="1"/>
        <v>1.6642791946475535E-6</v>
      </c>
      <c r="K8"/>
    </row>
    <row r="9" spans="1:11" x14ac:dyDescent="0.45">
      <c r="B9" t="s">
        <v>29</v>
      </c>
      <c r="C9" s="2">
        <v>-3.8000000000000002E-4</v>
      </c>
      <c r="D9">
        <v>4.9319608133907111E-4</v>
      </c>
      <c r="K9"/>
    </row>
    <row r="10" spans="1:11" x14ac:dyDescent="0.45">
      <c r="A10" s="23"/>
      <c r="B10" s="23" t="s">
        <v>9</v>
      </c>
      <c r="C10" s="23" t="s">
        <v>10</v>
      </c>
      <c r="D10" s="23" t="s">
        <v>11</v>
      </c>
      <c r="E10" s="23" t="s">
        <v>12</v>
      </c>
      <c r="F10" s="23" t="s">
        <v>13</v>
      </c>
      <c r="G10" s="23" t="s">
        <v>14</v>
      </c>
      <c r="K10"/>
    </row>
    <row r="11" spans="1:11" x14ac:dyDescent="0.45">
      <c r="A11" s="23" t="s">
        <v>8</v>
      </c>
      <c r="B11" s="24">
        <v>5.4091000000000004E-7</v>
      </c>
      <c r="C11" s="24">
        <v>1.08292E-8</v>
      </c>
      <c r="D11" s="24">
        <v>6.4421999999999999E-9</v>
      </c>
      <c r="E11" s="24">
        <v>2.4454999999999999E-9</v>
      </c>
      <c r="F11" s="24">
        <v>1.8768E-9</v>
      </c>
      <c r="G11" s="25">
        <v>1.7328499999999999E-8</v>
      </c>
      <c r="K11"/>
    </row>
    <row r="12" spans="1:11" x14ac:dyDescent="0.45">
      <c r="A12" s="23" t="s">
        <v>9</v>
      </c>
      <c r="B12" s="23"/>
      <c r="C12" s="26">
        <v>5.2892399999999997E-3</v>
      </c>
      <c r="D12" s="24">
        <v>9.1423999999999997E-4</v>
      </c>
      <c r="E12" s="24">
        <v>3.5369E-5</v>
      </c>
      <c r="F12" s="24">
        <v>1.6113600000000001E-5</v>
      </c>
      <c r="G12" s="24">
        <v>6.2495000000000001E-6</v>
      </c>
      <c r="K12"/>
    </row>
    <row r="13" spans="1:11" x14ac:dyDescent="0.45">
      <c r="A13" s="23" t="s">
        <v>10</v>
      </c>
      <c r="B13" s="23"/>
      <c r="C13" s="27"/>
      <c r="D13" s="26">
        <v>0.40852100000000002</v>
      </c>
      <c r="E13" s="26">
        <v>3.5689899999999997E-2</v>
      </c>
      <c r="F13" s="26">
        <v>4.3485799999999998E-2</v>
      </c>
      <c r="G13" s="26">
        <v>1.2159E-2</v>
      </c>
      <c r="K13"/>
    </row>
    <row r="14" spans="1:11" x14ac:dyDescent="0.45">
      <c r="A14" s="23" t="s">
        <v>11</v>
      </c>
      <c r="B14" s="23"/>
      <c r="C14" s="27"/>
      <c r="D14" s="23"/>
      <c r="E14" s="26">
        <v>0.17941599999999999</v>
      </c>
      <c r="F14" s="26">
        <v>0.241066</v>
      </c>
      <c r="G14" s="26">
        <v>7.51724E-2</v>
      </c>
      <c r="K14"/>
    </row>
    <row r="15" spans="1:11" x14ac:dyDescent="0.45">
      <c r="A15" s="23" t="s">
        <v>12</v>
      </c>
      <c r="B15" s="23"/>
      <c r="C15" s="27"/>
      <c r="D15" s="23"/>
      <c r="E15" s="23"/>
      <c r="F15" s="26">
        <v>0.70583399999999996</v>
      </c>
      <c r="G15" s="26">
        <v>0.78374999999999995</v>
      </c>
      <c r="K15"/>
    </row>
    <row r="16" spans="1:11" x14ac:dyDescent="0.45">
      <c r="A16" s="23" t="s">
        <v>13</v>
      </c>
      <c r="B16" s="23"/>
      <c r="C16" s="27"/>
      <c r="D16" s="23"/>
      <c r="E16" s="23"/>
      <c r="F16" s="23"/>
      <c r="G16" s="26">
        <v>0.41960599999999998</v>
      </c>
      <c r="K16"/>
    </row>
    <row r="17" spans="11:11" x14ac:dyDescent="0.45">
      <c r="K17"/>
    </row>
    <row r="18" spans="11:11" x14ac:dyDescent="0.45">
      <c r="K18"/>
    </row>
    <row r="19" spans="11:11" x14ac:dyDescent="0.45">
      <c r="K19"/>
    </row>
    <row r="20" spans="11:11" x14ac:dyDescent="0.45">
      <c r="K20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C954-BE19-49ED-A339-007D0681147A}">
  <sheetPr>
    <pageSetUpPr fitToPage="1"/>
  </sheetPr>
  <dimension ref="A2:AE114"/>
  <sheetViews>
    <sheetView topLeftCell="L1" workbookViewId="0">
      <selection activeCell="V4" sqref="V4"/>
    </sheetView>
  </sheetViews>
  <sheetFormatPr defaultRowHeight="18" x14ac:dyDescent="0.45"/>
  <cols>
    <col min="3" max="3" width="8.8984375" bestFit="1" customWidth="1"/>
    <col min="4" max="4" width="13.5" bestFit="1" customWidth="1"/>
    <col min="5" max="5" width="9.8984375" bestFit="1" customWidth="1"/>
    <col min="6" max="6" width="9.8984375" customWidth="1"/>
    <col min="15" max="15" width="8.796875" style="11"/>
    <col min="21" max="21" width="15.69921875" bestFit="1" customWidth="1"/>
  </cols>
  <sheetData>
    <row r="2" spans="1:31" x14ac:dyDescent="0.45">
      <c r="B2" t="s">
        <v>17</v>
      </c>
      <c r="C2" t="s">
        <v>18</v>
      </c>
      <c r="D2" t="s">
        <v>17</v>
      </c>
      <c r="H2" s="35" t="s">
        <v>19</v>
      </c>
      <c r="I2" s="35"/>
      <c r="J2" s="35"/>
      <c r="K2" s="35"/>
      <c r="L2" s="34" t="s">
        <v>0</v>
      </c>
      <c r="M2" s="34"/>
      <c r="N2" s="34"/>
      <c r="O2" s="35" t="s">
        <v>1</v>
      </c>
      <c r="P2" s="35"/>
      <c r="Q2" s="35"/>
      <c r="R2" s="35" t="s">
        <v>2</v>
      </c>
      <c r="S2" s="35"/>
      <c r="T2" s="35"/>
      <c r="U2" s="7"/>
      <c r="V2" t="s">
        <v>51</v>
      </c>
      <c r="Y2" t="s">
        <v>15</v>
      </c>
    </row>
    <row r="3" spans="1:31" x14ac:dyDescent="0.45">
      <c r="B3" t="s">
        <v>16</v>
      </c>
      <c r="L3" s="1" t="s">
        <v>3</v>
      </c>
      <c r="M3" s="6" t="s">
        <v>4</v>
      </c>
      <c r="N3" s="6" t="s">
        <v>5</v>
      </c>
      <c r="P3" s="6" t="s">
        <v>4</v>
      </c>
      <c r="Q3" s="6" t="s">
        <v>5</v>
      </c>
      <c r="R3" t="s">
        <v>6</v>
      </c>
      <c r="S3" t="s">
        <v>4</v>
      </c>
      <c r="T3" t="s">
        <v>5</v>
      </c>
      <c r="U3" t="s">
        <v>7</v>
      </c>
      <c r="W3" t="s">
        <v>4</v>
      </c>
      <c r="Y3" t="s">
        <v>6</v>
      </c>
      <c r="Z3" t="s">
        <v>4</v>
      </c>
      <c r="AB3" s="6"/>
      <c r="AC3" s="6"/>
      <c r="AD3" s="6"/>
      <c r="AE3" s="6"/>
    </row>
    <row r="4" spans="1:31" x14ac:dyDescent="0.45">
      <c r="A4" t="s">
        <v>24</v>
      </c>
      <c r="B4">
        <v>-2.4860799999999999E-2</v>
      </c>
      <c r="C4" s="4">
        <v>1.3652777777777779E-4</v>
      </c>
      <c r="D4" s="2">
        <v>0.18426300000000001</v>
      </c>
      <c r="E4">
        <v>2.128055555555556E-4</v>
      </c>
      <c r="F4" s="2">
        <f>D4-B4</f>
        <v>0.2091238</v>
      </c>
      <c r="G4" s="2">
        <f>SQRT(C4+E4)</f>
        <v>1.8690461025168251E-2</v>
      </c>
      <c r="H4" s="1">
        <v>8.5299999999999994</v>
      </c>
      <c r="I4" s="1">
        <v>8.23</v>
      </c>
      <c r="J4" s="11">
        <v>9.7100000000000009</v>
      </c>
      <c r="K4">
        <v>7.94</v>
      </c>
      <c r="L4">
        <v>8.6024999999999991</v>
      </c>
      <c r="M4" s="1">
        <f>STDEV(H4:K4)</f>
        <v>0.77663268881327274</v>
      </c>
      <c r="N4">
        <v>0.38831634440663637</v>
      </c>
      <c r="O4" s="11">
        <f>(($D4-$B4)/$L4)*10000*(1/0.4)*10^-6*60</f>
        <v>3.6464481255448995E-2</v>
      </c>
      <c r="P4">
        <f>$O4*SQRT((G4/F4)^2+(M4/$L4)^2)</f>
        <v>4.6323335294911972E-3</v>
      </c>
      <c r="Q4">
        <v>1.6460045407498134E-3</v>
      </c>
      <c r="R4" s="1">
        <v>1.0899080156178227</v>
      </c>
      <c r="S4" s="3">
        <v>0.18252044035172491</v>
      </c>
      <c r="T4" s="3">
        <f>S4/SQRT(3)</f>
        <v>0.10537822536967742</v>
      </c>
      <c r="U4">
        <v>1.0023327100281578</v>
      </c>
      <c r="V4" s="2">
        <f>O4/$R4*$U$4</f>
        <v>3.3534520154736881E-2</v>
      </c>
      <c r="W4" s="2">
        <f>$U$4*SQRT((P4/$R4)^2+(O4/$R4/$R4*S4)^2)</f>
        <v>7.0488399399276517E-3</v>
      </c>
      <c r="X4" s="2"/>
      <c r="Y4" s="2">
        <f>AVERAGE(V4:V6)</f>
        <v>3.3012389739975806E-2</v>
      </c>
      <c r="Z4" s="2">
        <f>SQRT((W4^2+W5^2+W6^2)/3)</f>
        <v>6.8284391981001599E-3</v>
      </c>
      <c r="AA4" s="2"/>
    </row>
    <row r="5" spans="1:31" x14ac:dyDescent="0.45">
      <c r="A5" s="9" t="s">
        <v>24</v>
      </c>
      <c r="B5">
        <v>-1.4946600000000001E-2</v>
      </c>
      <c r="C5" s="4">
        <v>1.1877777777777776E-4</v>
      </c>
      <c r="D5" s="2">
        <v>0.19996700000000001</v>
      </c>
      <c r="E5">
        <v>1.268888888888889E-4</v>
      </c>
      <c r="F5" s="2">
        <f>D5-B5</f>
        <v>0.21491360000000001</v>
      </c>
      <c r="G5" s="2">
        <f>SQRT(C5+E5)</f>
        <v>1.567375726067833E-2</v>
      </c>
      <c r="H5" s="1">
        <v>9.7100000000000009</v>
      </c>
      <c r="I5" s="1">
        <v>9.4499999999999993</v>
      </c>
      <c r="J5" s="11">
        <v>9.73</v>
      </c>
      <c r="K5">
        <v>7.03</v>
      </c>
      <c r="L5">
        <v>8.98</v>
      </c>
      <c r="M5" s="1">
        <f>STDEV(H5:K5)</f>
        <v>1.3062414274040826</v>
      </c>
      <c r="N5">
        <v>0.65312071370204128</v>
      </c>
      <c r="O5" s="11">
        <f>(($D5-$B5)/$L5)*10000*(1/0.4)*10^-6*60</f>
        <v>3.5898708240534517E-2</v>
      </c>
      <c r="P5">
        <f>$O5*SQRT((G5/F5)^2+(M5/$L5)^2)</f>
        <v>5.841439566568519E-3</v>
      </c>
      <c r="Q5">
        <v>2.6109342925433468E-3</v>
      </c>
      <c r="R5" s="1">
        <v>1.0899080156178227</v>
      </c>
      <c r="S5" s="3">
        <v>0.18252044035172491</v>
      </c>
      <c r="T5" s="3"/>
      <c r="U5" s="3"/>
      <c r="V5" s="2">
        <f t="shared" ref="V5:V65" si="0">O5/$R5*$U$4</f>
        <v>3.3014207622693914E-2</v>
      </c>
      <c r="W5" s="2">
        <f t="shared" ref="W5:W6" si="1">$U$4*SQRT((P5/$R5)^2+(O5/$R5/$R5*S5)^2)</f>
        <v>7.7088020409668417E-3</v>
      </c>
      <c r="X5" s="2"/>
      <c r="Y5" s="4"/>
      <c r="Z5" s="4"/>
      <c r="AA5" s="4"/>
    </row>
    <row r="6" spans="1:31" x14ac:dyDescent="0.45">
      <c r="A6" t="s">
        <v>24</v>
      </c>
      <c r="B6">
        <v>-7.4482599999999996E-2</v>
      </c>
      <c r="C6" s="4">
        <v>2.0588888888888886E-4</v>
      </c>
      <c r="D6" s="2">
        <v>0.67827700000000002</v>
      </c>
      <c r="E6">
        <v>2.6383333333333331E-4</v>
      </c>
      <c r="F6" s="2">
        <f>D6-B6</f>
        <v>0.75275959999999997</v>
      </c>
      <c r="G6" s="2">
        <f>SQRT(C6+E6)</f>
        <v>2.1673075975094588E-2</v>
      </c>
      <c r="H6" s="1">
        <v>32.06</v>
      </c>
      <c r="I6" s="1">
        <v>31.18</v>
      </c>
      <c r="J6" s="11">
        <v>32.28</v>
      </c>
      <c r="K6">
        <v>32.33</v>
      </c>
      <c r="L6">
        <v>31.962500000000002</v>
      </c>
      <c r="M6" s="1">
        <f>STDEV(H6:K6)</f>
        <v>0.53468838276763297</v>
      </c>
      <c r="N6">
        <v>0.26734419138381649</v>
      </c>
      <c r="O6" s="11">
        <f>(($D6-$B6)/$L6)*10000*(1/0.4)*10^-6*60</f>
        <v>3.5327005084082902E-2</v>
      </c>
      <c r="P6">
        <f>$O6*SQRT((G6/F6)^2+(M6/$L6)^2)</f>
        <v>1.1763398860006331E-3</v>
      </c>
      <c r="Q6">
        <v>2.9548594785189263E-4</v>
      </c>
      <c r="R6" s="1">
        <v>1.0899080156178227</v>
      </c>
      <c r="S6" s="3">
        <v>0.18252044035172491</v>
      </c>
      <c r="T6" s="3"/>
      <c r="U6" s="3"/>
      <c r="V6" s="2">
        <f t="shared" si="0"/>
        <v>3.2488441442496623E-2</v>
      </c>
      <c r="W6" s="2">
        <f t="shared" si="1"/>
        <v>5.5471589341678749E-3</v>
      </c>
      <c r="X6" s="2"/>
      <c r="Y6" s="4"/>
      <c r="Z6" s="4"/>
      <c r="AA6" s="4"/>
    </row>
    <row r="7" spans="1:31" x14ac:dyDescent="0.45">
      <c r="C7" s="4"/>
      <c r="D7" s="2"/>
      <c r="F7" s="2"/>
      <c r="G7" s="2"/>
      <c r="H7" s="1"/>
      <c r="I7" s="1"/>
      <c r="J7" s="11"/>
      <c r="O7" s="11">
        <f>AVERAGE(O4:O6)</f>
        <v>3.5896731526688805E-2</v>
      </c>
      <c r="P7">
        <f>SQRT((P4^2+P5^2+P6^2)/3)</f>
        <v>4.3575492219716256E-3</v>
      </c>
      <c r="R7" s="1"/>
      <c r="S7" s="3"/>
      <c r="T7" s="3"/>
      <c r="U7" s="3"/>
      <c r="V7" s="2"/>
      <c r="W7" s="2"/>
      <c r="X7" s="2"/>
      <c r="Y7" s="4"/>
      <c r="Z7" s="4"/>
      <c r="AA7" s="4"/>
    </row>
    <row r="8" spans="1:31" x14ac:dyDescent="0.45">
      <c r="A8" t="s">
        <v>24</v>
      </c>
      <c r="B8">
        <v>-0.59159799999999996</v>
      </c>
      <c r="C8" s="4">
        <v>1.6283333333333338E-4</v>
      </c>
      <c r="D8">
        <v>0.150282</v>
      </c>
      <c r="E8" s="12">
        <v>1.681666666666667E-4</v>
      </c>
      <c r="F8" s="2">
        <f t="shared" ref="F8:F87" si="2">D8-B8</f>
        <v>0.74187999999999998</v>
      </c>
      <c r="G8" s="2">
        <f t="shared" ref="G8:G87" si="3">SQRT(C8+E8)</f>
        <v>1.8193405398660253E-2</v>
      </c>
      <c r="H8">
        <v>36.700000000000003</v>
      </c>
      <c r="I8">
        <v>30.100000000000009</v>
      </c>
      <c r="J8">
        <v>23.099999999999994</v>
      </c>
      <c r="K8">
        <v>57.899999999999991</v>
      </c>
      <c r="L8" s="1">
        <v>36.950000000000003</v>
      </c>
      <c r="M8" s="1">
        <f>STDEV(H8:K8)</f>
        <v>15.030080948994677</v>
      </c>
      <c r="N8" s="1">
        <v>7.5150404744973383</v>
      </c>
      <c r="O8" s="11">
        <f>(($D8-$B8)/$L8)*10000*(1/0.4)*10^-6*60</f>
        <v>3.0116914749661702E-2</v>
      </c>
      <c r="P8">
        <f>$O8*SQRT((G8/F8)^2+(M8/$L8)^2)</f>
        <v>1.2272843257767858E-2</v>
      </c>
      <c r="Q8">
        <f>$O8/$L8*N8</f>
        <v>6.1252999542812867E-3</v>
      </c>
      <c r="R8" s="1">
        <v>1.0297924583455129</v>
      </c>
      <c r="S8" s="1">
        <v>9.0405785196270336E-2</v>
      </c>
      <c r="T8" s="3"/>
      <c r="U8" s="3"/>
      <c r="V8" s="2">
        <f>O8/$R8*$U$4</f>
        <v>2.9313837496163817E-2</v>
      </c>
      <c r="W8" s="2">
        <f>$U$4*SQRT((P8/$R8)^2+(O8/$R8/$R8*S8)^2)</f>
        <v>1.2219645075649418E-2</v>
      </c>
      <c r="X8" s="2"/>
      <c r="Y8" s="2">
        <f>AVERAGE(V8:V10)</f>
        <v>2.2196653223357569E-2</v>
      </c>
      <c r="Z8" s="2">
        <f>SQRT((W8^2+W9^2+W10^2)/3)</f>
        <v>7.5641425213122801E-3</v>
      </c>
      <c r="AA8" s="2"/>
      <c r="AB8" s="6"/>
      <c r="AC8" s="6"/>
      <c r="AD8" s="6"/>
      <c r="AE8" s="6"/>
    </row>
    <row r="9" spans="1:31" x14ac:dyDescent="0.45">
      <c r="A9" t="s">
        <v>24</v>
      </c>
      <c r="B9">
        <v>-0.55449499999999996</v>
      </c>
      <c r="C9" s="4">
        <v>2.6497222222222221E-4</v>
      </c>
      <c r="D9">
        <v>2.85218E-2</v>
      </c>
      <c r="E9" s="12">
        <v>2.4127777777777781E-4</v>
      </c>
      <c r="F9" s="2">
        <f t="shared" si="2"/>
        <v>0.5830168</v>
      </c>
      <c r="G9" s="2">
        <f t="shared" si="3"/>
        <v>2.2499999999999999E-2</v>
      </c>
      <c r="H9">
        <v>13</v>
      </c>
      <c r="I9">
        <v>15.400000000000006</v>
      </c>
      <c r="J9">
        <v>12.799999999999983</v>
      </c>
      <c r="K9">
        <v>11.800000000000011</v>
      </c>
      <c r="L9" s="1">
        <v>13.25</v>
      </c>
      <c r="M9" s="1">
        <f>STDEV(H9:K9)</f>
        <v>1.5264337522473757</v>
      </c>
      <c r="N9" s="1">
        <v>0.76321687612368783</v>
      </c>
      <c r="O9" s="11">
        <f>(($D9-$B9)/$L9)*2500*(1/0.4)*10^-6*60</f>
        <v>1.6500475471698112E-2</v>
      </c>
      <c r="P9">
        <f>$O9*SQRT((G9/F9)^2+(M9/$L9)^2)</f>
        <v>2.0047227482918074E-3</v>
      </c>
      <c r="Q9">
        <f>$O9/$L9*N9</f>
        <v>9.5044840332565792E-4</v>
      </c>
      <c r="R9" s="1">
        <v>1.0297924583455129</v>
      </c>
      <c r="S9" s="1">
        <v>9.0405785196270336E-2</v>
      </c>
      <c r="T9" s="3"/>
      <c r="U9" s="3"/>
      <c r="V9" s="2">
        <f t="shared" ref="V9:V10" si="4">O9/$R9*$U$4</f>
        <v>1.606048496691477E-2</v>
      </c>
      <c r="W9" s="2">
        <f t="shared" ref="W9:W10" si="5">$U$4*SQRT((P9/$R9)^2+(O9/$R9/$R9*S9)^2)</f>
        <v>2.4073662000375353E-3</v>
      </c>
      <c r="X9" s="2"/>
      <c r="Y9" s="4"/>
      <c r="Z9" s="4"/>
      <c r="AA9" s="4"/>
      <c r="AB9" s="6"/>
      <c r="AC9" s="6"/>
      <c r="AD9" s="6"/>
      <c r="AE9" s="6"/>
    </row>
    <row r="10" spans="1:31" x14ac:dyDescent="0.45">
      <c r="A10" t="s">
        <v>24</v>
      </c>
      <c r="B10">
        <v>-1.3162099999999999E-2</v>
      </c>
      <c r="C10" s="4">
        <v>1.385833333333333E-4</v>
      </c>
      <c r="D10">
        <v>0.328322</v>
      </c>
      <c r="E10" s="12">
        <v>1.7452777777777776E-4</v>
      </c>
      <c r="F10" s="2">
        <f t="shared" si="2"/>
        <v>0.34148410000000001</v>
      </c>
      <c r="G10" s="2">
        <f t="shared" si="3"/>
        <v>1.7694945919982663E-2</v>
      </c>
      <c r="H10">
        <v>6.5</v>
      </c>
      <c r="I10">
        <v>6.6999999999999957</v>
      </c>
      <c r="J10">
        <v>4.6000000000000014</v>
      </c>
      <c r="K10">
        <v>5.6999999999999957</v>
      </c>
      <c r="L10" s="1">
        <v>5.8749999999999982</v>
      </c>
      <c r="M10" s="1">
        <f>STDEV(H10:K10)</f>
        <v>0.95350231602585211</v>
      </c>
      <c r="N10" s="1">
        <v>0.47675115801292606</v>
      </c>
      <c r="O10" s="11">
        <f>(($D10-$B10)/$L10)*2500*(1/0.4)*10^-6*60</f>
        <v>2.1796857446808517E-2</v>
      </c>
      <c r="P10">
        <f>$O10*SQRT((G10/F10)^2+(M10/$L10)^2)</f>
        <v>3.7135224234904336E-3</v>
      </c>
      <c r="Q10">
        <f>$O10/$L10*N10</f>
        <v>1.7687960900099804E-3</v>
      </c>
      <c r="R10" s="1">
        <v>1.0297924583455129</v>
      </c>
      <c r="S10" s="1">
        <v>9.0405785196270336E-2</v>
      </c>
      <c r="T10" s="3"/>
      <c r="U10" s="3"/>
      <c r="V10" s="2">
        <f t="shared" si="4"/>
        <v>2.1215637206994129E-2</v>
      </c>
      <c r="W10" s="2">
        <f t="shared" si="5"/>
        <v>4.0661552420249844E-3</v>
      </c>
      <c r="X10" s="2"/>
      <c r="Y10" s="4"/>
      <c r="Z10" s="4"/>
      <c r="AA10" s="4"/>
      <c r="AB10" s="6"/>
      <c r="AC10" s="6"/>
      <c r="AD10" s="6"/>
      <c r="AE10" s="6"/>
    </row>
    <row r="11" spans="1:31" x14ac:dyDescent="0.45">
      <c r="C11" s="4"/>
      <c r="E11" s="12"/>
      <c r="F11" s="2"/>
      <c r="G11" s="2"/>
      <c r="L11" s="1"/>
      <c r="M11" s="1"/>
      <c r="N11" s="1"/>
      <c r="O11" s="11">
        <f>AVERAGE(O8:O10)</f>
        <v>2.280474922272278E-2</v>
      </c>
      <c r="P11">
        <f>SQRT((P8^2+P9^2+P10^2)/3)</f>
        <v>7.492926524774836E-3</v>
      </c>
      <c r="R11" s="1"/>
      <c r="S11" s="1"/>
      <c r="T11" s="3"/>
      <c r="U11" s="3"/>
      <c r="V11" s="2"/>
      <c r="W11" s="2"/>
      <c r="X11" s="2"/>
      <c r="Y11" s="4"/>
      <c r="Z11" s="4"/>
      <c r="AA11" s="4"/>
      <c r="AB11" s="6"/>
      <c r="AC11" s="6"/>
      <c r="AD11" s="6"/>
      <c r="AE11" s="6"/>
    </row>
    <row r="12" spans="1:31" x14ac:dyDescent="0.45">
      <c r="A12" t="s">
        <v>24</v>
      </c>
      <c r="B12">
        <v>3.2833800000000003E-2</v>
      </c>
      <c r="C12" s="4">
        <f>(SQRT(0.1656)/60)^2</f>
        <v>4.6E-5</v>
      </c>
      <c r="D12">
        <v>0.50932999999999995</v>
      </c>
      <c r="E12" s="12">
        <f>(SQRT(0.2592)/60)^2</f>
        <v>7.1999999999999988E-5</v>
      </c>
      <c r="F12" s="2">
        <f t="shared" si="2"/>
        <v>0.47649619999999993</v>
      </c>
      <c r="G12" s="2">
        <f t="shared" si="3"/>
        <v>1.0862780491200215E-2</v>
      </c>
      <c r="H12">
        <v>5.5060000000000073</v>
      </c>
      <c r="I12">
        <v>4.6250999999999891</v>
      </c>
      <c r="J12">
        <v>4.5962999999999994</v>
      </c>
      <c r="K12">
        <v>4.3324000000000069</v>
      </c>
      <c r="L12" s="1">
        <f>AVERAGE(H12:K12)</f>
        <v>4.7649500000000007</v>
      </c>
      <c r="M12" s="1">
        <f>STDEV(H12:K12)</f>
        <v>0.51129099672626355</v>
      </c>
      <c r="O12" s="11">
        <f>(($D12-$B12)/$L12)*2500*(1/0.4)*10^-6*60</f>
        <v>3.7500094439605863E-2</v>
      </c>
      <c r="P12">
        <f>$O12*SQRT((G12/F12)^2+(M12/$L12)^2)</f>
        <v>4.1136657847454742E-3</v>
      </c>
      <c r="R12" s="1">
        <v>1.3005353697749196</v>
      </c>
      <c r="S12" s="1">
        <v>8.5656149272269583E-2</v>
      </c>
      <c r="T12" s="3"/>
      <c r="U12" s="3"/>
      <c r="V12" s="2">
        <f t="shared" si="0"/>
        <v>2.8901614027204186E-2</v>
      </c>
      <c r="W12" s="2">
        <f>$U$4*SQRT((P12/$R12)^2+(O12/$R12/$R12*S12)^2)</f>
        <v>3.6979803159235469E-3</v>
      </c>
      <c r="X12" s="2"/>
      <c r="Y12" s="2">
        <f>AVERAGE(V12:V14)</f>
        <v>2.5611721266969964E-2</v>
      </c>
      <c r="Z12" s="2">
        <f>SQRT((W12^2+W13^2+W14^2)/3)</f>
        <v>4.2791805175311608E-3</v>
      </c>
      <c r="AA12" s="2"/>
      <c r="AB12" s="6"/>
      <c r="AC12" s="6"/>
      <c r="AD12" s="6"/>
      <c r="AE12" s="6"/>
    </row>
    <row r="13" spans="1:31" x14ac:dyDescent="0.45">
      <c r="A13" t="s">
        <v>24</v>
      </c>
      <c r="B13">
        <v>2.7199999999999998E-2</v>
      </c>
      <c r="C13" s="4">
        <v>3.7611111111111103E-4</v>
      </c>
      <c r="D13">
        <v>0.34179999999999999</v>
      </c>
      <c r="E13" s="12">
        <v>8.3555555555555499E-4</v>
      </c>
      <c r="F13" s="2">
        <f t="shared" si="2"/>
        <v>0.31459999999999999</v>
      </c>
      <c r="G13" s="2">
        <f t="shared" si="3"/>
        <v>3.4809002666934687E-2</v>
      </c>
      <c r="H13">
        <v>4.5121499999999983</v>
      </c>
      <c r="I13">
        <v>3.075800000000001</v>
      </c>
      <c r="J13">
        <v>3.9270999999999958</v>
      </c>
      <c r="K13">
        <v>3.4927000000000064</v>
      </c>
      <c r="L13" s="1">
        <f>AVERAGE(H13:K13)</f>
        <v>3.7519375000000004</v>
      </c>
      <c r="M13" s="1">
        <f>STDEV(H13:K13)</f>
        <v>0.6145380234710166</v>
      </c>
      <c r="O13" s="11">
        <f>(($D13-$B13)/$L13)*2500*(1/0.4)*10^-6*60</f>
        <v>3.1443754060402118E-2</v>
      </c>
      <c r="P13">
        <f>$O13*SQRT((G13/F13)^2+(M13/$L13)^2)</f>
        <v>6.2152343897624888E-3</v>
      </c>
      <c r="R13" s="1">
        <v>1.3005353697749196</v>
      </c>
      <c r="S13" s="1">
        <v>8.5656149272269583E-2</v>
      </c>
      <c r="T13" s="3"/>
      <c r="U13" s="3"/>
      <c r="V13" s="2">
        <f t="shared" si="0"/>
        <v>2.4233945460688494E-2</v>
      </c>
      <c r="W13" s="2">
        <f t="shared" ref="W13:W14" si="6">$U$4*SQRT((P13/$R13)^2+(O13/$R13/$R13*S13)^2)</f>
        <v>5.0490474145595855E-3</v>
      </c>
      <c r="X13" s="2"/>
      <c r="Y13" s="13">
        <f>AVERAGE(Y4,Y8,Y12)</f>
        <v>2.6940254743434446E-2</v>
      </c>
      <c r="Z13" s="14">
        <f>SQRT((Z4^2+Z8^2+Z12^2)/3)</f>
        <v>6.3810976032469911E-3</v>
      </c>
      <c r="AA13" s="4"/>
      <c r="AB13" s="6"/>
      <c r="AC13" s="6"/>
      <c r="AD13" s="6"/>
      <c r="AE13" s="6"/>
    </row>
    <row r="14" spans="1:31" x14ac:dyDescent="0.45">
      <c r="A14" t="s">
        <v>24</v>
      </c>
      <c r="B14">
        <v>3.3000000000000002E-2</v>
      </c>
      <c r="C14" s="4">
        <v>4.1916666666666703E-4</v>
      </c>
      <c r="D14">
        <v>0.43669999999999998</v>
      </c>
      <c r="E14" s="12">
        <v>1.1475000000000001E-3</v>
      </c>
      <c r="F14" s="2">
        <f t="shared" si="2"/>
        <v>0.40369999999999995</v>
      </c>
      <c r="G14" s="2">
        <f t="shared" si="3"/>
        <v>3.9581140290126396E-2</v>
      </c>
      <c r="H14">
        <v>5.2376000000000005</v>
      </c>
      <c r="I14">
        <v>5.590600000000002</v>
      </c>
      <c r="J14">
        <v>4.4325000000000045</v>
      </c>
      <c r="K14">
        <v>4.4316999999999922</v>
      </c>
      <c r="L14" s="1">
        <f>AVERAGE(H14:K14)</f>
        <v>4.9230999999999998</v>
      </c>
      <c r="M14" s="1">
        <f>STDEV(H14:K14)</f>
        <v>0.5849868431568922</v>
      </c>
      <c r="O14" s="11">
        <f>(($D14-$B14)/$L14)*2500*(1/0.4)*10^-6*60</f>
        <v>3.0750441794804084E-2</v>
      </c>
      <c r="P14">
        <f>$O14*SQRT((G14/F14)^2+(M14/$L14)^2)</f>
        <v>4.7372010609629438E-3</v>
      </c>
      <c r="R14" s="1">
        <v>1.3005353697749196</v>
      </c>
      <c r="S14" s="1">
        <v>8.5656149272269583E-2</v>
      </c>
      <c r="T14" s="3"/>
      <c r="U14" s="3"/>
      <c r="V14" s="2">
        <f t="shared" si="0"/>
        <v>2.3699604313017205E-2</v>
      </c>
      <c r="W14" s="2">
        <f t="shared" si="6"/>
        <v>3.9706699048681852E-3</v>
      </c>
      <c r="X14" s="2"/>
      <c r="Y14" s="4"/>
      <c r="Z14" s="4"/>
      <c r="AA14" s="4"/>
      <c r="AB14" s="6"/>
      <c r="AC14" s="6"/>
      <c r="AD14" s="6"/>
      <c r="AE14" s="6"/>
    </row>
    <row r="15" spans="1:31" x14ac:dyDescent="0.45">
      <c r="C15" s="2"/>
      <c r="E15" s="2"/>
      <c r="F15" s="2"/>
      <c r="G15" s="2"/>
      <c r="L15" s="1"/>
      <c r="M15" s="1"/>
      <c r="N15" s="1"/>
      <c r="O15" s="11">
        <f>AVERAGE(O12:O14)</f>
        <v>3.3231430098270689E-2</v>
      </c>
      <c r="P15">
        <f>SQRT((P12^2+P13^2+P14^2)/3)</f>
        <v>5.0987730092726018E-3</v>
      </c>
      <c r="R15" s="1"/>
      <c r="S15" s="3"/>
      <c r="T15" s="3"/>
      <c r="U15" s="3"/>
      <c r="V15" s="2"/>
      <c r="W15" s="2"/>
      <c r="X15" s="2"/>
      <c r="Y15" s="4"/>
      <c r="Z15" s="4"/>
      <c r="AA15" s="4"/>
      <c r="AB15" s="6"/>
      <c r="AC15" s="6"/>
      <c r="AD15" s="6"/>
      <c r="AE15" s="6"/>
    </row>
    <row r="16" spans="1:31" x14ac:dyDescent="0.45">
      <c r="C16" s="2"/>
      <c r="E16" s="2"/>
      <c r="F16" s="2"/>
      <c r="G16" s="2"/>
      <c r="L16" s="1"/>
      <c r="M16" s="1"/>
      <c r="N16" s="1"/>
      <c r="O16" s="11">
        <f>AVERAGE(O7,O11,O15)</f>
        <v>3.0644303615894094E-2</v>
      </c>
      <c r="P16">
        <f>SQRT((P7^2+P11^2+P15^2)/3)</f>
        <v>5.8060218545824358E-3</v>
      </c>
      <c r="R16" s="1"/>
      <c r="S16" s="3"/>
      <c r="T16" s="3"/>
      <c r="U16" s="3"/>
      <c r="V16" s="2"/>
      <c r="W16" s="2"/>
      <c r="X16" s="2"/>
      <c r="Y16" s="4"/>
      <c r="Z16" s="4"/>
      <c r="AA16" s="4"/>
      <c r="AB16" s="6"/>
      <c r="AC16" s="6"/>
      <c r="AD16" s="6"/>
      <c r="AE16" s="6"/>
    </row>
    <row r="17" spans="1:31" x14ac:dyDescent="0.45">
      <c r="C17" s="2"/>
      <c r="E17" s="2"/>
      <c r="F17" s="2"/>
      <c r="G17" s="2"/>
      <c r="L17" s="1"/>
      <c r="M17" s="1"/>
      <c r="N17" s="1"/>
      <c r="R17" s="1"/>
      <c r="S17" s="3"/>
      <c r="T17" s="3"/>
      <c r="U17" s="3"/>
      <c r="V17" s="2"/>
      <c r="W17" s="2"/>
      <c r="X17" s="2"/>
      <c r="Y17" s="4"/>
      <c r="Z17" s="4"/>
      <c r="AA17" s="4"/>
      <c r="AB17" s="6"/>
      <c r="AC17" s="6"/>
      <c r="AD17" s="6"/>
      <c r="AE17" s="6"/>
    </row>
    <row r="18" spans="1:31" x14ac:dyDescent="0.45">
      <c r="A18" t="s">
        <v>9</v>
      </c>
      <c r="B18" s="2">
        <v>-3.1150899999999999E-2</v>
      </c>
      <c r="C18" s="2">
        <v>1.6922222222222219E-4</v>
      </c>
      <c r="D18" s="2">
        <v>1.9731800000000001E-2</v>
      </c>
      <c r="E18" s="2">
        <v>1.6336111111111111E-4</v>
      </c>
      <c r="F18" s="2">
        <f t="shared" si="2"/>
        <v>5.0882700000000003E-2</v>
      </c>
      <c r="G18" s="2">
        <f t="shared" si="3"/>
        <v>1.8236867421060374E-2</v>
      </c>
      <c r="H18">
        <v>8.9499999999999993</v>
      </c>
      <c r="I18">
        <v>8.33</v>
      </c>
      <c r="J18">
        <v>9.99</v>
      </c>
      <c r="K18">
        <v>9.5399999999999991</v>
      </c>
      <c r="L18" s="1">
        <v>9.2025000000000006</v>
      </c>
      <c r="M18" s="1">
        <v>0.72089643269103965</v>
      </c>
      <c r="N18" s="1">
        <v>0.36044821634551982</v>
      </c>
      <c r="O18" s="11">
        <f>(($D18-$B18)/$L18)*10000*(1/0.4)*10^-6*60</f>
        <v>8.2938386308068456E-3</v>
      </c>
      <c r="P18">
        <f>$O18*SQRT((G18/F18)^2+(M18/$L18)^2)</f>
        <v>3.0427696745040575E-3</v>
      </c>
      <c r="Q18">
        <f>$O18/$L18*N18</f>
        <v>3.2485730411647875E-4</v>
      </c>
      <c r="R18" s="1">
        <v>1.0529398254478639</v>
      </c>
      <c r="S18" s="3">
        <v>0.11209875339742205</v>
      </c>
      <c r="T18" s="3">
        <v>6.4720245449823105E-2</v>
      </c>
      <c r="U18" s="3"/>
      <c r="V18" s="2">
        <f>O18/$R18*$U$4</f>
        <v>7.8952144751642094E-3</v>
      </c>
      <c r="W18" s="2">
        <f>$U$4*SQRT((P18/$R18)^2+(O18/$R18/$R18*S18)^2)</f>
        <v>3.016020450463364E-3</v>
      </c>
      <c r="X18" s="2"/>
      <c r="Y18" s="2">
        <f>AVERAGE(V18:V20)</f>
        <v>7.899248604681483E-3</v>
      </c>
      <c r="Z18" s="2">
        <f>SQRT((W18^2+W19^2+W20^2)/3)</f>
        <v>2.4065639401069233E-3</v>
      </c>
      <c r="AA18" s="2"/>
      <c r="AC18" s="5"/>
      <c r="AD18" s="5"/>
      <c r="AE18" s="5"/>
    </row>
    <row r="19" spans="1:31" x14ac:dyDescent="0.45">
      <c r="A19" t="s">
        <v>9</v>
      </c>
      <c r="B19" s="2">
        <v>-3.3928899999999998E-2</v>
      </c>
      <c r="C19" s="2">
        <v>1.9150000000000005E-4</v>
      </c>
      <c r="D19" s="2">
        <v>0.12996099999999999</v>
      </c>
      <c r="E19" s="2">
        <v>2.0713888888888892E-4</v>
      </c>
      <c r="F19" s="2">
        <f t="shared" si="2"/>
        <v>0.16388989999999998</v>
      </c>
      <c r="G19" s="2">
        <f t="shared" si="3"/>
        <v>1.9965943225625202E-2</v>
      </c>
      <c r="H19">
        <v>42.2</v>
      </c>
      <c r="I19">
        <v>28.8</v>
      </c>
      <c r="J19">
        <v>27</v>
      </c>
      <c r="K19">
        <v>28.9</v>
      </c>
      <c r="L19" s="1">
        <v>31.725000000000001</v>
      </c>
      <c r="M19" s="1">
        <v>7.0376961192329519</v>
      </c>
      <c r="N19" s="1">
        <v>3.518848059616476</v>
      </c>
      <c r="O19" s="11">
        <f>(($D19-$B19)/$L19)*10000*(1/0.4)*10^-6*60</f>
        <v>7.7489314420803763E-3</v>
      </c>
      <c r="P19">
        <f>$O19*SQRT((G19/F19)^2+(M19/$L19)^2)</f>
        <v>1.9611367038935659E-3</v>
      </c>
      <c r="Q19">
        <f>$O19/$L19*N19</f>
        <v>8.5948975158599316E-4</v>
      </c>
      <c r="R19" s="1">
        <v>1.0529398254478639</v>
      </c>
      <c r="S19" s="3">
        <v>0.11209875339742205</v>
      </c>
      <c r="T19" s="3"/>
      <c r="U19" s="3"/>
      <c r="V19" s="2">
        <f t="shared" ref="V19:V20" si="7">O19/$R19*$U$4</f>
        <v>7.3764969891410058E-3</v>
      </c>
      <c r="W19" s="2">
        <f t="shared" ref="W19:W20" si="8">$U$4*SQRT((P19/$R19)^2+(O19/$R19/$R19*S19)^2)</f>
        <v>2.0253314757823484E-3</v>
      </c>
      <c r="X19" s="2"/>
      <c r="Y19" s="4"/>
      <c r="Z19" s="4"/>
      <c r="AA19" s="4"/>
      <c r="AC19" s="5"/>
      <c r="AD19" s="5"/>
      <c r="AE19" s="5"/>
    </row>
    <row r="20" spans="1:31" x14ac:dyDescent="0.45">
      <c r="A20" t="s">
        <v>9</v>
      </c>
      <c r="B20" s="2">
        <v>-6.2589599999999995E-2</v>
      </c>
      <c r="C20" s="2">
        <v>3.3750000000000002E-4</v>
      </c>
      <c r="D20" s="2">
        <v>0.16548299999999999</v>
      </c>
      <c r="E20" s="2">
        <v>3.766666666666667E-4</v>
      </c>
      <c r="F20" s="2">
        <f t="shared" si="2"/>
        <v>0.22807259999999999</v>
      </c>
      <c r="G20" s="2">
        <f t="shared" si="3"/>
        <v>2.6723896921419726E-2</v>
      </c>
      <c r="H20">
        <v>41.2</v>
      </c>
      <c r="I20">
        <v>45.7</v>
      </c>
      <c r="J20">
        <v>38.799999999999997</v>
      </c>
      <c r="K20">
        <v>28.9</v>
      </c>
      <c r="L20" s="1">
        <v>38.65</v>
      </c>
      <c r="M20" s="1">
        <v>7.1014083110323956</v>
      </c>
      <c r="N20" s="1">
        <v>3.5507041555161978</v>
      </c>
      <c r="O20" s="11">
        <f>(($D20-$B20)/$L20)*10000*(1/0.4)*10^-6*60</f>
        <v>8.851459249676584E-3</v>
      </c>
      <c r="P20">
        <f>$O20*SQRT((G20/F20)^2+(M20/$L20)^2)</f>
        <v>1.9288970253087626E-3</v>
      </c>
      <c r="Q20">
        <f>$O20/$L20*N20</f>
        <v>8.1316722225637601E-4</v>
      </c>
      <c r="R20" s="1">
        <v>1.0529398254478639</v>
      </c>
      <c r="S20" s="3">
        <v>0.11209875339742205</v>
      </c>
      <c r="T20" s="3"/>
      <c r="U20" s="3"/>
      <c r="V20" s="2">
        <f t="shared" si="7"/>
        <v>8.4260343497392347E-3</v>
      </c>
      <c r="W20" s="2">
        <f t="shared" si="8"/>
        <v>2.0436005111226954E-3</v>
      </c>
      <c r="X20" s="2"/>
      <c r="Y20" s="4"/>
      <c r="Z20" s="4"/>
      <c r="AA20" s="4"/>
      <c r="AB20" s="2"/>
      <c r="AC20" s="2"/>
      <c r="AD20" s="2"/>
      <c r="AE20" s="2"/>
    </row>
    <row r="21" spans="1:31" x14ac:dyDescent="0.45">
      <c r="B21" s="2"/>
      <c r="C21" s="2"/>
      <c r="D21" s="2"/>
      <c r="E21" s="2"/>
      <c r="F21" s="2"/>
      <c r="G21" s="2"/>
      <c r="L21" s="1"/>
      <c r="M21" s="1"/>
      <c r="N21" s="1"/>
      <c r="O21" s="11">
        <f>AVERAGE(O18:O20)</f>
        <v>8.2980764408546025E-3</v>
      </c>
      <c r="P21">
        <f>SQRT((P18^2+P19^2+P20^2)/3)</f>
        <v>2.3682024264326902E-3</v>
      </c>
      <c r="R21" s="1"/>
      <c r="S21" s="3"/>
      <c r="T21" s="3"/>
      <c r="U21" s="3"/>
      <c r="V21" s="2"/>
      <c r="W21" s="2"/>
      <c r="X21" s="2"/>
      <c r="Y21" s="4"/>
      <c r="Z21" s="4"/>
      <c r="AA21" s="4"/>
      <c r="AB21" s="2"/>
      <c r="AC21" s="2"/>
      <c r="AD21" s="2"/>
      <c r="AE21" s="2"/>
    </row>
    <row r="22" spans="1:31" x14ac:dyDescent="0.45">
      <c r="A22" t="s">
        <v>9</v>
      </c>
      <c r="B22">
        <v>-5.81044E-2</v>
      </c>
      <c r="C22" s="2">
        <v>2.9138888888888888E-4</v>
      </c>
      <c r="D22">
        <v>0.12842899999999999</v>
      </c>
      <c r="E22" s="2">
        <v>3.077777777777778E-4</v>
      </c>
      <c r="F22" s="2">
        <f t="shared" si="2"/>
        <v>0.18653339999999999</v>
      </c>
      <c r="G22" s="2">
        <f t="shared" si="3"/>
        <v>2.4477881171920634E-2</v>
      </c>
      <c r="H22">
        <v>29.799999999999983</v>
      </c>
      <c r="I22">
        <v>24.099999999999994</v>
      </c>
      <c r="J22">
        <v>18.900000000000006</v>
      </c>
      <c r="K22">
        <v>39.399999999999977</v>
      </c>
      <c r="L22" s="1">
        <v>28.04999999999999</v>
      </c>
      <c r="M22" s="1">
        <v>8.7789521014754293</v>
      </c>
      <c r="N22" s="1">
        <v>4.3894760507377146</v>
      </c>
      <c r="O22" s="11">
        <f>(($D22-$B22)/$L22)*10000*(1/0.4)*10^-6*60</f>
        <v>9.9750481283422468E-3</v>
      </c>
      <c r="P22">
        <f>$O22*SQRT((G22/F22)^2+(M22/$L22)^2)</f>
        <v>3.3852538258560207E-3</v>
      </c>
      <c r="Q22">
        <f>$O22/$L22*N22</f>
        <v>1.5609709399042556E-3</v>
      </c>
      <c r="R22" s="1">
        <v>1.2551895319757058</v>
      </c>
      <c r="S22" s="3">
        <v>1.5042664451475471E-2</v>
      </c>
      <c r="T22" s="3"/>
      <c r="U22" s="3"/>
      <c r="V22" s="2">
        <f>O22/$R22*$U$4</f>
        <v>7.9655834982984113E-3</v>
      </c>
      <c r="W22" s="2">
        <f>$U$4*SQRT((P22/$R22)^2+(O22/$R22/$R22*S22)^2)</f>
        <v>2.7049824616674932E-3</v>
      </c>
      <c r="X22" s="2"/>
      <c r="Y22" s="2">
        <f>AVERAGE(V22:V24)</f>
        <v>9.098585261372534E-3</v>
      </c>
      <c r="Z22" s="2">
        <f>SQRT((W22^2+W23^2+W24^2)/3)</f>
        <v>2.6494675585461039E-3</v>
      </c>
      <c r="AA22" s="2"/>
      <c r="AB22" s="6"/>
      <c r="AC22" s="6"/>
      <c r="AD22" s="6"/>
      <c r="AE22" s="6"/>
    </row>
    <row r="23" spans="1:31" x14ac:dyDescent="0.45">
      <c r="A23" t="s">
        <v>9</v>
      </c>
      <c r="B23">
        <v>-9.8300299999999993E-2</v>
      </c>
      <c r="C23" s="2">
        <v>2.9916666666666666E-4</v>
      </c>
      <c r="D23">
        <v>0.14157600000000001</v>
      </c>
      <c r="E23" s="2">
        <v>2.6475000000000001E-4</v>
      </c>
      <c r="F23" s="2">
        <f t="shared" si="2"/>
        <v>0.23987629999999999</v>
      </c>
      <c r="G23" s="2">
        <f t="shared" si="3"/>
        <v>2.3746929626094121E-2</v>
      </c>
      <c r="H23">
        <v>35.5</v>
      </c>
      <c r="I23">
        <v>30.800000000000011</v>
      </c>
      <c r="J23">
        <v>32.5</v>
      </c>
      <c r="K23">
        <v>25.700000000000017</v>
      </c>
      <c r="L23" s="1">
        <v>31.125000000000007</v>
      </c>
      <c r="M23" s="1">
        <v>4.1055856261115009</v>
      </c>
      <c r="N23" s="1">
        <v>2.0527928130557505</v>
      </c>
      <c r="O23" s="11">
        <f>(($D23-$B23)/$L23)*10000*(1/0.4)*10^-6*60</f>
        <v>1.1560303614457828E-2</v>
      </c>
      <c r="P23">
        <f>$O23*SQRT((G23/F23)^2+(M23/$L23)^2)</f>
        <v>1.9065604131823267E-3</v>
      </c>
      <c r="Q23">
        <f>$O23/$L23*N23</f>
        <v>7.6243881691570885E-4</v>
      </c>
      <c r="R23" s="1">
        <v>1.2551895319757058</v>
      </c>
      <c r="S23" s="3">
        <v>1.5042664451475471E-2</v>
      </c>
      <c r="T23" s="3"/>
      <c r="U23" s="3"/>
      <c r="V23" s="2">
        <f t="shared" ref="V23:V24" si="9">O23/$R23*$U$4</f>
        <v>9.2314906676994931E-3</v>
      </c>
      <c r="W23" s="2">
        <f t="shared" ref="W23:W24" si="10">$U$4*SQRT((P23/$R23)^2+(O23/$R23/$R23*S23)^2)</f>
        <v>1.5264998899308562E-3</v>
      </c>
      <c r="X23" s="2"/>
      <c r="Y23" s="4"/>
      <c r="Z23" s="4"/>
      <c r="AA23" s="4"/>
      <c r="AB23" s="6"/>
      <c r="AC23" s="6"/>
      <c r="AD23" s="6"/>
      <c r="AE23" s="6"/>
    </row>
    <row r="24" spans="1:31" x14ac:dyDescent="0.45">
      <c r="A24" t="s">
        <v>9</v>
      </c>
      <c r="B24">
        <v>-1.28322E-2</v>
      </c>
      <c r="C24" s="2">
        <v>8.8999999999999981E-5</v>
      </c>
      <c r="D24">
        <v>7.21416E-2</v>
      </c>
      <c r="E24" s="2">
        <v>8.2166666666666667E-5</v>
      </c>
      <c r="F24" s="2">
        <f t="shared" si="2"/>
        <v>8.4973800000000002E-2</v>
      </c>
      <c r="G24" s="2">
        <f t="shared" si="3"/>
        <v>1.3083067937860241E-2</v>
      </c>
      <c r="H24" s="10">
        <v>14.093800000000002</v>
      </c>
      <c r="I24" s="10">
        <v>7.4186000000000014</v>
      </c>
      <c r="J24" s="10">
        <v>10.567800000000002</v>
      </c>
      <c r="K24" s="10">
        <v>8.2355000000000018</v>
      </c>
      <c r="L24" s="1">
        <v>10.078925000000002</v>
      </c>
      <c r="M24" s="1">
        <v>2.9907504558499474</v>
      </c>
      <c r="N24" s="1">
        <v>1.4953752279249737</v>
      </c>
      <c r="O24" s="11">
        <f>(($D24-$B24)/$L24)*10000*(1/0.4)*10^-6*60</f>
        <v>1.2646259397703622E-2</v>
      </c>
      <c r="P24">
        <f>$O24*SQRT((G24/F24)^2+(M24/$L24)^2)</f>
        <v>4.2276356311748481E-3</v>
      </c>
      <c r="Q24">
        <f>$O24/$L24*N24</f>
        <v>1.8762817492182342E-3</v>
      </c>
      <c r="R24" s="1">
        <v>1.2551895319757058</v>
      </c>
      <c r="S24" s="3">
        <v>1.5042664451475471E-2</v>
      </c>
      <c r="T24" s="3"/>
      <c r="U24" s="3"/>
      <c r="V24" s="2">
        <f t="shared" si="9"/>
        <v>1.0098681618119699E-2</v>
      </c>
      <c r="W24" s="2">
        <f t="shared" si="10"/>
        <v>3.378150825448312E-3</v>
      </c>
      <c r="X24" s="2"/>
      <c r="Y24" s="4"/>
      <c r="Z24" s="4"/>
      <c r="AA24" s="4"/>
      <c r="AB24" s="6"/>
      <c r="AC24" s="6"/>
      <c r="AD24" s="6"/>
      <c r="AE24" s="6"/>
    </row>
    <row r="25" spans="1:31" x14ac:dyDescent="0.45">
      <c r="C25" s="2"/>
      <c r="E25" s="2"/>
      <c r="F25" s="2"/>
      <c r="G25" s="2"/>
      <c r="H25" s="10"/>
      <c r="I25" s="10"/>
      <c r="J25" s="10"/>
      <c r="K25" s="10"/>
      <c r="L25" s="1"/>
      <c r="M25" s="1"/>
      <c r="N25" s="1"/>
      <c r="O25" s="11">
        <f>AVERAGE(O22:O24)</f>
        <v>1.1393870380167898E-2</v>
      </c>
      <c r="P25">
        <f>SQRT((P22^2+P23^2+P24^2)/3)</f>
        <v>3.3150072450682994E-3</v>
      </c>
      <c r="R25" s="1"/>
      <c r="S25" s="3"/>
      <c r="T25" s="3"/>
      <c r="U25" s="3"/>
      <c r="V25" s="2"/>
      <c r="W25" s="2"/>
      <c r="X25" s="2"/>
      <c r="Y25" s="4"/>
      <c r="Z25" s="4"/>
      <c r="AA25" s="4"/>
      <c r="AB25" s="6"/>
      <c r="AC25" s="6"/>
      <c r="AD25" s="6"/>
      <c r="AE25" s="6"/>
    </row>
    <row r="26" spans="1:31" x14ac:dyDescent="0.45">
      <c r="A26" t="s">
        <v>9</v>
      </c>
      <c r="B26">
        <v>-5.2422400000000001E-2</v>
      </c>
      <c r="C26" s="2">
        <v>2.2013888888888886E-4</v>
      </c>
      <c r="D26">
        <v>0.169739</v>
      </c>
      <c r="E26" s="2">
        <v>1.9122222222222218E-4</v>
      </c>
      <c r="F26" s="2">
        <f t="shared" si="2"/>
        <v>0.22216140000000001</v>
      </c>
      <c r="G26" s="2">
        <f t="shared" si="3"/>
        <v>2.0282039126062031E-2</v>
      </c>
      <c r="H26">
        <v>24.400000000000006</v>
      </c>
      <c r="I26">
        <v>26</v>
      </c>
      <c r="J26">
        <v>21.800000000000011</v>
      </c>
      <c r="K26">
        <v>25.000000000000014</v>
      </c>
      <c r="L26" s="1">
        <v>24.300000000000008</v>
      </c>
      <c r="M26" s="1">
        <v>1.7925772879664972</v>
      </c>
      <c r="N26" s="1">
        <v>0.89628864398324859</v>
      </c>
      <c r="O26" s="11">
        <f>(($D26-$B26)/$L26)*10000*(1/0.4)*10^-6*60</f>
        <v>1.3713666666666664E-2</v>
      </c>
      <c r="P26">
        <f>$O26*SQRT((G26/F26)^2+(M26/$L26)^2)</f>
        <v>1.6096148598903988E-3</v>
      </c>
      <c r="Q26">
        <f>$O26/$L26*N26</f>
        <v>5.0581908233353649E-4</v>
      </c>
      <c r="R26" s="1">
        <v>1.3611523758485173</v>
      </c>
      <c r="S26" s="3">
        <v>1.3806568570945674E-2</v>
      </c>
      <c r="T26" s="3"/>
      <c r="U26" s="3"/>
      <c r="V26" s="2">
        <f>O26/$R26*$U$4</f>
        <v>1.0098543644574709E-2</v>
      </c>
      <c r="W26" s="2">
        <f>$U$4*SQRT((P26/$R26)^2+(O26/$R26/$R26*S26)^2)</f>
        <v>1.1897146888492525E-3</v>
      </c>
      <c r="X26" s="2"/>
      <c r="Y26" s="2">
        <f>AVERAGE(V26:V28)</f>
        <v>1.0613236045392735E-2</v>
      </c>
      <c r="Z26" s="2">
        <f>SQRT((W26^2+W27^2+W28^2)/3)</f>
        <v>1.7188067593280031E-3</v>
      </c>
      <c r="AA26" s="2"/>
      <c r="AB26" s="6"/>
      <c r="AC26" s="6"/>
      <c r="AD26" s="6"/>
      <c r="AE26" s="6"/>
    </row>
    <row r="27" spans="1:31" x14ac:dyDescent="0.45">
      <c r="A27" t="s">
        <v>9</v>
      </c>
      <c r="B27">
        <v>-3.9634700000000002E-2</v>
      </c>
      <c r="C27" s="2">
        <v>2.2833333333333337E-4</v>
      </c>
      <c r="D27">
        <v>0.15847900000000001</v>
      </c>
      <c r="E27" s="2">
        <v>2.419166666666667E-4</v>
      </c>
      <c r="F27" s="2">
        <f t="shared" si="2"/>
        <v>0.1981137</v>
      </c>
      <c r="G27" s="2">
        <f t="shared" si="3"/>
        <v>2.1685248442201443E-2</v>
      </c>
      <c r="H27">
        <v>21.199999999999989</v>
      </c>
      <c r="I27">
        <v>19</v>
      </c>
      <c r="J27">
        <v>16.699999999999989</v>
      </c>
      <c r="K27">
        <v>17.499999999999986</v>
      </c>
      <c r="L27" s="1">
        <v>18.599999999999991</v>
      </c>
      <c r="M27" s="1">
        <v>1.9782146833277068</v>
      </c>
      <c r="N27" s="1">
        <v>0.98910734166385339</v>
      </c>
      <c r="O27" s="11">
        <f>(($D27-$B27)/$L27)*10000*(1/0.4)*10^-6*60</f>
        <v>1.5976911290322589E-2</v>
      </c>
      <c r="P27">
        <f>$O27*SQRT((G27/F27)^2+(M27/$L27)^2)</f>
        <v>2.4383878562332676E-3</v>
      </c>
      <c r="Q27">
        <f>$O27/$L27*N27</f>
        <v>8.4961721797689185E-4</v>
      </c>
      <c r="R27" s="1">
        <v>1.3611523758485173</v>
      </c>
      <c r="S27" s="3">
        <v>1.3806568570945674E-2</v>
      </c>
      <c r="T27" s="3">
        <v>1.1793203752235092E-2</v>
      </c>
      <c r="U27" s="3"/>
      <c r="V27" s="2">
        <f t="shared" ref="V27:V28" si="11">O27/$R27*$U$4</f>
        <v>1.1765163897631643E-2</v>
      </c>
      <c r="W27" s="2">
        <f t="shared" ref="W27:W28" si="12">$U$4*SQRT((P27/$R27)^2+(O27/$R27/$R27*S27)^2)</f>
        <v>1.7995544645943795E-3</v>
      </c>
      <c r="X27" s="2"/>
      <c r="Y27" s="13">
        <f>AVERAGE(Y18,Y22,Y26)</f>
        <v>9.2036899704822511E-3</v>
      </c>
      <c r="Z27" s="14">
        <f>SQRT((Z18^2+Z22^2+Z26^2)/3)</f>
        <v>2.2924168481846725E-3</v>
      </c>
      <c r="AA27" s="4"/>
      <c r="AB27" s="6"/>
      <c r="AC27" s="6"/>
      <c r="AD27" s="6"/>
      <c r="AE27" s="6"/>
    </row>
    <row r="28" spans="1:31" x14ac:dyDescent="0.45">
      <c r="A28" t="s">
        <v>9</v>
      </c>
      <c r="B28">
        <v>-5.8400000000000001E-2</v>
      </c>
      <c r="C28" s="2">
        <v>2.328888888888889E-4</v>
      </c>
      <c r="D28">
        <v>0.17438699999999999</v>
      </c>
      <c r="E28" s="2">
        <v>1.9780555555555553E-4</v>
      </c>
      <c r="F28" s="2">
        <f t="shared" si="2"/>
        <v>0.23278699999999999</v>
      </c>
      <c r="G28" s="2">
        <f t="shared" si="3"/>
        <v>2.075317914066287E-2</v>
      </c>
      <c r="H28">
        <v>30.799999999999997</v>
      </c>
      <c r="I28">
        <v>28.899999999999991</v>
      </c>
      <c r="J28">
        <v>21.799999999999983</v>
      </c>
      <c r="K28">
        <v>21.599999999999994</v>
      </c>
      <c r="L28" s="1">
        <v>25.774999999999991</v>
      </c>
      <c r="M28" s="1">
        <v>4.7696086492150274</v>
      </c>
      <c r="N28" s="1">
        <v>2.3848043246075137</v>
      </c>
      <c r="O28" s="11">
        <f>(($D28-$B28)/$L28)*10000*(1/0.4)*10^-6*60</f>
        <v>1.3547255092143554E-2</v>
      </c>
      <c r="P28">
        <f>$O28*SQRT((G28/F28)^2+(M28/$L28)^2)</f>
        <v>2.7826537119477546E-3</v>
      </c>
      <c r="Q28">
        <f>$O28/$L28*N28</f>
        <v>1.2534452970050483E-3</v>
      </c>
      <c r="R28" s="1">
        <v>1.3611523758485173</v>
      </c>
      <c r="S28" s="3">
        <v>1.3806568570945674E-2</v>
      </c>
      <c r="T28" s="3"/>
      <c r="U28" s="3"/>
      <c r="V28" s="2">
        <f t="shared" si="11"/>
        <v>9.9760005939718531E-3</v>
      </c>
      <c r="W28" s="2">
        <f t="shared" si="12"/>
        <v>2.0516024750983457E-3</v>
      </c>
      <c r="X28" s="2"/>
      <c r="Y28" s="4"/>
      <c r="Z28" s="4"/>
      <c r="AA28" s="4"/>
      <c r="AB28" s="6"/>
      <c r="AC28" s="6"/>
      <c r="AD28" s="6"/>
      <c r="AE28" s="6"/>
    </row>
    <row r="29" spans="1:31" x14ac:dyDescent="0.45">
      <c r="C29" s="2"/>
      <c r="E29" s="2"/>
      <c r="F29" s="2"/>
      <c r="G29" s="2"/>
      <c r="L29" s="1"/>
      <c r="M29" s="1"/>
      <c r="N29" s="1"/>
      <c r="O29" s="11">
        <f>AVERAGE(O26:O28)</f>
        <v>1.4412611016377605E-2</v>
      </c>
      <c r="P29">
        <f>SQRT((P26^2+P27^2+P28^2)/3)</f>
        <v>2.329503310094413E-3</v>
      </c>
      <c r="R29" s="1"/>
      <c r="S29" s="3"/>
      <c r="T29" s="3"/>
      <c r="U29" s="3"/>
      <c r="V29" s="2"/>
      <c r="W29" s="2"/>
      <c r="X29" s="2"/>
      <c r="Y29" s="4"/>
      <c r="Z29" s="4"/>
      <c r="AA29" s="4"/>
      <c r="AB29" s="6"/>
      <c r="AC29" s="6"/>
      <c r="AD29" s="6"/>
      <c r="AE29" s="6"/>
    </row>
    <row r="30" spans="1:31" x14ac:dyDescent="0.45">
      <c r="C30" s="2"/>
      <c r="E30" s="2"/>
      <c r="F30" s="2"/>
      <c r="G30" s="2"/>
      <c r="L30" s="1"/>
      <c r="M30" s="1"/>
      <c r="N30" s="1"/>
      <c r="O30" s="11">
        <f>AVERAGE(O21,O25,O29)</f>
        <v>1.1368185945800037E-2</v>
      </c>
      <c r="P30">
        <f>SQRT((P21^2+P25^2+P29^2)/3)</f>
        <v>2.7095043482254478E-3</v>
      </c>
      <c r="R30" s="1"/>
      <c r="S30" s="3"/>
      <c r="T30" s="3"/>
      <c r="U30" s="3"/>
      <c r="V30" s="2"/>
      <c r="W30" s="2"/>
      <c r="X30" s="2"/>
      <c r="Y30" s="4"/>
      <c r="Z30" s="4"/>
      <c r="AA30" s="4"/>
      <c r="AB30" s="6"/>
      <c r="AC30" s="6"/>
      <c r="AD30" s="6"/>
      <c r="AE30" s="6"/>
    </row>
    <row r="31" spans="1:31" x14ac:dyDescent="0.45">
      <c r="C31" s="2"/>
      <c r="E31" s="2"/>
      <c r="F31" s="2"/>
      <c r="G31" s="2"/>
      <c r="L31" s="1"/>
      <c r="M31" s="1"/>
      <c r="N31" s="1"/>
      <c r="P31" s="8"/>
      <c r="R31" s="1"/>
      <c r="S31" s="3"/>
      <c r="T31" s="3"/>
      <c r="U31" s="3"/>
      <c r="V31" s="2"/>
      <c r="W31" s="2"/>
      <c r="X31" s="2"/>
      <c r="Y31" s="4"/>
      <c r="Z31" s="4"/>
      <c r="AA31" s="4"/>
      <c r="AB31" s="6"/>
      <c r="AC31" s="6"/>
      <c r="AD31" s="6"/>
      <c r="AE31" s="6"/>
    </row>
    <row r="32" spans="1:31" x14ac:dyDescent="0.45">
      <c r="A32" t="s">
        <v>20</v>
      </c>
      <c r="B32" s="2">
        <v>-1.06842E-2</v>
      </c>
      <c r="C32" s="2">
        <v>5.3749999999999999E-5</v>
      </c>
      <c r="D32" s="2">
        <v>2.1917699999999998E-2</v>
      </c>
      <c r="E32" s="2">
        <v>4.552777777777777E-5</v>
      </c>
      <c r="F32" s="2">
        <f t="shared" si="2"/>
        <v>3.2601899999999996E-2</v>
      </c>
      <c r="G32" s="2">
        <f t="shared" si="3"/>
        <v>9.9638234517567485E-3</v>
      </c>
      <c r="H32">
        <v>2.0299999999999998</v>
      </c>
      <c r="I32">
        <v>1.82</v>
      </c>
      <c r="J32">
        <v>1.39</v>
      </c>
      <c r="K32">
        <v>1.7</v>
      </c>
      <c r="L32" s="1">
        <v>1.7349999999999999</v>
      </c>
      <c r="M32" s="1">
        <v>0.26739483914241829</v>
      </c>
      <c r="N32" s="1">
        <v>0.13369741957120915</v>
      </c>
      <c r="O32" s="11">
        <f>(($D32-$B32)/$L32)*2500*(1/0.4)*10^-6*60</f>
        <v>7.046520172910662E-3</v>
      </c>
      <c r="P32">
        <f>$O32*SQRT((G32/F32)^2+(M32/$L32)^2)</f>
        <v>2.4118926035365537E-3</v>
      </c>
      <c r="Q32">
        <v>5.4299801963955392E-4</v>
      </c>
      <c r="R32" s="1">
        <v>0.9908530824500813</v>
      </c>
      <c r="S32" s="3">
        <v>2.0426428082883103E-2</v>
      </c>
      <c r="T32" s="3">
        <v>1.1793203752235092E-2</v>
      </c>
      <c r="U32" s="3"/>
      <c r="V32" s="2">
        <f t="shared" si="0"/>
        <v>7.1281583377800668E-3</v>
      </c>
      <c r="W32" s="2">
        <f>$U$4*SQRT((P32/$R32)^2+(O32/$R32/$R32*S32)^2)</f>
        <v>2.4442569955384786E-3</v>
      </c>
      <c r="X32" s="2"/>
      <c r="Y32" s="2">
        <f>AVERAGE(V32:V35)</f>
        <v>6.4958227254985346E-3</v>
      </c>
      <c r="Z32" s="2">
        <f>SQRT((W32^2+W33^2+W34^2+W35^2)/4)</f>
        <v>2.2635691938663535E-3</v>
      </c>
      <c r="AA32" s="2"/>
      <c r="AB32" s="2"/>
      <c r="AC32" s="2"/>
      <c r="AD32" s="2"/>
      <c r="AE32" s="2"/>
    </row>
    <row r="33" spans="1:31" x14ac:dyDescent="0.45">
      <c r="A33" t="s">
        <v>20</v>
      </c>
      <c r="B33" s="2">
        <v>-1.1672099999999999E-2</v>
      </c>
      <c r="C33" s="2">
        <v>7.1555555555555541E-5</v>
      </c>
      <c r="D33" s="2">
        <v>1.69014E-2</v>
      </c>
      <c r="E33" s="2">
        <v>4.5444444444444437E-5</v>
      </c>
      <c r="F33" s="2">
        <f t="shared" si="2"/>
        <v>2.8573500000000002E-2</v>
      </c>
      <c r="G33" s="2">
        <f t="shared" si="3"/>
        <v>1.0816653826391966E-2</v>
      </c>
      <c r="H33">
        <v>2.62</v>
      </c>
      <c r="I33">
        <v>1.81</v>
      </c>
      <c r="J33">
        <v>1.75</v>
      </c>
      <c r="K33">
        <v>1.79</v>
      </c>
      <c r="L33" s="1">
        <v>1.9924999999999999</v>
      </c>
      <c r="M33" s="1">
        <v>0.4190763653560054</v>
      </c>
      <c r="N33" s="1">
        <v>0.2095381826780027</v>
      </c>
      <c r="O33" s="11">
        <f>(($D33-$B33)/$L33)*2500*(1/0.4)*10^-6*60</f>
        <v>5.3776976160602261E-3</v>
      </c>
      <c r="P33">
        <f>$O33*SQRT((G33/F33)^2+(M33/$L33)^2)</f>
        <v>2.3288698586216628E-3</v>
      </c>
      <c r="Q33">
        <v>5.6553725744596609E-4</v>
      </c>
      <c r="R33" s="1">
        <v>0.9908530824500813</v>
      </c>
      <c r="S33" s="3">
        <v>2.0426428082883103E-2</v>
      </c>
      <c r="T33" s="3"/>
      <c r="U33" s="3"/>
      <c r="V33" s="2">
        <f t="shared" si="0"/>
        <v>5.4400014701363845E-3</v>
      </c>
      <c r="W33" s="2">
        <f t="shared" ref="W33:W35" si="13">$U$4*SQRT((P33/$R33)^2+(O33/$R33/$R33*S33)^2)</f>
        <v>2.3585189362092386E-3</v>
      </c>
      <c r="X33" s="2"/>
      <c r="Y33" s="4"/>
      <c r="Z33" s="4"/>
      <c r="AA33" s="4"/>
      <c r="AC33" s="5"/>
      <c r="AD33" s="5"/>
      <c r="AE33" s="5"/>
    </row>
    <row r="34" spans="1:31" x14ac:dyDescent="0.45">
      <c r="A34" t="s">
        <v>20</v>
      </c>
      <c r="B34" s="2">
        <v>-4.4824500000000003E-2</v>
      </c>
      <c r="C34" s="2">
        <v>5.0666666666666674E-5</v>
      </c>
      <c r="D34" s="2">
        <v>-1.4829999999999999E-3</v>
      </c>
      <c r="E34" s="2">
        <v>4.7055555555555562E-5</v>
      </c>
      <c r="F34" s="2">
        <f t="shared" si="2"/>
        <v>4.3341500000000005E-2</v>
      </c>
      <c r="G34" s="2">
        <f t="shared" si="3"/>
        <v>9.885455084224613E-3</v>
      </c>
      <c r="H34">
        <v>2.65</v>
      </c>
      <c r="I34">
        <v>2.5</v>
      </c>
      <c r="J34">
        <v>2.66</v>
      </c>
      <c r="K34">
        <v>1.83</v>
      </c>
      <c r="L34" s="1">
        <v>2.41</v>
      </c>
      <c r="M34" s="1">
        <v>0.39353102376644578</v>
      </c>
      <c r="N34" s="1">
        <v>0.19676551188322289</v>
      </c>
      <c r="O34" s="11">
        <f>(($D34-$B34)/$L34)*2500*(1/0.4)*10^-6*60</f>
        <v>6.7440093360995844E-3</v>
      </c>
      <c r="P34">
        <f>$O34*SQRT((G34/F34)^2+(M34/$L34)^2)</f>
        <v>1.8917603980873872E-3</v>
      </c>
      <c r="Q34">
        <v>5.5061761376052644E-4</v>
      </c>
      <c r="R34" s="1">
        <v>0.9908530824500813</v>
      </c>
      <c r="S34" s="3">
        <v>2.0426428082883103E-2</v>
      </c>
      <c r="T34" s="3"/>
      <c r="U34" s="3"/>
      <c r="V34" s="2">
        <f t="shared" si="0"/>
        <v>6.8221427313856558E-3</v>
      </c>
      <c r="W34" s="2">
        <f t="shared" si="13"/>
        <v>1.9188384598151744E-3</v>
      </c>
      <c r="X34" s="2"/>
      <c r="Y34" s="4"/>
      <c r="Z34" s="4"/>
      <c r="AA34" s="4"/>
      <c r="AC34" s="5"/>
      <c r="AD34" s="5"/>
      <c r="AE34" s="5"/>
    </row>
    <row r="35" spans="1:31" x14ac:dyDescent="0.45">
      <c r="A35" t="s">
        <v>20</v>
      </c>
      <c r="B35" s="2">
        <v>-3.3405400000000002E-2</v>
      </c>
      <c r="C35" s="2">
        <v>6.3111111111111129E-5</v>
      </c>
      <c r="D35" s="2">
        <v>-1.6869999999999999E-3</v>
      </c>
      <c r="E35" s="2">
        <v>3.9555555555555556E-5</v>
      </c>
      <c r="F35" s="2">
        <f t="shared" si="2"/>
        <v>3.1718400000000001E-2</v>
      </c>
      <c r="G35" s="2">
        <f t="shared" si="3"/>
        <v>1.0132456102380442E-2</v>
      </c>
      <c r="H35">
        <v>1.57</v>
      </c>
      <c r="I35">
        <v>1.97</v>
      </c>
      <c r="J35">
        <v>2.1</v>
      </c>
      <c r="K35">
        <v>1.66</v>
      </c>
      <c r="L35" s="1">
        <v>1.8250000000000002</v>
      </c>
      <c r="M35" s="1">
        <v>0.25093159758520961</v>
      </c>
      <c r="N35" s="1">
        <v>0.1254657987926048</v>
      </c>
      <c r="O35" s="11">
        <f>(($D35-$B35)/$L35)*2500*(1/0.4)*10^-6*60</f>
        <v>6.5174794520547934E-3</v>
      </c>
      <c r="P35">
        <f>$O35*SQRT((G35/F35)^2+(M35/$L35)^2)</f>
        <v>2.2666771237844761E-3</v>
      </c>
      <c r="Q35">
        <v>4.4806617291311937E-4</v>
      </c>
      <c r="R35" s="1">
        <v>0.9908530824500813</v>
      </c>
      <c r="S35" s="3">
        <v>2.0426428082883103E-2</v>
      </c>
      <c r="T35" s="3"/>
      <c r="U35" s="3"/>
      <c r="V35" s="2">
        <f t="shared" si="0"/>
        <v>6.5929883626920319E-3</v>
      </c>
      <c r="W35" s="2">
        <f t="shared" si="13"/>
        <v>2.2969625843972464E-3</v>
      </c>
      <c r="X35" s="2"/>
      <c r="Y35" s="4"/>
      <c r="Z35" s="4"/>
      <c r="AA35" s="4"/>
      <c r="AC35" s="5"/>
      <c r="AD35" s="5"/>
      <c r="AE35" s="5"/>
    </row>
    <row r="36" spans="1:31" x14ac:dyDescent="0.45">
      <c r="B36" s="2"/>
      <c r="C36" s="2"/>
      <c r="D36" s="2"/>
      <c r="E36" s="2"/>
      <c r="F36" s="2"/>
      <c r="G36" s="2"/>
      <c r="L36" s="1"/>
      <c r="M36" s="1"/>
      <c r="N36" s="1"/>
      <c r="O36" s="11">
        <f>AVERAGE(O32:O35)</f>
        <v>6.4214266442813158E-3</v>
      </c>
      <c r="P36">
        <f>SQRT((P32^2+P33^2+P34^2+P35^2)/4)</f>
        <v>2.233687720824603E-3</v>
      </c>
      <c r="R36" s="1"/>
      <c r="S36" s="3"/>
      <c r="T36" s="3"/>
      <c r="U36" s="3"/>
      <c r="V36" s="2"/>
      <c r="W36" s="2"/>
      <c r="X36" s="2"/>
      <c r="Y36" s="4"/>
      <c r="Z36" s="4"/>
      <c r="AA36" s="4"/>
      <c r="AC36" s="5"/>
      <c r="AD36" s="5"/>
      <c r="AE36" s="5"/>
    </row>
    <row r="37" spans="1:31" x14ac:dyDescent="0.45">
      <c r="A37" t="s">
        <v>20</v>
      </c>
      <c r="B37">
        <v>-2.92048E-2</v>
      </c>
      <c r="C37" s="2">
        <v>2.1163888888888892E-4</v>
      </c>
      <c r="D37">
        <v>0.17548900000000001</v>
      </c>
      <c r="E37" s="2">
        <v>2.2577777777777776E-4</v>
      </c>
      <c r="F37" s="2">
        <f t="shared" si="2"/>
        <v>0.20469380000000001</v>
      </c>
      <c r="G37" s="2">
        <f t="shared" si="3"/>
        <v>2.0914508520801216E-2</v>
      </c>
      <c r="H37">
        <v>53.723600000000005</v>
      </c>
      <c r="I37">
        <v>46.028999999999996</v>
      </c>
      <c r="J37">
        <v>32.593999999999994</v>
      </c>
      <c r="K37">
        <v>45.519000000000005</v>
      </c>
      <c r="L37" s="1">
        <v>44.4664</v>
      </c>
      <c r="M37" s="1">
        <v>8.7597435107047286</v>
      </c>
      <c r="N37" s="1">
        <v>4.3798717553523643</v>
      </c>
      <c r="O37" s="11">
        <f>(($D37-$B37)/$L37)*10000*(1/0.4)*10^-6*60</f>
        <v>6.90500467768922E-3</v>
      </c>
      <c r="P37">
        <f>$O37*SQRT((G37/F37)^2+(M37/$L37)^2)</f>
        <v>1.5323422623556393E-3</v>
      </c>
      <c r="Q37">
        <f>$O37/$L37*N37</f>
        <v>6.8013230120691061E-4</v>
      </c>
      <c r="R37" s="1">
        <v>1.165138813006237</v>
      </c>
      <c r="S37" s="3">
        <v>2.3646489787932285E-2</v>
      </c>
      <c r="T37" s="3"/>
      <c r="U37" s="3"/>
      <c r="V37" s="2">
        <f>O37/$R37*$U$4</f>
        <v>5.940160926823655E-3</v>
      </c>
      <c r="W37" s="2">
        <f>$U$4*SQRT((P37/$R37)^2+(O37/$R37/$R37*S37)^2)</f>
        <v>1.3237275210694079E-3</v>
      </c>
      <c r="X37" s="2"/>
      <c r="Y37" s="2">
        <f>AVERAGE(V37:V39)</f>
        <v>5.7656158993426845E-3</v>
      </c>
      <c r="Z37" s="2">
        <f>SQRT((W37^2+W38^2+W39^2)/3)</f>
        <v>1.9325495550519122E-3</v>
      </c>
      <c r="AA37" s="2"/>
      <c r="AB37" s="6"/>
      <c r="AC37" s="6"/>
      <c r="AD37" s="6"/>
      <c r="AE37" s="6"/>
    </row>
    <row r="38" spans="1:31" x14ac:dyDescent="0.45">
      <c r="A38" t="s">
        <v>20</v>
      </c>
      <c r="B38">
        <v>-3.0545900000000001E-2</v>
      </c>
      <c r="C38" s="2">
        <v>1.4077777777777781E-4</v>
      </c>
      <c r="D38">
        <v>0.150669</v>
      </c>
      <c r="E38" s="2">
        <v>1.1863888888888888E-4</v>
      </c>
      <c r="F38" s="2">
        <f t="shared" si="2"/>
        <v>0.18121490000000001</v>
      </c>
      <c r="G38" s="2">
        <f t="shared" si="3"/>
        <v>1.6106416940668916E-2</v>
      </c>
      <c r="H38" s="10">
        <v>63.758899999999997</v>
      </c>
      <c r="I38" s="10">
        <v>42.038500000000013</v>
      </c>
      <c r="J38" s="10">
        <v>27.960000000000008</v>
      </c>
      <c r="K38" s="10">
        <v>22.563999999999993</v>
      </c>
      <c r="L38" s="1">
        <v>39.080350000000003</v>
      </c>
      <c r="M38" s="1">
        <v>18.386892822243432</v>
      </c>
      <c r="N38" s="1">
        <v>9.193446411121716</v>
      </c>
      <c r="O38" s="11">
        <f>(($D38-$B38)/$L38)*10000*(1/0.4)*10^-6*60</f>
        <v>6.9554737866984288E-3</v>
      </c>
      <c r="P38">
        <f>$O38*SQRT((G38/F38)^2+(M38/$L38)^2)</f>
        <v>3.3303577216032181E-3</v>
      </c>
      <c r="Q38">
        <f>$O38/$L38*N38</f>
        <v>1.6362385577911619E-3</v>
      </c>
      <c r="R38" s="1">
        <v>1.165138813006237</v>
      </c>
      <c r="S38" s="3">
        <v>2.3646489787932285E-2</v>
      </c>
      <c r="T38" s="3">
        <v>6.4074264549248555E-2</v>
      </c>
      <c r="U38" s="3"/>
      <c r="V38" s="2">
        <f t="shared" ref="V38:V39" si="14">O38/$R38*$U$4</f>
        <v>5.9835779327985783E-3</v>
      </c>
      <c r="W38" s="2">
        <f t="shared" ref="W38:W39" si="15">$U$4*SQRT((P38/$R38)^2+(O38/$R38/$R38*S38)^2)</f>
        <v>2.8675757126801647E-3</v>
      </c>
      <c r="X38" s="2"/>
      <c r="Y38" s="4"/>
      <c r="Z38" s="4"/>
      <c r="AA38" s="4"/>
      <c r="AB38" s="6"/>
      <c r="AC38" s="6"/>
      <c r="AD38" s="6"/>
      <c r="AE38" s="6"/>
    </row>
    <row r="39" spans="1:31" x14ac:dyDescent="0.45">
      <c r="A39" t="s">
        <v>20</v>
      </c>
      <c r="B39">
        <v>-4.8866199999999999E-2</v>
      </c>
      <c r="C39" s="2">
        <v>2.3733333333333337E-4</v>
      </c>
      <c r="D39">
        <v>7.02213E-2</v>
      </c>
      <c r="E39" s="2">
        <v>2.3466666666666671E-4</v>
      </c>
      <c r="F39" s="2">
        <f t="shared" si="2"/>
        <v>0.1190875</v>
      </c>
      <c r="G39" s="2">
        <f t="shared" si="3"/>
        <v>2.1725560982400433E-2</v>
      </c>
      <c r="H39">
        <v>32.600000000000009</v>
      </c>
      <c r="I39">
        <v>27.799999999999983</v>
      </c>
      <c r="J39">
        <v>26.900000000000006</v>
      </c>
      <c r="K39">
        <v>27.099999999999994</v>
      </c>
      <c r="L39" s="1">
        <v>28.599999999999998</v>
      </c>
      <c r="M39" s="1">
        <v>2.6944387170615016</v>
      </c>
      <c r="N39" s="1">
        <v>1.3472193585307508</v>
      </c>
      <c r="O39" s="11">
        <f>(($D39-$B39)/$L39)*10000*(1/0.4)*10^-6*60</f>
        <v>6.245847902097903E-3</v>
      </c>
      <c r="P39">
        <f>$O39*SQRT((G39/F39)^2+(M39/$L39)^2)</f>
        <v>1.2824196149474156E-3</v>
      </c>
      <c r="Q39">
        <f>$O39/$L39*N39</f>
        <v>2.9421423790716689E-4</v>
      </c>
      <c r="R39" s="1">
        <v>1.165138813006237</v>
      </c>
      <c r="S39" s="3">
        <v>2.3646489787932285E-2</v>
      </c>
      <c r="T39" s="3"/>
      <c r="U39" s="3"/>
      <c r="V39" s="2">
        <f t="shared" si="14"/>
        <v>5.3731088384058176E-3</v>
      </c>
      <c r="W39" s="2">
        <f t="shared" si="15"/>
        <v>1.1086019710447553E-3</v>
      </c>
      <c r="X39" s="2"/>
      <c r="Y39" s="4"/>
      <c r="Z39" s="4"/>
      <c r="AA39" s="4"/>
      <c r="AB39" s="6"/>
      <c r="AC39" s="6"/>
      <c r="AD39" s="6"/>
      <c r="AE39" s="6"/>
    </row>
    <row r="40" spans="1:31" x14ac:dyDescent="0.45">
      <c r="C40" s="2"/>
      <c r="E40" s="2"/>
      <c r="F40" s="2"/>
      <c r="G40" s="2"/>
      <c r="L40" s="1"/>
      <c r="M40" s="1"/>
      <c r="N40" s="1"/>
      <c r="O40" s="11">
        <f>AVERAGE(O37:O39)</f>
        <v>6.7021087888285173E-3</v>
      </c>
      <c r="P40">
        <f>SQRT((P37^2+P38^2+P39^2)/3)</f>
        <v>2.2423169142388754E-3</v>
      </c>
      <c r="R40" s="1"/>
      <c r="S40" s="3"/>
      <c r="T40" s="3"/>
      <c r="U40" s="3"/>
      <c r="V40" s="2"/>
      <c r="W40" s="2"/>
      <c r="X40" s="2"/>
      <c r="Y40" s="4"/>
      <c r="Z40" s="4"/>
      <c r="AA40" s="4"/>
      <c r="AB40" s="6"/>
      <c r="AC40" s="6"/>
      <c r="AD40" s="6"/>
      <c r="AE40" s="6"/>
    </row>
    <row r="41" spans="1:31" x14ac:dyDescent="0.45">
      <c r="A41" t="s">
        <v>20</v>
      </c>
      <c r="B41">
        <v>-9.5935199999999995E-3</v>
      </c>
      <c r="C41" s="2">
        <v>1.5255555555555557E-4</v>
      </c>
      <c r="D41">
        <v>1.8008E-2</v>
      </c>
      <c r="E41" s="2">
        <v>1.3258333333333335E-4</v>
      </c>
      <c r="F41" s="2">
        <f t="shared" si="2"/>
        <v>2.7601519999999997E-2</v>
      </c>
      <c r="G41" s="2">
        <f t="shared" si="3"/>
        <v>1.6886056048968003E-2</v>
      </c>
      <c r="H41">
        <v>9.6000000000000014</v>
      </c>
      <c r="I41">
        <v>4.8999999999999986</v>
      </c>
      <c r="J41">
        <v>5.8999999999999986</v>
      </c>
      <c r="K41">
        <v>8.1999999999999957</v>
      </c>
      <c r="L41" s="1">
        <v>7.1499999999999986</v>
      </c>
      <c r="M41" s="1">
        <v>2.1393145319626714</v>
      </c>
      <c r="N41" s="1">
        <v>1.0696572659813357</v>
      </c>
      <c r="O41" s="11">
        <f>(($D41-$B41)/$L41)*10000*(1/0.4)*10^-6*60</f>
        <v>5.790528671328672E-3</v>
      </c>
      <c r="P41">
        <f>$O41*SQRT((G41/F41)^2+(M41/$L41)^2)</f>
        <v>3.9435082461963099E-3</v>
      </c>
      <c r="Q41">
        <f>$O41/$L41*N41</f>
        <v>8.6627707233006505E-4</v>
      </c>
      <c r="R41" s="1">
        <v>0.96510394277559008</v>
      </c>
      <c r="S41" s="3">
        <v>6.3742673903807973E-2</v>
      </c>
      <c r="T41" s="3"/>
      <c r="U41" s="3"/>
      <c r="V41" s="2">
        <f>O41/$R41*$U$4</f>
        <v>6.0138976107967203E-3</v>
      </c>
      <c r="W41" s="2">
        <f>$U$4*SQRT((P41/$R41)^2+(O41/$R41/$R41*S41)^2)</f>
        <v>4.1148442996832135E-3</v>
      </c>
      <c r="X41" s="2"/>
      <c r="Y41" s="2">
        <f>AVERAGE(V41:V43)</f>
        <v>6.1941261363756064E-3</v>
      </c>
      <c r="Z41" s="2">
        <f>SQRT((W41^2+W42^2+W43^2)/3)</f>
        <v>3.3059463143468057E-3</v>
      </c>
      <c r="AA41" s="2"/>
      <c r="AB41" s="6"/>
      <c r="AC41" s="6"/>
      <c r="AD41" s="6"/>
      <c r="AE41" s="6"/>
    </row>
    <row r="42" spans="1:31" x14ac:dyDescent="0.45">
      <c r="A42" t="s">
        <v>20</v>
      </c>
      <c r="B42">
        <v>1.8109699999999999E-2</v>
      </c>
      <c r="C42" s="2">
        <v>2.5863888888888887E-4</v>
      </c>
      <c r="D42">
        <v>9.0650700000000001E-2</v>
      </c>
      <c r="E42" s="2">
        <v>3.1638888888888889E-4</v>
      </c>
      <c r="F42" s="2">
        <f t="shared" si="2"/>
        <v>7.2540999999999994E-2</v>
      </c>
      <c r="G42" s="2">
        <f t="shared" si="3"/>
        <v>2.397973681627423E-2</v>
      </c>
      <c r="H42">
        <v>18.299999999999983</v>
      </c>
      <c r="I42">
        <v>17.300000000000011</v>
      </c>
      <c r="J42">
        <v>12.900000000000006</v>
      </c>
      <c r="K42">
        <v>17</v>
      </c>
      <c r="L42" s="1">
        <v>16.375</v>
      </c>
      <c r="M42" s="1">
        <v>2.3824007499439102</v>
      </c>
      <c r="N42" s="1">
        <v>1.1912003749719551</v>
      </c>
      <c r="O42" s="11">
        <f>(($D42-$B42)/$L42)*10000*(1/0.4)*10^-6*60</f>
        <v>6.6449770992366413E-3</v>
      </c>
      <c r="P42">
        <f>$O42*SQRT((G42/F42)^2+(M42/$L42)^2)</f>
        <v>2.399955721767104E-3</v>
      </c>
      <c r="Q42">
        <f>$O42/$L42*N42</f>
        <v>4.8338926487271705E-4</v>
      </c>
      <c r="R42" s="1">
        <v>0.96510394277559008</v>
      </c>
      <c r="S42" s="3">
        <v>6.3742673903807973E-2</v>
      </c>
      <c r="T42" s="3"/>
      <c r="U42" s="3"/>
      <c r="V42" s="2">
        <f t="shared" ref="V42:V43" si="16">O42/$R42*$U$4</f>
        <v>6.9013062829250413E-3</v>
      </c>
      <c r="W42" s="2">
        <f t="shared" ref="W42:W43" si="17">$U$4*SQRT((P42/$R42)^2+(O42/$R42/$R42*S42)^2)</f>
        <v>2.533868701118362E-3</v>
      </c>
      <c r="X42" s="2"/>
      <c r="Y42" s="13">
        <f>AVERAGE(Y32,Y37,Y41)</f>
        <v>6.1518549204056085E-3</v>
      </c>
      <c r="Z42" s="14">
        <f>SQRT((Z32^2+Z37^2+Z41^2)/3)</f>
        <v>2.5682532527962366E-3</v>
      </c>
      <c r="AA42" s="4"/>
      <c r="AB42" s="6"/>
      <c r="AC42" s="6"/>
      <c r="AD42" s="6"/>
      <c r="AE42" s="6"/>
    </row>
    <row r="43" spans="1:31" x14ac:dyDescent="0.45">
      <c r="A43" t="s">
        <v>20</v>
      </c>
      <c r="B43">
        <v>-5.8434199999999999E-2</v>
      </c>
      <c r="C43" s="2">
        <v>3.2944444444444454E-4</v>
      </c>
      <c r="D43">
        <v>1.31393E-2</v>
      </c>
      <c r="E43" s="2">
        <v>1.8455555555555551E-4</v>
      </c>
      <c r="F43" s="2">
        <f t="shared" si="2"/>
        <v>7.1573499999999998E-2</v>
      </c>
      <c r="G43" s="2">
        <f t="shared" si="3"/>
        <v>2.2671568097509268E-2</v>
      </c>
      <c r="H43">
        <v>15.500000000000007</v>
      </c>
      <c r="I43">
        <v>11.400000000000006</v>
      </c>
      <c r="J43">
        <v>31.200000000000003</v>
      </c>
      <c r="K43">
        <v>20.599999999999994</v>
      </c>
      <c r="L43" s="1">
        <v>19.675000000000004</v>
      </c>
      <c r="M43" s="1">
        <v>8.555456348631159</v>
      </c>
      <c r="N43" s="1">
        <v>4.2777281743155795</v>
      </c>
      <c r="O43" s="11">
        <f>(($D43-$B43)/$L43)*10000*(1/0.4)*10^-6*60</f>
        <v>5.4566836086404058E-3</v>
      </c>
      <c r="P43">
        <f>$O43*SQRT((G43/F43)^2+(M43/$L43)^2)</f>
        <v>2.9355808363634413E-3</v>
      </c>
      <c r="Q43">
        <f>$O43/$L43*N43</f>
        <v>1.1863892864552512E-3</v>
      </c>
      <c r="R43" s="1">
        <v>0.96510394277559008</v>
      </c>
      <c r="S43" s="3">
        <v>6.3742673903807973E-2</v>
      </c>
      <c r="T43" s="3"/>
      <c r="U43" s="3"/>
      <c r="V43" s="2">
        <f t="shared" si="16"/>
        <v>5.6671745154050577E-3</v>
      </c>
      <c r="W43" s="2">
        <f t="shared" si="17"/>
        <v>3.0717110695648113E-3</v>
      </c>
      <c r="X43" s="2"/>
      <c r="Y43" s="4"/>
      <c r="Z43" s="4"/>
      <c r="AA43" s="4"/>
      <c r="AB43" s="6"/>
      <c r="AC43" s="6"/>
      <c r="AD43" s="6"/>
      <c r="AE43" s="6"/>
    </row>
    <row r="44" spans="1:31" x14ac:dyDescent="0.45">
      <c r="C44" s="2"/>
      <c r="E44" s="2"/>
      <c r="F44" s="2"/>
      <c r="G44" s="2"/>
      <c r="L44" s="1"/>
      <c r="M44" s="1"/>
      <c r="N44" s="1"/>
      <c r="O44" s="11">
        <f>AVERAGE(O41:O43)</f>
        <v>5.9640631264019058E-3</v>
      </c>
      <c r="P44">
        <f>SQRT((P41^2+P42^2+P43^2)/3)</f>
        <v>3.1585165083777987E-3</v>
      </c>
      <c r="R44" s="1"/>
      <c r="S44" s="3"/>
      <c r="T44" s="3"/>
      <c r="U44" s="3"/>
      <c r="V44" s="2"/>
      <c r="W44" s="2"/>
      <c r="X44" s="2"/>
      <c r="Y44" s="4"/>
      <c r="Z44" s="4"/>
      <c r="AA44" s="4"/>
      <c r="AB44" s="6"/>
      <c r="AC44" s="6"/>
      <c r="AD44" s="6"/>
      <c r="AE44" s="6"/>
    </row>
    <row r="45" spans="1:31" x14ac:dyDescent="0.45">
      <c r="C45" s="2"/>
      <c r="E45" s="2"/>
      <c r="F45" s="2"/>
      <c r="G45" s="2"/>
      <c r="L45" s="1"/>
      <c r="M45" s="1"/>
      <c r="N45" s="1"/>
      <c r="O45" s="11">
        <f>AVERAGE(O36,O40,O44)</f>
        <v>6.3625328531705799E-3</v>
      </c>
      <c r="P45">
        <f>SQRT((P36^2+P40^2+P44^2)/3)</f>
        <v>2.581573971549104E-3</v>
      </c>
      <c r="R45" s="1"/>
      <c r="S45" s="3"/>
      <c r="T45" s="3"/>
      <c r="U45" s="3"/>
      <c r="V45" s="2"/>
      <c r="W45" s="2"/>
      <c r="X45" s="2"/>
      <c r="Y45" s="4"/>
      <c r="Z45" s="4"/>
      <c r="AA45" s="4"/>
      <c r="AB45" s="6"/>
      <c r="AC45" s="6"/>
      <c r="AD45" s="6"/>
      <c r="AE45" s="6"/>
    </row>
    <row r="46" spans="1:31" x14ac:dyDescent="0.45">
      <c r="C46" s="2"/>
      <c r="E46" s="2"/>
      <c r="F46" s="2"/>
      <c r="G46" s="2"/>
      <c r="L46" s="1"/>
      <c r="M46" s="1"/>
      <c r="N46" s="1"/>
      <c r="R46" s="1"/>
      <c r="S46" s="3"/>
      <c r="T46" s="3"/>
      <c r="U46" s="3"/>
      <c r="V46" s="2"/>
      <c r="W46" s="2"/>
      <c r="X46" s="2"/>
      <c r="Y46" s="4"/>
      <c r="Z46" s="4"/>
      <c r="AA46" s="4"/>
      <c r="AB46" s="18"/>
      <c r="AC46" s="18"/>
      <c r="AD46" s="18"/>
      <c r="AE46" s="18"/>
    </row>
    <row r="47" spans="1:31" x14ac:dyDescent="0.45">
      <c r="A47" t="s">
        <v>21</v>
      </c>
      <c r="B47" s="2">
        <v>-2.4309000000000001E-2</v>
      </c>
      <c r="C47" s="2">
        <v>5.583333333333334E-5</v>
      </c>
      <c r="D47" s="2">
        <v>-1.8962E-3</v>
      </c>
      <c r="E47" s="2">
        <v>4.5472222222222226E-5</v>
      </c>
      <c r="F47" s="2">
        <f t="shared" si="2"/>
        <v>2.24128E-2</v>
      </c>
      <c r="G47" s="2">
        <f t="shared" si="3"/>
        <v>1.0065066097922834E-2</v>
      </c>
      <c r="H47">
        <v>1.45</v>
      </c>
      <c r="I47">
        <v>1.82</v>
      </c>
      <c r="J47">
        <v>1.48</v>
      </c>
      <c r="K47">
        <v>1.2</v>
      </c>
      <c r="L47" s="1">
        <v>1.4875</v>
      </c>
      <c r="M47" s="1">
        <v>0.25473842793474666</v>
      </c>
      <c r="N47" s="1">
        <v>0.12736921396737333</v>
      </c>
      <c r="O47" s="11">
        <f>(($D47-$B47)/$L47)*2500*(1/0.4)*10^-6*60</f>
        <v>5.6502857142857145E-3</v>
      </c>
      <c r="P47">
        <f>$O47*SQRT((G47/F47)^2+(M47/$L47)^2)</f>
        <v>2.7156508254855857E-3</v>
      </c>
      <c r="Q47">
        <v>4.8381341184514283E-4</v>
      </c>
      <c r="R47" s="1">
        <v>1.0023753231196015</v>
      </c>
      <c r="S47" s="3">
        <v>0.12814852909849711</v>
      </c>
      <c r="T47" s="3">
        <v>6.4074264549248555E-2</v>
      </c>
      <c r="U47" s="3"/>
      <c r="V47" s="2">
        <f t="shared" si="0"/>
        <v>5.6500455087097464E-3</v>
      </c>
      <c r="W47" s="2">
        <f>$U$4*SQRT((P47/$R47)^2+(O47/$R47/$R47*S47)^2)</f>
        <v>2.8099629784090153E-3</v>
      </c>
      <c r="X47" s="2"/>
      <c r="Y47" s="2">
        <f>AVERAGE(V47:V50)</f>
        <v>6.051069785025274E-3</v>
      </c>
      <c r="Z47" s="2">
        <f>SQRT((W47^2+W48^2+W49^2+W50^2)/4)</f>
        <v>2.91246818688816E-3</v>
      </c>
      <c r="AA47" s="2"/>
      <c r="AB47" s="2"/>
      <c r="AC47" s="2"/>
      <c r="AD47" s="2"/>
      <c r="AE47" s="2"/>
    </row>
    <row r="48" spans="1:31" x14ac:dyDescent="0.45">
      <c r="A48" t="s">
        <v>21</v>
      </c>
      <c r="B48" s="2">
        <v>-1.41978E-2</v>
      </c>
      <c r="C48" s="2">
        <v>2.3105555555555562E-5</v>
      </c>
      <c r="D48" s="2">
        <v>-9.4600000000000001E-4</v>
      </c>
      <c r="E48" s="2">
        <v>3.516666666666667E-5</v>
      </c>
      <c r="F48" s="2">
        <f t="shared" si="2"/>
        <v>1.3251799999999999E-2</v>
      </c>
      <c r="G48" s="2">
        <f t="shared" si="3"/>
        <v>7.6336244485972872E-3</v>
      </c>
      <c r="H48">
        <v>0.82199999999999995</v>
      </c>
      <c r="I48">
        <v>0.995</v>
      </c>
      <c r="J48">
        <v>0.496</v>
      </c>
      <c r="K48">
        <v>0.69699999999999995</v>
      </c>
      <c r="L48" s="1">
        <v>0.75249999999999995</v>
      </c>
      <c r="M48" s="1">
        <v>0.21016580755838207</v>
      </c>
      <c r="N48" s="1">
        <v>0.10508290377919104</v>
      </c>
      <c r="O48" s="11">
        <f>(($D48-$B48)/$L48)*2500*(1/0.4)*10^-6*60</f>
        <v>6.6038870431893671E-3</v>
      </c>
      <c r="P48">
        <f>$O48*SQRT((G48/F48)^2+(M48/$L48)^2)</f>
        <v>4.227674448230502E-3</v>
      </c>
      <c r="Q48">
        <v>9.2220016840945487E-4</v>
      </c>
      <c r="R48" s="1">
        <v>1.0023753231196015</v>
      </c>
      <c r="S48" s="3">
        <v>0.12814852909849711</v>
      </c>
      <c r="T48" s="3"/>
      <c r="U48" s="3"/>
      <c r="V48" s="2">
        <f t="shared" si="0"/>
        <v>6.6036062980074335E-3</v>
      </c>
      <c r="W48" s="2">
        <f t="shared" ref="W48:W50" si="18">$U$4*SQRT((P48/$R48)^2+(O48/$R48/$R48*S48)^2)</f>
        <v>4.3109683242238336E-3</v>
      </c>
      <c r="X48" s="2"/>
      <c r="Y48" s="4"/>
      <c r="Z48" s="4"/>
      <c r="AA48" s="4"/>
      <c r="AC48" s="5"/>
      <c r="AD48" s="5"/>
      <c r="AE48" s="5"/>
    </row>
    <row r="49" spans="1:31" x14ac:dyDescent="0.45">
      <c r="A49" t="s">
        <v>21</v>
      </c>
      <c r="B49" s="2">
        <v>-3.5240599999999997E-2</v>
      </c>
      <c r="C49" s="2">
        <v>5.0555555555555552E-5</v>
      </c>
      <c r="D49" s="2">
        <v>-2.294E-3</v>
      </c>
      <c r="E49" s="2">
        <v>3.2527777777777773E-5</v>
      </c>
      <c r="F49" s="2">
        <f t="shared" si="2"/>
        <v>3.2946599999999999E-2</v>
      </c>
      <c r="G49" s="2">
        <f t="shared" si="3"/>
        <v>9.1150059425835449E-3</v>
      </c>
      <c r="H49">
        <v>2.52</v>
      </c>
      <c r="I49">
        <v>2.0299999999999998</v>
      </c>
      <c r="J49">
        <v>1.91</v>
      </c>
      <c r="K49">
        <v>1.63</v>
      </c>
      <c r="L49" s="1">
        <v>2.0225</v>
      </c>
      <c r="M49" s="1">
        <v>0.37160687112413116</v>
      </c>
      <c r="N49" s="1">
        <v>0.18580343556206558</v>
      </c>
      <c r="O49" s="11">
        <f>(($D49-$B49)/$L49)*2500*(1/0.4)*10^-6*60</f>
        <v>6.1087639060568603E-3</v>
      </c>
      <c r="P49">
        <f>$O49*SQRT((G49/F49)^2+(M49/$L49)^2)</f>
        <v>2.028806979092042E-3</v>
      </c>
      <c r="Q49">
        <v>5.6120114748227823E-4</v>
      </c>
      <c r="R49" s="1">
        <v>1.0023753231196015</v>
      </c>
      <c r="S49" s="3">
        <v>0.12814852909849711</v>
      </c>
      <c r="T49" s="3"/>
      <c r="U49" s="3"/>
      <c r="V49" s="2">
        <f t="shared" si="0"/>
        <v>6.1085042096049097E-3</v>
      </c>
      <c r="W49" s="2">
        <f t="shared" si="18"/>
        <v>2.1738390926888743E-3</v>
      </c>
      <c r="X49" s="2"/>
      <c r="Y49" s="4"/>
      <c r="Z49" s="4"/>
      <c r="AA49" s="4"/>
      <c r="AC49" s="5"/>
      <c r="AD49" s="5"/>
      <c r="AE49" s="5"/>
    </row>
    <row r="50" spans="1:31" x14ac:dyDescent="0.45">
      <c r="A50" t="s">
        <v>21</v>
      </c>
      <c r="B50" s="2">
        <v>-6.2840699999999999E-2</v>
      </c>
      <c r="C50" s="2">
        <v>5.8750000000000012E-5</v>
      </c>
      <c r="D50" s="2">
        <v>-1.2829999999999999E-2</v>
      </c>
      <c r="E50" s="2">
        <v>4.3638888888888891E-5</v>
      </c>
      <c r="F50" s="2">
        <f t="shared" si="2"/>
        <v>5.0010699999999998E-2</v>
      </c>
      <c r="G50" s="2">
        <f t="shared" si="3"/>
        <v>1.0118739491107026E-2</v>
      </c>
      <c r="H50">
        <v>3.8</v>
      </c>
      <c r="I50">
        <v>3.34</v>
      </c>
      <c r="J50">
        <v>3.04</v>
      </c>
      <c r="K50">
        <v>2.66</v>
      </c>
      <c r="L50" s="1">
        <v>3.21</v>
      </c>
      <c r="M50" s="1">
        <v>0.4818021724041231</v>
      </c>
      <c r="N50" s="1">
        <v>0.24090108620206155</v>
      </c>
      <c r="O50" s="11">
        <f>(($D50-$B50)/$L50)*2500*(1/0.4)*10^-6*60</f>
        <v>5.842371495327103E-3</v>
      </c>
      <c r="P50">
        <f>$O50*SQRT((G50/F50)^2+(M50/$L50)^2)</f>
        <v>1.4718403184861442E-3</v>
      </c>
      <c r="Q50">
        <v>4.384528471091158E-4</v>
      </c>
      <c r="R50" s="1">
        <v>1.0023753231196015</v>
      </c>
      <c r="S50" s="3">
        <v>0.12814852909849711</v>
      </c>
      <c r="T50" s="3"/>
      <c r="U50" s="3"/>
      <c r="V50" s="2">
        <f t="shared" si="0"/>
        <v>5.8421231237790056E-3</v>
      </c>
      <c r="W50" s="2">
        <f t="shared" si="18"/>
        <v>1.6504446446789808E-3</v>
      </c>
      <c r="X50" s="2"/>
      <c r="Y50" s="4"/>
      <c r="Z50" s="4"/>
      <c r="AA50" s="4"/>
      <c r="AC50" s="5"/>
      <c r="AD50" s="5"/>
      <c r="AE50" s="5"/>
    </row>
    <row r="51" spans="1:31" x14ac:dyDescent="0.45">
      <c r="B51" s="2"/>
      <c r="C51" s="2"/>
      <c r="D51" s="2"/>
      <c r="E51" s="2"/>
      <c r="F51" s="2"/>
      <c r="G51" s="2"/>
      <c r="L51" s="1"/>
      <c r="M51" s="1"/>
      <c r="N51" s="1"/>
      <c r="O51" s="11">
        <f>AVERAGE(O47:O50)</f>
        <v>6.0513270397147614E-3</v>
      </c>
      <c r="P51">
        <f>SQRT((P47^2+P48^2+P49^2+P50^2)/4)</f>
        <v>2.8075951599062319E-3</v>
      </c>
      <c r="R51" s="1"/>
      <c r="S51" s="3"/>
      <c r="T51" s="3"/>
      <c r="U51" s="3"/>
      <c r="V51" s="2"/>
      <c r="W51" s="2"/>
      <c r="X51" s="2"/>
      <c r="Y51" s="4"/>
      <c r="Z51" s="4"/>
      <c r="AA51" s="4"/>
      <c r="AC51" s="5"/>
      <c r="AD51" s="5"/>
      <c r="AE51" s="5"/>
    </row>
    <row r="52" spans="1:31" x14ac:dyDescent="0.45">
      <c r="A52" t="s">
        <v>21</v>
      </c>
      <c r="B52">
        <v>-3.0167200000000002E-2</v>
      </c>
      <c r="C52" s="2">
        <v>1.7369444444444442E-4</v>
      </c>
      <c r="D52">
        <v>1.06298E-2</v>
      </c>
      <c r="E52" s="2">
        <v>1.5861111111111111E-4</v>
      </c>
      <c r="F52" s="2">
        <f t="shared" si="2"/>
        <v>4.0797E-2</v>
      </c>
      <c r="G52" s="2">
        <f t="shared" si="3"/>
        <v>1.8229249999809523E-2</v>
      </c>
      <c r="H52">
        <v>20.299999999999997</v>
      </c>
      <c r="I52">
        <v>19.200000000000003</v>
      </c>
      <c r="J52">
        <v>19.700000000000003</v>
      </c>
      <c r="K52">
        <v>8.1000000000000085</v>
      </c>
      <c r="L52" s="1">
        <v>16.825000000000003</v>
      </c>
      <c r="M52" s="1">
        <v>5.834023768663724</v>
      </c>
      <c r="N52" s="1">
        <v>2.917011884331862</v>
      </c>
      <c r="O52" s="11">
        <f>(($D52-$B52)/$L52)*10000*(1/0.4)*10^-6*60</f>
        <v>3.6371768202080237E-3</v>
      </c>
      <c r="P52">
        <f>$O52*SQRT((G52/F52)^2+(M52/$L52)^2)</f>
        <v>2.0571415099162335E-3</v>
      </c>
      <c r="Q52">
        <f>$O52/$L52*N52</f>
        <v>6.3059066924001041E-4</v>
      </c>
      <c r="R52" s="1">
        <v>0.84504823151125397</v>
      </c>
      <c r="S52" s="3">
        <v>2.8590169392636627E-2</v>
      </c>
      <c r="T52" s="3"/>
      <c r="U52" s="3"/>
      <c r="V52" s="2">
        <f>O52/$R52*$U$4</f>
        <v>4.3141458239974494E-3</v>
      </c>
      <c r="W52" s="2">
        <f>$U$4*SQRT((P52/$R52)^2+(O52/$R52/$R52*S52)^2)</f>
        <v>2.4443882898730028E-3</v>
      </c>
      <c r="X52" s="2"/>
      <c r="Y52" s="2">
        <f>AVERAGE(V52:V54)</f>
        <v>4.9025335138598624E-3</v>
      </c>
      <c r="Z52" s="2">
        <f>SQRT((W52^2+W53^2+W54^2)/3)</f>
        <v>2.1007250713622463E-3</v>
      </c>
      <c r="AA52" s="2"/>
      <c r="AB52" s="6"/>
      <c r="AC52" s="6"/>
      <c r="AD52" s="6"/>
      <c r="AE52" s="6"/>
    </row>
    <row r="53" spans="1:31" x14ac:dyDescent="0.45">
      <c r="A53" t="s">
        <v>21</v>
      </c>
      <c r="B53">
        <v>-6.0731E-2</v>
      </c>
      <c r="C53" s="2">
        <v>2.14E-4</v>
      </c>
      <c r="D53">
        <v>-2.0682700000000001E-3</v>
      </c>
      <c r="E53" s="2">
        <v>2.2766666666666663E-4</v>
      </c>
      <c r="F53" s="2">
        <f t="shared" si="2"/>
        <v>5.8662730000000003E-2</v>
      </c>
      <c r="G53" s="2">
        <f t="shared" si="3"/>
        <v>2.1015867021530816E-2</v>
      </c>
      <c r="H53">
        <v>22.399999999999991</v>
      </c>
      <c r="I53">
        <v>22.5</v>
      </c>
      <c r="J53">
        <v>23.500000000000014</v>
      </c>
      <c r="K53">
        <v>19.800000000000011</v>
      </c>
      <c r="L53" s="1">
        <v>22.050000000000004</v>
      </c>
      <c r="M53" s="1">
        <v>1.5800843859321758</v>
      </c>
      <c r="N53" s="1">
        <v>0.79004219296608791</v>
      </c>
      <c r="O53" s="11">
        <f>(($D53-$B53)/$L53)*10000*(1/0.4)*10^-6*60</f>
        <v>3.9906619047619038E-3</v>
      </c>
      <c r="P53">
        <f>$O53*SQRT((G53/F53)^2+(M53/$L53)^2)</f>
        <v>1.457970799043631E-3</v>
      </c>
      <c r="Q53">
        <f>$O53/$L53*N53</f>
        <v>1.4298373163829111E-4</v>
      </c>
      <c r="R53" s="1">
        <v>0.84504823151125397</v>
      </c>
      <c r="S53" s="3">
        <v>2.8590169392636627E-2</v>
      </c>
      <c r="T53" s="3"/>
      <c r="U53" s="3"/>
      <c r="V53" s="2">
        <f t="shared" ref="V53:V54" si="19">O53/$R53*$U$4</f>
        <v>4.7334232682230745E-3</v>
      </c>
      <c r="W53" s="2">
        <f t="shared" ref="W53:W54" si="20">$U$4*SQRT((P53/$R53)^2+(O53/$R53/$R53*S53)^2)</f>
        <v>1.7367345846489219E-3</v>
      </c>
      <c r="X53" s="2"/>
      <c r="Y53" s="4"/>
      <c r="Z53" s="4"/>
      <c r="AA53" s="4"/>
      <c r="AB53" s="6"/>
      <c r="AC53" s="6"/>
      <c r="AD53" s="6"/>
      <c r="AE53" s="6"/>
    </row>
    <row r="54" spans="1:31" x14ac:dyDescent="0.45">
      <c r="A54" t="s">
        <v>21</v>
      </c>
      <c r="B54">
        <v>-4.3215700000000003E-2</v>
      </c>
      <c r="C54" s="2">
        <v>2.7972222222222217E-4</v>
      </c>
      <c r="D54">
        <v>2.6771699999999999E-2</v>
      </c>
      <c r="E54" s="2">
        <v>2.5863888888888887E-4</v>
      </c>
      <c r="F54" s="2">
        <f t="shared" si="2"/>
        <v>6.9987400000000005E-2</v>
      </c>
      <c r="G54" s="2">
        <f t="shared" si="3"/>
        <v>2.3202610006443476E-2</v>
      </c>
      <c r="H54">
        <v>26</v>
      </c>
      <c r="I54">
        <v>23.199999999999989</v>
      </c>
      <c r="J54">
        <v>19.800000000000011</v>
      </c>
      <c r="K54">
        <v>19</v>
      </c>
      <c r="L54" s="1">
        <v>22</v>
      </c>
      <c r="M54" s="1">
        <v>3.229034943549943</v>
      </c>
      <c r="N54" s="1">
        <v>1.6145174717749715</v>
      </c>
      <c r="O54" s="11">
        <f>(($D54-$B54)/$L54)*10000*(1/0.4)*10^-6*60</f>
        <v>4.7718681818181815E-3</v>
      </c>
      <c r="P54">
        <f>$O54*SQRT((G54/F54)^2+(M54/$L54)^2)</f>
        <v>1.7301025080596686E-3</v>
      </c>
      <c r="Q54">
        <f>$O54/$L54*N54</f>
        <v>3.5019384329784182E-4</v>
      </c>
      <c r="R54" s="1">
        <v>0.84504823151125397</v>
      </c>
      <c r="S54" s="3">
        <v>2.8590169392636627E-2</v>
      </c>
      <c r="T54" s="3"/>
      <c r="U54" s="3"/>
      <c r="V54" s="2">
        <f t="shared" si="19"/>
        <v>5.6600314493590632E-3</v>
      </c>
      <c r="W54" s="2">
        <f t="shared" si="20"/>
        <v>2.061032835052809E-3</v>
      </c>
      <c r="X54" s="2"/>
      <c r="Y54" s="4"/>
      <c r="Z54" s="4"/>
      <c r="AA54" s="4"/>
      <c r="AB54" s="6"/>
      <c r="AC54" s="6"/>
      <c r="AD54" s="6"/>
      <c r="AE54" s="6"/>
    </row>
    <row r="55" spans="1:31" x14ac:dyDescent="0.45">
      <c r="C55" s="2"/>
      <c r="E55" s="2"/>
      <c r="F55" s="2"/>
      <c r="G55" s="2"/>
      <c r="L55" s="1"/>
      <c r="M55" s="1"/>
      <c r="N55" s="1"/>
      <c r="O55" s="11">
        <f>AVERAGE(O51:O54)</f>
        <v>4.6127584866257178E-3</v>
      </c>
      <c r="P55">
        <f>SQRT((P52^2+P53^2+P54^2)/3)</f>
        <v>1.7654805513021773E-3</v>
      </c>
      <c r="R55" s="1"/>
      <c r="S55" s="3"/>
      <c r="T55" s="3"/>
      <c r="U55" s="3"/>
      <c r="V55" s="2"/>
      <c r="W55" s="2"/>
      <c r="X55" s="2"/>
      <c r="Y55" s="4"/>
      <c r="Z55" s="4"/>
      <c r="AA55" s="4"/>
      <c r="AB55" s="6"/>
      <c r="AC55" s="6"/>
      <c r="AD55" s="6"/>
      <c r="AE55" s="6"/>
    </row>
    <row r="56" spans="1:31" x14ac:dyDescent="0.45">
      <c r="A56" t="s">
        <v>21</v>
      </c>
      <c r="B56">
        <v>-1.73093E-2</v>
      </c>
      <c r="C56" s="2">
        <v>1.1602777777777776E-4</v>
      </c>
      <c r="D56">
        <v>4.5281099999999998E-2</v>
      </c>
      <c r="E56" s="2">
        <v>1.209722222222222E-4</v>
      </c>
      <c r="F56" s="2">
        <f t="shared" ref="F56" si="21">D56-B56</f>
        <v>6.259039999999999E-2</v>
      </c>
      <c r="G56" s="2">
        <f t="shared" ref="G56" si="22">SQRT(C56+E56)</f>
        <v>1.539480431834065E-2</v>
      </c>
      <c r="H56">
        <v>22.500900000000001</v>
      </c>
      <c r="I56">
        <v>17.930499999999995</v>
      </c>
      <c r="J56">
        <v>17.879500000000007</v>
      </c>
      <c r="K56">
        <v>16.088899999999995</v>
      </c>
      <c r="L56" s="1">
        <v>18.59995</v>
      </c>
      <c r="M56" s="1">
        <v>2.7380038050862341</v>
      </c>
      <c r="N56" s="1">
        <v>1.369001902543117</v>
      </c>
      <c r="O56" s="11">
        <f>(($D56-$B56)/$L56)*10000*(1/0.4)*10^-6*60</f>
        <v>5.0476264721141719E-3</v>
      </c>
      <c r="P56">
        <f>$O56*SQRT((G56/F56)^2+(M56/$L56)^2)</f>
        <v>1.4468838902847391E-3</v>
      </c>
      <c r="Q56">
        <f>$O56/$L56*N56</f>
        <v>3.7151767846963586E-4</v>
      </c>
      <c r="R56" s="1">
        <v>1.0815725822629552</v>
      </c>
      <c r="S56" s="3">
        <v>0.10041636804660327</v>
      </c>
      <c r="T56" s="3"/>
      <c r="U56" s="3"/>
      <c r="V56" s="2">
        <f>O56/$R56*$U$4</f>
        <v>4.6778193197338381E-3</v>
      </c>
      <c r="W56" s="2">
        <f>$U$4*SQRT((P56/$R56)^2+(O56/$R56/$R56*S56)^2)</f>
        <v>1.4094601138417279E-3</v>
      </c>
      <c r="X56" s="2"/>
      <c r="Y56" s="2">
        <f>AVERAGE(V56:V57)</f>
        <v>4.5711974218140515E-3</v>
      </c>
      <c r="Z56" s="2">
        <f>SQRT((W56^2+W57^2)/2)</f>
        <v>2.2314738453201748E-3</v>
      </c>
      <c r="AA56" s="2"/>
      <c r="AB56" s="6"/>
      <c r="AC56" s="6"/>
      <c r="AD56" s="6"/>
      <c r="AE56" s="6"/>
    </row>
    <row r="57" spans="1:31" x14ac:dyDescent="0.45">
      <c r="A57" t="s">
        <v>21</v>
      </c>
      <c r="B57">
        <v>-1.11585E-2</v>
      </c>
      <c r="C57" s="2">
        <v>1.1280555555555558E-4</v>
      </c>
      <c r="D57">
        <v>1.8228399999999999E-2</v>
      </c>
      <c r="E57" s="2">
        <v>1.196388888888889E-4</v>
      </c>
      <c r="F57" s="2">
        <f>D57-B57</f>
        <v>2.9386900000000001E-2</v>
      </c>
      <c r="G57" s="2">
        <f>SQRT(C57+E57)</f>
        <v>1.5246128834705696E-2</v>
      </c>
      <c r="H57">
        <v>13.299999999999997</v>
      </c>
      <c r="I57">
        <v>9</v>
      </c>
      <c r="J57">
        <v>8.7999999999999972</v>
      </c>
      <c r="K57">
        <v>5.5</v>
      </c>
      <c r="L57" s="1">
        <v>9.1499999999999986</v>
      </c>
      <c r="M57" s="1">
        <v>3.1984371183438949</v>
      </c>
      <c r="N57" s="1">
        <v>1.5992185591719474</v>
      </c>
      <c r="O57" s="11">
        <f>(($D57-$B57)/$L57)*10000*(1/0.4)*10^-6*60</f>
        <v>4.8175245901639352E-3</v>
      </c>
      <c r="P57">
        <f>$O57*SQRT((G57/F57)^2+(M57/$L57)^2)</f>
        <v>3.0137459607876183E-3</v>
      </c>
      <c r="Q57">
        <f>$O57/$L57*N57</f>
        <v>8.4199723867293941E-4</v>
      </c>
      <c r="R57" s="1">
        <v>1.0815725822629552</v>
      </c>
      <c r="S57" s="3">
        <v>0.10041636804660327</v>
      </c>
      <c r="T57" s="3"/>
      <c r="U57" s="3"/>
      <c r="V57" s="2">
        <f t="shared" ref="V57" si="23">O57/$R57*$U$4</f>
        <v>4.4645755238942658E-3</v>
      </c>
      <c r="W57" s="2">
        <f t="shared" ref="W57" si="24">$U$4*SQRT((P57/$R57)^2+(O57/$R57/$R57*S57)^2)</f>
        <v>2.8235391323984298E-3</v>
      </c>
      <c r="X57" s="2"/>
      <c r="Y57" s="13">
        <f>AVERAGE(Y47,Y52,Y56)</f>
        <v>5.1749335735663963E-3</v>
      </c>
      <c r="Z57" s="14">
        <f>SQRT((Z47^2+Z52^2+Z56^2)/3)</f>
        <v>2.440969226040722E-3</v>
      </c>
      <c r="AA57" s="4"/>
      <c r="AB57" s="6"/>
      <c r="AC57" s="6"/>
      <c r="AD57" s="6"/>
      <c r="AE57" s="6"/>
    </row>
    <row r="58" spans="1:31" x14ac:dyDescent="0.45">
      <c r="C58" s="2"/>
      <c r="E58" s="2"/>
      <c r="F58" s="2"/>
      <c r="G58" s="2"/>
      <c r="L58" s="1"/>
      <c r="M58" s="1"/>
      <c r="N58" s="1"/>
      <c r="O58" s="11">
        <f>AVERAGE(O56:O57)</f>
        <v>4.9325755311390536E-3</v>
      </c>
      <c r="P58">
        <f>SQRT((P56^2+P57^2)/2)</f>
        <v>2.3639096543786506E-3</v>
      </c>
      <c r="R58" s="1"/>
      <c r="S58" s="3"/>
      <c r="T58" s="3"/>
      <c r="U58" s="3"/>
      <c r="V58" s="2"/>
      <c r="W58" s="2"/>
      <c r="X58" s="2"/>
      <c r="Y58" s="4"/>
      <c r="Z58" s="4"/>
      <c r="AA58" s="4"/>
      <c r="AB58" s="6"/>
      <c r="AC58" s="6"/>
      <c r="AD58" s="6"/>
      <c r="AE58" s="6"/>
    </row>
    <row r="59" spans="1:31" x14ac:dyDescent="0.45">
      <c r="C59" s="2"/>
      <c r="E59" s="2"/>
      <c r="F59" s="2"/>
      <c r="G59" s="2"/>
      <c r="L59" s="1"/>
      <c r="M59" s="1"/>
      <c r="N59" s="1"/>
      <c r="O59" s="11">
        <f>AVERAGE(O51,O55,O58)</f>
        <v>5.198887019159844E-3</v>
      </c>
      <c r="P59">
        <f>SQRT((P51^2+P55^2+P58^2)/3)</f>
        <v>2.3514237540278819E-3</v>
      </c>
      <c r="R59" s="1"/>
      <c r="S59" s="3"/>
      <c r="T59" s="3"/>
      <c r="U59" s="3"/>
      <c r="V59" s="2"/>
      <c r="W59" s="2"/>
      <c r="X59" s="2"/>
      <c r="Y59" s="4"/>
      <c r="Z59" s="4"/>
      <c r="AA59" s="4"/>
      <c r="AB59" s="6"/>
      <c r="AC59" s="6"/>
      <c r="AD59" s="6"/>
      <c r="AE59" s="6"/>
    </row>
    <row r="60" spans="1:31" x14ac:dyDescent="0.45">
      <c r="C60" s="2"/>
      <c r="E60" s="2"/>
      <c r="F60" s="2"/>
      <c r="G60" s="2"/>
      <c r="L60" s="1"/>
      <c r="M60" s="1"/>
      <c r="N60" s="1"/>
      <c r="R60" s="1"/>
      <c r="S60" s="3"/>
      <c r="T60" s="3"/>
      <c r="U60" s="3"/>
      <c r="V60" s="2"/>
      <c r="W60" s="2"/>
      <c r="X60" s="2"/>
      <c r="Y60" s="2"/>
      <c r="Z60" s="2"/>
      <c r="AA60" s="2"/>
      <c r="AB60" s="6"/>
      <c r="AC60" s="6"/>
      <c r="AD60" s="6"/>
      <c r="AE60" s="6"/>
    </row>
    <row r="61" spans="1:31" x14ac:dyDescent="0.45">
      <c r="A61" t="s">
        <v>22</v>
      </c>
      <c r="B61" s="2">
        <v>-6.0226999999999998E-3</v>
      </c>
      <c r="C61" s="2">
        <v>5.1861111111111113E-5</v>
      </c>
      <c r="D61" s="2">
        <v>9.1663400000000003E-3</v>
      </c>
      <c r="E61" s="2">
        <v>4.2833333333333335E-5</v>
      </c>
      <c r="F61" s="2">
        <f t="shared" si="2"/>
        <v>1.5189040000000001E-2</v>
      </c>
      <c r="G61" s="2">
        <f t="shared" si="3"/>
        <v>9.7311070513300003E-3</v>
      </c>
      <c r="H61">
        <v>1.59</v>
      </c>
      <c r="I61">
        <v>1.59</v>
      </c>
      <c r="J61">
        <v>1.08</v>
      </c>
      <c r="K61">
        <v>0.57999999999999996</v>
      </c>
      <c r="L61" s="1">
        <v>1.21</v>
      </c>
      <c r="M61" s="1">
        <v>0.48394214530251484</v>
      </c>
      <c r="N61" s="1">
        <v>0.24197107265125742</v>
      </c>
      <c r="O61" s="11">
        <f>(($D61-$B61)/$L61)*2500*(1/0.4)*10^-6*60</f>
        <v>4.7073471074380174E-3</v>
      </c>
      <c r="P61">
        <f>$O61*SQRT((G61/F61)^2+(M61/$L61)^2)</f>
        <v>3.5552631089198531E-3</v>
      </c>
      <c r="Q61">
        <v>9.4135688341204194E-4</v>
      </c>
      <c r="R61" s="1">
        <v>0.963162609095085</v>
      </c>
      <c r="S61" s="3">
        <v>2.0515052533081172E-2</v>
      </c>
      <c r="T61" s="3">
        <v>1.184437110241373E-2</v>
      </c>
      <c r="U61" s="3"/>
      <c r="V61" s="2">
        <f t="shared" si="0"/>
        <v>4.8987864963679845E-3</v>
      </c>
      <c r="W61" s="2">
        <f t="shared" ref="W61" si="25">$U$4*SQRT((P61/$R61)^2+(O61/$R61/$R61*S61)^2)</f>
        <v>3.7013203358233042E-3</v>
      </c>
      <c r="X61" s="2"/>
      <c r="Y61" s="2">
        <f>AVERAGE(V61:V64)</f>
        <v>5.1637906785404874E-3</v>
      </c>
      <c r="Z61" s="2">
        <f>SQRT((W61^2+W62^2+W63^2+W64^2)/4)</f>
        <v>3.153195454700654E-3</v>
      </c>
      <c r="AA61" s="2"/>
      <c r="AB61" s="2"/>
      <c r="AC61" s="2"/>
      <c r="AD61" s="2"/>
      <c r="AE61" s="2"/>
    </row>
    <row r="62" spans="1:31" x14ac:dyDescent="0.45">
      <c r="A62" t="s">
        <v>22</v>
      </c>
      <c r="B62" s="2">
        <v>-2.4518600000000002E-2</v>
      </c>
      <c r="C62" s="2">
        <v>4.0250000000000009E-5</v>
      </c>
      <c r="D62" s="2">
        <v>-1.8450000000000001E-3</v>
      </c>
      <c r="E62" s="2">
        <v>3.1333333333333327E-5</v>
      </c>
      <c r="F62" s="2">
        <f t="shared" si="2"/>
        <v>2.2673600000000002E-2</v>
      </c>
      <c r="G62" s="2">
        <f t="shared" si="3"/>
        <v>8.4606934309980359E-3</v>
      </c>
      <c r="H62">
        <v>1.86</v>
      </c>
      <c r="I62">
        <v>1.48</v>
      </c>
      <c r="J62">
        <v>1.54</v>
      </c>
      <c r="K62">
        <v>1.06</v>
      </c>
      <c r="L62" s="1">
        <v>1.4849999999999999</v>
      </c>
      <c r="M62" s="1">
        <v>0.32878564445547237</v>
      </c>
      <c r="N62" s="1">
        <v>0.16439282222773619</v>
      </c>
      <c r="O62" s="11">
        <f>(($D62-$B62)/$L62)*2500*(1/0.4)*10^-6*60</f>
        <v>5.7256565656565658E-3</v>
      </c>
      <c r="P62">
        <f>$O62*SQRT((G62/F62)^2+(M62/$L62)^2)</f>
        <v>2.4843159138344651E-3</v>
      </c>
      <c r="Q62">
        <v>6.3384299120205416E-4</v>
      </c>
      <c r="R62" s="1">
        <v>0.963162609095085</v>
      </c>
      <c r="S62" s="3">
        <v>2.0515052533081172E-2</v>
      </c>
      <c r="T62" s="3"/>
      <c r="U62" s="3"/>
      <c r="V62" s="2">
        <f t="shared" si="0"/>
        <v>5.9585087792569155E-3</v>
      </c>
      <c r="W62" s="2">
        <f t="shared" ref="W62:W64" si="26">$U$4*SQRT((P62/$R62)^2+(O62/$R62/$R62*S62)^2)</f>
        <v>2.5884618257831084E-3</v>
      </c>
      <c r="X62" s="2"/>
      <c r="Y62" s="4"/>
      <c r="Z62" s="4"/>
      <c r="AA62" s="4"/>
      <c r="AC62" s="5"/>
      <c r="AD62" s="5"/>
      <c r="AE62" s="5"/>
    </row>
    <row r="63" spans="1:31" x14ac:dyDescent="0.45">
      <c r="A63" t="s">
        <v>22</v>
      </c>
      <c r="B63" s="2">
        <v>-1.9381800000000001E-2</v>
      </c>
      <c r="C63" s="2">
        <v>3.2944444444444438E-5</v>
      </c>
      <c r="D63" s="2">
        <v>-3.9509999999999997E-3</v>
      </c>
      <c r="E63" s="2">
        <v>2.8027777777777775E-5</v>
      </c>
      <c r="F63" s="2">
        <f t="shared" si="2"/>
        <v>1.5430800000000001E-2</v>
      </c>
      <c r="G63" s="2">
        <f t="shared" si="3"/>
        <v>7.8084711834149854E-3</v>
      </c>
      <c r="H63">
        <v>1.61</v>
      </c>
      <c r="I63">
        <v>1.31</v>
      </c>
      <c r="J63">
        <v>1.1000000000000001</v>
      </c>
      <c r="K63">
        <v>1.26</v>
      </c>
      <c r="L63" s="1">
        <v>1.3199999999999998</v>
      </c>
      <c r="M63" s="1">
        <v>0.21307275752662697</v>
      </c>
      <c r="N63" s="1">
        <v>0.10653637876331348</v>
      </c>
      <c r="O63" s="11">
        <f>(($D63-$B63)/$L63)*2500*(1/0.4)*10^-6*60</f>
        <v>4.3837500000000005E-3</v>
      </c>
      <c r="P63">
        <f>$O63*SQRT((G63/F63)^2+(M63/$L63)^2)</f>
        <v>2.3284436342880248E-3</v>
      </c>
      <c r="Q63">
        <v>3.538097351542997E-4</v>
      </c>
      <c r="R63" s="1">
        <v>0.963162609095085</v>
      </c>
      <c r="S63" s="3">
        <v>2.0515052533081172E-2</v>
      </c>
      <c r="T63" s="3"/>
      <c r="U63" s="3"/>
      <c r="V63" s="2">
        <f t="shared" si="0"/>
        <v>4.5620292732440953E-3</v>
      </c>
      <c r="W63" s="2">
        <f t="shared" si="26"/>
        <v>2.4250847829300586E-3</v>
      </c>
      <c r="X63" s="2"/>
      <c r="Y63" s="4"/>
      <c r="Z63" s="4"/>
      <c r="AA63" s="4"/>
      <c r="AC63" s="5"/>
      <c r="AD63" s="5"/>
      <c r="AE63" s="5"/>
    </row>
    <row r="64" spans="1:31" x14ac:dyDescent="0.45">
      <c r="A64" t="s">
        <v>22</v>
      </c>
      <c r="B64" s="2">
        <v>-8.9984999999999996E-3</v>
      </c>
      <c r="C64" s="2">
        <v>2.9055555555555558E-5</v>
      </c>
      <c r="D64" s="2">
        <v>3.8479E-3</v>
      </c>
      <c r="E64" s="2">
        <v>3.2138888888888896E-5</v>
      </c>
      <c r="F64" s="2">
        <f t="shared" si="2"/>
        <v>1.2846399999999999E-2</v>
      </c>
      <c r="G64" s="2">
        <f t="shared" si="3"/>
        <v>7.8226878018008896E-3</v>
      </c>
      <c r="H64">
        <v>1.08</v>
      </c>
      <c r="I64">
        <v>0.99</v>
      </c>
      <c r="J64">
        <v>1.27</v>
      </c>
      <c r="K64">
        <v>0.49</v>
      </c>
      <c r="L64" s="1">
        <v>0.95750000000000002</v>
      </c>
      <c r="M64" s="1">
        <v>0.33280374597250761</v>
      </c>
      <c r="N64" s="1">
        <v>0.16640187298625381</v>
      </c>
      <c r="O64" s="11">
        <f>(($D64-$B64)/$L64)*2500*(1/0.4)*10^-6*60</f>
        <v>5.0312271540469975E-3</v>
      </c>
      <c r="P64">
        <f>$O64*SQRT((G64/F64)^2+(M64/$L64)^2)</f>
        <v>3.5276649082458434E-3</v>
      </c>
      <c r="Q64">
        <v>8.743661847025792E-4</v>
      </c>
      <c r="R64" s="1">
        <v>0.963162609095085</v>
      </c>
      <c r="S64" s="3">
        <v>2.0515052533081172E-2</v>
      </c>
      <c r="T64" s="3"/>
      <c r="U64" s="3"/>
      <c r="V64" s="2">
        <f t="shared" si="0"/>
        <v>5.2358381652929517E-3</v>
      </c>
      <c r="W64" s="2">
        <f t="shared" si="26"/>
        <v>3.6728222453400834E-3</v>
      </c>
      <c r="X64" s="2"/>
      <c r="Y64" s="4"/>
      <c r="Z64" s="4"/>
      <c r="AA64" s="4"/>
      <c r="AC64" s="5"/>
      <c r="AD64" s="5"/>
      <c r="AE64" s="5"/>
    </row>
    <row r="65" spans="1:31" x14ac:dyDescent="0.45">
      <c r="B65" s="2"/>
      <c r="C65" s="2"/>
      <c r="D65" s="2"/>
      <c r="E65" s="2"/>
      <c r="F65" s="2"/>
      <c r="G65" s="2"/>
      <c r="L65" s="1"/>
      <c r="M65" s="1"/>
      <c r="N65" s="1"/>
      <c r="O65" s="11">
        <f>AVERAGE(O61:O64)</f>
        <v>4.9619952067853955E-3</v>
      </c>
      <c r="P65">
        <f>SQRT((P61^2+P62^2+P63^2+P64^2)/4)</f>
        <v>3.0281095916554609E-3</v>
      </c>
      <c r="R65" s="1"/>
      <c r="S65" s="3"/>
      <c r="T65" s="3"/>
      <c r="U65" s="3"/>
      <c r="V65" s="2"/>
      <c r="W65" s="2"/>
      <c r="X65" s="2"/>
      <c r="Y65" s="4"/>
      <c r="Z65" s="4"/>
      <c r="AA65" s="4"/>
      <c r="AC65" s="5"/>
      <c r="AD65" s="5"/>
      <c r="AE65" s="5"/>
    </row>
    <row r="66" spans="1:31" x14ac:dyDescent="0.45">
      <c r="A66" t="s">
        <v>22</v>
      </c>
      <c r="B66">
        <v>-2.7708900000000002E-2</v>
      </c>
      <c r="C66" s="2">
        <v>2.0744444444444445E-4</v>
      </c>
      <c r="D66">
        <v>-2.0155999999999999E-4</v>
      </c>
      <c r="E66" s="2">
        <v>1.9325000000000001E-4</v>
      </c>
      <c r="F66" s="2">
        <f>D66-B66</f>
        <v>2.7507340000000002E-2</v>
      </c>
      <c r="G66" s="2">
        <f>SQRT(C66+E66)</f>
        <v>2.0017353582440525E-2</v>
      </c>
      <c r="H66">
        <v>33.278099999999995</v>
      </c>
      <c r="I66">
        <v>28.100999999999985</v>
      </c>
      <c r="J66">
        <v>23.826999999999998</v>
      </c>
      <c r="K66">
        <v>21.915999999999997</v>
      </c>
      <c r="L66" s="1">
        <v>26.780524999999994</v>
      </c>
      <c r="M66" s="1">
        <v>5.0447678673883107</v>
      </c>
      <c r="N66" s="1">
        <v>2.5223839336941554</v>
      </c>
      <c r="O66" s="11">
        <f>(($D66-$B66)/$L66)*10000*(1/0.25)*10^-6*60</f>
        <v>2.4651352428677192E-3</v>
      </c>
      <c r="P66">
        <f>$O66*SQRT((G66/F66)^2+(M66/$L66)^2)</f>
        <v>1.853031055749564E-3</v>
      </c>
      <c r="Q66">
        <f>$O66/$L66*N66</f>
        <v>2.3218430299603074E-4</v>
      </c>
      <c r="R66" s="1">
        <v>0.90976956055734182</v>
      </c>
      <c r="S66" s="3">
        <v>2.4631932083715072E-2</v>
      </c>
      <c r="T66" s="3"/>
      <c r="U66" s="3"/>
      <c r="V66" s="2">
        <f t="shared" ref="V66:V68" si="27">O66/$R66*$U$4</f>
        <v>2.715946758051359E-3</v>
      </c>
      <c r="W66" s="2">
        <f>$U$4*SQRT((P66/$R66)^2+(O66/$R66/$R66*S66)^2)</f>
        <v>2.0428888035909734E-3</v>
      </c>
      <c r="X66" s="2"/>
      <c r="Y66" s="2">
        <f>AVERAGE(V66:V68)</f>
        <v>2.9148687116947324E-3</v>
      </c>
      <c r="Z66" s="2">
        <f>SQRT((W66^2+W67^2+W68^2)/3)</f>
        <v>1.701050358585873E-3</v>
      </c>
      <c r="AA66" s="2"/>
      <c r="AB66" s="6"/>
      <c r="AC66" s="6"/>
      <c r="AD66" s="6"/>
      <c r="AE66" s="6"/>
    </row>
    <row r="67" spans="1:31" x14ac:dyDescent="0.45">
      <c r="A67" t="s">
        <v>22</v>
      </c>
      <c r="B67">
        <v>-3.9312800000000002E-2</v>
      </c>
      <c r="C67" s="2">
        <v>2.063055555555556E-4</v>
      </c>
      <c r="D67">
        <v>2.91348E-3</v>
      </c>
      <c r="E67" s="2">
        <v>1.8222222222222226E-4</v>
      </c>
      <c r="F67" s="2">
        <f t="shared" si="2"/>
        <v>4.2226280000000005E-2</v>
      </c>
      <c r="G67" s="2">
        <f t="shared" si="3"/>
        <v>1.9711107979456098E-2</v>
      </c>
      <c r="H67">
        <v>24.1</v>
      </c>
      <c r="I67">
        <v>16.900000000000006</v>
      </c>
      <c r="J67">
        <v>18</v>
      </c>
      <c r="K67">
        <v>29.599999999999994</v>
      </c>
      <c r="L67" s="1">
        <v>22.15</v>
      </c>
      <c r="M67" s="1">
        <v>5.8903876499485763</v>
      </c>
      <c r="N67" s="1">
        <v>2.9451938249742882</v>
      </c>
      <c r="O67" s="11">
        <f>(($D67-$B67)/$L67)*10000*(1/0.4)*10^-6*60</f>
        <v>2.8595674943566593E-3</v>
      </c>
      <c r="P67">
        <f>$O67*SQRT((G67/F67)^2+(M67/$L67)^2)</f>
        <v>1.5362539759135679E-3</v>
      </c>
      <c r="Q67">
        <f>$O67/$L67*N67</f>
        <v>3.8022485446846188E-4</v>
      </c>
      <c r="R67" s="1">
        <v>0.90976956055734182</v>
      </c>
      <c r="S67" s="3">
        <v>2.4631932083715072E-2</v>
      </c>
      <c r="T67" s="3"/>
      <c r="U67" s="3"/>
      <c r="V67" s="2">
        <f t="shared" si="27"/>
        <v>3.1505099317359316E-3</v>
      </c>
      <c r="W67" s="2">
        <f>$U$4*SQRT((P67/$R67)^2+(O67/$R67/$R67*S67)^2)</f>
        <v>1.6947059116654761E-3</v>
      </c>
      <c r="X67" s="2"/>
      <c r="Y67" s="4"/>
      <c r="Z67" s="4"/>
      <c r="AA67" s="4"/>
      <c r="AB67" s="6"/>
      <c r="AC67" s="6"/>
      <c r="AD67" s="6"/>
      <c r="AE67" s="6"/>
    </row>
    <row r="68" spans="1:31" x14ac:dyDescent="0.45">
      <c r="A68" t="s">
        <v>22</v>
      </c>
      <c r="B68">
        <v>-4.10581E-2</v>
      </c>
      <c r="C68" s="2">
        <v>1.9544444444444443E-4</v>
      </c>
      <c r="D68">
        <v>4.0486300000000001E-3</v>
      </c>
      <c r="E68" s="2">
        <v>1.9563888888888889E-4</v>
      </c>
      <c r="F68" s="2">
        <f t="shared" si="2"/>
        <v>4.5106729999999998E-2</v>
      </c>
      <c r="G68" s="2">
        <f t="shared" si="3"/>
        <v>1.9775826994928261E-2</v>
      </c>
      <c r="H68">
        <v>24.200000000000003</v>
      </c>
      <c r="I68">
        <v>24.900000000000006</v>
      </c>
      <c r="J68">
        <v>26.400000000000006</v>
      </c>
      <c r="K68">
        <v>28.099999999999994</v>
      </c>
      <c r="L68" s="1">
        <v>25.900000000000002</v>
      </c>
      <c r="M68" s="1">
        <v>1.7301252363147934</v>
      </c>
      <c r="N68" s="1">
        <v>0.86506261815739671</v>
      </c>
      <c r="O68" s="11">
        <f>(($D68-$B68)/$L68)*10000*(1/0.4)*10^-6*60</f>
        <v>2.61235888030888E-3</v>
      </c>
      <c r="P68">
        <f>$O68*SQRT((G68/F68)^2+(M68/$L68)^2)</f>
        <v>1.158536179910013E-3</v>
      </c>
      <c r="Q68">
        <f>$O68/$L68*N68</f>
        <v>8.7253050678251918E-5</v>
      </c>
      <c r="R68" s="1">
        <v>0.90976956055734182</v>
      </c>
      <c r="S68" s="3">
        <v>2.4631932083715072E-2</v>
      </c>
      <c r="T68" s="3"/>
      <c r="U68" s="3"/>
      <c r="V68" s="2">
        <f t="shared" si="27"/>
        <v>2.8781494452969065E-3</v>
      </c>
      <c r="W68" s="2">
        <f t="shared" ref="W68" si="28">$U$4*SQRT((P68/$R68)^2+(O68/$R68/$R68*S68)^2)</f>
        <v>1.2787862121809537E-3</v>
      </c>
      <c r="X68" s="2"/>
      <c r="Y68" s="4"/>
      <c r="Z68" s="4"/>
      <c r="AA68" s="4"/>
      <c r="AB68" s="6"/>
      <c r="AC68" s="6"/>
      <c r="AD68" s="6"/>
      <c r="AE68" s="6"/>
    </row>
    <row r="69" spans="1:31" x14ac:dyDescent="0.45">
      <c r="C69" s="2"/>
      <c r="E69" s="2"/>
      <c r="F69" s="2"/>
      <c r="G69" s="2"/>
      <c r="L69" s="1"/>
      <c r="M69" s="1"/>
      <c r="N69" s="1"/>
      <c r="O69" s="11">
        <f>AVERAGE(O66:O68)</f>
        <v>2.6456872058444199E-3</v>
      </c>
      <c r="P69">
        <f>SQRT((P66^2+P67^2+P68^2)/3)</f>
        <v>1.5422933629547779E-3</v>
      </c>
      <c r="R69" s="1"/>
      <c r="S69" s="3"/>
      <c r="T69" s="3"/>
      <c r="U69" s="3"/>
      <c r="V69" s="2"/>
      <c r="W69" s="2"/>
      <c r="X69" s="2"/>
      <c r="Y69" s="4"/>
      <c r="Z69" s="4"/>
      <c r="AA69" s="4"/>
      <c r="AB69" s="6"/>
      <c r="AC69" s="6"/>
      <c r="AD69" s="6"/>
      <c r="AE69" s="6"/>
    </row>
    <row r="70" spans="1:31" x14ac:dyDescent="0.45">
      <c r="A70" t="s">
        <v>22</v>
      </c>
      <c r="B70">
        <v>-1.34617E-2</v>
      </c>
      <c r="C70" s="2">
        <v>1.4758333333333333E-4</v>
      </c>
      <c r="D70">
        <v>9.5540199999999999E-3</v>
      </c>
      <c r="E70" s="2">
        <v>1.4136111111111112E-4</v>
      </c>
      <c r="F70" s="2">
        <f t="shared" ref="F70" si="29">D70-B70</f>
        <v>2.301572E-2</v>
      </c>
      <c r="G70" s="2">
        <f t="shared" ref="G70" si="30">SQRT(C70+E70)</f>
        <v>1.6998365934537484E-2</v>
      </c>
      <c r="H70">
        <v>22.300000000000004</v>
      </c>
      <c r="I70">
        <v>18.600000000000009</v>
      </c>
      <c r="J70">
        <v>18.600000000000009</v>
      </c>
      <c r="K70">
        <v>12.5</v>
      </c>
      <c r="L70" s="1">
        <v>18.000000000000007</v>
      </c>
      <c r="M70" s="1">
        <v>4.0603776507446456</v>
      </c>
      <c r="N70" s="1">
        <v>2.0301888253723228</v>
      </c>
      <c r="O70" s="11">
        <f>(($D70-$B70)/$L70)*10000*(1/0.4)*10^-6*60</f>
        <v>1.9179766666666657E-3</v>
      </c>
      <c r="P70">
        <f>$O70*SQRT((G70/F70)^2+(M70/$L70)^2)</f>
        <v>1.4811296788544649E-3</v>
      </c>
      <c r="Q70">
        <f>$O70/$L70*N70</f>
        <v>2.1632526644397332E-4</v>
      </c>
      <c r="R70" s="1">
        <v>0.71321543408360133</v>
      </c>
      <c r="S70" s="3">
        <v>2.4631932083715072E-2</v>
      </c>
      <c r="T70" s="3"/>
      <c r="U70" s="3"/>
      <c r="V70" s="2">
        <f>O66/$R66*$U$4</f>
        <v>2.715946758051359E-3</v>
      </c>
      <c r="W70" s="2">
        <f>$U$4*SQRT((P66/$R66)^2+(O66/$R66/$R66*S66)^2)</f>
        <v>2.0428888035909734E-3</v>
      </c>
      <c r="X70" s="2"/>
      <c r="Y70" s="2">
        <f>AVERAGE(V70:V72)</f>
        <v>2.7118246530715797E-3</v>
      </c>
      <c r="Z70" s="2">
        <f>SQRT((W70^2+W71^2+W72^2)/3)</f>
        <v>2.316688089800983E-3</v>
      </c>
      <c r="AA70" s="2"/>
      <c r="AB70" s="6"/>
      <c r="AC70" s="6"/>
      <c r="AD70" s="6"/>
      <c r="AE70" s="6"/>
    </row>
    <row r="71" spans="1:31" x14ac:dyDescent="0.45">
      <c r="A71" t="s">
        <v>22</v>
      </c>
      <c r="B71">
        <v>-1.26024E-2</v>
      </c>
      <c r="C71" s="2">
        <v>1.3247222222222222E-4</v>
      </c>
      <c r="D71">
        <v>1.0987200000000001E-2</v>
      </c>
      <c r="E71" s="2">
        <v>1.2333333333333331E-4</v>
      </c>
      <c r="F71" s="2">
        <f t="shared" si="2"/>
        <v>2.3589600000000002E-2</v>
      </c>
      <c r="G71" s="2">
        <f t="shared" si="3"/>
        <v>1.5993922456844525E-2</v>
      </c>
      <c r="H71">
        <v>44.400000000000006</v>
      </c>
      <c r="I71">
        <v>29.5</v>
      </c>
      <c r="J71">
        <v>22.799999999999997</v>
      </c>
      <c r="K71">
        <v>16.100000000000009</v>
      </c>
      <c r="L71" s="1">
        <v>28.200000000000003</v>
      </c>
      <c r="M71" s="1">
        <v>12.106472098289689</v>
      </c>
      <c r="N71" s="1">
        <v>6.0532360491448447</v>
      </c>
      <c r="O71" s="11">
        <f>(($D71-$B71)/$L71)*10000*(1/0.25)*10^-6*60</f>
        <v>2.0076255319148935E-3</v>
      </c>
      <c r="P71">
        <f>$O71*SQRT((G71/F71)^2+(M71/$L71)^2)</f>
        <v>1.6111103332323172E-3</v>
      </c>
      <c r="Q71">
        <f>$O71/$L71*N71</f>
        <v>4.3094437031811439E-4</v>
      </c>
      <c r="R71" s="1">
        <v>0.71321543408360133</v>
      </c>
      <c r="S71" s="3">
        <v>2.4631932083715072E-2</v>
      </c>
      <c r="T71" s="3"/>
      <c r="U71" s="3"/>
      <c r="V71" s="2">
        <f t="shared" ref="V71:V93" si="31">O71/$R71*$U$4</f>
        <v>2.8214598899020732E-3</v>
      </c>
      <c r="W71" s="2">
        <f>$U$4*SQRT((P71/$R71)^2+(O71/$R71/$R71*S71)^2)</f>
        <v>2.2663045229090687E-3</v>
      </c>
      <c r="X71" s="2"/>
      <c r="Y71" s="13">
        <f>AVERAGE(Y61,Y66,Y70)</f>
        <v>3.5968280144355997E-3</v>
      </c>
      <c r="Z71" s="14">
        <f>SQRT((Z61^2+Z66^2+Z70^2)/3)</f>
        <v>2.4632808476647374E-3</v>
      </c>
      <c r="AA71" s="4"/>
      <c r="AB71" s="6"/>
      <c r="AC71" s="6"/>
      <c r="AD71" s="6"/>
      <c r="AE71" s="6"/>
    </row>
    <row r="72" spans="1:31" x14ac:dyDescent="0.45">
      <c r="A72" t="s">
        <v>22</v>
      </c>
      <c r="B72">
        <v>-9.2936300000000006E-3</v>
      </c>
      <c r="C72" s="2">
        <v>1.1113888888888885E-4</v>
      </c>
      <c r="D72">
        <v>7.1133100000000003E-3</v>
      </c>
      <c r="E72" s="2">
        <v>1.0994444444444443E-4</v>
      </c>
      <c r="F72" s="2">
        <f t="shared" si="2"/>
        <v>1.6406940000000002E-2</v>
      </c>
      <c r="G72" s="2">
        <f t="shared" si="3"/>
        <v>1.4868871286460627E-2</v>
      </c>
      <c r="H72">
        <v>33.5</v>
      </c>
      <c r="I72">
        <v>22.9</v>
      </c>
      <c r="J72">
        <v>15.700000000000003</v>
      </c>
      <c r="K72">
        <v>13.100000000000009</v>
      </c>
      <c r="L72" s="1">
        <v>21.3</v>
      </c>
      <c r="M72" s="1">
        <v>9.1287092917527684</v>
      </c>
      <c r="N72" s="1">
        <v>4.5643546458763842</v>
      </c>
      <c r="O72" s="11">
        <f>(($D72-$B72)/$L72)*10000*(1/0.25)*10^-6*60</f>
        <v>1.8486692957746481E-3</v>
      </c>
      <c r="P72">
        <f>$O72*SQRT((G72/F72)^2+(M72/$L72)^2)</f>
        <v>1.8532641180775743E-3</v>
      </c>
      <c r="Q72">
        <f>$O72/$L72*N72</f>
        <v>3.9614940323277176E-4</v>
      </c>
      <c r="R72" s="1">
        <v>0.71321543408360133</v>
      </c>
      <c r="S72" s="3">
        <v>2.4631932083715072E-2</v>
      </c>
      <c r="V72" s="2">
        <f t="shared" si="31"/>
        <v>2.5980673112613083E-3</v>
      </c>
      <c r="W72" s="2">
        <f>$U$4*SQRT((P72/$R72)^2+(O72/$R72/$R72*S72)^2)</f>
        <v>2.6060698881422424E-3</v>
      </c>
      <c r="X72" s="2"/>
      <c r="Y72" s="4"/>
      <c r="Z72" s="4"/>
      <c r="AA72" s="4"/>
      <c r="AB72" s="6"/>
      <c r="AC72" s="6"/>
      <c r="AD72" s="6"/>
      <c r="AE72" s="6"/>
    </row>
    <row r="73" spans="1:31" x14ac:dyDescent="0.45">
      <c r="C73" s="2"/>
      <c r="E73" s="2"/>
      <c r="F73" s="2"/>
      <c r="G73" s="2"/>
      <c r="L73" s="1"/>
      <c r="M73" s="1"/>
      <c r="N73" s="1"/>
      <c r="O73" s="11">
        <f>AVERAGE(O70:O72)</f>
        <v>1.9247571647854026E-3</v>
      </c>
      <c r="P73">
        <f>SQRT((P70^2+P71^2+P72^2)/3)</f>
        <v>1.6556981933900602E-3</v>
      </c>
      <c r="V73" s="2"/>
      <c r="W73" s="2"/>
      <c r="X73" s="2"/>
      <c r="Y73" s="2"/>
      <c r="Z73" s="2"/>
      <c r="AA73" s="2"/>
      <c r="AB73" s="6"/>
      <c r="AC73" s="6"/>
      <c r="AD73" s="6"/>
      <c r="AE73" s="6"/>
    </row>
    <row r="74" spans="1:31" x14ac:dyDescent="0.45">
      <c r="C74" s="2"/>
      <c r="E74" s="2"/>
      <c r="F74" s="2"/>
      <c r="G74" s="2"/>
      <c r="L74" s="1"/>
      <c r="M74" s="1"/>
      <c r="N74" s="1"/>
      <c r="O74" s="11">
        <f>AVERAGE(O65,O69,O73)</f>
        <v>3.1774798591384062E-3</v>
      </c>
      <c r="P74">
        <f>SQRT((P65^2+P69^2+P73^2)/3)</f>
        <v>2.1824644345391801E-3</v>
      </c>
      <c r="V74" s="2"/>
      <c r="W74" s="2"/>
      <c r="X74" s="2"/>
      <c r="Y74" s="2"/>
      <c r="Z74" s="2"/>
      <c r="AA74" s="2"/>
      <c r="AB74" s="6"/>
      <c r="AC74" s="6"/>
      <c r="AD74" s="6"/>
      <c r="AE74" s="6"/>
    </row>
    <row r="75" spans="1:31" x14ac:dyDescent="0.45">
      <c r="C75" s="2"/>
      <c r="E75" s="2"/>
      <c r="F75" s="2"/>
      <c r="G75" s="2"/>
      <c r="L75" s="1"/>
      <c r="M75" s="1"/>
      <c r="N75" s="1"/>
      <c r="V75" s="2"/>
      <c r="W75" s="2"/>
      <c r="X75" s="2"/>
      <c r="Y75" s="4"/>
      <c r="Z75" s="4"/>
      <c r="AA75" s="4"/>
      <c r="AB75" s="6"/>
      <c r="AC75" s="6"/>
      <c r="AD75" s="6"/>
      <c r="AE75" s="6"/>
    </row>
    <row r="76" spans="1:31" x14ac:dyDescent="0.45">
      <c r="A76" t="s">
        <v>23</v>
      </c>
      <c r="B76" s="2">
        <v>-4.3214799999999998E-2</v>
      </c>
      <c r="C76" s="2">
        <v>4.6888888888888902E-5</v>
      </c>
      <c r="D76" s="2">
        <v>-1.03359E-3</v>
      </c>
      <c r="E76" s="2">
        <v>5.005555555555556E-5</v>
      </c>
      <c r="F76" s="2">
        <f t="shared" si="2"/>
        <v>4.2181209999999997E-2</v>
      </c>
      <c r="G76" s="2">
        <f t="shared" si="3"/>
        <v>9.8460369918279538E-3</v>
      </c>
      <c r="H76">
        <v>4.49</v>
      </c>
      <c r="I76">
        <v>4.24</v>
      </c>
      <c r="J76">
        <v>3.99</v>
      </c>
      <c r="K76">
        <v>2.89</v>
      </c>
      <c r="L76" s="1">
        <v>3.9025000000000003</v>
      </c>
      <c r="M76" s="1">
        <v>0.70518909993466938</v>
      </c>
      <c r="N76" s="1">
        <v>0.35259454996733469</v>
      </c>
      <c r="O76" s="11">
        <f>(($D76-$B76)/$L76)*2500*(1/0.4)*10^-6*60</f>
        <v>4.0532873158231897E-3</v>
      </c>
      <c r="P76">
        <f>$O76*SQRT((G76/F76)^2+(M76/$L76)^2)</f>
        <v>1.1965037932193741E-3</v>
      </c>
      <c r="Q76">
        <v>3.6621832594772153E-4</v>
      </c>
      <c r="R76" s="1">
        <v>0.86040163588142804</v>
      </c>
      <c r="S76" s="3">
        <v>9.8783166963912206E-2</v>
      </c>
      <c r="T76" s="3">
        <v>4.9391583481956103E-2</v>
      </c>
      <c r="U76" s="3"/>
      <c r="V76" s="2">
        <f t="shared" si="31"/>
        <v>4.7219139182944347E-3</v>
      </c>
      <c r="W76" s="2">
        <f>$U$4*SQRT((P76/$R76)^2+(O76/$R76/$R76*S76)^2)</f>
        <v>1.4955921219808358E-3</v>
      </c>
      <c r="X76" s="2"/>
      <c r="Y76" s="2">
        <f>AVERAGE(V76:V79)</f>
        <v>4.9674640386654515E-3</v>
      </c>
      <c r="Z76" s="2">
        <f>SQRT((W76^2+W77^2+W78^2+W79^2)/4)</f>
        <v>1.7180626525490183E-3</v>
      </c>
      <c r="AA76" s="2"/>
      <c r="AB76" s="2"/>
      <c r="AC76" s="2"/>
      <c r="AD76" s="2"/>
      <c r="AE76" s="2"/>
    </row>
    <row r="77" spans="1:31" x14ac:dyDescent="0.45">
      <c r="A77" t="s">
        <v>23</v>
      </c>
      <c r="B77" s="2">
        <v>-4.0692199999999998E-2</v>
      </c>
      <c r="C77" s="2">
        <v>1.0380555555555555E-4</v>
      </c>
      <c r="D77" s="2">
        <v>-1.7614099999999999E-3</v>
      </c>
      <c r="E77" s="2">
        <v>6.9194444444444452E-5</v>
      </c>
      <c r="F77" s="2">
        <f t="shared" si="2"/>
        <v>3.893079E-2</v>
      </c>
      <c r="G77" s="2">
        <f t="shared" si="3"/>
        <v>1.3152946437965905E-2</v>
      </c>
      <c r="H77">
        <v>3.73</v>
      </c>
      <c r="I77">
        <v>3.22</v>
      </c>
      <c r="J77">
        <v>3.47</v>
      </c>
      <c r="K77">
        <v>3.37</v>
      </c>
      <c r="L77" s="1">
        <v>3.4474999999999998</v>
      </c>
      <c r="M77" s="1">
        <v>0.21453437952924925</v>
      </c>
      <c r="N77" s="1">
        <v>0.10726718976462463</v>
      </c>
      <c r="O77" s="11">
        <f>(($D77-$B77)/$L77)*2500*(1/0.4)*10^-6*60</f>
        <v>4.2346762146482963E-3</v>
      </c>
      <c r="P77">
        <f>$O77*SQRT((G77/F77)^2+(M77/$L77)^2)</f>
        <v>1.4547710721103013E-3</v>
      </c>
      <c r="Q77">
        <v>1.3175977291034695E-4</v>
      </c>
      <c r="R77" s="1">
        <v>0.86040163588142804</v>
      </c>
      <c r="S77" s="3">
        <v>9.8783166963912206E-2</v>
      </c>
      <c r="T77" s="3"/>
      <c r="U77" s="3"/>
      <c r="V77" s="2">
        <f t="shared" si="31"/>
        <v>4.9332245654925165E-3</v>
      </c>
      <c r="W77" s="2">
        <f>$U$4*SQRT((P77/$R77)^2+(O77/$R77/$R77*S77)^2)</f>
        <v>1.7868874334572371E-3</v>
      </c>
      <c r="X77" s="2"/>
      <c r="Y77" s="4"/>
      <c r="Z77" s="4"/>
      <c r="AA77" s="4"/>
      <c r="AC77" s="5"/>
      <c r="AD77" s="5"/>
      <c r="AE77" s="5"/>
    </row>
    <row r="78" spans="1:31" x14ac:dyDescent="0.45">
      <c r="A78" t="s">
        <v>23</v>
      </c>
      <c r="B78" s="2">
        <v>-3.8263699999999998E-2</v>
      </c>
      <c r="C78" s="2">
        <v>7.0861111111111114E-5</v>
      </c>
      <c r="D78" s="2">
        <v>9.5173299999999992E-3</v>
      </c>
      <c r="E78" s="2">
        <v>6.3499999999999985E-5</v>
      </c>
      <c r="F78" s="2">
        <f t="shared" si="2"/>
        <v>4.7781029999999995E-2</v>
      </c>
      <c r="G78" s="2">
        <f t="shared" si="3"/>
        <v>1.1591424032926718E-2</v>
      </c>
      <c r="H78">
        <v>4.7300000000000004</v>
      </c>
      <c r="I78">
        <v>4.46</v>
      </c>
      <c r="J78">
        <v>3.4</v>
      </c>
      <c r="K78">
        <v>3.46</v>
      </c>
      <c r="L78" s="1">
        <v>4.0125000000000002</v>
      </c>
      <c r="M78" s="1">
        <v>0.68202517060100509</v>
      </c>
      <c r="N78" s="1">
        <v>0.34101258530050255</v>
      </c>
      <c r="O78" s="11">
        <f>(($D78-$B78)/$L78)*2500*(1/0.4)*10^-6*60</f>
        <v>4.4655168224299064E-3</v>
      </c>
      <c r="P78">
        <f>$O78*SQRT((G78/F78)^2+(M78/$L78)^2)</f>
        <v>1.3227560628758525E-3</v>
      </c>
      <c r="Q78">
        <v>3.7951337976815133E-4</v>
      </c>
      <c r="R78" s="1">
        <v>0.86040163588142804</v>
      </c>
      <c r="S78" s="3">
        <v>9.8783166963912206E-2</v>
      </c>
      <c r="T78" s="3"/>
      <c r="U78" s="3"/>
      <c r="V78" s="2">
        <f t="shared" si="31"/>
        <v>5.202144430742719E-3</v>
      </c>
      <c r="W78" s="2">
        <f>$U$4*SQRT((P78/$R78)^2+(O78/$R78/$R78*S78)^2)</f>
        <v>1.6526548979525883E-3</v>
      </c>
      <c r="X78" s="2"/>
      <c r="Y78" s="4"/>
      <c r="Z78" s="4"/>
      <c r="AA78" s="4"/>
      <c r="AC78" s="5"/>
      <c r="AD78" s="5"/>
      <c r="AE78" s="5"/>
    </row>
    <row r="79" spans="1:31" x14ac:dyDescent="0.45">
      <c r="A79" t="s">
        <v>23</v>
      </c>
      <c r="B79" s="2">
        <v>-3.3207E-2</v>
      </c>
      <c r="C79" s="2">
        <v>5.9444444444444445E-5</v>
      </c>
      <c r="D79" s="2">
        <v>4.8009699999999999E-3</v>
      </c>
      <c r="E79" s="2">
        <v>4.9944444444444438E-5</v>
      </c>
      <c r="F79" s="2">
        <f t="shared" si="2"/>
        <v>3.8007970000000002E-2</v>
      </c>
      <c r="G79" s="2">
        <f t="shared" si="3"/>
        <v>1.0458914326491486E-2</v>
      </c>
      <c r="H79">
        <v>4.43</v>
      </c>
      <c r="I79">
        <v>3.29</v>
      </c>
      <c r="J79">
        <v>2.74</v>
      </c>
      <c r="K79">
        <v>2.79</v>
      </c>
      <c r="L79" s="1">
        <v>3.3125</v>
      </c>
      <c r="M79" s="1">
        <v>0.78529718366149004</v>
      </c>
      <c r="N79" s="1">
        <v>0.39264859183074502</v>
      </c>
      <c r="O79" s="11">
        <f>(($D79-$B79)/$L79)*2500*(1/0.4)*10^-6*60</f>
        <v>4.3027890566037733E-3</v>
      </c>
      <c r="P79">
        <f>$O79*SQRT((G79/F79)^2+(M79/$L79)^2)</f>
        <v>1.5628361176382385E-3</v>
      </c>
      <c r="Q79">
        <v>5.1003292498723362E-4</v>
      </c>
      <c r="R79" s="1">
        <v>0.86040163588142804</v>
      </c>
      <c r="S79" s="3">
        <v>9.8783166963912206E-2</v>
      </c>
      <c r="T79" s="3"/>
      <c r="U79" s="3"/>
      <c r="V79" s="2">
        <f t="shared" si="31"/>
        <v>5.0125732401321366E-3</v>
      </c>
      <c r="W79" s="2">
        <f>$U$4*SQRT((P79/$R79)^2+(O79/$R79/$R79*S79)^2)</f>
        <v>1.9094309114052448E-3</v>
      </c>
      <c r="X79" s="2"/>
      <c r="Y79" s="4"/>
      <c r="Z79" s="4"/>
      <c r="AA79" s="4"/>
      <c r="AC79" s="5"/>
      <c r="AD79" s="5"/>
      <c r="AE79" s="5"/>
    </row>
    <row r="80" spans="1:31" x14ac:dyDescent="0.45">
      <c r="B80" s="2"/>
      <c r="C80" s="2"/>
      <c r="D80" s="2"/>
      <c r="E80" s="2"/>
      <c r="F80" s="2"/>
      <c r="G80" s="2"/>
      <c r="L80" s="1"/>
      <c r="M80" s="1"/>
      <c r="N80" s="1"/>
      <c r="O80" s="11">
        <f>AVERAGE(O76:O79)</f>
        <v>4.2640673523762912E-3</v>
      </c>
      <c r="P80">
        <f>SQRT((P76^2+P77^2+P78^2+P79^2)/4)</f>
        <v>1.3910536053569876E-3</v>
      </c>
      <c r="V80" s="2"/>
      <c r="AC80" s="5"/>
      <c r="AD80" s="5"/>
      <c r="AE80" s="5"/>
    </row>
    <row r="81" spans="1:31" x14ac:dyDescent="0.45">
      <c r="A81" t="s">
        <v>23</v>
      </c>
      <c r="B81">
        <v>2.2799799999999999E-2</v>
      </c>
      <c r="C81" s="2">
        <v>2.2347222222222218E-4</v>
      </c>
      <c r="D81">
        <v>6.8546300000000004E-2</v>
      </c>
      <c r="E81" s="2">
        <v>2.3061111111111115E-4</v>
      </c>
      <c r="F81" s="2">
        <f t="shared" si="2"/>
        <v>4.5746500000000009E-2</v>
      </c>
      <c r="G81" s="2">
        <f t="shared" si="3"/>
        <v>2.1309231176495632E-2</v>
      </c>
      <c r="H81">
        <v>18</v>
      </c>
      <c r="I81">
        <v>17.200000000000003</v>
      </c>
      <c r="J81">
        <v>15.100000000000009</v>
      </c>
      <c r="K81">
        <v>15.699999999999989</v>
      </c>
      <c r="L81" s="1">
        <v>16.5</v>
      </c>
      <c r="M81" s="1">
        <v>1.3341664064126331</v>
      </c>
      <c r="N81" s="1">
        <v>0.66708320320631653</v>
      </c>
      <c r="O81" s="11">
        <f>(($D81-$B81)/$L81)*10000*(1/0.4)*10^-6*60</f>
        <v>4.158772727272728E-3</v>
      </c>
      <c r="P81">
        <f>$O81*SQRT((G81/F81)^2+(M81/$L81)^2)</f>
        <v>1.9661724132753189E-3</v>
      </c>
      <c r="Q81">
        <f>$O81/$L81*N81</f>
        <v>1.6813620801916124E-4</v>
      </c>
      <c r="R81" s="1">
        <v>1.0557896777401778</v>
      </c>
      <c r="S81" s="3">
        <v>5.9905808242315367E-2</v>
      </c>
      <c r="V81" s="2">
        <f t="shared" si="31"/>
        <v>3.9482048612567485E-3</v>
      </c>
      <c r="W81" s="2">
        <f>$U$4*SQRT((P81/$R81)^2+(O81/$R81/$R81*S81)^2)</f>
        <v>1.8800156953255431E-3</v>
      </c>
      <c r="X81" s="2"/>
      <c r="Y81" s="2">
        <f>AVERAGE(V81:V83)</f>
        <v>3.6295863147484584E-3</v>
      </c>
      <c r="Z81" s="2">
        <f>SQRT((W81^2+W82^2+W83^2)/3)</f>
        <v>1.7520599473962509E-3</v>
      </c>
      <c r="AA81" s="2"/>
      <c r="AB81" s="6"/>
      <c r="AC81" s="6"/>
      <c r="AD81" s="6"/>
      <c r="AE81" s="6"/>
    </row>
    <row r="82" spans="1:31" x14ac:dyDescent="0.45">
      <c r="A82" t="s">
        <v>23</v>
      </c>
      <c r="B82">
        <v>-6.7070199999999996E-2</v>
      </c>
      <c r="C82" s="2">
        <v>2.5255555555555551E-4</v>
      </c>
      <c r="D82">
        <v>5.0242400000000001E-3</v>
      </c>
      <c r="E82" s="2">
        <v>2.3766666666666668E-4</v>
      </c>
      <c r="F82" s="2">
        <f t="shared" si="2"/>
        <v>7.2094439999999996E-2</v>
      </c>
      <c r="G82" s="2">
        <f t="shared" si="3"/>
        <v>2.2140962540554154E-2</v>
      </c>
      <c r="H82">
        <v>35.299999999999997</v>
      </c>
      <c r="I82">
        <v>27.200000000000003</v>
      </c>
      <c r="J82">
        <v>22.200000000000017</v>
      </c>
      <c r="K82">
        <v>23.5</v>
      </c>
      <c r="L82" s="1">
        <v>27.050000000000004</v>
      </c>
      <c r="M82" s="1">
        <v>5.8937820342006653</v>
      </c>
      <c r="N82" s="1">
        <v>2.9468910171003326</v>
      </c>
      <c r="O82" s="11">
        <f>(($D82-$B82)/$L82)*10000*(1/0.4)*10^-6*60</f>
        <v>3.9978432532347501E-3</v>
      </c>
      <c r="P82">
        <f>$O82*SQRT((G82/F82)^2+(M82/$L82)^2)</f>
        <v>1.5053918024446045E-3</v>
      </c>
      <c r="Q82">
        <f>$O82/$L82*N82</f>
        <v>4.3553450538752882E-4</v>
      </c>
      <c r="R82" s="1">
        <v>1.0557896777401778</v>
      </c>
      <c r="S82" s="3">
        <v>5.9905808242315367E-2</v>
      </c>
      <c r="V82" s="2">
        <f t="shared" si="31"/>
        <v>3.7954236026057349E-3</v>
      </c>
      <c r="W82" s="2">
        <f>$U$4*SQRT((P82/$R82)^2+(O82/$R82/$R82*S82)^2)</f>
        <v>1.4453045937815158E-3</v>
      </c>
      <c r="X82" s="2"/>
      <c r="Y82" s="4"/>
      <c r="Z82" s="4"/>
      <c r="AA82" s="4"/>
      <c r="AB82" s="6"/>
      <c r="AC82" s="6"/>
      <c r="AD82" s="6"/>
      <c r="AE82" s="6"/>
    </row>
    <row r="83" spans="1:31" x14ac:dyDescent="0.45">
      <c r="A83" t="s">
        <v>23</v>
      </c>
      <c r="B83">
        <v>-7.8147099999999997E-2</v>
      </c>
      <c r="C83" s="2">
        <v>1.9513888888888885E-4</v>
      </c>
      <c r="D83">
        <v>-2.7404999999999999E-2</v>
      </c>
      <c r="E83" s="2">
        <v>2.1402777777777777E-4</v>
      </c>
      <c r="F83" s="2">
        <f t="shared" si="2"/>
        <v>5.0742099999999998E-2</v>
      </c>
      <c r="G83" s="2">
        <f t="shared" si="3"/>
        <v>2.0227868564598364E-2</v>
      </c>
      <c r="H83">
        <v>34.9</v>
      </c>
      <c r="I83">
        <v>28.200000000000003</v>
      </c>
      <c r="J83">
        <v>15</v>
      </c>
      <c r="K83">
        <v>13.799999999999997</v>
      </c>
      <c r="L83" s="1">
        <v>22.974999999999998</v>
      </c>
      <c r="M83" s="1">
        <v>10.284089653440411</v>
      </c>
      <c r="N83" s="1">
        <v>5.1420448267202055</v>
      </c>
      <c r="O83" s="11">
        <f>(($D83-$B83)/$L83)*10000*(1/0.4)*10^-6*60</f>
        <v>3.3128683351468981E-3</v>
      </c>
      <c r="P83">
        <f>$O83*SQRT((G83/F83)^2+(M83/$L83)^2)</f>
        <v>1.9857292275649047E-3</v>
      </c>
      <c r="Q83">
        <f>$O83/$L83*N83</f>
        <v>7.4145451509672635E-4</v>
      </c>
      <c r="R83" s="1">
        <v>1.0557896777401778</v>
      </c>
      <c r="S83" s="3">
        <v>5.9905808242315367E-2</v>
      </c>
      <c r="V83" s="2">
        <f t="shared" si="31"/>
        <v>3.14513048038289E-3</v>
      </c>
      <c r="W83" s="2">
        <f>$U$4*SQRT((P83/$R83)^2+(O83/$R83/$R83*S83)^2)</f>
        <v>1.8936150068939895E-3</v>
      </c>
      <c r="X83" s="2"/>
      <c r="Y83" s="4"/>
      <c r="Z83" s="4"/>
      <c r="AA83" s="4"/>
      <c r="AB83" s="6"/>
      <c r="AC83" s="6"/>
      <c r="AD83" s="6"/>
      <c r="AE83" s="6"/>
    </row>
    <row r="84" spans="1:31" x14ac:dyDescent="0.45">
      <c r="C84" s="2"/>
      <c r="E84" s="2"/>
      <c r="F84" s="2"/>
      <c r="G84" s="2"/>
      <c r="L84" s="1"/>
      <c r="M84" s="1"/>
      <c r="N84" s="1"/>
      <c r="O84" s="11">
        <f>AVERAGE(O80:O83)</f>
        <v>3.9333879170076668E-3</v>
      </c>
      <c r="P84">
        <f>SQRT((P81^2+P82^2+P83^2)/3)</f>
        <v>1.8325900617066381E-3</v>
      </c>
      <c r="V84" s="2"/>
      <c r="AB84" s="6"/>
      <c r="AC84" s="6"/>
      <c r="AD84" s="6"/>
      <c r="AE84" s="6"/>
    </row>
    <row r="85" spans="1:31" x14ac:dyDescent="0.45">
      <c r="A85" t="s">
        <v>23</v>
      </c>
      <c r="B85">
        <v>-1.14311E-2</v>
      </c>
      <c r="C85" s="2">
        <v>1.1897222222222223E-4</v>
      </c>
      <c r="D85">
        <v>9.1250099999999994E-3</v>
      </c>
      <c r="E85" s="2">
        <v>1.1424999999999999E-4</v>
      </c>
      <c r="F85" s="2">
        <f t="shared" si="2"/>
        <v>2.0556109999999999E-2</v>
      </c>
      <c r="G85" s="2">
        <f t="shared" si="3"/>
        <v>1.5271614918607077E-2</v>
      </c>
      <c r="H85">
        <v>17.399999999999999</v>
      </c>
      <c r="I85">
        <v>12.3</v>
      </c>
      <c r="J85">
        <v>9</v>
      </c>
      <c r="K85">
        <v>8.2999999999999972</v>
      </c>
      <c r="L85" s="1">
        <v>11.75</v>
      </c>
      <c r="M85" s="1">
        <v>4.1509035161034493</v>
      </c>
      <c r="N85" s="1">
        <v>2.0754517580517247</v>
      </c>
      <c r="O85" s="11">
        <f>(($D85-$B85)/$L85)*10000*(1/0.4)*10^-6*60</f>
        <v>2.6241842553191485E-3</v>
      </c>
      <c r="P85">
        <f>$O85*SQRT((G85/F85)^2+(M85/$L85)^2)</f>
        <v>2.1587543815335566E-3</v>
      </c>
      <c r="Q85">
        <f>$O85/$L85*N85</f>
        <v>4.6352066605564107E-4</v>
      </c>
      <c r="R85" s="1">
        <v>1.0595515530026873</v>
      </c>
      <c r="S85" s="3">
        <v>6.7289024498944361E-2</v>
      </c>
      <c r="V85" s="2">
        <f t="shared" si="31"/>
        <v>2.4824707290487017E-3</v>
      </c>
      <c r="W85" s="2">
        <f>$U$4*SQRT((P85/$R85)^2+(O85/$R85/$R85*S85)^2)</f>
        <v>2.0482517776815343E-3</v>
      </c>
      <c r="X85" s="2"/>
      <c r="Y85" s="2">
        <f>AVERAGE(V85:V87)</f>
        <v>3.3178832875308908E-3</v>
      </c>
      <c r="Z85" s="2">
        <f>SQRT((W85^2+W86^2+W87^2)/3)</f>
        <v>2.1043243175159114E-3</v>
      </c>
      <c r="AA85" s="2"/>
      <c r="AB85" s="6"/>
      <c r="AC85" s="6"/>
      <c r="AD85" s="6"/>
      <c r="AE85" s="6"/>
    </row>
    <row r="86" spans="1:31" x14ac:dyDescent="0.45">
      <c r="A86" t="s">
        <v>23</v>
      </c>
      <c r="B86">
        <v>-7.3518500000000001E-2</v>
      </c>
      <c r="C86" s="2">
        <v>1.9980555555555555E-4</v>
      </c>
      <c r="D86">
        <v>2.6092099999999998E-3</v>
      </c>
      <c r="E86" s="2">
        <v>1.6650000000000004E-4</v>
      </c>
      <c r="F86" s="2">
        <f>D86-B86</f>
        <v>7.6127710000000001E-2</v>
      </c>
      <c r="G86" s="2">
        <f>SQRT(C86+E86)</f>
        <v>1.9139110626033688E-2</v>
      </c>
      <c r="H86">
        <v>35.700000000000003</v>
      </c>
      <c r="I86">
        <v>27.199999999999989</v>
      </c>
      <c r="J86">
        <v>30.700000000000017</v>
      </c>
      <c r="K86">
        <v>23</v>
      </c>
      <c r="L86" s="1">
        <f>AVERAGE(H86:K86)</f>
        <v>29.150000000000002</v>
      </c>
      <c r="M86" s="1">
        <f>STDEV(H86:K86)</f>
        <v>5.3829979255677562</v>
      </c>
      <c r="N86" s="11"/>
      <c r="O86" s="11">
        <f>(($D86-$B86)/$L86)*10000*(1/0.4)*10^-6*60</f>
        <v>3.9173778730703258E-3</v>
      </c>
      <c r="P86">
        <f>$O86*SQRT((G86/F86)^2+(M86/$L86)^2)</f>
        <v>1.221991356107155E-3</v>
      </c>
      <c r="Q86">
        <f>$O86/$L86*N86</f>
        <v>0</v>
      </c>
      <c r="R86" s="1">
        <v>1.0595515530026873</v>
      </c>
      <c r="S86" s="3">
        <v>6.7289024498944361E-2</v>
      </c>
      <c r="V86" s="2">
        <f t="shared" si="31"/>
        <v>3.7058281577630435E-3</v>
      </c>
      <c r="W86" s="2">
        <f>$U$4*SQRT((P86/$R86)^2+(O86/$R86/$R86*S86)^2)</f>
        <v>1.1797137674523736E-3</v>
      </c>
      <c r="X86" s="2"/>
      <c r="Y86" s="13">
        <f>AVERAGE(Y76,Y81,Y85)</f>
        <v>3.9716445469815996E-3</v>
      </c>
      <c r="Z86" s="14">
        <f>SQRT((Z76^2+Z81^2+Z85^2)/3)</f>
        <v>1.8663363550588201E-3</v>
      </c>
      <c r="AA86" s="4"/>
      <c r="AB86" s="6"/>
      <c r="AC86" s="6"/>
      <c r="AD86" s="6"/>
    </row>
    <row r="87" spans="1:31" x14ac:dyDescent="0.45">
      <c r="A87" t="s">
        <v>23</v>
      </c>
      <c r="B87">
        <v>-1.1690600000000001E-2</v>
      </c>
      <c r="C87" s="2">
        <v>9.5222222222222236E-5</v>
      </c>
      <c r="D87">
        <v>1.18595E-2</v>
      </c>
      <c r="E87" s="2">
        <v>1.105E-4</v>
      </c>
      <c r="F87" s="2">
        <f t="shared" si="2"/>
        <v>2.3550100000000001E-2</v>
      </c>
      <c r="G87" s="2">
        <f t="shared" si="3"/>
        <v>1.4343019982633442E-2</v>
      </c>
      <c r="H87">
        <v>13.9</v>
      </c>
      <c r="I87">
        <v>9.1000000000000014</v>
      </c>
      <c r="J87">
        <v>6.8000000000000007</v>
      </c>
      <c r="K87">
        <v>5.7000000000000028</v>
      </c>
      <c r="L87" s="1">
        <v>8.875</v>
      </c>
      <c r="M87" s="1">
        <v>3.6371921404658685</v>
      </c>
      <c r="N87" s="1">
        <v>1.8185960702329342</v>
      </c>
      <c r="O87" s="11">
        <f>(($D87-$B87)/$L87)*10000*(1/0.4)*10^-6*60</f>
        <v>3.9802985915492958E-3</v>
      </c>
      <c r="P87">
        <f>$O87*SQRT((G87/F87)^2+(M87/$L87)^2)</f>
        <v>2.9219005280609772E-3</v>
      </c>
      <c r="Q87">
        <f>$O87/$L87*N87</f>
        <v>8.1561187345861777E-4</v>
      </c>
      <c r="R87" s="1">
        <v>1.0595515530026873</v>
      </c>
      <c r="S87" s="3">
        <v>6.7289024498944361E-2</v>
      </c>
      <c r="V87" s="2">
        <f t="shared" si="31"/>
        <v>3.7653509757809272E-3</v>
      </c>
      <c r="W87" s="2">
        <f>$U$4*SQRT((P87/$R87)^2+(O87/$R87/$R87*S87)^2)</f>
        <v>2.7744337407792211E-3</v>
      </c>
      <c r="X87" s="2"/>
      <c r="Y87" s="4"/>
      <c r="Z87" s="4"/>
      <c r="AA87" s="4"/>
      <c r="AB87" s="6"/>
      <c r="AC87" s="6"/>
      <c r="AD87" s="6"/>
      <c r="AE87" s="6"/>
    </row>
    <row r="88" spans="1:31" x14ac:dyDescent="0.45">
      <c r="G88" s="2"/>
      <c r="O88" s="11">
        <f>AVERAGE(O84:O87)</f>
        <v>3.6138121592366092E-3</v>
      </c>
      <c r="P88">
        <f>SQRT((P85^2+P86^2+P87^2)/3)</f>
        <v>2.2129155767956106E-3</v>
      </c>
      <c r="V88" s="2"/>
    </row>
    <row r="89" spans="1:31" x14ac:dyDescent="0.45">
      <c r="G89" s="2"/>
      <c r="O89" s="11">
        <f>AVERAGE(O80,O84,O88)</f>
        <v>3.9370891428735224E-3</v>
      </c>
      <c r="P89">
        <f>SQRT((P80^2+P84^2+P88^2)/3)</f>
        <v>1.8430420339995198E-3</v>
      </c>
      <c r="V89" s="2"/>
    </row>
    <row r="90" spans="1:31" x14ac:dyDescent="0.45">
      <c r="G90" s="2"/>
      <c r="V90" s="2"/>
    </row>
    <row r="91" spans="1:31" x14ac:dyDescent="0.45">
      <c r="A91" t="s">
        <v>14</v>
      </c>
      <c r="B91">
        <v>-1.5543E-2</v>
      </c>
      <c r="C91" s="2">
        <v>4.0361111111111104E-5</v>
      </c>
      <c r="D91" s="2">
        <v>1.0039999999999999E-3</v>
      </c>
      <c r="E91" s="2">
        <v>4.0611111111111117E-5</v>
      </c>
      <c r="F91" s="2">
        <f>D91-B91</f>
        <v>1.6546999999999999E-2</v>
      </c>
      <c r="G91" s="2">
        <f>SQRT(C91+E91)</f>
        <v>8.9984566577953912E-3</v>
      </c>
      <c r="H91">
        <v>2.5999999999999979</v>
      </c>
      <c r="I91">
        <v>2.1999999999999993</v>
      </c>
      <c r="J91">
        <v>2.3000000000000007</v>
      </c>
      <c r="K91">
        <v>2.3000000000000007</v>
      </c>
      <c r="L91" s="1">
        <f>AVERAGE(H91:K91)</f>
        <v>2.3499999999999996</v>
      </c>
      <c r="M91" s="1">
        <f>STDEV(H91:K91)</f>
        <v>0.17320508075688676</v>
      </c>
      <c r="N91" s="1">
        <f>M91/SQRT(4)</f>
        <v>8.6602540378443379E-2</v>
      </c>
      <c r="O91">
        <f>(($D91-$B91)/$L91)*2500*(1/0.4*10^-6)*60</f>
        <v>2.6404787234042557E-3</v>
      </c>
      <c r="P91">
        <f>$O91*SQRT((G91/F91)^2+(M91/$L91)^2)</f>
        <v>1.4490522393390921E-3</v>
      </c>
      <c r="Q91">
        <f>$O91/$L91*N91</f>
        <v>9.7307304366824572E-5</v>
      </c>
      <c r="R91" s="1">
        <v>0.72108672351926917</v>
      </c>
      <c r="S91" s="3">
        <v>2.2779045996282474E-2</v>
      </c>
      <c r="T91" s="3">
        <v>1.3151488337836555E-2</v>
      </c>
      <c r="U91" s="3"/>
      <c r="V91" s="2">
        <f t="shared" si="31"/>
        <v>3.6703465870021024E-3</v>
      </c>
      <c r="W91" s="2">
        <f>$U$4*SQRT((P91/$R91)^2+(O91/$R91/$R91*S91)^2)</f>
        <v>2.0175615125556617E-3</v>
      </c>
      <c r="X91" s="2"/>
      <c r="Y91" s="2">
        <f>AVERAGE(V91:V93)</f>
        <v>4.7150558817755225E-3</v>
      </c>
      <c r="Z91" s="2">
        <f>SQRT((W91^2+W92^2+W93^2)/3)</f>
        <v>2.1120956276261291E-3</v>
      </c>
      <c r="AA91" s="2"/>
      <c r="AB91" s="2"/>
      <c r="AC91" s="2"/>
      <c r="AD91" s="2"/>
      <c r="AE91" s="2"/>
    </row>
    <row r="92" spans="1:31" x14ac:dyDescent="0.45">
      <c r="A92" t="s">
        <v>14</v>
      </c>
      <c r="B92">
        <v>-4.2979999999999997E-2</v>
      </c>
      <c r="C92">
        <v>5.1083333333333333E-5</v>
      </c>
      <c r="D92" s="2">
        <v>-9.2460000000000007E-3</v>
      </c>
      <c r="E92" s="2">
        <v>4.0722222222222233E-5</v>
      </c>
      <c r="F92" s="2">
        <f>D92-B92</f>
        <v>3.3734E-2</v>
      </c>
      <c r="G92" s="2">
        <f>SQRT(C92+E92)</f>
        <v>9.5815215678698735E-3</v>
      </c>
      <c r="H92">
        <v>4.54</v>
      </c>
      <c r="I92">
        <v>4.03</v>
      </c>
      <c r="J92">
        <v>3.06</v>
      </c>
      <c r="K92">
        <v>2.36</v>
      </c>
      <c r="L92" s="1">
        <f>AVERAGE(H92:K92)</f>
        <v>3.4975000000000001</v>
      </c>
      <c r="M92" s="1">
        <f>STDEV(H92:K92)</f>
        <v>0.97564935641175332</v>
      </c>
      <c r="N92" s="1">
        <f>M92/SQRT(4)</f>
        <v>0.48782467820587666</v>
      </c>
      <c r="O92">
        <f>(($D92-$B92)/$L92)*2500*(1/0.4*10^-6)*60</f>
        <v>3.6169406719085057E-3</v>
      </c>
      <c r="P92">
        <f>$O92*SQRT((G92/F92)^2+(M92/$L92)^2)</f>
        <v>1.4399354334963079E-3</v>
      </c>
      <c r="Q92">
        <f>$O92/$L92*N92</f>
        <v>5.0448403698742357E-4</v>
      </c>
      <c r="R92" s="1">
        <v>0.72108672351926917</v>
      </c>
      <c r="S92" s="3">
        <v>2.2779045996282474E-2</v>
      </c>
      <c r="V92" s="2">
        <f t="shared" si="31"/>
        <v>5.0276587093317079E-3</v>
      </c>
      <c r="W92" s="2">
        <f>$U$4*SQRT((P92/$R92)^2+(O92/$R92/$R92*S92)^2)</f>
        <v>2.0078459256318748E-3</v>
      </c>
      <c r="X92" s="2"/>
      <c r="Y92" s="2"/>
      <c r="Z92" s="2"/>
      <c r="AA92" s="2"/>
    </row>
    <row r="93" spans="1:31" x14ac:dyDescent="0.45">
      <c r="A93" t="s">
        <v>14</v>
      </c>
      <c r="B93">
        <v>-2.4660499999999998E-2</v>
      </c>
      <c r="C93">
        <v>4.2361111111111112E-5</v>
      </c>
      <c r="D93" s="2">
        <v>1.7779E-3</v>
      </c>
      <c r="E93" s="2">
        <v>3.5305555555555561E-5</v>
      </c>
      <c r="F93" s="2">
        <f>D93-B93</f>
        <v>2.6438399999999997E-2</v>
      </c>
      <c r="G93" s="2">
        <f>SQRT(C93+E93)</f>
        <v>8.8128693776015239E-3</v>
      </c>
      <c r="H93">
        <v>3.15</v>
      </c>
      <c r="I93">
        <v>2.85</v>
      </c>
      <c r="J93">
        <v>2.4700000000000002</v>
      </c>
      <c r="K93">
        <v>1.65</v>
      </c>
      <c r="L93" s="1">
        <f>AVERAGE(H93:K93)</f>
        <v>2.5300000000000002</v>
      </c>
      <c r="M93" s="1">
        <f>STDEV(H93:K93)</f>
        <v>0.64930732322991735</v>
      </c>
      <c r="N93" s="1">
        <f>M93/SQRT(4)</f>
        <v>0.32465366161495868</v>
      </c>
      <c r="O93">
        <f>(($D93-$B93)/$L93)*2500*(1/0.4*10^-6)*60</f>
        <v>3.9187351778656116E-3</v>
      </c>
      <c r="P93">
        <f>$O93*SQRT((G93/F93)^2+(M93/$L93)^2)</f>
        <v>1.6485658184597232E-3</v>
      </c>
      <c r="Q93">
        <f>$O93/$L93*N93</f>
        <v>5.0285838908830705E-4</v>
      </c>
      <c r="R93" s="1">
        <v>0.72108672351926917</v>
      </c>
      <c r="S93" s="3">
        <v>2.2779045996282474E-2</v>
      </c>
      <c r="V93" s="2">
        <f t="shared" si="31"/>
        <v>5.4471623489927576E-3</v>
      </c>
      <c r="W93" s="2">
        <f>$U$4*SQRT((P93/$R93)^2+(O93/$R93/$R93*S93)^2)</f>
        <v>2.2980087255469305E-3</v>
      </c>
      <c r="X93" s="2"/>
      <c r="Y93" s="2"/>
      <c r="Z93" s="2"/>
      <c r="AA93" s="2"/>
    </row>
    <row r="94" spans="1:31" x14ac:dyDescent="0.45">
      <c r="D94" s="2"/>
      <c r="E94" s="2"/>
      <c r="F94" s="2"/>
      <c r="G94" s="2"/>
      <c r="L94" s="1"/>
      <c r="M94" s="1"/>
      <c r="N94" s="1"/>
      <c r="O94" s="11">
        <f>AVERAGE(O90:O93)</f>
        <v>3.392051524392791E-3</v>
      </c>
      <c r="P94">
        <f>SQRT((P91^2+P92^2+P93^2)/3)</f>
        <v>1.5155786246805337E-3</v>
      </c>
      <c r="V94" s="2"/>
      <c r="W94" s="2"/>
      <c r="X94" s="2"/>
      <c r="Y94" s="2"/>
      <c r="Z94" s="2"/>
      <c r="AA94" s="2"/>
    </row>
    <row r="95" spans="1:31" x14ac:dyDescent="0.45">
      <c r="A95" t="s">
        <v>14</v>
      </c>
      <c r="B95">
        <v>6.1998399999999999E-3</v>
      </c>
      <c r="C95" s="2">
        <v>2.0438888888888891E-4</v>
      </c>
      <c r="D95">
        <v>3.4797599999999998E-2</v>
      </c>
      <c r="E95" s="2">
        <v>2.0752777777777778E-4</v>
      </c>
      <c r="F95" s="2">
        <f>D95-B95</f>
        <v>2.859776E-2</v>
      </c>
      <c r="G95" s="2">
        <f>SQRT(C95+E95)</f>
        <v>2.0295730257043391E-2</v>
      </c>
      <c r="H95">
        <v>11.600000000000009</v>
      </c>
      <c r="I95">
        <v>12.5</v>
      </c>
      <c r="J95">
        <v>10.099999999999994</v>
      </c>
      <c r="K95">
        <v>10.299999999999997</v>
      </c>
      <c r="L95" s="1">
        <v>11.125</v>
      </c>
      <c r="M95" s="1">
        <v>1.132475165290616</v>
      </c>
      <c r="N95" s="1">
        <v>0.56623758264530799</v>
      </c>
      <c r="O95" s="11">
        <f>(($D95-$B95)/$L95)*10000*(1/0.4)*10^-6*60</f>
        <v>3.8558777528089889E-3</v>
      </c>
      <c r="P95">
        <f t="shared" ref="P95:Q97" si="32">$O95/$L95*M95</f>
        <v>3.9251108273732752E-4</v>
      </c>
      <c r="Q95">
        <f t="shared" si="32"/>
        <v>1.9625554136866376E-4</v>
      </c>
      <c r="R95" s="1">
        <v>0.89448778574539911</v>
      </c>
      <c r="S95" s="3">
        <v>3.5851843684516362E-2</v>
      </c>
      <c r="V95" s="2">
        <f t="shared" ref="V95:V100" si="33">O95/$R95*$U$4</f>
        <v>4.3207659837295846E-3</v>
      </c>
      <c r="W95" s="2">
        <f>$U$4*SQRT((P95/$R95)^2+(O95/$R95/$R95*S95)^2)</f>
        <v>4.7270056019956008E-4</v>
      </c>
      <c r="X95" s="2"/>
      <c r="Y95" s="2">
        <f>AVERAGE(V95:V97)</f>
        <v>3.5975371583001621E-3</v>
      </c>
      <c r="Z95" s="2">
        <f>SQRT((W95^2+W96^2+W97^2)/3)</f>
        <v>5.6922913905840887E-4</v>
      </c>
      <c r="AA95" s="2"/>
      <c r="AB95" s="6"/>
      <c r="AC95" s="6"/>
      <c r="AD95" s="6"/>
      <c r="AE95" s="6"/>
    </row>
    <row r="96" spans="1:31" x14ac:dyDescent="0.45">
      <c r="A96" t="s">
        <v>14</v>
      </c>
      <c r="B96">
        <v>-3.5606499999999999E-2</v>
      </c>
      <c r="C96" s="2">
        <v>2.2530555555555555E-4</v>
      </c>
      <c r="D96">
        <v>3.9182399999999999E-3</v>
      </c>
      <c r="E96" s="2">
        <v>2.1958333333333332E-4</v>
      </c>
      <c r="F96" s="2">
        <f>D96-B96</f>
        <v>3.9524740000000003E-2</v>
      </c>
      <c r="G96" s="2">
        <f>SQRT(C96+E96)</f>
        <v>2.1092389359408499E-2</v>
      </c>
      <c r="H96">
        <v>27.699999999999996</v>
      </c>
      <c r="I96">
        <v>22.799999999999997</v>
      </c>
      <c r="J96">
        <v>21.900000000000006</v>
      </c>
      <c r="K96">
        <v>21.5</v>
      </c>
      <c r="L96" s="1">
        <v>23.475000000000001</v>
      </c>
      <c r="M96" s="1">
        <v>2.8686524130097246</v>
      </c>
      <c r="N96" s="1">
        <v>1.4343262065048623</v>
      </c>
      <c r="O96" s="11">
        <f>(($D96-$B96)/$L96)*10000*(1/0.4)*10^-6*60</f>
        <v>2.525542492012779E-3</v>
      </c>
      <c r="P96">
        <f t="shared" si="32"/>
        <v>3.086220900477551E-4</v>
      </c>
      <c r="Q96">
        <f t="shared" si="32"/>
        <v>1.5431104502387755E-4</v>
      </c>
      <c r="R96" s="1">
        <v>0.89448778574539911</v>
      </c>
      <c r="S96" s="3">
        <v>3.5851843684516362E-2</v>
      </c>
      <c r="V96" s="2">
        <f t="shared" si="33"/>
        <v>2.8300373584206392E-3</v>
      </c>
      <c r="W96" s="2">
        <f>$U$4*SQRT((P96/$R96)^2+(O96/$R96/$R96*S96)^2)</f>
        <v>3.6395857020655586E-4</v>
      </c>
      <c r="X96" s="2"/>
      <c r="Y96" s="4"/>
      <c r="Z96" s="4"/>
      <c r="AA96" s="4"/>
      <c r="AB96" s="6"/>
      <c r="AC96" s="6"/>
      <c r="AD96" s="6"/>
      <c r="AE96" s="6"/>
    </row>
    <row r="97" spans="1:31" x14ac:dyDescent="0.45">
      <c r="A97" t="s">
        <v>14</v>
      </c>
      <c r="B97">
        <v>-0.106723</v>
      </c>
      <c r="C97" s="2">
        <v>3.0194444444444436E-4</v>
      </c>
      <c r="D97">
        <v>-3.0294499999999999E-2</v>
      </c>
      <c r="E97" s="2">
        <v>2.7005555555555545E-4</v>
      </c>
      <c r="F97" s="2">
        <f>D97-B97</f>
        <v>7.6428499999999996E-2</v>
      </c>
      <c r="G97" s="2">
        <f>SQRT(C97+E97)</f>
        <v>2.3916521486202793E-2</v>
      </c>
      <c r="H97">
        <v>31.400000000000006</v>
      </c>
      <c r="I97">
        <v>43.600000000000023</v>
      </c>
      <c r="J97">
        <v>27</v>
      </c>
      <c r="K97">
        <v>39.099999999999994</v>
      </c>
      <c r="L97" s="1">
        <v>35.275000000000006</v>
      </c>
      <c r="M97" s="1">
        <v>7.470553303917093</v>
      </c>
      <c r="N97" s="1">
        <v>3.7352766519585465</v>
      </c>
      <c r="O97" s="11">
        <f>(($D97-$B97)/$L97)*10000*(1/0.4)*10^-6*60</f>
        <v>3.2499716513111261E-3</v>
      </c>
      <c r="P97">
        <f t="shared" si="32"/>
        <v>6.8828026810316715E-4</v>
      </c>
      <c r="Q97">
        <f t="shared" si="32"/>
        <v>3.4414013405158358E-4</v>
      </c>
      <c r="R97" s="1">
        <v>0.89448778574539911</v>
      </c>
      <c r="S97" s="3">
        <v>3.5851843684516362E-2</v>
      </c>
      <c r="V97" s="2">
        <f t="shared" si="33"/>
        <v>3.6418081327502616E-3</v>
      </c>
      <c r="W97" s="2">
        <f>$U$4*SQRT((P97/$R97)^2+(O97/$R97/$R97*S97)^2)</f>
        <v>7.8495463424312203E-4</v>
      </c>
      <c r="X97" s="2"/>
      <c r="Y97" s="4"/>
      <c r="Z97" s="4"/>
      <c r="AA97" s="4"/>
      <c r="AB97" s="6"/>
      <c r="AC97" s="6"/>
      <c r="AD97" s="6"/>
      <c r="AE97" s="6"/>
    </row>
    <row r="98" spans="1:31" x14ac:dyDescent="0.45">
      <c r="C98" s="2"/>
      <c r="E98" s="2"/>
      <c r="F98" s="2"/>
      <c r="G98" s="2"/>
      <c r="L98" s="1"/>
      <c r="M98" s="1"/>
      <c r="N98" s="1"/>
      <c r="O98" s="11">
        <f>AVERAGE(O94:O97)</f>
        <v>3.2558608551314211E-3</v>
      </c>
      <c r="P98">
        <f>SQRT((P95^2+P96^2+P97^2)/3)</f>
        <v>4.9093185949350155E-4</v>
      </c>
      <c r="V98" s="2"/>
      <c r="AB98" s="6"/>
      <c r="AC98" s="6"/>
      <c r="AD98" s="6"/>
      <c r="AE98" s="6"/>
    </row>
    <row r="99" spans="1:31" x14ac:dyDescent="0.45">
      <c r="A99" t="s">
        <v>14</v>
      </c>
      <c r="B99">
        <v>-6.31076E-2</v>
      </c>
      <c r="C99" s="2">
        <v>2.3997222222222218E-4</v>
      </c>
      <c r="D99">
        <v>-2.6356600000000001E-2</v>
      </c>
      <c r="E99" s="2">
        <v>1.8838888888888887E-4</v>
      </c>
      <c r="F99" s="2">
        <f>D99-B99</f>
        <v>3.6750999999999999E-2</v>
      </c>
      <c r="G99" s="2">
        <f>SQRT(C99+E99)</f>
        <v>2.0696886507663683E-2</v>
      </c>
      <c r="H99">
        <v>52.099999999999994</v>
      </c>
      <c r="I99">
        <v>36.500000000000014</v>
      </c>
      <c r="J99">
        <v>29</v>
      </c>
      <c r="K99">
        <v>33.099999999999994</v>
      </c>
      <c r="L99" s="1">
        <v>37.674999999999997</v>
      </c>
      <c r="M99" s="1">
        <v>10.093686145308874</v>
      </c>
      <c r="N99" s="1">
        <v>5.0468430726544371</v>
      </c>
      <c r="O99" s="11">
        <f>(($D99-$B99)/$L99)*10000*(1/0.4)*10^-6*60</f>
        <v>1.4632116788321167E-3</v>
      </c>
      <c r="P99">
        <f>$O99/$L99*M99</f>
        <v>3.9201591108910082E-4</v>
      </c>
      <c r="Q99">
        <f>$O99/$L99*N99</f>
        <v>1.9600795554455041E-4</v>
      </c>
      <c r="R99" s="1">
        <v>0.75743679939398323</v>
      </c>
      <c r="S99" s="3">
        <v>1.0271933294139834E-2</v>
      </c>
      <c r="V99" s="2">
        <f t="shared" si="33"/>
        <v>1.9363000696059082E-3</v>
      </c>
      <c r="W99" s="2">
        <f>$U$4*SQRT((P99/$R99)^2+(O99/$R99/$R99*S99)^2)</f>
        <v>5.1942741396155713E-4</v>
      </c>
      <c r="X99" s="2"/>
      <c r="Y99" s="2">
        <f>AVERAGE(V99:V100)</f>
        <v>1.6695970333119995E-3</v>
      </c>
      <c r="Z99" s="2">
        <f>SQRT((W99^2+W100^2)/2)</f>
        <v>4.5592524710973218E-4</v>
      </c>
      <c r="AA99" s="2"/>
      <c r="AB99" s="6"/>
      <c r="AC99" s="6"/>
      <c r="AD99" s="6"/>
      <c r="AE99" s="6"/>
    </row>
    <row r="100" spans="1:31" x14ac:dyDescent="0.45">
      <c r="A100" t="s">
        <v>14</v>
      </c>
      <c r="B100">
        <v>-2.4553700000000001E-2</v>
      </c>
      <c r="C100" s="2">
        <v>2.0902777777777776E-4</v>
      </c>
      <c r="D100">
        <v>-8.82843E-3</v>
      </c>
      <c r="E100" s="2">
        <v>1.5902777777777776E-4</v>
      </c>
      <c r="F100" s="2">
        <f>D100-B100</f>
        <v>1.572527E-2</v>
      </c>
      <c r="G100" s="2">
        <f>SQRT(C100+E100)</f>
        <v>1.9184774055368895E-2</v>
      </c>
      <c r="H100">
        <v>27.6</v>
      </c>
      <c r="I100">
        <v>26.800000000000011</v>
      </c>
      <c r="J100">
        <v>14.900000000000006</v>
      </c>
      <c r="K100">
        <v>19.699999999999989</v>
      </c>
      <c r="L100" s="1">
        <v>22.25</v>
      </c>
      <c r="M100" s="1">
        <v>6.0511706856332177</v>
      </c>
      <c r="N100" s="1">
        <v>3.0255853428166088</v>
      </c>
      <c r="O100" s="11">
        <f>(($D100-$B100)/$L100)*10000*(1/0.4)*10^-6*60</f>
        <v>1.0601305617977527E-3</v>
      </c>
      <c r="P100">
        <f>$O100/$L100*M100</f>
        <v>2.8831599903345777E-4</v>
      </c>
      <c r="Q100">
        <f>$O100/$L100*N100</f>
        <v>1.4415799951672889E-4</v>
      </c>
      <c r="R100" s="1">
        <v>0.75743679939398323</v>
      </c>
      <c r="S100" s="3">
        <v>1.0271933294139834E-2</v>
      </c>
      <c r="V100" s="2">
        <f t="shared" si="33"/>
        <v>1.4028939970180908E-3</v>
      </c>
      <c r="W100" s="2">
        <f>$U$4*SQRT((P100/$R100)^2+(O100/$R100/$R100*S100)^2)</f>
        <v>3.8200893121673207E-4</v>
      </c>
      <c r="X100" s="2"/>
      <c r="Y100" s="13">
        <f>AVERAGE(Y91,Y95,Y99)</f>
        <v>3.3273966911292279E-3</v>
      </c>
      <c r="Z100" s="14">
        <f>SQRT((Z91^2+Z95^2+Z99^2)/3)</f>
        <v>1.2900694534200682E-3</v>
      </c>
      <c r="AA100" s="4"/>
      <c r="AB100" s="6"/>
      <c r="AC100" s="6"/>
      <c r="AD100" s="6"/>
      <c r="AE100" s="6"/>
    </row>
    <row r="101" spans="1:31" x14ac:dyDescent="0.45">
      <c r="O101" s="11">
        <f>AVERAGE(O99:O100)</f>
        <v>1.2616711203149347E-3</v>
      </c>
      <c r="P101">
        <f>SQRT((P99^2+P100^2)/2)</f>
        <v>3.4409489232309061E-4</v>
      </c>
      <c r="V101" s="2"/>
      <c r="W101" s="2"/>
      <c r="X101" s="2"/>
      <c r="Y101" s="4"/>
      <c r="Z101" s="4"/>
      <c r="AA101" s="4"/>
    </row>
    <row r="102" spans="1:31" x14ac:dyDescent="0.45">
      <c r="O102" s="11">
        <f>AVERAGE(O94,O98,O101)</f>
        <v>2.6365278332797157E-3</v>
      </c>
      <c r="P102">
        <f>SQRT((P94^2+P98^2+P101^2)/3)</f>
        <v>9.4099131295620443E-4</v>
      </c>
      <c r="V102" s="2"/>
    </row>
    <row r="103" spans="1:31" x14ac:dyDescent="0.45">
      <c r="V103" s="2"/>
    </row>
    <row r="104" spans="1:31" x14ac:dyDescent="0.45">
      <c r="V104" s="2"/>
    </row>
    <row r="105" spans="1:31" x14ac:dyDescent="0.45">
      <c r="V105" s="2"/>
    </row>
    <row r="106" spans="1:31" x14ac:dyDescent="0.45">
      <c r="V106" s="2"/>
    </row>
    <row r="107" spans="1:31" x14ac:dyDescent="0.45">
      <c r="V107" s="2"/>
    </row>
    <row r="108" spans="1:31" x14ac:dyDescent="0.45">
      <c r="V108" s="2"/>
    </row>
    <row r="109" spans="1:31" x14ac:dyDescent="0.45">
      <c r="V109" s="2"/>
    </row>
    <row r="110" spans="1:31" x14ac:dyDescent="0.45">
      <c r="V110" s="2"/>
    </row>
    <row r="111" spans="1:31" x14ac:dyDescent="0.45">
      <c r="V111" s="2"/>
    </row>
    <row r="112" spans="1:31" x14ac:dyDescent="0.45">
      <c r="V112" s="2"/>
    </row>
    <row r="113" spans="22:22" x14ac:dyDescent="0.45">
      <c r="V113" s="2"/>
    </row>
    <row r="114" spans="22:22" x14ac:dyDescent="0.45">
      <c r="V114" s="2"/>
    </row>
  </sheetData>
  <mergeCells count="4">
    <mergeCell ref="L2:N2"/>
    <mergeCell ref="O2:Q2"/>
    <mergeCell ref="R2:T2"/>
    <mergeCell ref="H2:K2"/>
  </mergeCells>
  <phoneticPr fontId="1"/>
  <pageMargins left="0.7" right="0.7" top="0.75" bottom="0.75" header="0.3" footer="0.3"/>
  <pageSetup paperSize="9" scale="3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968A-1BAB-4AFA-8A02-813E518528FA}">
  <dimension ref="A1:I18"/>
  <sheetViews>
    <sheetView workbookViewId="0">
      <selection activeCell="E22" sqref="E22"/>
    </sheetView>
  </sheetViews>
  <sheetFormatPr defaultRowHeight="18" x14ac:dyDescent="0.45"/>
  <cols>
    <col min="1" max="1" width="16.59765625" bestFit="1" customWidth="1"/>
    <col min="6" max="9" width="13.5" bestFit="1" customWidth="1"/>
  </cols>
  <sheetData>
    <row r="1" spans="1:9" x14ac:dyDescent="0.45">
      <c r="A1" t="s">
        <v>50</v>
      </c>
    </row>
    <row r="2" spans="1:9" ht="18.600000000000001" thickBot="1" x14ac:dyDescent="0.5"/>
    <row r="3" spans="1:9" x14ac:dyDescent="0.45">
      <c r="A3" s="33" t="s">
        <v>38</v>
      </c>
      <c r="B3" s="33"/>
    </row>
    <row r="4" spans="1:9" x14ac:dyDescent="0.45">
      <c r="A4" s="30" t="s">
        <v>39</v>
      </c>
      <c r="B4" s="30">
        <v>0.41279495496824475</v>
      </c>
    </row>
    <row r="5" spans="1:9" x14ac:dyDescent="0.45">
      <c r="A5" s="30" t="s">
        <v>40</v>
      </c>
      <c r="B5" s="30">
        <v>0.17039967484723523</v>
      </c>
    </row>
    <row r="6" spans="1:9" x14ac:dyDescent="0.45">
      <c r="A6" s="30" t="s">
        <v>41</v>
      </c>
      <c r="B6" s="30">
        <v>0.15196411206606267</v>
      </c>
    </row>
    <row r="7" spans="1:9" x14ac:dyDescent="0.45">
      <c r="A7" s="30" t="s">
        <v>42</v>
      </c>
      <c r="B7" s="30">
        <v>1.2938724817141436</v>
      </c>
    </row>
    <row r="8" spans="1:9" ht="18.600000000000001" thickBot="1" x14ac:dyDescent="0.5">
      <c r="A8" s="31" t="s">
        <v>43</v>
      </c>
      <c r="B8" s="31">
        <v>47</v>
      </c>
    </row>
    <row r="10" spans="1:9" ht="18.600000000000001" thickBot="1" x14ac:dyDescent="0.5">
      <c r="A10" t="s">
        <v>46</v>
      </c>
    </row>
    <row r="11" spans="1:9" x14ac:dyDescent="0.45">
      <c r="A11" s="32"/>
      <c r="B11" s="36" t="s">
        <v>36</v>
      </c>
      <c r="C11" s="32" t="s">
        <v>47</v>
      </c>
      <c r="D11" s="32" t="s">
        <v>48</v>
      </c>
      <c r="E11" s="32" t="s">
        <v>49</v>
      </c>
      <c r="F11" s="32" t="s">
        <v>37</v>
      </c>
    </row>
    <row r="12" spans="1:9" x14ac:dyDescent="0.45">
      <c r="A12" s="30" t="s">
        <v>33</v>
      </c>
      <c r="B12" s="30">
        <v>1</v>
      </c>
      <c r="C12" s="30">
        <v>15.47374068612767</v>
      </c>
      <c r="D12" s="30">
        <v>15.47374068612767</v>
      </c>
      <c r="E12" s="30">
        <v>9.2429874189280028</v>
      </c>
      <c r="F12" s="30">
        <v>3.9317329774409444E-3</v>
      </c>
    </row>
    <row r="13" spans="1:9" x14ac:dyDescent="0.45">
      <c r="A13" s="30" t="s">
        <v>34</v>
      </c>
      <c r="B13" s="30">
        <v>45</v>
      </c>
      <c r="C13" s="30">
        <v>75.334769952170262</v>
      </c>
      <c r="D13" s="30">
        <v>1.674105998937117</v>
      </c>
      <c r="E13" s="30"/>
      <c r="F13" s="30"/>
    </row>
    <row r="14" spans="1:9" ht="18.600000000000001" thickBot="1" x14ac:dyDescent="0.5">
      <c r="A14" s="31" t="s">
        <v>35</v>
      </c>
      <c r="B14" s="31">
        <v>46</v>
      </c>
      <c r="C14" s="31">
        <v>90.808510638297932</v>
      </c>
      <c r="D14" s="31"/>
      <c r="E14" s="31"/>
      <c r="F14" s="31"/>
    </row>
    <row r="15" spans="1:9" ht="18.600000000000001" thickBot="1" x14ac:dyDescent="0.5"/>
    <row r="16" spans="1:9" x14ac:dyDescent="0.45">
      <c r="A16" s="32"/>
      <c r="B16" s="37" t="s">
        <v>32</v>
      </c>
      <c r="C16" s="32" t="s">
        <v>30</v>
      </c>
      <c r="D16" s="32" t="s">
        <v>27</v>
      </c>
      <c r="E16" s="32" t="s">
        <v>31</v>
      </c>
      <c r="F16" s="32" t="s">
        <v>44</v>
      </c>
      <c r="G16" s="32" t="s">
        <v>45</v>
      </c>
      <c r="H16" s="32" t="s">
        <v>44</v>
      </c>
      <c r="I16" s="32" t="s">
        <v>45</v>
      </c>
    </row>
    <row r="17" spans="1:9" x14ac:dyDescent="0.45">
      <c r="A17" s="30" t="s">
        <v>26</v>
      </c>
      <c r="B17" s="30">
        <v>4.0326551234271903</v>
      </c>
      <c r="C17" s="30">
        <v>0.40705529569907861</v>
      </c>
      <c r="D17" s="30">
        <v>9.9068975788694509</v>
      </c>
      <c r="E17" s="30">
        <v>6.9652794391015859E-13</v>
      </c>
      <c r="F17" s="30">
        <v>3.2128036728977811</v>
      </c>
      <c r="G17" s="30">
        <v>4.8525065739565996</v>
      </c>
      <c r="H17" s="30">
        <v>3.2128036728977811</v>
      </c>
      <c r="I17" s="30">
        <v>4.8525065739565996</v>
      </c>
    </row>
    <row r="18" spans="1:9" ht="18.600000000000001" thickBot="1" x14ac:dyDescent="0.5">
      <c r="A18" s="31" t="s">
        <v>28</v>
      </c>
      <c r="B18" s="31">
        <v>-244.89501741024995</v>
      </c>
      <c r="C18" s="31">
        <v>80.551525241177018</v>
      </c>
      <c r="D18" s="31">
        <v>-3.040228185338723</v>
      </c>
      <c r="E18" s="31">
        <v>3.9317329774409835E-3</v>
      </c>
      <c r="F18" s="31">
        <v>-407.13411737802556</v>
      </c>
      <c r="G18" s="31">
        <v>-82.655917442474333</v>
      </c>
      <c r="H18" s="31">
        <v>-407.13411737802556</v>
      </c>
      <c r="I18" s="31">
        <v>-82.655917442474333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F74D-F56E-4FF6-B1EB-FDB077AF1F82}">
  <dimension ref="A1:B47"/>
  <sheetViews>
    <sheetView workbookViewId="0">
      <selection activeCell="I23" sqref="I23"/>
    </sheetView>
  </sheetViews>
  <sheetFormatPr defaultRowHeight="18" x14ac:dyDescent="0.45"/>
  <sheetData>
    <row r="1" spans="1:2" x14ac:dyDescent="0.45">
      <c r="A1" s="28">
        <v>1</v>
      </c>
      <c r="B1" s="29">
        <v>1.049220291763125E-2</v>
      </c>
    </row>
    <row r="2" spans="1:2" x14ac:dyDescent="0.45">
      <c r="A2" s="28">
        <v>1</v>
      </c>
      <c r="B2" s="29">
        <v>8.8228383033136966E-3</v>
      </c>
    </row>
    <row r="3" spans="1:2" x14ac:dyDescent="0.45">
      <c r="A3" s="28">
        <v>1</v>
      </c>
      <c r="B3" s="29">
        <v>7.8982671323070512E-3</v>
      </c>
    </row>
    <row r="4" spans="1:2" x14ac:dyDescent="0.45">
      <c r="A4" s="28">
        <v>1</v>
      </c>
      <c r="B4" s="29">
        <v>6.8966483637165187E-3</v>
      </c>
    </row>
    <row r="5" spans="1:2" x14ac:dyDescent="0.45">
      <c r="A5" s="28">
        <v>1</v>
      </c>
      <c r="B5" s="29">
        <v>6.4857278432691214E-3</v>
      </c>
    </row>
    <row r="6" spans="1:2" x14ac:dyDescent="0.45">
      <c r="A6" s="28">
        <v>1</v>
      </c>
      <c r="B6" s="29">
        <v>5.8179819975420991E-3</v>
      </c>
    </row>
    <row r="7" spans="1:2" x14ac:dyDescent="0.45">
      <c r="A7" s="28">
        <v>1</v>
      </c>
      <c r="B7" s="29">
        <v>5.4070614770947018E-3</v>
      </c>
    </row>
    <row r="8" spans="1:2" x14ac:dyDescent="0.45">
      <c r="A8" s="28">
        <v>1</v>
      </c>
      <c r="B8" s="29">
        <v>4.4054427085041693E-3</v>
      </c>
    </row>
    <row r="9" spans="1:2" x14ac:dyDescent="0.45">
      <c r="A9" s="28">
        <v>1</v>
      </c>
      <c r="B9" s="29">
        <v>3.4808715374975243E-3</v>
      </c>
    </row>
    <row r="10" spans="1:2" x14ac:dyDescent="0.45">
      <c r="A10" s="28">
        <v>1</v>
      </c>
      <c r="B10" s="29">
        <v>1.8115069231799709E-3</v>
      </c>
    </row>
    <row r="11" spans="1:2" x14ac:dyDescent="0.45">
      <c r="A11" s="28">
        <v>2</v>
      </c>
      <c r="B11" s="28">
        <v>9.0804843352315506E-3</v>
      </c>
    </row>
    <row r="12" spans="1:2" x14ac:dyDescent="0.45">
      <c r="A12" s="28">
        <v>2</v>
      </c>
      <c r="B12" s="28">
        <v>7.6159027996071183E-3</v>
      </c>
    </row>
    <row r="13" spans="1:2" x14ac:dyDescent="0.45">
      <c r="A13" s="28">
        <v>2</v>
      </c>
      <c r="B13" s="28">
        <v>6.6151054169304221E-3</v>
      </c>
    </row>
    <row r="14" spans="1:2" x14ac:dyDescent="0.45">
      <c r="A14" s="28">
        <v>2</v>
      </c>
      <c r="B14" s="28">
        <v>5.9145472490567353E-3</v>
      </c>
    </row>
    <row r="15" spans="1:2" x14ac:dyDescent="0.45">
      <c r="A15" s="28">
        <v>2</v>
      </c>
      <c r="B15" s="29">
        <v>5.1749335735663963E-3</v>
      </c>
    </row>
    <row r="16" spans="1:2" x14ac:dyDescent="0.45">
      <c r="A16" s="28">
        <v>2</v>
      </c>
      <c r="B16" s="28">
        <v>4.4353198980760572E-3</v>
      </c>
    </row>
    <row r="17" spans="1:2" x14ac:dyDescent="0.45">
      <c r="A17" s="28">
        <v>2</v>
      </c>
      <c r="B17" s="28">
        <v>3.7347617302023704E-3</v>
      </c>
    </row>
    <row r="18" spans="1:2" x14ac:dyDescent="0.45">
      <c r="A18" s="28">
        <v>2</v>
      </c>
      <c r="B18" s="28">
        <v>2.7339643475256742E-3</v>
      </c>
    </row>
    <row r="19" spans="1:2" x14ac:dyDescent="0.45">
      <c r="A19" s="28">
        <v>2</v>
      </c>
      <c r="B19" s="28">
        <v>1.269382811901241E-3</v>
      </c>
    </row>
    <row r="20" spans="1:2" x14ac:dyDescent="0.45">
      <c r="A20" s="28">
        <v>3</v>
      </c>
      <c r="B20" s="29">
        <v>7.7597726469890065E-3</v>
      </c>
    </row>
    <row r="21" spans="1:2" x14ac:dyDescent="0.45">
      <c r="A21" s="28">
        <v>3</v>
      </c>
      <c r="B21" s="29">
        <v>6.1586400960069272E-3</v>
      </c>
    </row>
    <row r="22" spans="1:2" x14ac:dyDescent="0.45">
      <c r="A22" s="28">
        <v>3</v>
      </c>
      <c r="B22" s="29">
        <v>5.2718589908476218E-3</v>
      </c>
    </row>
    <row r="23" spans="1:2" x14ac:dyDescent="0.45">
      <c r="A23" s="28">
        <v>3</v>
      </c>
      <c r="B23" s="29">
        <v>4.311179460258374E-3</v>
      </c>
    </row>
    <row r="24" spans="1:2" x14ac:dyDescent="0.45">
      <c r="A24" s="28">
        <v>3</v>
      </c>
      <c r="B24" s="29">
        <v>3.9170545246320163E-3</v>
      </c>
    </row>
    <row r="25" spans="1:2" x14ac:dyDescent="0.45">
      <c r="A25" s="28">
        <v>3</v>
      </c>
      <c r="B25" s="29">
        <v>3.2766015042391843E-3</v>
      </c>
    </row>
    <row r="26" spans="1:2" x14ac:dyDescent="0.45">
      <c r="A26" s="28">
        <v>3</v>
      </c>
      <c r="B26" s="29">
        <v>2.8824765686128262E-3</v>
      </c>
    </row>
    <row r="27" spans="1:2" x14ac:dyDescent="0.45">
      <c r="A27" s="28">
        <v>3</v>
      </c>
      <c r="B27" s="29">
        <v>1.9217970380235785E-3</v>
      </c>
    </row>
    <row r="28" spans="1:2" x14ac:dyDescent="0.45">
      <c r="A28" s="28">
        <v>3</v>
      </c>
      <c r="B28" s="29">
        <v>1.035015932864273E-3</v>
      </c>
    </row>
    <row r="29" spans="1:2" x14ac:dyDescent="0.45">
      <c r="A29" s="28">
        <v>3</v>
      </c>
      <c r="B29" s="29">
        <v>-5.6611661811780626E-4</v>
      </c>
    </row>
    <row r="30" spans="1:2" x14ac:dyDescent="0.45">
      <c r="A30" s="28">
        <v>4</v>
      </c>
      <c r="B30" s="29">
        <v>7.1330580146224728E-3</v>
      </c>
    </row>
    <row r="31" spans="1:2" x14ac:dyDescent="0.45">
      <c r="A31" s="28">
        <v>4</v>
      </c>
      <c r="B31" s="29">
        <v>5.9186453888442955E-3</v>
      </c>
    </row>
    <row r="32" spans="1:2" x14ac:dyDescent="0.45">
      <c r="A32" s="28">
        <v>4</v>
      </c>
      <c r="B32" s="29">
        <v>5.2460476268748422E-3</v>
      </c>
    </row>
    <row r="33" spans="1:2" x14ac:dyDescent="0.45">
      <c r="A33" s="28">
        <v>4</v>
      </c>
      <c r="B33" s="29">
        <v>4.5174000514079356E-3</v>
      </c>
    </row>
    <row r="34" spans="1:2" x14ac:dyDescent="0.45">
      <c r="A34" s="28">
        <v>4</v>
      </c>
      <c r="B34" s="29">
        <v>4.2184677127548456E-3</v>
      </c>
    </row>
    <row r="35" spans="1:2" x14ac:dyDescent="0.45">
      <c r="A35" s="28">
        <v>4</v>
      </c>
      <c r="B35" s="29">
        <v>3.732702662443574E-3</v>
      </c>
    </row>
    <row r="36" spans="1:2" x14ac:dyDescent="0.45">
      <c r="A36" s="28">
        <v>4</v>
      </c>
      <c r="B36" s="29">
        <v>3.4337703237904841E-3</v>
      </c>
    </row>
    <row r="37" spans="1:2" x14ac:dyDescent="0.45">
      <c r="A37" s="28">
        <v>4</v>
      </c>
      <c r="B37" s="29">
        <v>2.7051227483235771E-3</v>
      </c>
    </row>
    <row r="38" spans="1:2" x14ac:dyDescent="0.45">
      <c r="A38" s="28">
        <v>4</v>
      </c>
      <c r="B38" s="29">
        <v>2.0325249863541246E-3</v>
      </c>
    </row>
    <row r="39" spans="1:2" x14ac:dyDescent="0.45">
      <c r="A39" s="28">
        <v>4</v>
      </c>
      <c r="B39" s="29">
        <v>8.1811236057594645E-4</v>
      </c>
    </row>
    <row r="40" spans="1:2" x14ac:dyDescent="0.45">
      <c r="A40" s="28">
        <v>5</v>
      </c>
      <c r="B40" s="29">
        <v>5.3399050384645361E-3</v>
      </c>
    </row>
    <row r="41" spans="1:2" x14ac:dyDescent="0.45">
      <c r="A41" s="28">
        <v>5</v>
      </c>
      <c r="B41" s="29">
        <v>4.4755585046730908E-3</v>
      </c>
    </row>
    <row r="42" spans="1:2" x14ac:dyDescent="0.45">
      <c r="A42" s="28">
        <v>5</v>
      </c>
      <c r="B42" s="29">
        <v>3.9595307233050636E-3</v>
      </c>
    </row>
    <row r="43" spans="1:2" x14ac:dyDescent="0.45">
      <c r="A43" s="28">
        <v>5</v>
      </c>
      <c r="B43" s="29">
        <v>3.5660595400119426E-3</v>
      </c>
    </row>
    <row r="44" spans="1:2" x14ac:dyDescent="0.45">
      <c r="A44" s="28">
        <v>5</v>
      </c>
      <c r="B44" s="29">
        <v>3.0887338422465175E-3</v>
      </c>
    </row>
    <row r="45" spans="1:2" x14ac:dyDescent="0.45">
      <c r="A45" s="28">
        <v>5</v>
      </c>
      <c r="B45" s="29">
        <v>2.6952626589533965E-3</v>
      </c>
    </row>
    <row r="46" spans="1:2" x14ac:dyDescent="0.45">
      <c r="A46" s="28">
        <v>5</v>
      </c>
      <c r="B46" s="29">
        <v>2.1792348775853693E-3</v>
      </c>
    </row>
    <row r="47" spans="1:2" x14ac:dyDescent="0.45">
      <c r="A47" s="28">
        <v>5</v>
      </c>
      <c r="B47" s="29">
        <v>1.3148883437939236E-3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Figure 2b</vt:lpstr>
      <vt:lpstr>figure2b-data source</vt:lpstr>
      <vt:lpstr>ef-ei Regression Analysis</vt:lpstr>
      <vt:lpstr>ef-ei 1-5 Sample from mean&amp;SD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Noriyo MITOME</dc:creator>
  <cp:lastModifiedBy>Noriyo MITOME</cp:lastModifiedBy>
  <cp:lastPrinted>2021-11-23T03:29:12Z</cp:lastPrinted>
  <dcterms:created xsi:type="dcterms:W3CDTF">2021-07-02T05:56:27Z</dcterms:created>
  <dcterms:modified xsi:type="dcterms:W3CDTF">2021-12-18T05:14:38Z</dcterms:modified>
</cp:coreProperties>
</file>