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Meu Drive\Thiago´s documents\Thiago\Papers\Atoh1~Phox2b\E-Life\"/>
    </mc:Choice>
  </mc:AlternateContent>
  <xr:revisionPtr revIDLastSave="0" documentId="13_ncr:1_{29799D32-1184-4E9A-AF97-979757202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j6Ye7HUrZPzzf0CQK8gleZKZ5Qdw=="/>
    </ext>
  </extLst>
</workbook>
</file>

<file path=xl/calcChain.xml><?xml version="1.0" encoding="utf-8"?>
<calcChain xmlns="http://schemas.openxmlformats.org/spreadsheetml/2006/main">
  <c r="D43" i="1" l="1"/>
  <c r="D44" i="1"/>
  <c r="C43" i="1"/>
  <c r="C44" i="1"/>
  <c r="AC5" i="1"/>
  <c r="AC6" i="1"/>
  <c r="AC7" i="1"/>
  <c r="AC8" i="1"/>
  <c r="AC9" i="1"/>
  <c r="AC10" i="1"/>
  <c r="AC11" i="1"/>
  <c r="AC12" i="1"/>
  <c r="AC13" i="1"/>
  <c r="AC14" i="1"/>
  <c r="AC15" i="1"/>
  <c r="AB5" i="1"/>
  <c r="AB6" i="1"/>
  <c r="AB7" i="1"/>
  <c r="AB8" i="1"/>
  <c r="AB9" i="1"/>
  <c r="AB10" i="1"/>
  <c r="AB11" i="1"/>
  <c r="AB12" i="1"/>
  <c r="AB13" i="1"/>
  <c r="AB14" i="1"/>
  <c r="AB15" i="1"/>
  <c r="AA5" i="1"/>
  <c r="AA6" i="1"/>
  <c r="AA7" i="1"/>
  <c r="AA8" i="1"/>
  <c r="AA9" i="1"/>
  <c r="AA10" i="1"/>
  <c r="AA11" i="1"/>
  <c r="AA12" i="1"/>
  <c r="AA13" i="1"/>
  <c r="AA14" i="1"/>
  <c r="AA15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AA4" i="1"/>
  <c r="AB4" i="1"/>
  <c r="AC4" i="1"/>
  <c r="Z4" i="1"/>
  <c r="X19" i="1"/>
  <c r="X20" i="1"/>
  <c r="W19" i="1"/>
  <c r="W20" i="1"/>
  <c r="S19" i="1"/>
  <c r="S20" i="1"/>
  <c r="R19" i="1"/>
  <c r="R20" i="1"/>
  <c r="I19" i="1"/>
  <c r="I20" i="1"/>
  <c r="N15" i="1"/>
  <c r="N19" i="1" s="1"/>
  <c r="N14" i="1"/>
  <c r="N13" i="1"/>
  <c r="N12" i="1"/>
  <c r="H19" i="1"/>
  <c r="H20" i="1"/>
  <c r="M15" i="1"/>
  <c r="M19" i="1"/>
  <c r="M20" i="1"/>
  <c r="M14" i="1"/>
  <c r="M13" i="1"/>
  <c r="M12" i="1"/>
  <c r="AB66" i="1"/>
  <c r="AB67" i="1"/>
  <c r="AJ61" i="1"/>
  <c r="AJ60" i="1"/>
  <c r="AJ59" i="1"/>
  <c r="AJ58" i="1"/>
  <c r="AJ46" i="1"/>
  <c r="AJ45" i="1"/>
  <c r="AJ44" i="1"/>
  <c r="AJ43" i="1"/>
  <c r="AA50" i="1"/>
  <c r="AD83" i="1"/>
  <c r="AC83" i="1"/>
  <c r="AB83" i="1"/>
  <c r="AA83" i="1"/>
  <c r="AD81" i="1"/>
  <c r="AC81" i="1"/>
  <c r="AC82" i="1" s="1"/>
  <c r="AB81" i="1"/>
  <c r="AA81" i="1"/>
  <c r="AA82" i="1" s="1"/>
  <c r="AD80" i="1"/>
  <c r="AC80" i="1"/>
  <c r="AB80" i="1"/>
  <c r="AA80" i="1"/>
  <c r="AF76" i="1"/>
  <c r="AE76" i="1"/>
  <c r="AF75" i="1"/>
  <c r="AE75" i="1"/>
  <c r="AG74" i="1"/>
  <c r="AH74" i="1" s="1"/>
  <c r="AI74" i="1" s="1"/>
  <c r="AJ74" i="1" s="1"/>
  <c r="AF74" i="1"/>
  <c r="AE74" i="1"/>
  <c r="AF73" i="1"/>
  <c r="AE73" i="1"/>
  <c r="AE80" i="1" s="1"/>
  <c r="AD68" i="1"/>
  <c r="AC68" i="1"/>
  <c r="AB68" i="1"/>
  <c r="AA68" i="1"/>
  <c r="AD66" i="1"/>
  <c r="AD67" i="1" s="1"/>
  <c r="AC66" i="1"/>
  <c r="AC67" i="1" s="1"/>
  <c r="AA66" i="1"/>
  <c r="AA67" i="1" s="1"/>
  <c r="AD65" i="1"/>
  <c r="AC65" i="1"/>
  <c r="AB65" i="1"/>
  <c r="AA65" i="1"/>
  <c r="AF61" i="1"/>
  <c r="AG61" i="1" s="1"/>
  <c r="AH61" i="1" s="1"/>
  <c r="AI61" i="1" s="1"/>
  <c r="AE61" i="1"/>
  <c r="AF60" i="1"/>
  <c r="AE60" i="1"/>
  <c r="AG60" i="1" s="1"/>
  <c r="AH60" i="1" s="1"/>
  <c r="AI60" i="1" s="1"/>
  <c r="AF59" i="1"/>
  <c r="AG59" i="1" s="1"/>
  <c r="AH59" i="1" s="1"/>
  <c r="AI59" i="1" s="1"/>
  <c r="AE59" i="1"/>
  <c r="AF58" i="1"/>
  <c r="AE58" i="1"/>
  <c r="AE65" i="1" s="1"/>
  <c r="AD53" i="1"/>
  <c r="AC53" i="1"/>
  <c r="AB53" i="1"/>
  <c r="AA53" i="1"/>
  <c r="AD51" i="1"/>
  <c r="AD52" i="1" s="1"/>
  <c r="AC51" i="1"/>
  <c r="AC52" i="1" s="1"/>
  <c r="AB51" i="1"/>
  <c r="AB52" i="1" s="1"/>
  <c r="AA51" i="1"/>
  <c r="AD50" i="1"/>
  <c r="AC50" i="1"/>
  <c r="AB50" i="1"/>
  <c r="AF46" i="1"/>
  <c r="AG46" i="1" s="1"/>
  <c r="AH46" i="1" s="1"/>
  <c r="AI46" i="1" s="1"/>
  <c r="AE46" i="1"/>
  <c r="AF45" i="1"/>
  <c r="AE45" i="1"/>
  <c r="AF44" i="1"/>
  <c r="AG44" i="1" s="1"/>
  <c r="AH44" i="1" s="1"/>
  <c r="AI44" i="1" s="1"/>
  <c r="AE44" i="1"/>
  <c r="AF43" i="1"/>
  <c r="AE43" i="1"/>
  <c r="AE53" i="1" s="1"/>
  <c r="AB38" i="1"/>
  <c r="AC38" i="1"/>
  <c r="AC37" i="1" s="1"/>
  <c r="AD38" i="1"/>
  <c r="AE38" i="1"/>
  <c r="AF38" i="1"/>
  <c r="AG38" i="1"/>
  <c r="AG37" i="1" s="1"/>
  <c r="AH38" i="1"/>
  <c r="AI38" i="1"/>
  <c r="AJ38" i="1"/>
  <c r="AB37" i="1"/>
  <c r="AD37" i="1"/>
  <c r="AE37" i="1"/>
  <c r="AF37" i="1"/>
  <c r="AH37" i="1"/>
  <c r="AI37" i="1"/>
  <c r="AJ37" i="1"/>
  <c r="AA38" i="1"/>
  <c r="AA37" i="1" s="1"/>
  <c r="AB36" i="1"/>
  <c r="AC36" i="1"/>
  <c r="AD36" i="1"/>
  <c r="AE36" i="1"/>
  <c r="AF36" i="1"/>
  <c r="AG36" i="1"/>
  <c r="AH36" i="1"/>
  <c r="AI36" i="1"/>
  <c r="AJ36" i="1"/>
  <c r="AA36" i="1"/>
  <c r="AB35" i="1"/>
  <c r="AC35" i="1"/>
  <c r="AD35" i="1"/>
  <c r="AE35" i="1"/>
  <c r="AF35" i="1"/>
  <c r="AG35" i="1"/>
  <c r="AH35" i="1"/>
  <c r="AI35" i="1"/>
  <c r="AJ35" i="1"/>
  <c r="AA35" i="1"/>
  <c r="AJ31" i="1"/>
  <c r="AJ29" i="1"/>
  <c r="AJ30" i="1"/>
  <c r="AJ28" i="1"/>
  <c r="AI28" i="1"/>
  <c r="AH29" i="1"/>
  <c r="AH30" i="1"/>
  <c r="AH31" i="1"/>
  <c r="AH28" i="1"/>
  <c r="AG28" i="1"/>
  <c r="AF28" i="1"/>
  <c r="AE28" i="1"/>
  <c r="AE29" i="1"/>
  <c r="AG29" i="1" s="1"/>
  <c r="AI29" i="1" s="1"/>
  <c r="AF29" i="1"/>
  <c r="AE30" i="1"/>
  <c r="AF30" i="1"/>
  <c r="AG30" i="1"/>
  <c r="AI30" i="1"/>
  <c r="AE31" i="1"/>
  <c r="AG31" i="1" s="1"/>
  <c r="AI31" i="1" s="1"/>
  <c r="AF31" i="1"/>
  <c r="N5" i="1"/>
  <c r="N6" i="1"/>
  <c r="N7" i="1"/>
  <c r="N8" i="1"/>
  <c r="N9" i="1"/>
  <c r="N10" i="1"/>
  <c r="N11" i="1"/>
  <c r="M5" i="1"/>
  <c r="M6" i="1"/>
  <c r="M7" i="1"/>
  <c r="M8" i="1"/>
  <c r="M9" i="1"/>
  <c r="M10" i="1"/>
  <c r="M11" i="1"/>
  <c r="L5" i="1"/>
  <c r="L6" i="1"/>
  <c r="L7" i="1"/>
  <c r="L8" i="1"/>
  <c r="L9" i="1"/>
  <c r="L10" i="1"/>
  <c r="L11" i="1"/>
  <c r="L12" i="1"/>
  <c r="L13" i="1"/>
  <c r="L14" i="1"/>
  <c r="L1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L4" i="1"/>
  <c r="M4" i="1"/>
  <c r="N4" i="1"/>
  <c r="K4" i="1"/>
  <c r="F28" i="1" s="1"/>
  <c r="N20" i="1" l="1"/>
  <c r="AB82" i="1"/>
  <c r="AG76" i="1"/>
  <c r="AH76" i="1" s="1"/>
  <c r="AI76" i="1" s="1"/>
  <c r="AJ76" i="1" s="1"/>
  <c r="AD82" i="1"/>
  <c r="AG75" i="1"/>
  <c r="AH75" i="1" s="1"/>
  <c r="AI75" i="1" s="1"/>
  <c r="AJ75" i="1" s="1"/>
  <c r="AF83" i="1"/>
  <c r="AF68" i="1"/>
  <c r="AG45" i="1"/>
  <c r="AH45" i="1" s="1"/>
  <c r="AI45" i="1" s="1"/>
  <c r="AF53" i="1"/>
  <c r="AA52" i="1"/>
  <c r="AF80" i="1"/>
  <c r="AG73" i="1"/>
  <c r="AE81" i="1"/>
  <c r="AE83" i="1"/>
  <c r="AF81" i="1"/>
  <c r="AF82" i="1" s="1"/>
  <c r="AF65" i="1"/>
  <c r="AG58" i="1"/>
  <c r="AE66" i="1"/>
  <c r="AE68" i="1"/>
  <c r="AF66" i="1"/>
  <c r="AF67" i="1" s="1"/>
  <c r="AE50" i="1"/>
  <c r="AF50" i="1"/>
  <c r="AG43" i="1"/>
  <c r="AE51" i="1"/>
  <c r="AE52" i="1" s="1"/>
  <c r="AF51" i="1"/>
  <c r="AF52" i="1" s="1"/>
  <c r="P41" i="1"/>
  <c r="L36" i="1"/>
  <c r="V36" i="1" s="1"/>
  <c r="L37" i="1"/>
  <c r="L38" i="1"/>
  <c r="L39" i="1"/>
  <c r="K38" i="1"/>
  <c r="K39" i="1"/>
  <c r="K40" i="1"/>
  <c r="K41" i="1"/>
  <c r="U41" i="1" s="1"/>
  <c r="G36" i="1"/>
  <c r="Q36" i="1" s="1"/>
  <c r="G37" i="1"/>
  <c r="Q37" i="1" s="1"/>
  <c r="G38" i="1"/>
  <c r="Q38" i="1" s="1"/>
  <c r="G39" i="1"/>
  <c r="Q39" i="1" s="1"/>
  <c r="F41" i="1"/>
  <c r="F38" i="1"/>
  <c r="P38" i="1" s="1"/>
  <c r="F39" i="1"/>
  <c r="P39" i="1" s="1"/>
  <c r="F40" i="1"/>
  <c r="P40" i="1" s="1"/>
  <c r="B43" i="1"/>
  <c r="B44" i="1"/>
  <c r="B46" i="1"/>
  <c r="C46" i="1"/>
  <c r="D46" i="1"/>
  <c r="A46" i="1"/>
  <c r="A43" i="1"/>
  <c r="A44" i="1"/>
  <c r="AA19" i="1"/>
  <c r="AA20" i="1"/>
  <c r="AA22" i="1"/>
  <c r="AB22" i="1"/>
  <c r="AC22" i="1"/>
  <c r="Z22" i="1"/>
  <c r="Z19" i="1"/>
  <c r="Z20" i="1"/>
  <c r="U19" i="1"/>
  <c r="V22" i="1"/>
  <c r="W22" i="1"/>
  <c r="X22" i="1"/>
  <c r="U22" i="1"/>
  <c r="V19" i="1"/>
  <c r="V20" i="1"/>
  <c r="U20" i="1"/>
  <c r="Q20" i="1"/>
  <c r="P20" i="1"/>
  <c r="P21" i="1" s="1"/>
  <c r="P19" i="1"/>
  <c r="Q19" i="1"/>
  <c r="Q22" i="1"/>
  <c r="R22" i="1"/>
  <c r="S22" i="1"/>
  <c r="P22" i="1"/>
  <c r="L20" i="1"/>
  <c r="K20" i="1"/>
  <c r="L19" i="1"/>
  <c r="K19" i="1"/>
  <c r="L22" i="1"/>
  <c r="M22" i="1"/>
  <c r="N22" i="1"/>
  <c r="K22" i="1"/>
  <c r="G22" i="1"/>
  <c r="H22" i="1"/>
  <c r="I22" i="1"/>
  <c r="F22" i="1"/>
  <c r="B19" i="1"/>
  <c r="C19" i="1"/>
  <c r="D19" i="1"/>
  <c r="B22" i="1"/>
  <c r="C22" i="1"/>
  <c r="D22" i="1"/>
  <c r="A22" i="1"/>
  <c r="A21" i="1" s="1"/>
  <c r="A20" i="1"/>
  <c r="A19" i="1"/>
  <c r="B20" i="1"/>
  <c r="K37" i="1"/>
  <c r="N35" i="1"/>
  <c r="N34" i="1"/>
  <c r="N33" i="1"/>
  <c r="N32" i="1"/>
  <c r="N31" i="1"/>
  <c r="N30" i="1"/>
  <c r="N29" i="1"/>
  <c r="M35" i="1"/>
  <c r="M34" i="1"/>
  <c r="M33" i="1"/>
  <c r="M32" i="1"/>
  <c r="M31" i="1"/>
  <c r="M30" i="1"/>
  <c r="M29" i="1"/>
  <c r="M28" i="1"/>
  <c r="N28" i="1"/>
  <c r="L35" i="1"/>
  <c r="L34" i="1"/>
  <c r="L33" i="1"/>
  <c r="L32" i="1"/>
  <c r="L31" i="1"/>
  <c r="L30" i="1"/>
  <c r="L29" i="1"/>
  <c r="L28" i="1"/>
  <c r="K36" i="1"/>
  <c r="K35" i="1"/>
  <c r="K34" i="1"/>
  <c r="K33" i="1"/>
  <c r="K32" i="1"/>
  <c r="K31" i="1"/>
  <c r="K30" i="1"/>
  <c r="K29" i="1"/>
  <c r="K28" i="1"/>
  <c r="H34" i="1"/>
  <c r="R34" i="1" s="1"/>
  <c r="H33" i="1"/>
  <c r="R33" i="1" s="1"/>
  <c r="G34" i="1"/>
  <c r="H31" i="1"/>
  <c r="F37" i="1"/>
  <c r="P37" i="1" s="1"/>
  <c r="F36" i="1"/>
  <c r="P36" i="1" s="1"/>
  <c r="F35" i="1"/>
  <c r="P35" i="1" s="1"/>
  <c r="F34" i="1"/>
  <c r="P34" i="1" s="1"/>
  <c r="F33" i="1"/>
  <c r="P33" i="1" s="1"/>
  <c r="F32" i="1"/>
  <c r="P32" i="1" s="1"/>
  <c r="F31" i="1"/>
  <c r="P31" i="1" s="1"/>
  <c r="F30" i="1"/>
  <c r="P30" i="1" s="1"/>
  <c r="F29" i="1"/>
  <c r="P29" i="1" s="1"/>
  <c r="G35" i="1"/>
  <c r="Q35" i="1" s="1"/>
  <c r="Q34" i="1"/>
  <c r="G33" i="1"/>
  <c r="Q33" i="1" s="1"/>
  <c r="G32" i="1"/>
  <c r="Q32" i="1" s="1"/>
  <c r="G31" i="1"/>
  <c r="Q31" i="1" s="1"/>
  <c r="G30" i="1"/>
  <c r="Q30" i="1" s="1"/>
  <c r="G29" i="1"/>
  <c r="G28" i="1"/>
  <c r="Q28" i="1" s="1"/>
  <c r="H35" i="1"/>
  <c r="R35" i="1" s="1"/>
  <c r="H32" i="1"/>
  <c r="H30" i="1"/>
  <c r="R30" i="1" s="1"/>
  <c r="H29" i="1"/>
  <c r="R29" i="1" s="1"/>
  <c r="H28" i="1"/>
  <c r="R28" i="1" s="1"/>
  <c r="I35" i="1"/>
  <c r="S35" i="1" s="1"/>
  <c r="I34" i="1"/>
  <c r="S34" i="1" s="1"/>
  <c r="I31" i="1"/>
  <c r="S31" i="1" s="1"/>
  <c r="I33" i="1"/>
  <c r="S33" i="1" s="1"/>
  <c r="I32" i="1"/>
  <c r="S32" i="1" s="1"/>
  <c r="I30" i="1"/>
  <c r="S30" i="1" s="1"/>
  <c r="I29" i="1"/>
  <c r="S29" i="1" s="1"/>
  <c r="I28" i="1"/>
  <c r="S28" i="1" s="1"/>
  <c r="R32" i="1"/>
  <c r="AE22" i="1"/>
  <c r="AF22" i="1"/>
  <c r="AG22" i="1"/>
  <c r="AH22" i="1"/>
  <c r="AE20" i="1"/>
  <c r="AF20" i="1"/>
  <c r="AF21" i="1" s="1"/>
  <c r="AG20" i="1"/>
  <c r="AG21" i="1" s="1"/>
  <c r="AH20" i="1"/>
  <c r="AH21" i="1" s="1"/>
  <c r="AE19" i="1"/>
  <c r="AF19" i="1"/>
  <c r="AG19" i="1"/>
  <c r="AH19" i="1"/>
  <c r="C20" i="1"/>
  <c r="D20" i="1"/>
  <c r="F20" i="1"/>
  <c r="G20" i="1"/>
  <c r="AB20" i="1"/>
  <c r="AC20" i="1"/>
  <c r="F19" i="1"/>
  <c r="G19" i="1"/>
  <c r="AB19" i="1"/>
  <c r="AC19" i="1"/>
  <c r="AE82" i="1" l="1"/>
  <c r="AH73" i="1"/>
  <c r="AG81" i="1"/>
  <c r="AG80" i="1"/>
  <c r="AG83" i="1"/>
  <c r="AE67" i="1"/>
  <c r="AH58" i="1"/>
  <c r="AG66" i="1"/>
  <c r="AG65" i="1"/>
  <c r="AG68" i="1"/>
  <c r="AH43" i="1"/>
  <c r="AG50" i="1"/>
  <c r="AG53" i="1"/>
  <c r="AG51" i="1"/>
  <c r="V39" i="1"/>
  <c r="V38" i="1"/>
  <c r="V37" i="1"/>
  <c r="U38" i="1"/>
  <c r="S44" i="1"/>
  <c r="N44" i="1"/>
  <c r="M46" i="1"/>
  <c r="L43" i="1"/>
  <c r="G46" i="1"/>
  <c r="N43" i="1"/>
  <c r="M44" i="1"/>
  <c r="L46" i="1"/>
  <c r="S43" i="1"/>
  <c r="I43" i="1"/>
  <c r="M43" i="1"/>
  <c r="L44" i="1"/>
  <c r="I44" i="1"/>
  <c r="I46" i="1"/>
  <c r="H43" i="1"/>
  <c r="N46" i="1"/>
  <c r="H44" i="1"/>
  <c r="H46" i="1"/>
  <c r="G43" i="1"/>
  <c r="G44" i="1"/>
  <c r="U40" i="1"/>
  <c r="F44" i="1"/>
  <c r="U39" i="1"/>
  <c r="U31" i="1"/>
  <c r="U35" i="1"/>
  <c r="F46" i="1"/>
  <c r="F43" i="1"/>
  <c r="K44" i="1"/>
  <c r="K21" i="1"/>
  <c r="K46" i="1"/>
  <c r="K43" i="1"/>
  <c r="V30" i="1"/>
  <c r="V34" i="1"/>
  <c r="U28" i="1"/>
  <c r="Z21" i="1"/>
  <c r="U21" i="1"/>
  <c r="F21" i="1"/>
  <c r="U29" i="1"/>
  <c r="U33" i="1"/>
  <c r="V28" i="1"/>
  <c r="V32" i="1"/>
  <c r="X32" i="1"/>
  <c r="U37" i="1"/>
  <c r="A45" i="1"/>
  <c r="U30" i="1"/>
  <c r="U34" i="1"/>
  <c r="V29" i="1"/>
  <c r="V33" i="1"/>
  <c r="W32" i="1"/>
  <c r="X29" i="1"/>
  <c r="X33" i="1"/>
  <c r="W31" i="1"/>
  <c r="W29" i="1"/>
  <c r="W33" i="1"/>
  <c r="X30" i="1"/>
  <c r="X34" i="1"/>
  <c r="X28" i="1"/>
  <c r="W28" i="1"/>
  <c r="AB21" i="1"/>
  <c r="W21" i="1"/>
  <c r="R21" i="1"/>
  <c r="M21" i="1"/>
  <c r="H21" i="1"/>
  <c r="C21" i="1"/>
  <c r="Q29" i="1"/>
  <c r="Q46" i="1" s="1"/>
  <c r="U32" i="1"/>
  <c r="U36" i="1"/>
  <c r="V31" i="1"/>
  <c r="V35" i="1"/>
  <c r="W30" i="1"/>
  <c r="W34" i="1"/>
  <c r="X31" i="1"/>
  <c r="X35" i="1"/>
  <c r="R31" i="1"/>
  <c r="R43" i="1" s="1"/>
  <c r="D45" i="1"/>
  <c r="AA21" i="1"/>
  <c r="V21" i="1"/>
  <c r="Q21" i="1"/>
  <c r="L21" i="1"/>
  <c r="G21" i="1"/>
  <c r="B21" i="1"/>
  <c r="B45" i="1"/>
  <c r="AC21" i="1"/>
  <c r="X21" i="1"/>
  <c r="S21" i="1"/>
  <c r="N21" i="1"/>
  <c r="I21" i="1"/>
  <c r="D21" i="1"/>
  <c r="W35" i="1"/>
  <c r="C45" i="1"/>
  <c r="P28" i="1"/>
  <c r="S46" i="1"/>
  <c r="AE21" i="1"/>
  <c r="AG52" i="1" l="1"/>
  <c r="AG82" i="1"/>
  <c r="AH80" i="1"/>
  <c r="AI73" i="1"/>
  <c r="AJ73" i="1" s="1"/>
  <c r="AH83" i="1"/>
  <c r="AH81" i="1"/>
  <c r="AG67" i="1"/>
  <c r="AH65" i="1"/>
  <c r="AI58" i="1"/>
  <c r="AH68" i="1"/>
  <c r="AH66" i="1"/>
  <c r="AH50" i="1"/>
  <c r="AH53" i="1"/>
  <c r="AH51" i="1"/>
  <c r="AI43" i="1"/>
  <c r="S45" i="1"/>
  <c r="R44" i="1"/>
  <c r="Q43" i="1"/>
  <c r="Q44" i="1"/>
  <c r="Q45" i="1" s="1"/>
  <c r="W46" i="1"/>
  <c r="W44" i="1"/>
  <c r="W43" i="1"/>
  <c r="X43" i="1"/>
  <c r="X46" i="1"/>
  <c r="X44" i="1"/>
  <c r="V44" i="1"/>
  <c r="V43" i="1"/>
  <c r="V46" i="1"/>
  <c r="P44" i="1"/>
  <c r="P46" i="1"/>
  <c r="P43" i="1"/>
  <c r="U46" i="1"/>
  <c r="U44" i="1"/>
  <c r="U43" i="1"/>
  <c r="G45" i="1"/>
  <c r="R46" i="1"/>
  <c r="H45" i="1"/>
  <c r="N45" i="1"/>
  <c r="M45" i="1"/>
  <c r="L45" i="1"/>
  <c r="K45" i="1"/>
  <c r="I45" i="1"/>
  <c r="F45" i="1"/>
  <c r="AH82" i="1" l="1"/>
  <c r="AH67" i="1"/>
  <c r="AH52" i="1"/>
  <c r="AI80" i="1"/>
  <c r="AI83" i="1"/>
  <c r="AI81" i="1"/>
  <c r="AI65" i="1"/>
  <c r="AI68" i="1"/>
  <c r="AI66" i="1"/>
  <c r="AI53" i="1"/>
  <c r="AI51" i="1"/>
  <c r="AI50" i="1"/>
  <c r="W45" i="1"/>
  <c r="R45" i="1"/>
  <c r="P45" i="1"/>
  <c r="V45" i="1"/>
  <c r="U45" i="1"/>
  <c r="X45" i="1"/>
  <c r="AI82" i="1" l="1"/>
  <c r="AI52" i="1"/>
  <c r="AJ83" i="1"/>
  <c r="AJ81" i="1"/>
  <c r="AJ80" i="1"/>
  <c r="AJ68" i="1"/>
  <c r="AJ66" i="1"/>
  <c r="AJ65" i="1"/>
  <c r="AI67" i="1"/>
  <c r="AJ53" i="1"/>
  <c r="AJ51" i="1"/>
  <c r="AJ50" i="1"/>
  <c r="AJ82" i="1" l="1"/>
  <c r="AJ67" i="1"/>
  <c r="AJ52" i="1"/>
</calcChain>
</file>

<file path=xl/sharedStrings.xml><?xml version="1.0" encoding="utf-8"?>
<sst xmlns="http://schemas.openxmlformats.org/spreadsheetml/2006/main" count="149" uniqueCount="35">
  <si>
    <t>Respiratory Frequency (bpm)</t>
  </si>
  <si>
    <t>VE (µl/min/g)</t>
  </si>
  <si>
    <t>Ti (s)</t>
  </si>
  <si>
    <t>Te (s)</t>
  </si>
  <si>
    <t>Cycle duration (s)</t>
  </si>
  <si>
    <t>Inter-breath interval</t>
  </si>
  <si>
    <t>Neonates</t>
  </si>
  <si>
    <t>Adults</t>
  </si>
  <si>
    <t>Control</t>
  </si>
  <si>
    <t xml:space="preserve">Phox2b∆8 </t>
  </si>
  <si>
    <t>Mean</t>
  </si>
  <si>
    <t>SD</t>
  </si>
  <si>
    <t>SEM</t>
  </si>
  <si>
    <t>n</t>
  </si>
  <si>
    <t>Apnea (numbers/min)</t>
  </si>
  <si>
    <t>Tidal volume (µl/g)</t>
  </si>
  <si>
    <t>VO2 (µl/min/g)</t>
  </si>
  <si>
    <t>VCO2 (µl/min/g)</t>
  </si>
  <si>
    <t xml:space="preserve">VE/VO2 </t>
  </si>
  <si>
    <t xml:space="preserve">VCO2/VO2 </t>
  </si>
  <si>
    <t>Para Experimento a 32°C</t>
  </si>
  <si>
    <t>Peso (kg)</t>
  </si>
  <si>
    <t>Fluxo (ml/min)</t>
  </si>
  <si>
    <t>%iO2</t>
  </si>
  <si>
    <t>%eO2</t>
  </si>
  <si>
    <t>FiO2</t>
  </si>
  <si>
    <t>FeO2</t>
  </si>
  <si>
    <t>VO2 (-CO2)</t>
  </si>
  <si>
    <t>VO2/kg</t>
  </si>
  <si>
    <t>VO2/Kg STPD</t>
  </si>
  <si>
    <t>VE/VO2</t>
  </si>
  <si>
    <t>Neonate control</t>
  </si>
  <si>
    <t>Neonate mutant</t>
  </si>
  <si>
    <t>Adult control</t>
  </si>
  <si>
    <t>Adult 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</si>
</sst>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Arial"/>
    </font>
    <font>
      <sz val="10"/>
      <color theme="1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2" fontId="12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8"/>
  <sheetViews>
    <sheetView tabSelected="1" topLeftCell="A10" workbookViewId="0">
      <selection activeCell="E41" sqref="E41"/>
    </sheetView>
  </sheetViews>
  <sheetFormatPr defaultColWidth="12.625" defaultRowHeight="15" customHeight="1" x14ac:dyDescent="0.2"/>
  <cols>
    <col min="1" max="6" width="7.625" style="13" customWidth="1"/>
    <col min="7" max="7" width="9.125" style="13" customWidth="1"/>
    <col min="8" max="8" width="7.625" style="13" customWidth="1"/>
    <col min="9" max="9" width="11" style="13" customWidth="1"/>
    <col min="10" max="27" width="7.625" style="13" customWidth="1"/>
    <col min="28" max="28" width="13.25" style="13" customWidth="1"/>
    <col min="29" max="32" width="7.625" style="13" customWidth="1"/>
    <col min="33" max="33" width="13.25" style="13" customWidth="1"/>
    <col min="34" max="34" width="11" style="13" customWidth="1"/>
    <col min="35" max="16384" width="12.625" style="13"/>
  </cols>
  <sheetData>
    <row r="1" spans="1:34" ht="14.25" customHeight="1" x14ac:dyDescent="0.25">
      <c r="A1" s="7" t="s">
        <v>0</v>
      </c>
      <c r="B1" s="22"/>
      <c r="C1" s="22"/>
      <c r="D1" s="22"/>
      <c r="F1" s="5" t="s">
        <v>15</v>
      </c>
      <c r="G1" s="22"/>
      <c r="H1" s="22"/>
      <c r="I1" s="22"/>
      <c r="K1" s="5" t="s">
        <v>1</v>
      </c>
      <c r="L1" s="22"/>
      <c r="M1" s="22"/>
      <c r="N1" s="22"/>
      <c r="P1" s="7" t="s">
        <v>2</v>
      </c>
      <c r="Q1" s="22"/>
      <c r="R1" s="22"/>
      <c r="S1" s="22"/>
      <c r="U1" s="7" t="s">
        <v>3</v>
      </c>
      <c r="V1" s="22"/>
      <c r="W1" s="22"/>
      <c r="X1" s="22"/>
      <c r="Z1" s="7" t="s">
        <v>4</v>
      </c>
      <c r="AA1" s="22"/>
      <c r="AB1" s="22"/>
      <c r="AC1" s="22"/>
      <c r="AE1" s="7" t="s">
        <v>5</v>
      </c>
      <c r="AF1" s="22"/>
      <c r="AG1" s="22"/>
      <c r="AH1" s="22"/>
    </row>
    <row r="2" spans="1:34" ht="14.25" customHeight="1" x14ac:dyDescent="0.2">
      <c r="A2" s="8" t="s">
        <v>6</v>
      </c>
      <c r="B2" s="23"/>
      <c r="C2" s="8" t="s">
        <v>7</v>
      </c>
      <c r="D2" s="23"/>
      <c r="F2" s="8" t="s">
        <v>6</v>
      </c>
      <c r="G2" s="23"/>
      <c r="H2" s="8" t="s">
        <v>7</v>
      </c>
      <c r="I2" s="23"/>
      <c r="K2" s="8" t="s">
        <v>6</v>
      </c>
      <c r="L2" s="23"/>
      <c r="M2" s="8" t="s">
        <v>7</v>
      </c>
      <c r="N2" s="23"/>
      <c r="P2" s="8" t="s">
        <v>6</v>
      </c>
      <c r="Q2" s="23"/>
      <c r="R2" s="8" t="s">
        <v>7</v>
      </c>
      <c r="S2" s="23"/>
      <c r="U2" s="8" t="s">
        <v>6</v>
      </c>
      <c r="V2" s="23"/>
      <c r="W2" s="8" t="s">
        <v>7</v>
      </c>
      <c r="X2" s="23"/>
      <c r="Z2" s="8" t="s">
        <v>6</v>
      </c>
      <c r="AA2" s="23"/>
      <c r="AB2" s="8" t="s">
        <v>7</v>
      </c>
      <c r="AC2" s="23"/>
      <c r="AE2" s="8" t="s">
        <v>6</v>
      </c>
      <c r="AF2" s="23"/>
      <c r="AG2" s="8" t="s">
        <v>7</v>
      </c>
      <c r="AH2" s="23"/>
    </row>
    <row r="3" spans="1:34" ht="14.25" customHeight="1" x14ac:dyDescent="0.2">
      <c r="A3" s="1" t="s">
        <v>8</v>
      </c>
      <c r="B3" s="1" t="s">
        <v>9</v>
      </c>
      <c r="C3" s="1" t="s">
        <v>8</v>
      </c>
      <c r="D3" s="1" t="s">
        <v>9</v>
      </c>
      <c r="F3" s="1" t="s">
        <v>8</v>
      </c>
      <c r="G3" s="1" t="s">
        <v>9</v>
      </c>
      <c r="H3" s="1" t="s">
        <v>8</v>
      </c>
      <c r="I3" s="1" t="s">
        <v>9</v>
      </c>
      <c r="K3" s="1" t="s">
        <v>8</v>
      </c>
      <c r="L3" s="1" t="s">
        <v>9</v>
      </c>
      <c r="M3" s="1" t="s">
        <v>8</v>
      </c>
      <c r="N3" s="1" t="s">
        <v>9</v>
      </c>
      <c r="P3" s="1" t="s">
        <v>8</v>
      </c>
      <c r="Q3" s="1" t="s">
        <v>9</v>
      </c>
      <c r="R3" s="1" t="s">
        <v>8</v>
      </c>
      <c r="S3" s="1" t="s">
        <v>9</v>
      </c>
      <c r="U3" s="1" t="s">
        <v>8</v>
      </c>
      <c r="V3" s="1" t="s">
        <v>9</v>
      </c>
      <c r="W3" s="1" t="s">
        <v>8</v>
      </c>
      <c r="X3" s="1" t="s">
        <v>9</v>
      </c>
      <c r="Z3" s="1" t="s">
        <v>8</v>
      </c>
      <c r="AA3" s="1" t="s">
        <v>9</v>
      </c>
      <c r="AB3" s="1" t="s">
        <v>8</v>
      </c>
      <c r="AC3" s="1" t="s">
        <v>9</v>
      </c>
      <c r="AE3" s="1" t="s">
        <v>8</v>
      </c>
      <c r="AF3" s="1" t="s">
        <v>9</v>
      </c>
      <c r="AG3" s="1" t="s">
        <v>8</v>
      </c>
      <c r="AH3" s="1" t="s">
        <v>9</v>
      </c>
    </row>
    <row r="4" spans="1:34" ht="14.25" customHeight="1" x14ac:dyDescent="0.2">
      <c r="A4" s="1">
        <v>179</v>
      </c>
      <c r="B4" s="1">
        <v>131</v>
      </c>
      <c r="C4" s="1">
        <v>213</v>
      </c>
      <c r="D4" s="1">
        <v>191</v>
      </c>
      <c r="F4" s="1">
        <v>9.4</v>
      </c>
      <c r="G4" s="1">
        <v>16</v>
      </c>
      <c r="H4" s="1">
        <v>10.404999999999999</v>
      </c>
      <c r="I4" s="1">
        <v>10.222</v>
      </c>
      <c r="K4" s="1">
        <f>A4*F4</f>
        <v>1682.6000000000001</v>
      </c>
      <c r="L4" s="1">
        <f t="shared" ref="L4:N15" si="0">B4*G4</f>
        <v>2096</v>
      </c>
      <c r="M4" s="1">
        <f t="shared" si="0"/>
        <v>2216.2649999999999</v>
      </c>
      <c r="N4" s="1">
        <f t="shared" si="0"/>
        <v>1952.4019999999998</v>
      </c>
      <c r="P4" s="1">
        <v>9.2999999999999999E-2</v>
      </c>
      <c r="Q4" s="1">
        <v>0.14499999999999999</v>
      </c>
      <c r="R4" s="1">
        <v>9.8000000000000004E-2</v>
      </c>
      <c r="S4" s="1">
        <v>9.8926100000000003E-2</v>
      </c>
      <c r="U4" s="1">
        <v>0.28199999999999997</v>
      </c>
      <c r="V4" s="1">
        <v>0.42899999999999999</v>
      </c>
      <c r="W4" s="1">
        <v>0.2</v>
      </c>
      <c r="X4" s="1">
        <v>0.23389299999999999</v>
      </c>
      <c r="Z4" s="1">
        <f>(P4+U4)</f>
        <v>0.375</v>
      </c>
      <c r="AA4" s="1">
        <f t="shared" ref="AA4:AC15" si="1">(Q4+V4)</f>
        <v>0.57399999999999995</v>
      </c>
      <c r="AB4" s="1">
        <f t="shared" si="1"/>
        <v>0.29800000000000004</v>
      </c>
      <c r="AC4" s="1">
        <f t="shared" si="1"/>
        <v>0.33281909999999998</v>
      </c>
      <c r="AE4" s="1">
        <v>0.10100000000000001</v>
      </c>
      <c r="AF4" s="1">
        <v>8.8999999999999996E-2</v>
      </c>
      <c r="AG4" s="1">
        <v>2.5000000000000001E-2</v>
      </c>
      <c r="AH4" s="1">
        <v>6.8000000000000005E-2</v>
      </c>
    </row>
    <row r="5" spans="1:34" ht="14.25" customHeight="1" x14ac:dyDescent="0.2">
      <c r="A5" s="1">
        <v>167</v>
      </c>
      <c r="B5" s="1">
        <v>185</v>
      </c>
      <c r="C5" s="1">
        <v>192</v>
      </c>
      <c r="D5" s="1">
        <v>242</v>
      </c>
      <c r="F5" s="1">
        <v>8.1999999999999993</v>
      </c>
      <c r="G5" s="1">
        <v>12</v>
      </c>
      <c r="H5" s="1">
        <v>9.5969999999999995</v>
      </c>
      <c r="I5" s="1">
        <v>12.278</v>
      </c>
      <c r="K5" s="1">
        <f t="shared" ref="K5:K17" si="2">A5*F5</f>
        <v>1369.3999999999999</v>
      </c>
      <c r="L5" s="1">
        <f t="shared" si="0"/>
        <v>2220</v>
      </c>
      <c r="M5" s="1">
        <f t="shared" si="0"/>
        <v>1842.6239999999998</v>
      </c>
      <c r="N5" s="1">
        <f t="shared" si="0"/>
        <v>2971.2760000000003</v>
      </c>
      <c r="P5" s="1">
        <v>0.1</v>
      </c>
      <c r="Q5" s="1">
        <v>0.107</v>
      </c>
      <c r="R5" s="1">
        <v>8.8999999999999996E-2</v>
      </c>
      <c r="S5" s="1">
        <v>7.2332900000000006E-2</v>
      </c>
      <c r="U5" s="1">
        <v>0.32500000000000001</v>
      </c>
      <c r="V5" s="1">
        <v>0.25900000000000001</v>
      </c>
      <c r="W5" s="1">
        <v>0.19700000000000001</v>
      </c>
      <c r="X5" s="1">
        <v>0.23794399999999999</v>
      </c>
      <c r="Z5" s="1">
        <f t="shared" ref="Z5:Z17" si="3">(P5+U5)</f>
        <v>0.42500000000000004</v>
      </c>
      <c r="AA5" s="1">
        <f t="shared" si="1"/>
        <v>0.36599999999999999</v>
      </c>
      <c r="AB5" s="1">
        <f t="shared" si="1"/>
        <v>0.28600000000000003</v>
      </c>
      <c r="AC5" s="1">
        <f t="shared" si="1"/>
        <v>0.31027689999999997</v>
      </c>
      <c r="AE5" s="1">
        <v>0.17199999999999999</v>
      </c>
      <c r="AF5" s="1">
        <v>0.251</v>
      </c>
      <c r="AG5" s="1">
        <v>2.1000000000000001E-2</v>
      </c>
      <c r="AH5" s="1">
        <v>0.13300000000000001</v>
      </c>
    </row>
    <row r="6" spans="1:34" ht="14.25" customHeight="1" x14ac:dyDescent="0.2">
      <c r="A6" s="1">
        <v>191</v>
      </c>
      <c r="B6" s="1">
        <v>132</v>
      </c>
      <c r="C6" s="1">
        <v>218</v>
      </c>
      <c r="D6" s="1">
        <v>236</v>
      </c>
      <c r="F6" s="1">
        <v>8</v>
      </c>
      <c r="G6" s="1">
        <v>11</v>
      </c>
      <c r="H6" s="1">
        <v>11.494</v>
      </c>
      <c r="I6" s="1">
        <v>15.22</v>
      </c>
      <c r="K6" s="1">
        <f t="shared" si="2"/>
        <v>1528</v>
      </c>
      <c r="L6" s="1">
        <f t="shared" si="0"/>
        <v>1452</v>
      </c>
      <c r="M6" s="1">
        <f t="shared" si="0"/>
        <v>2505.692</v>
      </c>
      <c r="N6" s="1">
        <f t="shared" si="0"/>
        <v>3591.92</v>
      </c>
      <c r="P6" s="1">
        <v>0.1</v>
      </c>
      <c r="Q6" s="1">
        <v>0.19</v>
      </c>
      <c r="R6" s="1">
        <v>0.10100000000000001</v>
      </c>
      <c r="S6" s="1">
        <v>8.6235199999999998E-2</v>
      </c>
      <c r="U6" s="1">
        <v>0.32500000000000001</v>
      </c>
      <c r="V6" s="1">
        <v>0.33</v>
      </c>
      <c r="W6" s="1">
        <v>0.217</v>
      </c>
      <c r="X6" s="1">
        <v>0.187136</v>
      </c>
      <c r="Z6" s="1">
        <f t="shared" si="3"/>
        <v>0.42500000000000004</v>
      </c>
      <c r="AA6" s="1">
        <f t="shared" si="1"/>
        <v>0.52</v>
      </c>
      <c r="AB6" s="1">
        <f t="shared" si="1"/>
        <v>0.318</v>
      </c>
      <c r="AC6" s="1">
        <f t="shared" si="1"/>
        <v>0.27337119999999998</v>
      </c>
      <c r="AE6" s="1">
        <v>6.2E-2</v>
      </c>
      <c r="AF6" s="1">
        <v>7.5999999999999998E-2</v>
      </c>
      <c r="AG6" s="1">
        <v>2.7E-2</v>
      </c>
      <c r="AH6" s="1">
        <v>5.3999999999999999E-2</v>
      </c>
    </row>
    <row r="7" spans="1:34" ht="14.25" customHeight="1" x14ac:dyDescent="0.2">
      <c r="A7" s="1">
        <v>149</v>
      </c>
      <c r="B7" s="1">
        <v>251</v>
      </c>
      <c r="C7" s="1">
        <v>216</v>
      </c>
      <c r="D7" s="1">
        <v>251</v>
      </c>
      <c r="F7" s="1">
        <v>10.8</v>
      </c>
      <c r="G7" s="1">
        <v>16</v>
      </c>
      <c r="H7" s="1">
        <v>12.238</v>
      </c>
      <c r="I7" s="1">
        <v>12.819000000000001</v>
      </c>
      <c r="K7" s="1">
        <f t="shared" si="2"/>
        <v>1609.2</v>
      </c>
      <c r="L7" s="1">
        <f t="shared" si="0"/>
        <v>4016</v>
      </c>
      <c r="M7" s="1">
        <f t="shared" si="0"/>
        <v>2643.4079999999999</v>
      </c>
      <c r="N7" s="1">
        <f t="shared" si="0"/>
        <v>3217.5690000000004</v>
      </c>
      <c r="P7" s="1">
        <v>0.108</v>
      </c>
      <c r="Q7" s="1">
        <v>8.5000000000000006E-2</v>
      </c>
      <c r="R7" s="1">
        <v>0.107</v>
      </c>
      <c r="S7" s="1">
        <v>6.9504399999999994E-2</v>
      </c>
      <c r="U7" s="1">
        <v>0.36499999999999999</v>
      </c>
      <c r="V7" s="1">
        <v>0.159</v>
      </c>
      <c r="W7" s="1">
        <v>0.17699999999999999</v>
      </c>
      <c r="X7" s="1">
        <v>0.20041500000000001</v>
      </c>
      <c r="Z7" s="1">
        <f t="shared" si="3"/>
        <v>0.47299999999999998</v>
      </c>
      <c r="AA7" s="1">
        <f t="shared" si="1"/>
        <v>0.24399999999999999</v>
      </c>
      <c r="AB7" s="1">
        <f t="shared" si="1"/>
        <v>0.28399999999999997</v>
      </c>
      <c r="AC7" s="1">
        <f t="shared" si="1"/>
        <v>0.26991940000000003</v>
      </c>
      <c r="AE7" s="1">
        <v>9.5000000000000001E-2</v>
      </c>
      <c r="AF7" s="1">
        <v>0.14599999999999999</v>
      </c>
      <c r="AG7" s="1">
        <v>2.1999999999999999E-2</v>
      </c>
      <c r="AH7" s="1">
        <v>0.11700000000000001</v>
      </c>
    </row>
    <row r="8" spans="1:34" ht="14.25" customHeight="1" x14ac:dyDescent="0.2">
      <c r="A8" s="1">
        <v>137</v>
      </c>
      <c r="B8" s="1">
        <v>241</v>
      </c>
      <c r="C8" s="1">
        <v>213</v>
      </c>
      <c r="D8" s="1">
        <v>242</v>
      </c>
      <c r="F8" s="1">
        <v>9.1999999999999993</v>
      </c>
      <c r="G8" s="1">
        <v>15</v>
      </c>
      <c r="H8" s="1">
        <v>12.153</v>
      </c>
      <c r="I8" s="1">
        <v>16.756</v>
      </c>
      <c r="K8" s="1">
        <f t="shared" si="2"/>
        <v>1260.3999999999999</v>
      </c>
      <c r="L8" s="1">
        <f t="shared" si="0"/>
        <v>3615</v>
      </c>
      <c r="M8" s="1">
        <f t="shared" si="0"/>
        <v>2588.5889999999999</v>
      </c>
      <c r="N8" s="1">
        <f t="shared" si="0"/>
        <v>4054.9520000000002</v>
      </c>
      <c r="P8" s="1">
        <v>0.161</v>
      </c>
      <c r="Q8" s="1">
        <v>8.6999999999999994E-2</v>
      </c>
      <c r="R8" s="1">
        <v>0.10100000000000001</v>
      </c>
      <c r="S8" s="1">
        <v>7.4606500000000006E-2</v>
      </c>
      <c r="U8" s="1">
        <v>0.317</v>
      </c>
      <c r="V8" s="1">
        <v>0.16700000000000001</v>
      </c>
      <c r="W8" s="1">
        <v>0.186</v>
      </c>
      <c r="X8" s="1">
        <v>0.214835</v>
      </c>
      <c r="Z8" s="1">
        <f t="shared" si="3"/>
        <v>0.47799999999999998</v>
      </c>
      <c r="AA8" s="1">
        <f t="shared" si="1"/>
        <v>0.254</v>
      </c>
      <c r="AB8" s="1">
        <f t="shared" si="1"/>
        <v>0.28700000000000003</v>
      </c>
      <c r="AC8" s="1">
        <f t="shared" si="1"/>
        <v>0.28944150000000002</v>
      </c>
      <c r="AE8" s="1">
        <v>0.09</v>
      </c>
      <c r="AF8" s="1">
        <v>3.2000000000000001E-2</v>
      </c>
      <c r="AG8" s="1">
        <v>4.2000000000000003E-2</v>
      </c>
      <c r="AH8" s="1">
        <v>0.06</v>
      </c>
    </row>
    <row r="9" spans="1:34" ht="14.25" customHeight="1" x14ac:dyDescent="0.2">
      <c r="A9" s="1">
        <v>179</v>
      </c>
      <c r="B9" s="1">
        <v>202</v>
      </c>
      <c r="C9" s="1">
        <v>233</v>
      </c>
      <c r="D9" s="1">
        <v>226</v>
      </c>
      <c r="F9" s="1">
        <v>11</v>
      </c>
      <c r="G9" s="1">
        <v>13</v>
      </c>
      <c r="H9" s="1">
        <v>17.538</v>
      </c>
      <c r="I9" s="1">
        <v>24.876999999999999</v>
      </c>
      <c r="K9" s="1">
        <f t="shared" si="2"/>
        <v>1969</v>
      </c>
      <c r="L9" s="1">
        <f t="shared" si="0"/>
        <v>2626</v>
      </c>
      <c r="M9" s="1">
        <f t="shared" si="0"/>
        <v>4086.3540000000003</v>
      </c>
      <c r="N9" s="1">
        <f t="shared" si="0"/>
        <v>5622.2019999999993</v>
      </c>
      <c r="P9" s="1">
        <v>0.12</v>
      </c>
      <c r="Q9" s="1">
        <v>9.8000000000000004E-2</v>
      </c>
      <c r="R9" s="1">
        <v>8.5000000000000006E-2</v>
      </c>
      <c r="S9" s="1">
        <v>8.5117399999999996E-2</v>
      </c>
      <c r="U9" s="1">
        <v>0.28999999999999998</v>
      </c>
      <c r="V9" s="1">
        <v>0.21779200000000001</v>
      </c>
      <c r="W9" s="1">
        <v>0.187</v>
      </c>
      <c r="X9" s="1">
        <v>0.208949</v>
      </c>
      <c r="Z9" s="1">
        <f t="shared" si="3"/>
        <v>0.41</v>
      </c>
      <c r="AA9" s="1">
        <f t="shared" si="1"/>
        <v>0.31579200000000002</v>
      </c>
      <c r="AB9" s="1">
        <f t="shared" si="1"/>
        <v>0.27200000000000002</v>
      </c>
      <c r="AC9" s="1">
        <f t="shared" si="1"/>
        <v>0.29406640000000001</v>
      </c>
      <c r="AE9" s="1">
        <v>0.113</v>
      </c>
      <c r="AF9" s="1">
        <v>3.5000000000000003E-2</v>
      </c>
      <c r="AG9" s="1">
        <v>1.7999999999999999E-2</v>
      </c>
      <c r="AH9" s="1">
        <v>9.2999999999999999E-2</v>
      </c>
    </row>
    <row r="10" spans="1:34" ht="14.25" customHeight="1" x14ac:dyDescent="0.2">
      <c r="A10" s="1">
        <v>218</v>
      </c>
      <c r="B10" s="1">
        <v>178</v>
      </c>
      <c r="C10" s="1">
        <v>245</v>
      </c>
      <c r="D10" s="1">
        <v>224</v>
      </c>
      <c r="F10" s="1">
        <v>9.6999999999999993</v>
      </c>
      <c r="G10" s="1">
        <v>9.6999999999999993</v>
      </c>
      <c r="H10" s="1">
        <v>14.432</v>
      </c>
      <c r="I10" s="1">
        <v>17.292000000000002</v>
      </c>
      <c r="K10" s="1">
        <f t="shared" si="2"/>
        <v>2114.6</v>
      </c>
      <c r="L10" s="1">
        <f t="shared" si="0"/>
        <v>1726.6</v>
      </c>
      <c r="M10" s="1">
        <f t="shared" si="0"/>
        <v>3535.84</v>
      </c>
      <c r="N10" s="1">
        <f t="shared" si="0"/>
        <v>3873.4080000000004</v>
      </c>
      <c r="P10" s="1">
        <v>9.1999999999999998E-2</v>
      </c>
      <c r="Q10" s="1">
        <v>0.10100000000000001</v>
      </c>
      <c r="R10" s="1">
        <v>8.5000000000000006E-2</v>
      </c>
      <c r="S10" s="1">
        <v>8.0286099999999999E-2</v>
      </c>
      <c r="U10" s="1">
        <v>0.19</v>
      </c>
      <c r="V10" s="1">
        <v>0.25291400000000003</v>
      </c>
      <c r="W10" s="1">
        <v>0.17100000000000001</v>
      </c>
      <c r="X10" s="1">
        <v>0.221084</v>
      </c>
      <c r="Z10" s="1">
        <f t="shared" si="3"/>
        <v>0.28200000000000003</v>
      </c>
      <c r="AA10" s="1">
        <f t="shared" si="1"/>
        <v>0.35391400000000006</v>
      </c>
      <c r="AB10" s="1">
        <f t="shared" si="1"/>
        <v>0.25600000000000001</v>
      </c>
      <c r="AC10" s="1">
        <f t="shared" si="1"/>
        <v>0.30137009999999997</v>
      </c>
      <c r="AE10" s="1">
        <v>2.1000000000000001E-2</v>
      </c>
      <c r="AF10" s="1">
        <v>0.122</v>
      </c>
      <c r="AG10" s="1">
        <v>3.3000000000000002E-2</v>
      </c>
      <c r="AH10" s="1">
        <v>9.0999999999999998E-2</v>
      </c>
    </row>
    <row r="11" spans="1:34" ht="14.25" customHeight="1" x14ac:dyDescent="0.2">
      <c r="A11" s="1">
        <v>180</v>
      </c>
      <c r="B11" s="1">
        <v>112</v>
      </c>
      <c r="C11" s="1">
        <v>214</v>
      </c>
      <c r="D11" s="1">
        <v>240</v>
      </c>
      <c r="F11" s="1">
        <v>17.8</v>
      </c>
      <c r="G11" s="1">
        <v>11</v>
      </c>
      <c r="H11" s="1">
        <v>10.366</v>
      </c>
      <c r="I11" s="1">
        <v>13.895</v>
      </c>
      <c r="K11" s="1">
        <f t="shared" si="2"/>
        <v>3204</v>
      </c>
      <c r="L11" s="1">
        <f t="shared" si="0"/>
        <v>1232</v>
      </c>
      <c r="M11" s="1">
        <f t="shared" si="0"/>
        <v>2218.3240000000001</v>
      </c>
      <c r="N11" s="1">
        <f t="shared" si="0"/>
        <v>3334.7999999999997</v>
      </c>
      <c r="P11" s="1">
        <v>0.104</v>
      </c>
      <c r="Q11" s="1">
        <v>0.10299999999999999</v>
      </c>
      <c r="R11" s="1">
        <v>9.8000000000000004E-2</v>
      </c>
      <c r="S11" s="1">
        <v>8.5444599999999996E-2</v>
      </c>
      <c r="U11" s="1">
        <v>0.24299999999999999</v>
      </c>
      <c r="V11" s="1">
        <v>0.46219900000000003</v>
      </c>
      <c r="W11" s="1">
        <v>0.19700000000000001</v>
      </c>
      <c r="X11" s="1">
        <v>0.18745600000000001</v>
      </c>
      <c r="Z11" s="1">
        <f t="shared" si="3"/>
        <v>0.34699999999999998</v>
      </c>
      <c r="AA11" s="1">
        <f t="shared" si="1"/>
        <v>0.56519900000000001</v>
      </c>
      <c r="AB11" s="1">
        <f t="shared" si="1"/>
        <v>0.29500000000000004</v>
      </c>
      <c r="AC11" s="1">
        <f t="shared" si="1"/>
        <v>0.27290059999999999</v>
      </c>
      <c r="AE11" s="1">
        <v>4.4999999999999998E-2</v>
      </c>
      <c r="AF11" s="1">
        <v>5.7000000000000002E-2</v>
      </c>
      <c r="AG11" s="1"/>
      <c r="AH11" s="1">
        <v>6.4000000000000001E-2</v>
      </c>
    </row>
    <row r="12" spans="1:34" ht="14.25" customHeight="1" x14ac:dyDescent="0.2">
      <c r="A12" s="1">
        <v>147</v>
      </c>
      <c r="B12" s="24">
        <v>185</v>
      </c>
      <c r="C12" s="24">
        <v>215</v>
      </c>
      <c r="D12" s="24">
        <v>189</v>
      </c>
      <c r="F12" s="1">
        <v>9.4</v>
      </c>
      <c r="G12" s="24">
        <v>10.1</v>
      </c>
      <c r="H12" s="24">
        <v>12.3</v>
      </c>
      <c r="I12" s="1">
        <v>15.6</v>
      </c>
      <c r="K12" s="1">
        <f t="shared" si="2"/>
        <v>1381.8</v>
      </c>
      <c r="L12" s="24">
        <f t="shared" si="0"/>
        <v>1868.5</v>
      </c>
      <c r="M12" s="24">
        <f t="shared" si="0"/>
        <v>2644.5</v>
      </c>
      <c r="N12" s="24">
        <f t="shared" si="0"/>
        <v>2948.4</v>
      </c>
      <c r="P12" s="1">
        <v>0.114</v>
      </c>
      <c r="Q12" s="24">
        <v>0.106</v>
      </c>
      <c r="R12" s="24">
        <v>9.7000000000000003E-2</v>
      </c>
      <c r="S12" s="24">
        <v>8.6999999999999994E-2</v>
      </c>
      <c r="U12" s="1">
        <v>0.31900000000000001</v>
      </c>
      <c r="V12" s="24">
        <v>0.48</v>
      </c>
      <c r="W12" s="24">
        <v>0.17799999999999999</v>
      </c>
      <c r="X12" s="24">
        <v>0.189</v>
      </c>
      <c r="Z12" s="1">
        <f t="shared" si="3"/>
        <v>0.433</v>
      </c>
      <c r="AA12" s="24">
        <f t="shared" si="1"/>
        <v>0.58599999999999997</v>
      </c>
      <c r="AB12" s="24">
        <f t="shared" si="1"/>
        <v>0.27500000000000002</v>
      </c>
      <c r="AC12" s="24">
        <f t="shared" si="1"/>
        <v>0.27600000000000002</v>
      </c>
      <c r="AE12" s="1">
        <v>4.2999999999999997E-2</v>
      </c>
      <c r="AF12" s="1">
        <v>5.0999999999999997E-2</v>
      </c>
      <c r="AG12" s="1"/>
      <c r="AH12" s="1"/>
    </row>
    <row r="13" spans="1:34" ht="14.25" customHeight="1" x14ac:dyDescent="0.2">
      <c r="A13" s="1">
        <v>98</v>
      </c>
      <c r="B13" s="24">
        <v>173</v>
      </c>
      <c r="C13" s="24">
        <v>219</v>
      </c>
      <c r="D13" s="24">
        <v>199</v>
      </c>
      <c r="F13" s="1">
        <v>7.5</v>
      </c>
      <c r="G13" s="24">
        <v>9.6999999999999993</v>
      </c>
      <c r="H13" s="24">
        <v>11.4</v>
      </c>
      <c r="I13" s="1">
        <v>12.3</v>
      </c>
      <c r="K13" s="1">
        <f t="shared" si="2"/>
        <v>735</v>
      </c>
      <c r="L13" s="24">
        <f t="shared" si="0"/>
        <v>1678.1</v>
      </c>
      <c r="M13" s="24">
        <f t="shared" si="0"/>
        <v>2496.6</v>
      </c>
      <c r="N13" s="24">
        <f t="shared" si="0"/>
        <v>2447.7000000000003</v>
      </c>
      <c r="P13" s="1">
        <v>0.214</v>
      </c>
      <c r="Q13" s="24">
        <v>8.6999999999999994E-2</v>
      </c>
      <c r="R13" s="24">
        <v>8.8999999999999996E-2</v>
      </c>
      <c r="S13" s="24">
        <v>7.4999999999999997E-2</v>
      </c>
      <c r="U13" s="1">
        <v>0.53300000000000003</v>
      </c>
      <c r="V13" s="24">
        <v>0.55000000000000004</v>
      </c>
      <c r="W13" s="24">
        <v>0.184</v>
      </c>
      <c r="X13" s="24">
        <v>0.19500000000000001</v>
      </c>
      <c r="Z13" s="1">
        <f t="shared" si="3"/>
        <v>0.747</v>
      </c>
      <c r="AA13" s="24">
        <f t="shared" si="1"/>
        <v>0.63700000000000001</v>
      </c>
      <c r="AB13" s="24">
        <f t="shared" si="1"/>
        <v>0.27300000000000002</v>
      </c>
      <c r="AC13" s="24">
        <f t="shared" si="1"/>
        <v>0.27</v>
      </c>
    </row>
    <row r="14" spans="1:34" ht="14.25" customHeight="1" x14ac:dyDescent="0.2">
      <c r="A14" s="24">
        <v>165</v>
      </c>
      <c r="B14" s="24">
        <v>159</v>
      </c>
      <c r="C14" s="24">
        <v>222</v>
      </c>
      <c r="D14" s="24">
        <v>218</v>
      </c>
      <c r="F14" s="24">
        <v>8.3000000000000007</v>
      </c>
      <c r="G14" s="24">
        <v>8.9</v>
      </c>
      <c r="H14" s="24">
        <v>10.9</v>
      </c>
      <c r="I14" s="1">
        <v>11.6</v>
      </c>
      <c r="K14" s="24">
        <f t="shared" si="2"/>
        <v>1369.5000000000002</v>
      </c>
      <c r="L14" s="24">
        <f t="shared" si="0"/>
        <v>1415.1000000000001</v>
      </c>
      <c r="M14" s="24">
        <f t="shared" si="0"/>
        <v>2419.8000000000002</v>
      </c>
      <c r="N14" s="24">
        <f t="shared" si="0"/>
        <v>2528.7999999999997</v>
      </c>
      <c r="P14" s="24">
        <v>0.15</v>
      </c>
      <c r="Q14" s="24">
        <v>9.9000000000000005E-2</v>
      </c>
      <c r="R14" s="24">
        <v>0.10199999999999999</v>
      </c>
      <c r="S14" s="24">
        <v>8.2000000000000003E-2</v>
      </c>
      <c r="U14" s="24">
        <v>0.52</v>
      </c>
      <c r="V14" s="24">
        <v>0.41199999999999998</v>
      </c>
      <c r="W14" s="24">
        <v>1.9599999999999999E-2</v>
      </c>
      <c r="X14" s="24">
        <v>1.8499999999999999E-2</v>
      </c>
      <c r="Z14" s="24">
        <f t="shared" si="3"/>
        <v>0.67</v>
      </c>
      <c r="AA14" s="24">
        <f t="shared" si="1"/>
        <v>0.51100000000000001</v>
      </c>
      <c r="AB14" s="24">
        <f t="shared" si="1"/>
        <v>0.12159999999999999</v>
      </c>
      <c r="AC14" s="24">
        <f t="shared" si="1"/>
        <v>0.10050000000000001</v>
      </c>
    </row>
    <row r="15" spans="1:34" ht="14.25" customHeight="1" x14ac:dyDescent="0.2">
      <c r="A15" s="24">
        <v>144</v>
      </c>
      <c r="B15" s="24">
        <v>168</v>
      </c>
      <c r="C15" s="24">
        <v>196</v>
      </c>
      <c r="D15" s="24">
        <v>219</v>
      </c>
      <c r="F15" s="24">
        <v>9.4</v>
      </c>
      <c r="G15" s="24">
        <v>8.8000000000000007</v>
      </c>
      <c r="H15" s="24">
        <v>11.4</v>
      </c>
      <c r="I15" s="1">
        <v>15.2</v>
      </c>
      <c r="K15" s="24">
        <f t="shared" si="2"/>
        <v>1353.6000000000001</v>
      </c>
      <c r="L15" s="24">
        <f t="shared" si="0"/>
        <v>1478.4</v>
      </c>
      <c r="M15" s="24">
        <f t="shared" si="0"/>
        <v>2234.4</v>
      </c>
      <c r="N15" s="24">
        <f t="shared" si="0"/>
        <v>3328.7999999999997</v>
      </c>
      <c r="P15" s="24">
        <v>0.123</v>
      </c>
      <c r="Q15" s="24">
        <v>0.11899999999999999</v>
      </c>
      <c r="R15" s="24">
        <v>0.10299999999999999</v>
      </c>
      <c r="S15" s="24">
        <v>7.9000000000000001E-2</v>
      </c>
      <c r="U15" s="24">
        <v>0.48</v>
      </c>
      <c r="V15" s="24">
        <v>0.38</v>
      </c>
      <c r="W15" s="24">
        <v>1.8800000000000001E-2</v>
      </c>
      <c r="X15" s="24">
        <v>1.8700000000000001E-2</v>
      </c>
      <c r="Z15" s="24">
        <f t="shared" si="3"/>
        <v>0.60299999999999998</v>
      </c>
      <c r="AA15" s="24">
        <f t="shared" si="1"/>
        <v>0.499</v>
      </c>
      <c r="AB15" s="24">
        <f t="shared" si="1"/>
        <v>0.12179999999999999</v>
      </c>
      <c r="AC15" s="24">
        <f t="shared" si="1"/>
        <v>9.7700000000000009E-2</v>
      </c>
    </row>
    <row r="16" spans="1:34" ht="14.25" customHeight="1" x14ac:dyDescent="0.2">
      <c r="A16" s="24">
        <v>162</v>
      </c>
      <c r="B16" s="1"/>
      <c r="C16" s="1"/>
      <c r="D16" s="1"/>
      <c r="F16" s="24">
        <v>8.6</v>
      </c>
      <c r="G16" s="1"/>
      <c r="H16" s="1"/>
      <c r="I16" s="1"/>
      <c r="K16" s="24">
        <f t="shared" si="2"/>
        <v>1393.2</v>
      </c>
      <c r="L16" s="1"/>
      <c r="M16" s="1"/>
      <c r="N16" s="1"/>
      <c r="P16" s="24">
        <v>0.11600000000000001</v>
      </c>
      <c r="Q16" s="1"/>
      <c r="R16" s="1"/>
      <c r="S16" s="1"/>
      <c r="U16" s="24">
        <v>0.46</v>
      </c>
      <c r="V16" s="1"/>
      <c r="W16" s="1"/>
      <c r="X16" s="1"/>
      <c r="Z16" s="24">
        <f t="shared" si="3"/>
        <v>0.57600000000000007</v>
      </c>
      <c r="AA16" s="1"/>
      <c r="AB16" s="1"/>
      <c r="AC16" s="1"/>
    </row>
    <row r="17" spans="1:36" ht="14.25" customHeight="1" x14ac:dyDescent="0.2">
      <c r="A17" s="24">
        <v>177</v>
      </c>
      <c r="B17" s="1"/>
      <c r="F17" s="24">
        <v>8.1999999999999993</v>
      </c>
      <c r="K17" s="24">
        <f t="shared" si="2"/>
        <v>1451.3999999999999</v>
      </c>
      <c r="P17" s="24">
        <v>0.114</v>
      </c>
      <c r="U17" s="24">
        <v>0.46</v>
      </c>
      <c r="Z17" s="24">
        <f t="shared" si="3"/>
        <v>0.57400000000000007</v>
      </c>
    </row>
    <row r="18" spans="1:36" ht="14.25" customHeight="1" x14ac:dyDescent="0.2"/>
    <row r="19" spans="1:36" ht="14.25" customHeight="1" x14ac:dyDescent="0.2">
      <c r="A19" s="3">
        <f>AVERAGE(A4:A17)</f>
        <v>163.78571428571428</v>
      </c>
      <c r="B19" s="3">
        <f t="shared" ref="B19:D19" si="4">AVERAGE(B4:B17)</f>
        <v>176.41666666666666</v>
      </c>
      <c r="C19" s="3">
        <f t="shared" si="4"/>
        <v>216.33333333333334</v>
      </c>
      <c r="D19" s="3">
        <f t="shared" si="4"/>
        <v>223.08333333333334</v>
      </c>
      <c r="E19" s="3"/>
      <c r="F19" s="3">
        <f t="shared" ref="B19:AH19" si="5">AVERAGE(F4:F13)</f>
        <v>10.100000000000001</v>
      </c>
      <c r="G19" s="3">
        <f t="shared" si="5"/>
        <v>12.35</v>
      </c>
      <c r="H19" s="3">
        <f>AVERAGE(H4:H15)</f>
        <v>12.018583333333334</v>
      </c>
      <c r="I19" s="3">
        <f>AVERAGE(I4:I15)</f>
        <v>14.83825</v>
      </c>
      <c r="J19" s="3"/>
      <c r="K19" s="3">
        <f>AVERAGE(K4:K17)</f>
        <v>1601.55</v>
      </c>
      <c r="L19" s="3">
        <f>AVERAGE(L4:L15)</f>
        <v>2118.6416666666664</v>
      </c>
      <c r="M19" s="3">
        <f>AVERAGE(M4:M15)</f>
        <v>2619.3663333333334</v>
      </c>
      <c r="N19" s="3">
        <f>AVERAGE(N4:N15)</f>
        <v>3322.6857500000006</v>
      </c>
      <c r="O19" s="3"/>
      <c r="P19" s="3">
        <f>AVERAGE(P4:P17)</f>
        <v>0.12207142857142858</v>
      </c>
      <c r="Q19" s="3">
        <f>AVERAGE(Q4:Q15)</f>
        <v>0.11058333333333333</v>
      </c>
      <c r="R19" s="3">
        <f>AVERAGE(R4:R15)</f>
        <v>9.6249999999999988E-2</v>
      </c>
      <c r="S19" s="3">
        <f>AVERAGE(S4:S15)</f>
        <v>8.1287766666666664E-2</v>
      </c>
      <c r="T19" s="3"/>
      <c r="U19" s="3">
        <f>AVERAGE(U4:U17)</f>
        <v>0.36492857142857144</v>
      </c>
      <c r="V19" s="3">
        <f>AVERAGE(V4:V15)</f>
        <v>0.34157541666666669</v>
      </c>
      <c r="W19" s="3">
        <f>AVERAGE(W4:W15)</f>
        <v>0.16103333333333333</v>
      </c>
      <c r="X19" s="3">
        <f>AVERAGE(X4:X15)</f>
        <v>0.17607600000000001</v>
      </c>
      <c r="Y19" s="3"/>
      <c r="Z19" s="3">
        <f>AVERAGE(Z4:Z17)</f>
        <v>0.48699999999999999</v>
      </c>
      <c r="AA19" s="3">
        <f>AVERAGE(AA4:AA15)</f>
        <v>0.45215874999999994</v>
      </c>
      <c r="AB19" s="3">
        <f t="shared" si="5"/>
        <v>0.28440000000000004</v>
      </c>
      <c r="AC19" s="3">
        <f t="shared" si="5"/>
        <v>0.28901652</v>
      </c>
      <c r="AD19" s="3"/>
      <c r="AE19" s="3">
        <f t="shared" si="5"/>
        <v>8.2444444444444459E-2</v>
      </c>
      <c r="AF19" s="3">
        <f t="shared" si="5"/>
        <v>9.5444444444444457E-2</v>
      </c>
      <c r="AG19" s="3">
        <f t="shared" si="5"/>
        <v>2.6857142857142857E-2</v>
      </c>
      <c r="AH19" s="3">
        <f t="shared" si="5"/>
        <v>8.4999999999999992E-2</v>
      </c>
      <c r="AI19" s="2" t="s">
        <v>10</v>
      </c>
    </row>
    <row r="20" spans="1:36" ht="14.25" customHeight="1" x14ac:dyDescent="0.2">
      <c r="A20" s="3">
        <f>STDEV(A4:A17)</f>
        <v>28.46368420779924</v>
      </c>
      <c r="B20" s="3">
        <f>STDEV(B4:B17)</f>
        <v>41.679422289953159</v>
      </c>
      <c r="C20" s="3">
        <f t="shared" ref="B20:AH20" si="6">STDEV(C4:C13)</f>
        <v>13.782436488355589</v>
      </c>
      <c r="D20" s="3">
        <f t="shared" si="6"/>
        <v>22.900752049756893</v>
      </c>
      <c r="E20" s="3"/>
      <c r="F20" s="3">
        <f t="shared" si="6"/>
        <v>2.9310597249307424</v>
      </c>
      <c r="G20" s="3">
        <f t="shared" si="6"/>
        <v>2.5158387159045859</v>
      </c>
      <c r="H20" s="3">
        <f>STDEV(H4:H15)</f>
        <v>2.1303948186505965</v>
      </c>
      <c r="I20" s="3">
        <f>STDEV(I4:I15)</f>
        <v>3.8268516165974478</v>
      </c>
      <c r="J20" s="3"/>
      <c r="K20" s="3">
        <f>STDEV(K4:K17)</f>
        <v>563.56557839691209</v>
      </c>
      <c r="L20" s="3">
        <f>STDEV(L4:L15)</f>
        <v>886.92650352299017</v>
      </c>
      <c r="M20" s="3">
        <f>STDEV(M4:M15)</f>
        <v>613.24822642449487</v>
      </c>
      <c r="N20" s="3">
        <f>STDEV(N4:N15)</f>
        <v>941.37787942009334</v>
      </c>
      <c r="O20" s="3"/>
      <c r="P20" s="3">
        <f>STDEV(P4:P17)</f>
        <v>3.3011569733409164E-2</v>
      </c>
      <c r="Q20" s="3">
        <f>STDEV(Q4:Q15)</f>
        <v>2.9855586757021879E-2</v>
      </c>
      <c r="R20" s="3">
        <f>STDEV(R4:R15)</f>
        <v>7.4116002443344285E-3</v>
      </c>
      <c r="S20" s="3">
        <f>STDEV(S4:S15)</f>
        <v>8.0346977854952595E-3</v>
      </c>
      <c r="T20" s="3"/>
      <c r="U20" s="3">
        <f>STDEV(U4:U17)</f>
        <v>0.10711852837338251</v>
      </c>
      <c r="V20" s="3">
        <f>STDEV(V4:V15)</f>
        <v>0.1297471593694712</v>
      </c>
      <c r="W20" s="3">
        <f>STDEV(W4:W15)</f>
        <v>6.737870358629422E-2</v>
      </c>
      <c r="X20" s="3">
        <f>STDEV(X4:X15)</f>
        <v>7.5525933422055269E-2</v>
      </c>
      <c r="Y20" s="3"/>
      <c r="Z20" s="3">
        <f>STDEV(Z4:Z17)</f>
        <v>0.13038817785012929</v>
      </c>
      <c r="AA20" s="3">
        <f>STDEV(AA4:AA15)</f>
        <v>0.13758640057077873</v>
      </c>
      <c r="AB20" s="3">
        <f t="shared" si="6"/>
        <v>1.7043734593359786E-2</v>
      </c>
      <c r="AC20" s="3">
        <f t="shared" si="6"/>
        <v>2.0947604850345577E-2</v>
      </c>
      <c r="AD20" s="3"/>
      <c r="AE20" s="3">
        <f t="shared" si="6"/>
        <v>4.5640199142617417E-2</v>
      </c>
      <c r="AF20" s="3">
        <f t="shared" si="6"/>
        <v>6.9830349976051073E-2</v>
      </c>
      <c r="AG20" s="3">
        <f t="shared" si="6"/>
        <v>8.2346538366542127E-3</v>
      </c>
      <c r="AH20" s="3">
        <f t="shared" si="6"/>
        <v>2.864561796455839E-2</v>
      </c>
      <c r="AI20" s="2" t="s">
        <v>11</v>
      </c>
    </row>
    <row r="21" spans="1:36" ht="14.25" customHeight="1" x14ac:dyDescent="0.2">
      <c r="A21" s="3">
        <f>A20/SQRT(A22)</f>
        <v>7.6072395907794865</v>
      </c>
      <c r="B21" s="3">
        <f t="shared" ref="B21:AC21" si="7">B20/SQRT(B22)</f>
        <v>12.031812839386273</v>
      </c>
      <c r="C21" s="3">
        <f t="shared" si="7"/>
        <v>3.9786467083205102</v>
      </c>
      <c r="D21" s="3">
        <f t="shared" si="7"/>
        <v>6.6108776802860083</v>
      </c>
      <c r="E21" s="3"/>
      <c r="F21" s="3">
        <f t="shared" si="7"/>
        <v>0.78335866220447925</v>
      </c>
      <c r="G21" s="3">
        <f t="shared" si="7"/>
        <v>0.72626007993259756</v>
      </c>
      <c r="H21" s="3">
        <f t="shared" si="7"/>
        <v>0.61499201101405299</v>
      </c>
      <c r="I21" s="3">
        <f t="shared" si="7"/>
        <v>1.1047169054956456</v>
      </c>
      <c r="J21" s="3"/>
      <c r="K21" s="3">
        <f>K20/SQRT(K22)</f>
        <v>150.61923638145248</v>
      </c>
      <c r="L21" s="3">
        <f t="shared" si="7"/>
        <v>256.03362778020596</v>
      </c>
      <c r="M21" s="3">
        <f t="shared" si="7"/>
        <v>177.02951430312135</v>
      </c>
      <c r="N21" s="3">
        <f t="shared" si="7"/>
        <v>271.75238604617499</v>
      </c>
      <c r="O21" s="3"/>
      <c r="P21" s="3">
        <f>P20/SQRT(P22)</f>
        <v>8.8227131244295338E-3</v>
      </c>
      <c r="Q21" s="3">
        <f t="shared" si="7"/>
        <v>8.6185655254904046E-3</v>
      </c>
      <c r="R21" s="3">
        <f t="shared" si="7"/>
        <v>2.1395446980961895E-3</v>
      </c>
      <c r="S21" s="3">
        <f t="shared" si="7"/>
        <v>2.3194174646564893E-3</v>
      </c>
      <c r="T21" s="3"/>
      <c r="U21" s="3">
        <f t="shared" si="7"/>
        <v>2.862863092490148E-2</v>
      </c>
      <c r="V21" s="3">
        <f t="shared" si="7"/>
        <v>3.7454778694276741E-2</v>
      </c>
      <c r="W21" s="3">
        <f t="shared" si="7"/>
        <v>1.9450556326597486E-2</v>
      </c>
      <c r="X21" s="3">
        <f t="shared" si="7"/>
        <v>2.1802458996010684E-2</v>
      </c>
      <c r="Y21" s="3"/>
      <c r="Z21" s="3">
        <f t="shared" si="7"/>
        <v>3.4847706342923619E-2</v>
      </c>
      <c r="AA21" s="3">
        <f t="shared" si="7"/>
        <v>3.971777270318539E-2</v>
      </c>
      <c r="AB21" s="3">
        <f t="shared" si="7"/>
        <v>4.9201023777364046E-3</v>
      </c>
      <c r="AC21" s="3">
        <f t="shared" si="7"/>
        <v>6.0470526496124652E-3</v>
      </c>
      <c r="AD21" s="3"/>
      <c r="AE21" s="3">
        <f t="shared" ref="AE21" si="8">AE20/SQRT(AE22)</f>
        <v>1.5213399714205806E-2</v>
      </c>
      <c r="AF21" s="3">
        <f t="shared" ref="AF21" si="9">AF20/SQRT(AF22)</f>
        <v>2.3276783325350357E-2</v>
      </c>
      <c r="AG21" s="3">
        <f t="shared" ref="AG21" si="10">AG20/SQRT(AG22)</f>
        <v>3.1124065977844203E-3</v>
      </c>
      <c r="AH21" s="3">
        <f t="shared" ref="AH21" si="11">AH20/SQRT(AH22)</f>
        <v>1.0127755357009211E-2</v>
      </c>
      <c r="AI21" s="2" t="s">
        <v>12</v>
      </c>
    </row>
    <row r="22" spans="1:36" ht="14.25" customHeight="1" x14ac:dyDescent="0.2">
      <c r="A22" s="3">
        <f>COUNT(A4:A17)</f>
        <v>14</v>
      </c>
      <c r="B22" s="3">
        <f>COUNT(B4:B17)</f>
        <v>12</v>
      </c>
      <c r="C22" s="3">
        <f t="shared" ref="B22:D22" si="12">COUNT(C4:C17)</f>
        <v>12</v>
      </c>
      <c r="D22" s="3">
        <f t="shared" si="12"/>
        <v>12</v>
      </c>
      <c r="E22" s="3"/>
      <c r="F22" s="3">
        <f>COUNT(F4:F17)</f>
        <v>14</v>
      </c>
      <c r="G22" s="3">
        <f t="shared" ref="G22:I22" si="13">COUNT(G4:G17)</f>
        <v>12</v>
      </c>
      <c r="H22" s="3">
        <f t="shared" si="13"/>
        <v>12</v>
      </c>
      <c r="I22" s="3">
        <f t="shared" si="13"/>
        <v>12</v>
      </c>
      <c r="J22" s="3"/>
      <c r="K22" s="3">
        <f>COUNT(K4:K17)</f>
        <v>14</v>
      </c>
      <c r="L22" s="3">
        <f t="shared" ref="L22:N22" si="14">COUNT(L4:L17)</f>
        <v>12</v>
      </c>
      <c r="M22" s="3">
        <f t="shared" si="14"/>
        <v>12</v>
      </c>
      <c r="N22" s="3">
        <f t="shared" si="14"/>
        <v>12</v>
      </c>
      <c r="O22" s="3"/>
      <c r="P22" s="3">
        <f>COUNT(P4:P17)</f>
        <v>14</v>
      </c>
      <c r="Q22" s="3">
        <f t="shared" ref="Q22:S22" si="15">COUNT(Q4:Q17)</f>
        <v>12</v>
      </c>
      <c r="R22" s="3">
        <f t="shared" si="15"/>
        <v>12</v>
      </c>
      <c r="S22" s="3">
        <f t="shared" si="15"/>
        <v>12</v>
      </c>
      <c r="T22" s="3"/>
      <c r="U22" s="3">
        <f>COUNT(U4:U17)</f>
        <v>14</v>
      </c>
      <c r="V22" s="3">
        <f t="shared" ref="V22:X22" si="16">COUNT(V4:V17)</f>
        <v>12</v>
      </c>
      <c r="W22" s="3">
        <f t="shared" si="16"/>
        <v>12</v>
      </c>
      <c r="X22" s="3">
        <f t="shared" si="16"/>
        <v>12</v>
      </c>
      <c r="Y22" s="3"/>
      <c r="Z22" s="3">
        <f>COUNT(Z4:Z17)</f>
        <v>14</v>
      </c>
      <c r="AA22" s="3">
        <f>COUNT(AA4:AA17)</f>
        <v>12</v>
      </c>
      <c r="AB22" s="3">
        <f t="shared" ref="AA22:AC22" si="17">COUNT(AB4:AB17)</f>
        <v>12</v>
      </c>
      <c r="AC22" s="3">
        <f t="shared" si="17"/>
        <v>12</v>
      </c>
      <c r="AD22" s="3"/>
      <c r="AE22" s="3">
        <f t="shared" ref="B22:AH22" si="18">COUNT(AE4:AE13)</f>
        <v>9</v>
      </c>
      <c r="AF22" s="3">
        <f t="shared" si="18"/>
        <v>9</v>
      </c>
      <c r="AG22" s="3">
        <f t="shared" si="18"/>
        <v>7</v>
      </c>
      <c r="AH22" s="3">
        <f t="shared" si="18"/>
        <v>8</v>
      </c>
      <c r="AI22" s="2" t="s">
        <v>13</v>
      </c>
    </row>
    <row r="23" spans="1:36" ht="14.25" customHeight="1" x14ac:dyDescent="0.2">
      <c r="E23" s="2"/>
      <c r="F23" s="3"/>
    </row>
    <row r="24" spans="1:36" ht="14.25" customHeight="1" x14ac:dyDescent="0.2"/>
    <row r="25" spans="1:36" ht="14.25" customHeight="1" x14ac:dyDescent="0.25">
      <c r="A25" s="5" t="s">
        <v>14</v>
      </c>
      <c r="B25" s="25"/>
      <c r="C25" s="25"/>
      <c r="D25" s="25"/>
      <c r="E25" s="26"/>
      <c r="F25" s="5" t="s">
        <v>16</v>
      </c>
      <c r="G25" s="25"/>
      <c r="H25" s="25"/>
      <c r="I25" s="25"/>
      <c r="J25" s="26"/>
      <c r="K25" s="5" t="s">
        <v>17</v>
      </c>
      <c r="L25" s="25"/>
      <c r="M25" s="25"/>
      <c r="N25" s="25"/>
      <c r="P25" s="21" t="s">
        <v>18</v>
      </c>
      <c r="Q25" s="27"/>
      <c r="R25" s="27"/>
      <c r="S25" s="27"/>
      <c r="U25" s="21" t="s">
        <v>19</v>
      </c>
      <c r="V25" s="27"/>
      <c r="W25" s="27"/>
      <c r="X25" s="27"/>
      <c r="Z25" s="9" t="s">
        <v>20</v>
      </c>
      <c r="AA25" s="9"/>
      <c r="AB25" s="9"/>
      <c r="AC25" s="16"/>
      <c r="AD25" s="16"/>
      <c r="AE25" s="16"/>
      <c r="AF25" s="16"/>
      <c r="AG25" s="17"/>
      <c r="AH25" s="17"/>
      <c r="AI25" s="17"/>
    </row>
    <row r="26" spans="1:36" ht="14.25" customHeight="1" x14ac:dyDescent="0.25">
      <c r="A26" s="6" t="s">
        <v>6</v>
      </c>
      <c r="B26" s="28"/>
      <c r="C26" s="6" t="s">
        <v>7</v>
      </c>
      <c r="D26" s="28"/>
      <c r="E26" s="26"/>
      <c r="F26" s="6" t="s">
        <v>6</v>
      </c>
      <c r="G26" s="28"/>
      <c r="H26" s="6" t="s">
        <v>7</v>
      </c>
      <c r="I26" s="28"/>
      <c r="J26" s="26"/>
      <c r="K26" s="6" t="s">
        <v>6</v>
      </c>
      <c r="L26" s="28"/>
      <c r="M26" s="6" t="s">
        <v>7</v>
      </c>
      <c r="N26" s="28"/>
      <c r="P26" s="6" t="s">
        <v>6</v>
      </c>
      <c r="Q26" s="28"/>
      <c r="R26" s="6" t="s">
        <v>7</v>
      </c>
      <c r="S26" s="28"/>
      <c r="U26" s="6" t="s">
        <v>6</v>
      </c>
      <c r="V26" s="28"/>
      <c r="W26" s="6" t="s">
        <v>7</v>
      </c>
      <c r="X26" s="28"/>
      <c r="Z26" s="10" t="s">
        <v>31</v>
      </c>
      <c r="AA26" s="11"/>
      <c r="AB26" s="11"/>
      <c r="AC26" s="11"/>
      <c r="AD26" s="11"/>
      <c r="AE26" s="11"/>
      <c r="AF26" s="11"/>
      <c r="AG26" s="12"/>
      <c r="AH26" s="12"/>
      <c r="AI26" s="12"/>
      <c r="AJ26" s="12"/>
    </row>
    <row r="27" spans="1:36" ht="14.25" customHeight="1" x14ac:dyDescent="0.25">
      <c r="A27" s="4" t="s">
        <v>8</v>
      </c>
      <c r="B27" s="4" t="s">
        <v>9</v>
      </c>
      <c r="C27" s="4" t="s">
        <v>8</v>
      </c>
      <c r="D27" s="4" t="s">
        <v>9</v>
      </c>
      <c r="E27" s="26"/>
      <c r="F27" s="4" t="s">
        <v>8</v>
      </c>
      <c r="G27" s="4" t="s">
        <v>9</v>
      </c>
      <c r="H27" s="4" t="s">
        <v>8</v>
      </c>
      <c r="I27" s="4" t="s">
        <v>9</v>
      </c>
      <c r="J27" s="26"/>
      <c r="K27" s="4" t="s">
        <v>8</v>
      </c>
      <c r="L27" s="4" t="s">
        <v>9</v>
      </c>
      <c r="M27" s="4" t="s">
        <v>8</v>
      </c>
      <c r="N27" s="4" t="s">
        <v>9</v>
      </c>
      <c r="P27" s="4" t="s">
        <v>8</v>
      </c>
      <c r="Q27" s="4" t="s">
        <v>9</v>
      </c>
      <c r="R27" s="4" t="s">
        <v>8</v>
      </c>
      <c r="S27" s="4" t="s">
        <v>9</v>
      </c>
      <c r="U27" s="4" t="s">
        <v>8</v>
      </c>
      <c r="V27" s="4" t="s">
        <v>9</v>
      </c>
      <c r="W27" s="4" t="s">
        <v>8</v>
      </c>
      <c r="X27" s="4" t="s">
        <v>9</v>
      </c>
      <c r="Z27" s="10"/>
      <c r="AA27" s="11" t="s">
        <v>21</v>
      </c>
      <c r="AB27" s="11" t="s">
        <v>22</v>
      </c>
      <c r="AC27" s="11" t="s">
        <v>23</v>
      </c>
      <c r="AD27" s="11" t="s">
        <v>24</v>
      </c>
      <c r="AE27" s="11" t="s">
        <v>25</v>
      </c>
      <c r="AF27" s="11" t="s">
        <v>26</v>
      </c>
      <c r="AG27" s="12" t="s">
        <v>27</v>
      </c>
      <c r="AH27" s="12" t="s">
        <v>28</v>
      </c>
      <c r="AI27" s="12" t="s">
        <v>29</v>
      </c>
      <c r="AJ27" s="12" t="s">
        <v>30</v>
      </c>
    </row>
    <row r="28" spans="1:36" ht="14.25" customHeight="1" x14ac:dyDescent="0.25">
      <c r="A28" s="26">
        <v>5</v>
      </c>
      <c r="B28" s="26">
        <v>18</v>
      </c>
      <c r="C28" s="26">
        <v>3</v>
      </c>
      <c r="D28" s="26">
        <v>8</v>
      </c>
      <c r="E28" s="26"/>
      <c r="F28" s="1">
        <f>(K4)/0.005</f>
        <v>336520</v>
      </c>
      <c r="G28" s="1">
        <f>(L4)/0.0026</f>
        <v>806153.84615384624</v>
      </c>
      <c r="H28" s="1">
        <f>(M4)/0.03</f>
        <v>73875.5</v>
      </c>
      <c r="I28" s="1">
        <f>(N4)/0.022</f>
        <v>88745.545454545456</v>
      </c>
      <c r="J28" s="26"/>
      <c r="K28" s="26">
        <f>((0.36)*K4)/0.005</f>
        <v>121147.2</v>
      </c>
      <c r="L28" s="26">
        <f>((0.36)*L4)/0.0026</f>
        <v>290215.38461538462</v>
      </c>
      <c r="M28" s="26">
        <f>((0.36)*M4)/0.03</f>
        <v>26595.179999999997</v>
      </c>
      <c r="N28" s="26">
        <f>((0.36)*N4)/0.022</f>
        <v>31948.396363636362</v>
      </c>
      <c r="P28" s="13">
        <f>(K4/F28)</f>
        <v>5.0000000000000001E-3</v>
      </c>
      <c r="Q28" s="13">
        <f>(L4/G28)</f>
        <v>2.5999999999999999E-3</v>
      </c>
      <c r="R28" s="13">
        <f>(M4/H28)</f>
        <v>0.03</v>
      </c>
      <c r="S28" s="13">
        <f>(N4/I28)</f>
        <v>2.1999999999999999E-2</v>
      </c>
      <c r="U28" s="13">
        <f>(K28/F28)</f>
        <v>0.36</v>
      </c>
      <c r="V28" s="13">
        <f t="shared" ref="V28:X39" si="19">(L28/G28)</f>
        <v>0.36</v>
      </c>
      <c r="W28" s="13">
        <f t="shared" si="19"/>
        <v>0.35999999999999993</v>
      </c>
      <c r="X28" s="13">
        <f>(N28/I28)</f>
        <v>0.36</v>
      </c>
      <c r="Z28" s="18"/>
      <c r="AA28" s="18">
        <v>2.7000000000000001E-3</v>
      </c>
      <c r="AB28" s="14">
        <v>40</v>
      </c>
      <c r="AC28" s="14">
        <v>21</v>
      </c>
      <c r="AD28" s="14">
        <v>19</v>
      </c>
      <c r="AE28" s="19">
        <f>AC28/100</f>
        <v>0.21</v>
      </c>
      <c r="AF28" s="19">
        <f>AD28/100</f>
        <v>0.19</v>
      </c>
      <c r="AG28" s="20">
        <f>(AB28*(AE28-AF28))/(1-AE28*(1-0.85))</f>
        <v>0.82601961796592627</v>
      </c>
      <c r="AH28" s="15">
        <f>AG28/AA28</f>
        <v>305.93319183923194</v>
      </c>
      <c r="AI28" s="18">
        <f>(AH28*0.795)</f>
        <v>243.2168875121894</v>
      </c>
      <c r="AJ28" s="13">
        <f>K14/AI28</f>
        <v>5.6307767688679284</v>
      </c>
    </row>
    <row r="29" spans="1:36" ht="14.25" customHeight="1" x14ac:dyDescent="0.25">
      <c r="A29" s="26">
        <v>8</v>
      </c>
      <c r="B29" s="26">
        <v>12</v>
      </c>
      <c r="C29" s="26">
        <v>4</v>
      </c>
      <c r="D29" s="26">
        <v>11</v>
      </c>
      <c r="E29" s="26"/>
      <c r="F29" s="1">
        <f>(K5)/0.004</f>
        <v>342349.99999999994</v>
      </c>
      <c r="G29" s="1">
        <f>(L5)/0.0041</f>
        <v>541463.41463414626</v>
      </c>
      <c r="H29" s="1">
        <f>(M5)/0.032</f>
        <v>57581.999999999993</v>
      </c>
      <c r="I29" s="1">
        <f>(N5)/0.026</f>
        <v>114279.84615384617</v>
      </c>
      <c r="J29" s="26"/>
      <c r="K29" s="26">
        <f>((0.36)*K5)/0.004</f>
        <v>123245.99999999999</v>
      </c>
      <c r="L29" s="26">
        <f>((0.36)*L5)/0.0041</f>
        <v>194926.82926829264</v>
      </c>
      <c r="M29" s="26">
        <f>((0.36)*M5)/0.032</f>
        <v>20729.519999999997</v>
      </c>
      <c r="N29" s="26">
        <f>((0.36)*N5)/0.026</f>
        <v>41140.744615384625</v>
      </c>
      <c r="P29" s="13">
        <f>(K5/F29)</f>
        <v>4.0000000000000001E-3</v>
      </c>
      <c r="Q29" s="13">
        <f>(L5/G29)</f>
        <v>4.1000000000000003E-3</v>
      </c>
      <c r="R29" s="13">
        <f>(M5/H29)</f>
        <v>3.2000000000000001E-2</v>
      </c>
      <c r="S29" s="13">
        <f>(N5/I29)</f>
        <v>2.5999999999999999E-2</v>
      </c>
      <c r="U29" s="13">
        <f t="shared" ref="U29:U41" si="20">(K29/F29)</f>
        <v>0.36000000000000004</v>
      </c>
      <c r="V29" s="13">
        <f t="shared" si="19"/>
        <v>0.36</v>
      </c>
      <c r="W29" s="13">
        <f t="shared" si="19"/>
        <v>0.36</v>
      </c>
      <c r="X29" s="13">
        <f t="shared" si="19"/>
        <v>0.36000000000000004</v>
      </c>
      <c r="Z29" s="18"/>
      <c r="AA29" s="18">
        <v>3.0999999999999999E-3</v>
      </c>
      <c r="AB29" s="14">
        <v>40</v>
      </c>
      <c r="AC29" s="19">
        <v>21</v>
      </c>
      <c r="AD29" s="19">
        <v>19.100000000000001</v>
      </c>
      <c r="AE29" s="19">
        <f t="shared" ref="AE29:AE31" si="21">AC29/100</f>
        <v>0.21</v>
      </c>
      <c r="AF29" s="19">
        <f t="shared" ref="AF29:AF31" si="22">AD29/100</f>
        <v>0.191</v>
      </c>
      <c r="AG29" s="20">
        <f t="shared" ref="AG29:AG31" si="23">(AB29*(AE29-AF29))/(1-AE29*(1-0.85))</f>
        <v>0.7847186370676299</v>
      </c>
      <c r="AH29" s="15">
        <f t="shared" ref="AH29:AH31" si="24">AG29/AA29</f>
        <v>253.1350442153645</v>
      </c>
      <c r="AI29" s="18">
        <f t="shared" ref="AI28:AI31" si="25">(AH29*0.795)</f>
        <v>201.2423601512148</v>
      </c>
      <c r="AJ29" s="13">
        <f t="shared" ref="AJ29:AJ31" si="26">K15/AI29</f>
        <v>6.7262180734856045</v>
      </c>
    </row>
    <row r="30" spans="1:36" ht="14.25" customHeight="1" x14ac:dyDescent="0.25">
      <c r="A30" s="26">
        <v>2</v>
      </c>
      <c r="B30" s="26">
        <v>15</v>
      </c>
      <c r="C30" s="26">
        <v>3</v>
      </c>
      <c r="D30" s="26">
        <v>5</v>
      </c>
      <c r="E30" s="26"/>
      <c r="F30" s="1">
        <f>(K6)/0.005</f>
        <v>305600</v>
      </c>
      <c r="G30" s="1">
        <f>(L6)/0.005</f>
        <v>290400</v>
      </c>
      <c r="H30" s="1">
        <f>(M6)/0.033</f>
        <v>75930.060606060608</v>
      </c>
      <c r="I30" s="1">
        <f>(N6)/0.023</f>
        <v>156170.4347826087</v>
      </c>
      <c r="J30" s="26"/>
      <c r="K30" s="26">
        <f>((0.36)*K6)/0.005</f>
        <v>110015.99999999999</v>
      </c>
      <c r="L30" s="26">
        <f>((0.36)*L6)/0.005</f>
        <v>104544</v>
      </c>
      <c r="M30" s="26">
        <f>((0.36)*M6)/0.033</f>
        <v>27334.821818181816</v>
      </c>
      <c r="N30" s="26">
        <f>((0.36)*N6)/0.023</f>
        <v>56221.356521739137</v>
      </c>
      <c r="P30" s="13">
        <f>(K6/F30)</f>
        <v>5.0000000000000001E-3</v>
      </c>
      <c r="Q30" s="13">
        <f>(L6/G30)</f>
        <v>5.0000000000000001E-3</v>
      </c>
      <c r="R30" s="13">
        <f>(M6/H30)</f>
        <v>3.3000000000000002E-2</v>
      </c>
      <c r="S30" s="13">
        <f>(N6/I30)</f>
        <v>2.3E-2</v>
      </c>
      <c r="U30" s="13">
        <f t="shared" si="20"/>
        <v>0.35999999999999993</v>
      </c>
      <c r="V30" s="13">
        <f t="shared" si="19"/>
        <v>0.36</v>
      </c>
      <c r="W30" s="13">
        <f t="shared" si="19"/>
        <v>0.35999999999999993</v>
      </c>
      <c r="X30" s="13">
        <f t="shared" si="19"/>
        <v>0.36000000000000004</v>
      </c>
      <c r="Z30" s="18"/>
      <c r="AA30" s="18">
        <v>3.2000000000000002E-3</v>
      </c>
      <c r="AB30" s="14">
        <v>40</v>
      </c>
      <c r="AC30" s="19">
        <v>21</v>
      </c>
      <c r="AD30" s="19">
        <v>18.7</v>
      </c>
      <c r="AE30" s="19">
        <f t="shared" si="21"/>
        <v>0.21</v>
      </c>
      <c r="AF30" s="19">
        <f t="shared" si="22"/>
        <v>0.187</v>
      </c>
      <c r="AG30" s="20">
        <f t="shared" si="23"/>
        <v>0.94992256066081537</v>
      </c>
      <c r="AH30" s="15">
        <f t="shared" si="24"/>
        <v>296.8508002065048</v>
      </c>
      <c r="AI30" s="18">
        <f t="shared" si="25"/>
        <v>235.99638616417133</v>
      </c>
      <c r="AJ30" s="13">
        <f t="shared" si="26"/>
        <v>5.9034802296964743</v>
      </c>
    </row>
    <row r="31" spans="1:36" ht="14.25" customHeight="1" x14ac:dyDescent="0.25">
      <c r="A31" s="26">
        <v>3</v>
      </c>
      <c r="B31" s="26">
        <v>20</v>
      </c>
      <c r="C31" s="26">
        <v>3</v>
      </c>
      <c r="D31" s="26">
        <v>6</v>
      </c>
      <c r="E31" s="26"/>
      <c r="F31" s="1">
        <f>(K7)/0.0035</f>
        <v>459771.42857142858</v>
      </c>
      <c r="G31" s="1">
        <f>(L7)/0.00265</f>
        <v>1515471.6981132075</v>
      </c>
      <c r="H31" s="1">
        <f>(M7)/0.028</f>
        <v>94407.428571428565</v>
      </c>
      <c r="I31" s="1">
        <f>(N7)/0.03</f>
        <v>107252.30000000002</v>
      </c>
      <c r="J31" s="26"/>
      <c r="K31" s="26">
        <f>((0.36)*K7)/0.0035</f>
        <v>165517.71428571429</v>
      </c>
      <c r="L31" s="26">
        <f>((0.36)*L7)/0.00265</f>
        <v>545569.8113207547</v>
      </c>
      <c r="M31" s="26">
        <f>((0.36)*M7)/0.028</f>
        <v>33986.674285714282</v>
      </c>
      <c r="N31" s="26">
        <f>((0.36)*N7)/0.03</f>
        <v>38610.828000000001</v>
      </c>
      <c r="P31" s="13">
        <f>(K7/F31)</f>
        <v>3.5000000000000001E-3</v>
      </c>
      <c r="Q31" s="13">
        <f>(L7/G31)</f>
        <v>2.65E-3</v>
      </c>
      <c r="R31" s="13">
        <f>(M7/H31)</f>
        <v>2.8000000000000001E-2</v>
      </c>
      <c r="S31" s="13">
        <f>(N7/I31)</f>
        <v>0.03</v>
      </c>
      <c r="U31" s="13">
        <f t="shared" si="20"/>
        <v>0.36</v>
      </c>
      <c r="V31" s="13">
        <f t="shared" si="19"/>
        <v>0.36</v>
      </c>
      <c r="W31" s="13">
        <f t="shared" si="19"/>
        <v>0.36</v>
      </c>
      <c r="X31" s="13">
        <f t="shared" si="19"/>
        <v>0.35999999999999993</v>
      </c>
      <c r="Z31" s="18"/>
      <c r="AA31" s="18">
        <v>2.5999999999999999E-3</v>
      </c>
      <c r="AB31" s="14">
        <v>40</v>
      </c>
      <c r="AC31" s="19">
        <v>20.9</v>
      </c>
      <c r="AD31" s="18">
        <v>18.899999999999999</v>
      </c>
      <c r="AE31" s="19">
        <f t="shared" si="21"/>
        <v>0.20899999999999999</v>
      </c>
      <c r="AF31" s="19">
        <f t="shared" si="22"/>
        <v>0.18899999999999997</v>
      </c>
      <c r="AG31" s="20">
        <f t="shared" si="23"/>
        <v>0.82589170495018915</v>
      </c>
      <c r="AH31" s="15">
        <f t="shared" si="24"/>
        <v>317.65065575007276</v>
      </c>
      <c r="AI31" s="18">
        <f t="shared" si="25"/>
        <v>252.53227132130786</v>
      </c>
      <c r="AJ31" s="13">
        <f>K17/AI31</f>
        <v>5.7473842547169749</v>
      </c>
    </row>
    <row r="32" spans="1:36" ht="14.25" customHeight="1" x14ac:dyDescent="0.25">
      <c r="A32" s="26">
        <v>6</v>
      </c>
      <c r="B32" s="26">
        <v>14</v>
      </c>
      <c r="C32" s="26">
        <v>2</v>
      </c>
      <c r="D32" s="26">
        <v>7</v>
      </c>
      <c r="E32" s="26"/>
      <c r="F32" s="1">
        <f>(K8)/0.00432</f>
        <v>291759.25925925921</v>
      </c>
      <c r="G32" s="1">
        <f>(L8)/0.00412</f>
        <v>877427.18446601939</v>
      </c>
      <c r="H32" s="1">
        <f>(M8)/0.036</f>
        <v>71905.25</v>
      </c>
      <c r="I32" s="1">
        <f>(N8)/0.03</f>
        <v>135165.06666666668</v>
      </c>
      <c r="J32" s="26"/>
      <c r="K32" s="26">
        <f>((0.36)*K8)/0.00432</f>
        <v>105033.33333333331</v>
      </c>
      <c r="L32" s="26">
        <f>((0.36)*L8)/0.00412</f>
        <v>315873.78640776692</v>
      </c>
      <c r="M32" s="26">
        <f>((0.36)*M8)/0.036</f>
        <v>25885.89</v>
      </c>
      <c r="N32" s="26">
        <f>((0.36)*N8)/0.03</f>
        <v>48659.423999999999</v>
      </c>
      <c r="P32" s="13">
        <f>(K8/F32)</f>
        <v>4.3200000000000001E-3</v>
      </c>
      <c r="Q32" s="13">
        <f>(L8/G32)</f>
        <v>4.1200000000000004E-3</v>
      </c>
      <c r="R32" s="13">
        <f>(M8/H32)</f>
        <v>3.5999999999999997E-2</v>
      </c>
      <c r="S32" s="13">
        <f>(N8/I32)</f>
        <v>0.03</v>
      </c>
      <c r="U32" s="13">
        <f t="shared" si="20"/>
        <v>0.36</v>
      </c>
      <c r="V32" s="13">
        <f t="shared" si="19"/>
        <v>0.35999999999999993</v>
      </c>
      <c r="W32" s="13">
        <f t="shared" si="19"/>
        <v>0.36</v>
      </c>
      <c r="X32" s="13">
        <f t="shared" si="19"/>
        <v>0.35999999999999993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6" ht="14.25" customHeight="1" x14ac:dyDescent="0.25">
      <c r="A33" s="26">
        <v>3</v>
      </c>
      <c r="B33" s="26">
        <v>11</v>
      </c>
      <c r="C33" s="26">
        <v>4</v>
      </c>
      <c r="D33" s="26">
        <v>5</v>
      </c>
      <c r="E33" s="26"/>
      <c r="F33" s="1">
        <f>(K9)/0.005</f>
        <v>393800</v>
      </c>
      <c r="G33" s="1">
        <f>(L9)/0.00371</f>
        <v>707816.71159029647</v>
      </c>
      <c r="H33" s="1">
        <f>(M9)/0.034</f>
        <v>120186.88235294117</v>
      </c>
      <c r="I33" s="1">
        <f>(N9)/0.027</f>
        <v>208229.70370370368</v>
      </c>
      <c r="J33" s="26"/>
      <c r="K33" s="26">
        <f>((0.36)*K9)/0.005</f>
        <v>141767.99999999997</v>
      </c>
      <c r="L33" s="26">
        <f>((0.36)*L9)/0.00371</f>
        <v>254814.01617250673</v>
      </c>
      <c r="M33" s="26">
        <f>((0.36)*M9)/0.034</f>
        <v>43267.277647058821</v>
      </c>
      <c r="N33" s="26">
        <f>((0.36)*N9)/0.027</f>
        <v>74962.693333333329</v>
      </c>
      <c r="P33" s="13">
        <f>(K9/F33)</f>
        <v>5.0000000000000001E-3</v>
      </c>
      <c r="Q33" s="13">
        <f>(L9/G33)</f>
        <v>3.7100000000000002E-3</v>
      </c>
      <c r="R33" s="13">
        <f>(M9/H33)</f>
        <v>3.4000000000000002E-2</v>
      </c>
      <c r="S33" s="13">
        <f>(N9/I33)</f>
        <v>2.7E-2</v>
      </c>
      <c r="U33" s="13">
        <f t="shared" si="20"/>
        <v>0.35999999999999993</v>
      </c>
      <c r="V33" s="13">
        <f t="shared" si="19"/>
        <v>0.36</v>
      </c>
      <c r="W33" s="13">
        <f t="shared" si="19"/>
        <v>0.36</v>
      </c>
      <c r="X33" s="13">
        <f t="shared" si="19"/>
        <v>0.36000000000000004</v>
      </c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6" ht="14.25" customHeight="1" x14ac:dyDescent="0.25">
      <c r="A34" s="26">
        <v>7</v>
      </c>
      <c r="B34" s="26">
        <v>8</v>
      </c>
      <c r="C34" s="26">
        <v>2</v>
      </c>
      <c r="D34" s="26">
        <v>4</v>
      </c>
      <c r="E34" s="26"/>
      <c r="F34" s="1">
        <f>(K10)/0.00236</f>
        <v>896016.94915254228</v>
      </c>
      <c r="G34" s="1">
        <f>(L10)/0.00341</f>
        <v>506334.31085043988</v>
      </c>
      <c r="H34" s="1">
        <f>(M10)/0.032</f>
        <v>110495</v>
      </c>
      <c r="I34" s="1">
        <f>(N10)/0.023</f>
        <v>168409.04347826089</v>
      </c>
      <c r="J34" s="26"/>
      <c r="K34" s="26">
        <f>((0.36)*K10)/0.00236</f>
        <v>322566.10169491521</v>
      </c>
      <c r="L34" s="26">
        <f>((0.36)*L10)/0.003415</f>
        <v>182013.46998535868</v>
      </c>
      <c r="M34" s="26">
        <f>((0.36)*M10)/0.032</f>
        <v>39778.199999999997</v>
      </c>
      <c r="N34" s="26">
        <f>((0.36)*N10)/0.023</f>
        <v>60627.25565217391</v>
      </c>
      <c r="P34" s="13">
        <f>(K10/F34)</f>
        <v>2.3600000000000001E-3</v>
      </c>
      <c r="Q34" s="13">
        <f>(L10/G34)</f>
        <v>3.4099999999999998E-3</v>
      </c>
      <c r="R34" s="13">
        <f>(M10/H34)</f>
        <v>3.2000000000000001E-2</v>
      </c>
      <c r="S34" s="13">
        <f>(N10/I34)</f>
        <v>2.3E-2</v>
      </c>
      <c r="U34" s="13">
        <f t="shared" si="20"/>
        <v>0.36</v>
      </c>
      <c r="V34" s="13">
        <f t="shared" si="19"/>
        <v>0.35947291361639816</v>
      </c>
      <c r="W34" s="13">
        <f t="shared" si="19"/>
        <v>0.36</v>
      </c>
      <c r="X34" s="13">
        <f t="shared" si="19"/>
        <v>0.35999999999999993</v>
      </c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6" ht="14.25" customHeight="1" x14ac:dyDescent="0.25">
      <c r="A35" s="26">
        <v>5</v>
      </c>
      <c r="B35" s="26">
        <v>10</v>
      </c>
      <c r="C35" s="26">
        <v>2</v>
      </c>
      <c r="D35" s="26">
        <v>6</v>
      </c>
      <c r="E35" s="26"/>
      <c r="F35" s="1">
        <f>(K11)/0.00412</f>
        <v>777669.90291262127</v>
      </c>
      <c r="G35" s="1">
        <f>(L11)/0.00312</f>
        <v>394871.79487179487</v>
      </c>
      <c r="H35" s="1">
        <f>(M11)/0.029</f>
        <v>76493.931034482754</v>
      </c>
      <c r="I35" s="1">
        <f>(N11)/0.033</f>
        <v>101054.54545454544</v>
      </c>
      <c r="J35" s="26"/>
      <c r="K35" s="26">
        <f>((0.36)*K11)/0.00412</f>
        <v>279961.16504854365</v>
      </c>
      <c r="L35" s="26">
        <f>((0.36)*L11)/0.00312</f>
        <v>142153.84615384616</v>
      </c>
      <c r="M35" s="26">
        <f>((0.36)*M11)/0.029</f>
        <v>27537.81517241379</v>
      </c>
      <c r="N35" s="26">
        <f>((0.36)*N11)/0.033</f>
        <v>36379.636363636353</v>
      </c>
      <c r="P35" s="13">
        <f>(K11/F35)</f>
        <v>4.1200000000000004E-3</v>
      </c>
      <c r="Q35" s="13">
        <f>(L11/G35)</f>
        <v>3.1199999999999999E-3</v>
      </c>
      <c r="R35" s="13">
        <f>(M11/H35)</f>
        <v>2.9000000000000001E-2</v>
      </c>
      <c r="S35" s="13">
        <f>(N11/I35)</f>
        <v>3.3000000000000002E-2</v>
      </c>
      <c r="U35" s="13">
        <f t="shared" si="20"/>
        <v>0.36</v>
      </c>
      <c r="V35" s="13">
        <f t="shared" si="19"/>
        <v>0.36</v>
      </c>
      <c r="W35" s="13">
        <f t="shared" si="19"/>
        <v>0.36</v>
      </c>
      <c r="X35" s="13">
        <f t="shared" si="19"/>
        <v>0.35999999999999993</v>
      </c>
      <c r="Z35" s="2" t="s">
        <v>10</v>
      </c>
      <c r="AA35" s="3">
        <f>AVERAGE(AA28:AA33)</f>
        <v>2.8999999999999998E-3</v>
      </c>
      <c r="AB35" s="3">
        <f t="shared" ref="AB35:AJ35" si="27">AVERAGE(AB28:AB33)</f>
        <v>40</v>
      </c>
      <c r="AC35" s="3">
        <f t="shared" si="27"/>
        <v>20.975000000000001</v>
      </c>
      <c r="AD35" s="3">
        <f t="shared" si="27"/>
        <v>18.924999999999997</v>
      </c>
      <c r="AE35" s="3">
        <f t="shared" si="27"/>
        <v>0.20974999999999999</v>
      </c>
      <c r="AF35" s="3">
        <f t="shared" si="27"/>
        <v>0.18925</v>
      </c>
      <c r="AG35" s="3">
        <f t="shared" si="27"/>
        <v>0.8466381301611402</v>
      </c>
      <c r="AH35" s="3">
        <f t="shared" si="27"/>
        <v>293.39242300279352</v>
      </c>
      <c r="AI35" s="3">
        <f t="shared" si="27"/>
        <v>233.24697628722083</v>
      </c>
      <c r="AJ35" s="3">
        <f t="shared" si="27"/>
        <v>6.0019648316917458</v>
      </c>
    </row>
    <row r="36" spans="1:36" ht="14.25" customHeight="1" x14ac:dyDescent="0.25">
      <c r="A36" s="26">
        <v>5</v>
      </c>
      <c r="B36" s="29">
        <v>11</v>
      </c>
      <c r="C36" s="29">
        <v>2</v>
      </c>
      <c r="D36" s="29">
        <v>12</v>
      </c>
      <c r="E36" s="26"/>
      <c r="F36" s="1">
        <f>(K12)/0.0047</f>
        <v>294000</v>
      </c>
      <c r="G36" s="1">
        <f t="shared" ref="G36:G39" si="28">(L12)/0.00312</f>
        <v>598878.20512820513</v>
      </c>
      <c r="H36" s="1"/>
      <c r="I36" s="1"/>
      <c r="J36" s="26"/>
      <c r="K36" s="26">
        <f>((0.36)*K12)/0.0047</f>
        <v>105839.99999999999</v>
      </c>
      <c r="L36" s="26">
        <f t="shared" ref="L36:L39" si="29">((0.36)*L12)/0.00312</f>
        <v>215596.15384615384</v>
      </c>
      <c r="M36" s="26"/>
      <c r="N36" s="26"/>
      <c r="P36" s="13">
        <f>(K12/F36)</f>
        <v>4.7000000000000002E-3</v>
      </c>
      <c r="Q36" s="13">
        <f t="shared" ref="Q36:Q39" si="30">(L12/G36)</f>
        <v>3.1199999999999999E-3</v>
      </c>
      <c r="U36" s="13">
        <f t="shared" si="20"/>
        <v>0.35999999999999993</v>
      </c>
      <c r="V36" s="13">
        <f t="shared" si="19"/>
        <v>0.36</v>
      </c>
      <c r="Z36" s="2" t="s">
        <v>11</v>
      </c>
      <c r="AA36" s="3">
        <f>STDEV(AA28:AA33)</f>
        <v>2.9439202887759491E-4</v>
      </c>
      <c r="AB36" s="3">
        <f t="shared" ref="AB36:AJ36" si="31">STDEV(AB28:AB33)</f>
        <v>0</v>
      </c>
      <c r="AC36" s="3">
        <f t="shared" si="31"/>
        <v>5.0000000000000711E-2</v>
      </c>
      <c r="AD36" s="3">
        <f t="shared" si="31"/>
        <v>0.17078251276599418</v>
      </c>
      <c r="AE36" s="3">
        <f t="shared" si="31"/>
        <v>5.0000000000000044E-4</v>
      </c>
      <c r="AF36" s="3">
        <f t="shared" si="31"/>
        <v>1.7078251276599358E-3</v>
      </c>
      <c r="AG36" s="3">
        <f t="shared" si="31"/>
        <v>7.154773328060382E-2</v>
      </c>
      <c r="AH36" s="3">
        <f t="shared" si="31"/>
        <v>28.156406368402472</v>
      </c>
      <c r="AI36" s="3">
        <f t="shared" si="31"/>
        <v>22.38434306287996</v>
      </c>
      <c r="AJ36" s="3">
        <f t="shared" si="31"/>
        <v>0.49559184255957578</v>
      </c>
    </row>
    <row r="37" spans="1:36" ht="14.25" customHeight="1" x14ac:dyDescent="0.25">
      <c r="A37" s="26">
        <v>6</v>
      </c>
      <c r="B37" s="29">
        <v>18</v>
      </c>
      <c r="C37" s="29">
        <v>3</v>
      </c>
      <c r="D37" s="29">
        <v>8</v>
      </c>
      <c r="E37" s="26"/>
      <c r="F37" s="1">
        <f>(K13)/0.005</f>
        <v>147000</v>
      </c>
      <c r="G37" s="1">
        <f t="shared" si="28"/>
        <v>537852.56410256412</v>
      </c>
      <c r="H37" s="1"/>
      <c r="I37" s="1"/>
      <c r="J37" s="26"/>
      <c r="K37" s="26">
        <f>((0.36)*K13)/0.005</f>
        <v>52919.999999999993</v>
      </c>
      <c r="L37" s="26">
        <f t="shared" si="29"/>
        <v>193626.92307692306</v>
      </c>
      <c r="M37" s="26"/>
      <c r="N37" s="26"/>
      <c r="P37" s="13">
        <f>(K13/F37)</f>
        <v>5.0000000000000001E-3</v>
      </c>
      <c r="Q37" s="13">
        <f t="shared" si="30"/>
        <v>3.1199999999999995E-3</v>
      </c>
      <c r="U37" s="13">
        <f t="shared" si="20"/>
        <v>0.35999999999999993</v>
      </c>
      <c r="V37" s="13">
        <f t="shared" si="19"/>
        <v>0.36</v>
      </c>
      <c r="Z37" s="2" t="s">
        <v>12</v>
      </c>
      <c r="AA37" s="3">
        <f>AA36/SQRT(AA38)</f>
        <v>1.4719601443879745E-4</v>
      </c>
      <c r="AB37" s="3">
        <f t="shared" ref="AB37:AJ37" si="32">AB36/SQRT(AB38)</f>
        <v>0</v>
      </c>
      <c r="AC37" s="3">
        <f t="shared" si="32"/>
        <v>2.5000000000000355E-2</v>
      </c>
      <c r="AD37" s="3">
        <f t="shared" si="32"/>
        <v>8.5391256382997091E-2</v>
      </c>
      <c r="AE37" s="3">
        <f t="shared" si="32"/>
        <v>2.5000000000000022E-4</v>
      </c>
      <c r="AF37" s="3">
        <f t="shared" si="32"/>
        <v>8.5391256382996792E-4</v>
      </c>
      <c r="AG37" s="3">
        <f t="shared" si="32"/>
        <v>3.577386664030191E-2</v>
      </c>
      <c r="AH37" s="3">
        <f t="shared" si="32"/>
        <v>14.078203184201236</v>
      </c>
      <c r="AI37" s="3">
        <f t="shared" si="32"/>
        <v>11.19217153143998</v>
      </c>
      <c r="AJ37" s="3">
        <f t="shared" si="32"/>
        <v>0.24779592127978789</v>
      </c>
    </row>
    <row r="38" spans="1:36" ht="14.25" customHeight="1" x14ac:dyDescent="0.25">
      <c r="A38" s="29">
        <v>4</v>
      </c>
      <c r="B38" s="29">
        <v>16</v>
      </c>
      <c r="C38" s="29">
        <v>4</v>
      </c>
      <c r="D38" s="29">
        <v>9</v>
      </c>
      <c r="E38" s="26"/>
      <c r="F38" s="1">
        <f t="shared" ref="F38:F41" si="33">(K14)/0.005</f>
        <v>273900.00000000006</v>
      </c>
      <c r="G38" s="1">
        <f t="shared" si="28"/>
        <v>453557.69230769237</v>
      </c>
      <c r="H38" s="1"/>
      <c r="I38" s="1"/>
      <c r="J38" s="26"/>
      <c r="K38" s="26">
        <f t="shared" ref="K38:K41" si="34">((0.36)*K14)/0.005</f>
        <v>98604</v>
      </c>
      <c r="L38" s="26">
        <f t="shared" si="29"/>
        <v>163280.76923076925</v>
      </c>
      <c r="M38" s="26"/>
      <c r="N38" s="26"/>
      <c r="P38" s="13">
        <f>(K14/F38)</f>
        <v>5.0000000000000001E-3</v>
      </c>
      <c r="Q38" s="13">
        <f t="shared" si="30"/>
        <v>3.1199999999999999E-3</v>
      </c>
      <c r="U38" s="13">
        <f t="shared" si="20"/>
        <v>0.35999999999999993</v>
      </c>
      <c r="V38" s="13">
        <f t="shared" si="19"/>
        <v>0.36</v>
      </c>
      <c r="Z38" s="2" t="s">
        <v>13</v>
      </c>
      <c r="AA38" s="3">
        <f>COUNT(AA28:AA33)</f>
        <v>4</v>
      </c>
      <c r="AB38" s="3">
        <f t="shared" ref="AB38:AJ38" si="35">COUNT(AB28:AB33)</f>
        <v>4</v>
      </c>
      <c r="AC38" s="3">
        <f t="shared" si="35"/>
        <v>4</v>
      </c>
      <c r="AD38" s="3">
        <f t="shared" si="35"/>
        <v>4</v>
      </c>
      <c r="AE38" s="3">
        <f t="shared" si="35"/>
        <v>4</v>
      </c>
      <c r="AF38" s="3">
        <f t="shared" si="35"/>
        <v>4</v>
      </c>
      <c r="AG38" s="3">
        <f t="shared" si="35"/>
        <v>4</v>
      </c>
      <c r="AH38" s="3">
        <f t="shared" si="35"/>
        <v>4</v>
      </c>
      <c r="AI38" s="3">
        <f t="shared" si="35"/>
        <v>4</v>
      </c>
      <c r="AJ38" s="3">
        <f t="shared" si="35"/>
        <v>4</v>
      </c>
    </row>
    <row r="39" spans="1:36" ht="14.25" customHeight="1" x14ac:dyDescent="0.25">
      <c r="A39" s="29">
        <v>3</v>
      </c>
      <c r="B39" s="29">
        <v>17</v>
      </c>
      <c r="C39" s="29">
        <v>3</v>
      </c>
      <c r="D39" s="29">
        <v>11</v>
      </c>
      <c r="E39" s="26"/>
      <c r="F39" s="1">
        <f t="shared" si="33"/>
        <v>270720</v>
      </c>
      <c r="G39" s="1">
        <f t="shared" si="28"/>
        <v>473846.15384615387</v>
      </c>
      <c r="H39" s="1"/>
      <c r="I39" s="1"/>
      <c r="J39" s="26"/>
      <c r="K39" s="26">
        <f t="shared" si="34"/>
        <v>97459.200000000012</v>
      </c>
      <c r="L39" s="26">
        <f t="shared" si="29"/>
        <v>170584.6153846154</v>
      </c>
      <c r="M39" s="26"/>
      <c r="N39" s="26"/>
      <c r="P39" s="13">
        <f t="shared" ref="P38:P41" si="36">(K15/F39)</f>
        <v>5.0000000000000001E-3</v>
      </c>
      <c r="Q39" s="13">
        <f t="shared" si="30"/>
        <v>3.1199999999999999E-3</v>
      </c>
      <c r="U39" s="13">
        <f t="shared" si="20"/>
        <v>0.36000000000000004</v>
      </c>
      <c r="V39" s="13">
        <f t="shared" si="19"/>
        <v>0.36000000000000004</v>
      </c>
    </row>
    <row r="40" spans="1:36" ht="14.25" customHeight="1" x14ac:dyDescent="0.25">
      <c r="A40" s="29">
        <v>5</v>
      </c>
      <c r="B40" s="26"/>
      <c r="C40" s="26"/>
      <c r="D40" s="26"/>
      <c r="E40" s="26"/>
      <c r="F40" s="1">
        <f t="shared" si="33"/>
        <v>278640</v>
      </c>
      <c r="G40" s="1"/>
      <c r="H40" s="1"/>
      <c r="I40" s="1"/>
      <c r="J40" s="26"/>
      <c r="K40" s="26">
        <f t="shared" si="34"/>
        <v>100310.40000000001</v>
      </c>
      <c r="L40" s="26"/>
      <c r="M40" s="26"/>
      <c r="N40" s="26"/>
      <c r="P40" s="13">
        <f t="shared" si="36"/>
        <v>5.0000000000000001E-3</v>
      </c>
      <c r="U40" s="13">
        <f t="shared" si="20"/>
        <v>0.36000000000000004</v>
      </c>
    </row>
    <row r="41" spans="1:36" ht="14.25" customHeight="1" x14ac:dyDescent="0.25">
      <c r="A41" s="29">
        <v>6</v>
      </c>
      <c r="B41" s="26"/>
      <c r="C41" s="26"/>
      <c r="D41" s="26"/>
      <c r="E41" s="26"/>
      <c r="F41" s="1">
        <f t="shared" si="33"/>
        <v>290279.99999999994</v>
      </c>
      <c r="G41" s="1"/>
      <c r="H41" s="1"/>
      <c r="I41" s="1"/>
      <c r="J41" s="26"/>
      <c r="K41" s="26">
        <f t="shared" si="34"/>
        <v>104500.79999999997</v>
      </c>
      <c r="L41" s="26"/>
      <c r="M41" s="26"/>
      <c r="N41" s="26"/>
      <c r="P41" s="13">
        <f t="shared" si="36"/>
        <v>5.0000000000000001E-3</v>
      </c>
      <c r="U41" s="13">
        <f t="shared" si="20"/>
        <v>0.36</v>
      </c>
      <c r="Z41" s="10" t="s">
        <v>32</v>
      </c>
      <c r="AA41" s="11"/>
      <c r="AB41" s="11"/>
      <c r="AC41" s="11"/>
      <c r="AD41" s="11"/>
      <c r="AE41" s="11"/>
      <c r="AF41" s="11"/>
      <c r="AG41" s="12"/>
      <c r="AH41" s="12"/>
      <c r="AI41" s="12"/>
      <c r="AJ41" s="12"/>
    </row>
    <row r="42" spans="1:36" ht="14.25" customHeight="1" x14ac:dyDescent="0.25">
      <c r="A42" s="26"/>
      <c r="B42" s="26"/>
      <c r="C42" s="26"/>
      <c r="D42" s="26"/>
      <c r="E42" s="26"/>
      <c r="F42" s="1"/>
      <c r="G42" s="1"/>
      <c r="H42" s="1"/>
      <c r="I42" s="1"/>
      <c r="J42" s="26"/>
      <c r="K42" s="26"/>
      <c r="L42" s="26"/>
      <c r="M42" s="26"/>
      <c r="N42" s="26"/>
      <c r="Z42" s="10"/>
      <c r="AA42" s="11" t="s">
        <v>21</v>
      </c>
      <c r="AB42" s="11" t="s">
        <v>22</v>
      </c>
      <c r="AC42" s="11" t="s">
        <v>23</v>
      </c>
      <c r="AD42" s="11" t="s">
        <v>24</v>
      </c>
      <c r="AE42" s="11" t="s">
        <v>25</v>
      </c>
      <c r="AF42" s="11" t="s">
        <v>26</v>
      </c>
      <c r="AG42" s="12" t="s">
        <v>27</v>
      </c>
      <c r="AH42" s="12" t="s">
        <v>28</v>
      </c>
      <c r="AI42" s="12" t="s">
        <v>29</v>
      </c>
      <c r="AJ42" s="12" t="s">
        <v>30</v>
      </c>
    </row>
    <row r="43" spans="1:36" ht="14.25" customHeight="1" x14ac:dyDescent="0.25">
      <c r="A43" s="26">
        <f>AVERAGE(A28:A41)</f>
        <v>4.8571428571428568</v>
      </c>
      <c r="B43" s="26">
        <f>AVERAGE(B28:B39)</f>
        <v>14.166666666666666</v>
      </c>
      <c r="C43" s="26">
        <f>AVERAGE(C28:C39)</f>
        <v>2.9166666666666665</v>
      </c>
      <c r="D43" s="26">
        <f>AVERAGE(D28:D39)</f>
        <v>7.666666666666667</v>
      </c>
      <c r="E43" s="26"/>
      <c r="F43" s="26">
        <f>AVERAGE(F28:F41)</f>
        <v>382716.25284970365</v>
      </c>
      <c r="G43" s="26">
        <f t="shared" ref="G43:I43" si="37">AVERAGE(G28:G41)</f>
        <v>642006.13133869704</v>
      </c>
      <c r="H43" s="26">
        <f t="shared" si="37"/>
        <v>85109.506570614147</v>
      </c>
      <c r="I43" s="26">
        <f t="shared" si="37"/>
        <v>134913.31071177212</v>
      </c>
      <c r="J43" s="26"/>
      <c r="K43" s="26">
        <f>AVERAGE(K28:K41)</f>
        <v>137777.85102589329</v>
      </c>
      <c r="L43" s="26">
        <f t="shared" ref="L43:N43" si="38">AVERAGE(L28:L41)</f>
        <v>231099.96712186432</v>
      </c>
      <c r="M43" s="26">
        <f t="shared" si="38"/>
        <v>30639.422365421091</v>
      </c>
      <c r="N43" s="26">
        <f t="shared" si="38"/>
        <v>48568.791856237964</v>
      </c>
      <c r="O43" s="26"/>
      <c r="P43" s="26">
        <f>AVERAGE(P28:P41)</f>
        <v>4.4999999999999997E-3</v>
      </c>
      <c r="Q43" s="26">
        <f t="shared" ref="Q43:S43" si="39">AVERAGE(Q28:Q41)</f>
        <v>3.4324999999999998E-3</v>
      </c>
      <c r="R43" s="26">
        <f t="shared" si="39"/>
        <v>3.175E-2</v>
      </c>
      <c r="S43" s="26">
        <f t="shared" si="39"/>
        <v>2.6749999999999999E-2</v>
      </c>
      <c r="U43" s="26">
        <f>AVERAGE(U28:U41)</f>
        <v>0.36</v>
      </c>
      <c r="V43" s="26">
        <f t="shared" ref="V43:X43" si="40">AVERAGE(V28:V41)</f>
        <v>0.35995607613469982</v>
      </c>
      <c r="W43" s="26">
        <f t="shared" si="40"/>
        <v>0.35999999999999993</v>
      </c>
      <c r="X43" s="26">
        <f t="shared" si="40"/>
        <v>0.35999999999999993</v>
      </c>
      <c r="Z43" s="18"/>
      <c r="AA43" s="18">
        <v>2.0999999999999999E-3</v>
      </c>
      <c r="AB43" s="14">
        <v>40</v>
      </c>
      <c r="AC43" s="14">
        <v>21</v>
      </c>
      <c r="AD43" s="14">
        <v>19.2</v>
      </c>
      <c r="AE43" s="19">
        <f>AC43/100</f>
        <v>0.21</v>
      </c>
      <c r="AF43" s="19">
        <f>AD43/100</f>
        <v>0.192</v>
      </c>
      <c r="AG43" s="20">
        <f>(AB43*(AE43-AF43))/(1-AE43*(1-0.85))</f>
        <v>0.74341765616933353</v>
      </c>
      <c r="AH43" s="15">
        <f>AG43/AA43</f>
        <v>354.00840769968266</v>
      </c>
      <c r="AI43" s="18">
        <f>(AH43*0.795)</f>
        <v>281.43668412124771</v>
      </c>
      <c r="AJ43" s="13">
        <f>L12/AI43</f>
        <v>6.6391487159329179</v>
      </c>
    </row>
    <row r="44" spans="1:36" ht="14.25" customHeight="1" x14ac:dyDescent="0.25">
      <c r="A44" s="26">
        <f>STDEV(A28:A41)</f>
        <v>1.7032612545052805</v>
      </c>
      <c r="B44" s="26">
        <f>STDEV(B28:B39)</f>
        <v>3.7618499639825003</v>
      </c>
      <c r="C44" s="26">
        <f>STDEV(C28:C39)</f>
        <v>0.79296146109875931</v>
      </c>
      <c r="D44" s="26">
        <f>STDEV(D28:D39)</f>
        <v>2.6400183654090301</v>
      </c>
      <c r="E44" s="26"/>
      <c r="F44" s="26">
        <f>STDEV(F28:F41)</f>
        <v>205819.77731172458</v>
      </c>
      <c r="G44" s="26">
        <f t="shared" ref="G44:I44" si="41">STDEV(G28:G41)</f>
        <v>321835.24607136223</v>
      </c>
      <c r="H44" s="26">
        <f t="shared" si="41"/>
        <v>21307.631782340151</v>
      </c>
      <c r="I44" s="26">
        <f t="shared" si="41"/>
        <v>40387.296812214678</v>
      </c>
      <c r="J44" s="26"/>
      <c r="K44" s="26">
        <f>STDEV(K28:K41)</f>
        <v>74095.119832220895</v>
      </c>
      <c r="L44" s="26">
        <f t="shared" ref="L44:N44" si="42">STDEV(L28:L41)</f>
        <v>115870.94155366949</v>
      </c>
      <c r="M44" s="26">
        <f t="shared" si="42"/>
        <v>7670.7474416424566</v>
      </c>
      <c r="N44" s="26">
        <f t="shared" si="42"/>
        <v>14539.426852397301</v>
      </c>
      <c r="O44" s="26"/>
      <c r="P44" s="26">
        <f>STDEV(P28:P41)</f>
        <v>7.8673619857856181E-4</v>
      </c>
      <c r="Q44" s="26">
        <f t="shared" ref="Q44:S44" si="43">STDEV(Q28:Q41)</f>
        <v>6.9061402192015155E-4</v>
      </c>
      <c r="R44" s="26">
        <f t="shared" si="43"/>
        <v>2.6592157812837546E-3</v>
      </c>
      <c r="S44" s="26">
        <f t="shared" si="43"/>
        <v>3.9910614413425699E-3</v>
      </c>
      <c r="U44" s="26">
        <f>STDEV(U28:U41)</f>
        <v>4.3546529746182126E-17</v>
      </c>
      <c r="V44" s="26">
        <f t="shared" ref="V44:X44" si="44">STDEV(V28:V41)</f>
        <v>1.5215673272935058E-4</v>
      </c>
      <c r="W44" s="26">
        <f t="shared" si="44"/>
        <v>5.1393339571412312E-17</v>
      </c>
      <c r="X44" s="26">
        <f t="shared" si="44"/>
        <v>7.564894753611627E-17</v>
      </c>
      <c r="Z44" s="18"/>
      <c r="AA44" s="18">
        <v>1.9E-3</v>
      </c>
      <c r="AB44" s="14">
        <v>40</v>
      </c>
      <c r="AC44" s="19">
        <v>21</v>
      </c>
      <c r="AD44" s="19">
        <v>19.8</v>
      </c>
      <c r="AE44" s="19">
        <f t="shared" ref="AE44:AE46" si="45">AC44/100</f>
        <v>0.21</v>
      </c>
      <c r="AF44" s="19">
        <f t="shared" ref="AF44:AF46" si="46">AD44/100</f>
        <v>0.19800000000000001</v>
      </c>
      <c r="AG44" s="20">
        <f t="shared" ref="AG44:AG46" si="47">(AB44*(AE44-AF44))/(1-AE44*(1-0.85))</f>
        <v>0.49561177077955532</v>
      </c>
      <c r="AH44" s="15">
        <f t="shared" ref="AH44:AH46" si="48">AG44/AA44</f>
        <v>260.84830041029227</v>
      </c>
      <c r="AI44" s="18">
        <f t="shared" ref="AI44:AI46" si="49">(AH44*0.795)</f>
        <v>207.37439882618236</v>
      </c>
      <c r="AJ44" s="13">
        <f>L13/AI44</f>
        <v>8.0921271357442457</v>
      </c>
    </row>
    <row r="45" spans="1:36" ht="14.25" customHeight="1" x14ac:dyDescent="0.25">
      <c r="A45" s="26">
        <f>A44/SQRT(A46)</f>
        <v>0.45521571818039525</v>
      </c>
      <c r="B45" s="26">
        <f t="shared" ref="B45" si="50">B44/SQRT(B46)</f>
        <v>1.0859525446781404</v>
      </c>
      <c r="C45" s="26">
        <f t="shared" ref="C45" si="51">C44/SQRT(C46)</f>
        <v>0.22890825651118385</v>
      </c>
      <c r="D45" s="26">
        <f t="shared" ref="D45" si="52">D44/SQRT(D46)</f>
        <v>0.76210765696722971</v>
      </c>
      <c r="E45" s="26"/>
      <c r="F45" s="26">
        <f>F44/SQRT(F46)</f>
        <v>55007.649294470139</v>
      </c>
      <c r="G45" s="26">
        <f t="shared" ref="G45:S45" si="53">G44/SQRT(G46)</f>
        <v>92905.832977005222</v>
      </c>
      <c r="H45" s="26">
        <f t="shared" si="53"/>
        <v>7533.3854621593609</v>
      </c>
      <c r="I45" s="26">
        <f t="shared" si="53"/>
        <v>14279.065724855414</v>
      </c>
      <c r="J45" s="26"/>
      <c r="K45" s="26">
        <f t="shared" si="53"/>
        <v>19802.753746009261</v>
      </c>
      <c r="L45" s="26">
        <f t="shared" si="53"/>
        <v>33449.059648633236</v>
      </c>
      <c r="M45" s="26">
        <f t="shared" si="53"/>
        <v>2712.0187663773709</v>
      </c>
      <c r="N45" s="26">
        <f t="shared" si="53"/>
        <v>5140.4636609479558</v>
      </c>
      <c r="O45" s="26"/>
      <c r="P45" s="26">
        <f t="shared" si="53"/>
        <v>2.1026409348956615E-4</v>
      </c>
      <c r="Q45" s="26">
        <f t="shared" si="53"/>
        <v>2.1839132933171307E-4</v>
      </c>
      <c r="R45" s="26">
        <f t="shared" si="53"/>
        <v>9.4017475579201285E-4</v>
      </c>
      <c r="S45" s="26">
        <f t="shared" si="53"/>
        <v>1.4110533046527436E-3</v>
      </c>
      <c r="U45" s="26">
        <f t="shared" ref="U45:X45" si="54">U44/SQRT(U46)</f>
        <v>1.1638299620940967E-17</v>
      </c>
      <c r="V45" s="26">
        <f t="shared" si="54"/>
        <v>4.392386530015225E-5</v>
      </c>
      <c r="W45" s="26">
        <f t="shared" si="54"/>
        <v>1.8170289459384289E-17</v>
      </c>
      <c r="X45" s="26">
        <f t="shared" si="54"/>
        <v>2.6745941896206588E-17</v>
      </c>
      <c r="Z45" s="18"/>
      <c r="AA45" s="18">
        <v>2.2000000000000001E-3</v>
      </c>
      <c r="AB45" s="14">
        <v>40</v>
      </c>
      <c r="AC45" s="19">
        <v>21</v>
      </c>
      <c r="AD45" s="19">
        <v>19.600000000000001</v>
      </c>
      <c r="AE45" s="19">
        <f t="shared" si="45"/>
        <v>0.21</v>
      </c>
      <c r="AF45" s="19">
        <f t="shared" si="46"/>
        <v>0.19600000000000001</v>
      </c>
      <c r="AG45" s="20">
        <f t="shared" si="47"/>
        <v>0.57821373257614805</v>
      </c>
      <c r="AH45" s="15">
        <f t="shared" si="48"/>
        <v>262.82442389824911</v>
      </c>
      <c r="AI45" s="18">
        <f t="shared" si="49"/>
        <v>208.94541699910806</v>
      </c>
      <c r="AJ45" s="13">
        <f>L14/AI45</f>
        <v>6.77258214285715</v>
      </c>
    </row>
    <row r="46" spans="1:36" ht="14.25" customHeight="1" x14ac:dyDescent="0.25">
      <c r="A46" s="26">
        <f>COUNT(A28:A41)</f>
        <v>14</v>
      </c>
      <c r="B46" s="26">
        <f t="shared" ref="B46:D46" si="55">COUNT(B28:B41)</f>
        <v>12</v>
      </c>
      <c r="C46" s="26">
        <f t="shared" si="55"/>
        <v>12</v>
      </c>
      <c r="D46" s="26">
        <f t="shared" si="55"/>
        <v>12</v>
      </c>
      <c r="E46" s="26"/>
      <c r="F46" s="26">
        <f>COUNT(F28:F41)</f>
        <v>14</v>
      </c>
      <c r="G46" s="26">
        <f t="shared" ref="G46:I46" si="56">COUNT(G28:G41)</f>
        <v>12</v>
      </c>
      <c r="H46" s="26">
        <f t="shared" si="56"/>
        <v>8</v>
      </c>
      <c r="I46" s="26">
        <f t="shared" si="56"/>
        <v>8</v>
      </c>
      <c r="J46" s="26"/>
      <c r="K46" s="26">
        <f>COUNT(K28:K41)</f>
        <v>14</v>
      </c>
      <c r="L46" s="26">
        <f t="shared" ref="L46:N46" si="57">COUNT(L28:L41)</f>
        <v>12</v>
      </c>
      <c r="M46" s="26">
        <f t="shared" si="57"/>
        <v>8</v>
      </c>
      <c r="N46" s="26">
        <f t="shared" si="57"/>
        <v>8</v>
      </c>
      <c r="O46" s="26"/>
      <c r="P46" s="26">
        <f>COUNT(P28:P41)</f>
        <v>14</v>
      </c>
      <c r="Q46" s="26">
        <f t="shared" ref="G46:S46" si="58">COUNT(Q28:Q37)</f>
        <v>10</v>
      </c>
      <c r="R46" s="26">
        <f t="shared" si="58"/>
        <v>8</v>
      </c>
      <c r="S46" s="26">
        <f t="shared" si="58"/>
        <v>8</v>
      </c>
      <c r="U46" s="26">
        <f>COUNT(U28:U41)</f>
        <v>14</v>
      </c>
      <c r="V46" s="26">
        <f t="shared" ref="V46:X46" si="59">COUNT(V28:V41)</f>
        <v>12</v>
      </c>
      <c r="W46" s="26">
        <f t="shared" si="59"/>
        <v>8</v>
      </c>
      <c r="X46" s="26">
        <f t="shared" si="59"/>
        <v>8</v>
      </c>
      <c r="Z46" s="18"/>
      <c r="AA46" s="18">
        <v>1.89E-3</v>
      </c>
      <c r="AB46" s="14">
        <v>40</v>
      </c>
      <c r="AC46" s="19">
        <v>20.9</v>
      </c>
      <c r="AD46" s="18">
        <v>19</v>
      </c>
      <c r="AE46" s="19">
        <f t="shared" si="45"/>
        <v>0.20899999999999999</v>
      </c>
      <c r="AF46" s="19">
        <f t="shared" si="46"/>
        <v>0.19</v>
      </c>
      <c r="AG46" s="20">
        <f t="shared" si="47"/>
        <v>0.78459711970267854</v>
      </c>
      <c r="AH46" s="15">
        <f t="shared" si="48"/>
        <v>415.13075116543837</v>
      </c>
      <c r="AI46" s="18">
        <f t="shared" si="49"/>
        <v>330.0289471765235</v>
      </c>
      <c r="AJ46" s="13">
        <f>L15/AI46</f>
        <v>4.4796070546176789</v>
      </c>
    </row>
    <row r="47" spans="1:36" ht="14.2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6" ht="14.25" customHeight="1" x14ac:dyDescent="0.25"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26:36" ht="14.25" customHeight="1" x14ac:dyDescent="0.25"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26:36" ht="14.25" customHeight="1" x14ac:dyDescent="0.2">
      <c r="Z50" s="2" t="s">
        <v>10</v>
      </c>
      <c r="AA50" s="3">
        <f>AVERAGE(AA43:AA48)</f>
        <v>2.0225E-3</v>
      </c>
      <c r="AB50" s="3">
        <f t="shared" ref="AB50:AJ50" si="60">AVERAGE(AB43:AB48)</f>
        <v>40</v>
      </c>
      <c r="AC50" s="3">
        <f t="shared" si="60"/>
        <v>20.975000000000001</v>
      </c>
      <c r="AD50" s="3">
        <f t="shared" si="60"/>
        <v>19.399999999999999</v>
      </c>
      <c r="AE50" s="3">
        <f t="shared" si="60"/>
        <v>0.20974999999999999</v>
      </c>
      <c r="AF50" s="3">
        <f t="shared" si="60"/>
        <v>0.19400000000000001</v>
      </c>
      <c r="AG50" s="3">
        <f t="shared" si="60"/>
        <v>0.65046006980692883</v>
      </c>
      <c r="AH50" s="3">
        <f t="shared" si="60"/>
        <v>323.2029707934156</v>
      </c>
      <c r="AI50" s="3">
        <f t="shared" si="60"/>
        <v>256.94636178076541</v>
      </c>
      <c r="AJ50" s="3">
        <f t="shared" si="60"/>
        <v>6.4958662622879988</v>
      </c>
    </row>
    <row r="51" spans="26:36" ht="14.25" customHeight="1" x14ac:dyDescent="0.2">
      <c r="Z51" s="2" t="s">
        <v>11</v>
      </c>
      <c r="AA51" s="3">
        <f>STDEV(AA43:AA48)</f>
        <v>1.5283433296656005E-4</v>
      </c>
      <c r="AB51" s="3">
        <f t="shared" ref="AB51:AJ51" si="61">STDEV(AB43:AB48)</f>
        <v>0</v>
      </c>
      <c r="AC51" s="3">
        <f t="shared" si="61"/>
        <v>5.0000000000000711E-2</v>
      </c>
      <c r="AD51" s="3">
        <f t="shared" si="61"/>
        <v>0.36514837167011138</v>
      </c>
      <c r="AE51" s="3">
        <f t="shared" si="61"/>
        <v>5.0000000000000044E-4</v>
      </c>
      <c r="AF51" s="3">
        <f t="shared" si="61"/>
        <v>3.6514837167011109E-3</v>
      </c>
      <c r="AG51" s="3">
        <f t="shared" si="61"/>
        <v>0.13642017198346384</v>
      </c>
      <c r="AH51" s="3">
        <f t="shared" si="61"/>
        <v>75.129589357040615</v>
      </c>
      <c r="AI51" s="3">
        <f t="shared" si="61"/>
        <v>59.728023538847282</v>
      </c>
      <c r="AJ51" s="3">
        <f t="shared" si="61"/>
        <v>1.4955992677100234</v>
      </c>
    </row>
    <row r="52" spans="26:36" ht="14.25" customHeight="1" x14ac:dyDescent="0.2">
      <c r="Z52" s="2" t="s">
        <v>12</v>
      </c>
      <c r="AA52" s="3">
        <f>AA51/SQRT(AA53)</f>
        <v>7.6417166483280026E-5</v>
      </c>
      <c r="AB52" s="3">
        <f t="shared" ref="AB52" si="62">AB51/SQRT(AB53)</f>
        <v>0</v>
      </c>
      <c r="AC52" s="3">
        <f t="shared" ref="AC52" si="63">AC51/SQRT(AC53)</f>
        <v>2.5000000000000355E-2</v>
      </c>
      <c r="AD52" s="3">
        <f t="shared" ref="AD52" si="64">AD51/SQRT(AD53)</f>
        <v>0.18257418583505569</v>
      </c>
      <c r="AE52" s="3">
        <f t="shared" ref="AE52" si="65">AE51/SQRT(AE53)</f>
        <v>2.5000000000000022E-4</v>
      </c>
      <c r="AF52" s="3">
        <f t="shared" ref="AF52" si="66">AF51/SQRT(AF53)</f>
        <v>1.8257418583505554E-3</v>
      </c>
      <c r="AG52" s="3">
        <f t="shared" ref="AG52" si="67">AG51/SQRT(AG53)</f>
        <v>6.8210085991731922E-2</v>
      </c>
      <c r="AH52" s="3">
        <f t="shared" ref="AH52" si="68">AH51/SQRT(AH53)</f>
        <v>37.564794678520308</v>
      </c>
      <c r="AI52" s="3">
        <f t="shared" ref="AI52" si="69">AI51/SQRT(AI53)</f>
        <v>29.864011769423641</v>
      </c>
      <c r="AJ52" s="3">
        <f t="shared" ref="AJ52" si="70">AJ51/SQRT(AJ53)</f>
        <v>0.74779963385501169</v>
      </c>
    </row>
    <row r="53" spans="26:36" ht="14.25" customHeight="1" x14ac:dyDescent="0.2">
      <c r="Z53" s="2" t="s">
        <v>13</v>
      </c>
      <c r="AA53" s="3">
        <f>COUNT(AA43:AA48)</f>
        <v>4</v>
      </c>
      <c r="AB53" s="3">
        <f t="shared" ref="AB53:AJ53" si="71">COUNT(AB43:AB48)</f>
        <v>4</v>
      </c>
      <c r="AC53" s="3">
        <f t="shared" si="71"/>
        <v>4</v>
      </c>
      <c r="AD53" s="3">
        <f t="shared" si="71"/>
        <v>4</v>
      </c>
      <c r="AE53" s="3">
        <f t="shared" si="71"/>
        <v>4</v>
      </c>
      <c r="AF53" s="3">
        <f t="shared" si="71"/>
        <v>4</v>
      </c>
      <c r="AG53" s="3">
        <f t="shared" si="71"/>
        <v>4</v>
      </c>
      <c r="AH53" s="3">
        <f t="shared" si="71"/>
        <v>4</v>
      </c>
      <c r="AI53" s="3">
        <f t="shared" si="71"/>
        <v>4</v>
      </c>
      <c r="AJ53" s="3">
        <f t="shared" si="71"/>
        <v>4</v>
      </c>
    </row>
    <row r="54" spans="26:36" ht="14.25" customHeight="1" x14ac:dyDescent="0.2"/>
    <row r="55" spans="26:36" ht="14.25" customHeight="1" x14ac:dyDescent="0.2"/>
    <row r="56" spans="26:36" ht="14.25" customHeight="1" x14ac:dyDescent="0.25">
      <c r="Z56" s="10" t="s">
        <v>33</v>
      </c>
      <c r="AA56" s="11"/>
      <c r="AB56" s="11"/>
      <c r="AC56" s="11"/>
      <c r="AD56" s="11"/>
      <c r="AE56" s="11"/>
      <c r="AF56" s="11"/>
      <c r="AG56" s="12"/>
      <c r="AH56" s="12"/>
      <c r="AI56" s="12"/>
      <c r="AJ56" s="12"/>
    </row>
    <row r="57" spans="26:36" ht="14.25" customHeight="1" x14ac:dyDescent="0.25">
      <c r="Z57" s="10"/>
      <c r="AA57" s="11" t="s">
        <v>21</v>
      </c>
      <c r="AB57" s="11" t="s">
        <v>22</v>
      </c>
      <c r="AC57" s="11" t="s">
        <v>23</v>
      </c>
      <c r="AD57" s="11" t="s">
        <v>24</v>
      </c>
      <c r="AE57" s="11" t="s">
        <v>25</v>
      </c>
      <c r="AF57" s="11" t="s">
        <v>26</v>
      </c>
      <c r="AG57" s="12" t="s">
        <v>27</v>
      </c>
      <c r="AH57" s="12" t="s">
        <v>28</v>
      </c>
      <c r="AI57" s="12" t="s">
        <v>29</v>
      </c>
      <c r="AJ57" s="12" t="s">
        <v>30</v>
      </c>
    </row>
    <row r="58" spans="26:36" ht="14.25" customHeight="1" x14ac:dyDescent="0.25">
      <c r="Z58" s="18"/>
      <c r="AA58" s="18">
        <v>2.8000000000000001E-2</v>
      </c>
      <c r="AB58" s="14">
        <v>500</v>
      </c>
      <c r="AC58" s="14">
        <v>21</v>
      </c>
      <c r="AD58" s="14">
        <v>20.2</v>
      </c>
      <c r="AE58" s="19">
        <f>AC58/100</f>
        <v>0.21</v>
      </c>
      <c r="AF58" s="19">
        <f>AD58/100</f>
        <v>0.20199999999999999</v>
      </c>
      <c r="AG58" s="20">
        <f>(AB58*(AE58-AF58))/(1-AE58*(1-0.85))</f>
        <v>4.1300980898296373</v>
      </c>
      <c r="AH58" s="15">
        <f>AG58/AA58</f>
        <v>147.50350320820132</v>
      </c>
      <c r="AI58" s="18">
        <f>(AH58*0.795)</f>
        <v>117.26528505052006</v>
      </c>
      <c r="AJ58" s="13">
        <f>M8/AI58</f>
        <v>22.07464040943394</v>
      </c>
    </row>
    <row r="59" spans="26:36" ht="14.25" customHeight="1" x14ac:dyDescent="0.25">
      <c r="Z59" s="18"/>
      <c r="AA59" s="18">
        <v>3.3000000000000002E-2</v>
      </c>
      <c r="AB59" s="14">
        <v>500</v>
      </c>
      <c r="AC59" s="19">
        <v>21</v>
      </c>
      <c r="AD59" s="19">
        <v>1.8</v>
      </c>
      <c r="AE59" s="19">
        <f t="shared" ref="AE59:AE61" si="72">AC59/100</f>
        <v>0.21</v>
      </c>
      <c r="AF59" s="19">
        <f t="shared" ref="AF59:AF61" si="73">AD59/100</f>
        <v>1.8000000000000002E-2</v>
      </c>
      <c r="AG59" s="20">
        <f t="shared" ref="AG59:AG61" si="74">(AB59*(AE59-AF59))/(1-AE59*(1-0.85))</f>
        <v>99.122354155911196</v>
      </c>
      <c r="AH59" s="15">
        <f t="shared" ref="AH59:AH61" si="75">AG59/AA59</f>
        <v>3003.7077016942785</v>
      </c>
      <c r="AI59" s="18">
        <f t="shared" ref="AI59:AI61" si="76">(AH59*0.795)</f>
        <v>2387.9476228469516</v>
      </c>
      <c r="AJ59" s="13">
        <f>M9/AI59</f>
        <v>1.711241051061321</v>
      </c>
    </row>
    <row r="60" spans="26:36" ht="14.25" customHeight="1" x14ac:dyDescent="0.25">
      <c r="Z60" s="18"/>
      <c r="AA60" s="18">
        <v>2.5000000000000001E-2</v>
      </c>
      <c r="AB60" s="14">
        <v>500</v>
      </c>
      <c r="AC60" s="19">
        <v>21</v>
      </c>
      <c r="AD60" s="19">
        <v>19.5</v>
      </c>
      <c r="AE60" s="19">
        <f t="shared" si="72"/>
        <v>0.21</v>
      </c>
      <c r="AF60" s="19">
        <f t="shared" si="73"/>
        <v>0.19500000000000001</v>
      </c>
      <c r="AG60" s="20">
        <f t="shared" si="74"/>
        <v>7.7439339184305549</v>
      </c>
      <c r="AH60" s="15">
        <f t="shared" si="75"/>
        <v>309.75735673722215</v>
      </c>
      <c r="AI60" s="18">
        <f t="shared" si="76"/>
        <v>246.25709860609163</v>
      </c>
      <c r="AJ60" s="13">
        <f>M10/AI60</f>
        <v>14.358327211740058</v>
      </c>
    </row>
    <row r="61" spans="26:36" ht="14.25" customHeight="1" x14ac:dyDescent="0.25">
      <c r="Z61" s="18"/>
      <c r="AA61" s="18">
        <v>2.9000000000000001E-2</v>
      </c>
      <c r="AB61" s="14">
        <v>500</v>
      </c>
      <c r="AC61" s="19">
        <v>20.9</v>
      </c>
      <c r="AD61" s="18">
        <v>20.100000000000001</v>
      </c>
      <c r="AE61" s="19">
        <f t="shared" si="72"/>
        <v>0.20899999999999999</v>
      </c>
      <c r="AF61" s="19">
        <f t="shared" si="73"/>
        <v>0.20100000000000001</v>
      </c>
      <c r="AG61" s="20">
        <f t="shared" si="74"/>
        <v>4.1294585247509312</v>
      </c>
      <c r="AH61" s="15">
        <f t="shared" si="75"/>
        <v>142.39512154313556</v>
      </c>
      <c r="AI61" s="18">
        <f t="shared" si="76"/>
        <v>113.20412162679277</v>
      </c>
      <c r="AJ61" s="13">
        <f>M11/AI61</f>
        <v>19.595788281572379</v>
      </c>
    </row>
    <row r="62" spans="26:36" ht="14.25" customHeight="1" x14ac:dyDescent="0.25"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26:36" ht="14.25" customHeight="1" x14ac:dyDescent="0.25"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26:36" ht="14.25" customHeight="1" x14ac:dyDescent="0.25"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26:36" ht="14.25" customHeight="1" x14ac:dyDescent="0.2">
      <c r="Z65" s="2" t="s">
        <v>10</v>
      </c>
      <c r="AA65" s="3">
        <f>AVERAGE(AA58:AA63)</f>
        <v>2.8749999999999998E-2</v>
      </c>
      <c r="AB65" s="3">
        <f t="shared" ref="AB65:AJ65" si="77">AVERAGE(AB58:AB63)</f>
        <v>500</v>
      </c>
      <c r="AC65" s="3">
        <f t="shared" si="77"/>
        <v>20.975000000000001</v>
      </c>
      <c r="AD65" s="3">
        <f t="shared" si="77"/>
        <v>15.4</v>
      </c>
      <c r="AE65" s="3">
        <f t="shared" si="77"/>
        <v>0.20974999999999999</v>
      </c>
      <c r="AF65" s="3">
        <f t="shared" si="77"/>
        <v>0.154</v>
      </c>
      <c r="AG65" s="3">
        <f t="shared" si="77"/>
        <v>28.781461172230582</v>
      </c>
      <c r="AH65" s="3">
        <f t="shared" si="77"/>
        <v>900.84092079570939</v>
      </c>
      <c r="AI65" s="3">
        <f t="shared" si="77"/>
        <v>716.16853203258893</v>
      </c>
      <c r="AJ65" s="3">
        <f t="shared" si="77"/>
        <v>14.434999238451926</v>
      </c>
    </row>
    <row r="66" spans="26:36" ht="14.25" customHeight="1" x14ac:dyDescent="0.2">
      <c r="Z66" s="2" t="s">
        <v>11</v>
      </c>
      <c r="AA66" s="3">
        <f>STDEV(AA58:AA63)</f>
        <v>3.3040379335998351E-3</v>
      </c>
      <c r="AB66" s="3">
        <f t="shared" ref="AB66:AJ66" si="78">STDEV(AB58:AB63)</f>
        <v>0</v>
      </c>
      <c r="AC66" s="3">
        <f t="shared" si="78"/>
        <v>5.0000000000000711E-2</v>
      </c>
      <c r="AD66" s="3">
        <f t="shared" si="78"/>
        <v>9.0719347440333777</v>
      </c>
      <c r="AE66" s="3">
        <f t="shared" si="78"/>
        <v>5.0000000000000044E-4</v>
      </c>
      <c r="AF66" s="3">
        <f t="shared" si="78"/>
        <v>9.0719347440333817E-2</v>
      </c>
      <c r="AG66" s="3">
        <f t="shared" si="78"/>
        <v>46.924868016321909</v>
      </c>
      <c r="AH66" s="3">
        <f t="shared" si="78"/>
        <v>1404.0638367548306</v>
      </c>
      <c r="AI66" s="3">
        <f t="shared" si="78"/>
        <v>1116.2307502200904</v>
      </c>
      <c r="AJ66" s="3">
        <f t="shared" si="78"/>
        <v>9.0718936240791699</v>
      </c>
    </row>
    <row r="67" spans="26:36" ht="14.25" customHeight="1" x14ac:dyDescent="0.2">
      <c r="Z67" s="2" t="s">
        <v>12</v>
      </c>
      <c r="AA67" s="3">
        <f>AA66/SQRT(AA68)</f>
        <v>1.6520189667999176E-3</v>
      </c>
      <c r="AB67" s="3">
        <f t="shared" ref="AB67" si="79">AB66/SQRT(AB68)</f>
        <v>0</v>
      </c>
      <c r="AC67" s="3">
        <f t="shared" ref="AC67" si="80">AC66/SQRT(AC68)</f>
        <v>2.5000000000000355E-2</v>
      </c>
      <c r="AD67" s="3">
        <f t="shared" ref="AD67" si="81">AD66/SQRT(AD68)</f>
        <v>4.5359673720166889</v>
      </c>
      <c r="AE67" s="3">
        <f t="shared" ref="AE67" si="82">AE66/SQRT(AE68)</f>
        <v>2.5000000000000022E-4</v>
      </c>
      <c r="AF67" s="3">
        <f t="shared" ref="AF67" si="83">AF66/SQRT(AF68)</f>
        <v>4.5359673720166908E-2</v>
      </c>
      <c r="AG67" s="3">
        <f t="shared" ref="AG67" si="84">AG66/SQRT(AG68)</f>
        <v>23.462434008160955</v>
      </c>
      <c r="AH67" s="3">
        <f t="shared" ref="AH67" si="85">AH66/SQRT(AH68)</f>
        <v>702.03191837741531</v>
      </c>
      <c r="AI67" s="3">
        <f t="shared" ref="AI67" si="86">AI66/SQRT(AI68)</f>
        <v>558.11537511004519</v>
      </c>
      <c r="AJ67" s="3">
        <f t="shared" ref="AJ67" si="87">AJ66/SQRT(AJ68)</f>
        <v>4.5359468120395849</v>
      </c>
    </row>
    <row r="68" spans="26:36" ht="14.25" customHeight="1" x14ac:dyDescent="0.2">
      <c r="Z68" s="2" t="s">
        <v>13</v>
      </c>
      <c r="AA68" s="3">
        <f>COUNT(AA58:AA63)</f>
        <v>4</v>
      </c>
      <c r="AB68" s="3">
        <f t="shared" ref="AB68:AJ68" si="88">COUNT(AB58:AB63)</f>
        <v>4</v>
      </c>
      <c r="AC68" s="3">
        <f t="shared" si="88"/>
        <v>4</v>
      </c>
      <c r="AD68" s="3">
        <f t="shared" si="88"/>
        <v>4</v>
      </c>
      <c r="AE68" s="3">
        <f t="shared" si="88"/>
        <v>4</v>
      </c>
      <c r="AF68" s="3">
        <f t="shared" si="88"/>
        <v>4</v>
      </c>
      <c r="AG68" s="3">
        <f t="shared" si="88"/>
        <v>4</v>
      </c>
      <c r="AH68" s="3">
        <f t="shared" si="88"/>
        <v>4</v>
      </c>
      <c r="AI68" s="3">
        <f t="shared" si="88"/>
        <v>4</v>
      </c>
      <c r="AJ68" s="3">
        <f t="shared" si="88"/>
        <v>4</v>
      </c>
    </row>
    <row r="69" spans="26:36" ht="14.25" customHeight="1" x14ac:dyDescent="0.2"/>
    <row r="70" spans="26:36" ht="14.25" customHeight="1" x14ac:dyDescent="0.2"/>
    <row r="71" spans="26:36" ht="14.25" customHeight="1" x14ac:dyDescent="0.25">
      <c r="Z71" s="10" t="s">
        <v>34</v>
      </c>
      <c r="AA71" s="11"/>
      <c r="AB71" s="11"/>
      <c r="AC71" s="11"/>
      <c r="AD71" s="11"/>
      <c r="AE71" s="11"/>
      <c r="AF71" s="11"/>
      <c r="AG71" s="12"/>
      <c r="AH71" s="12"/>
      <c r="AI71" s="12"/>
      <c r="AJ71" s="12"/>
    </row>
    <row r="72" spans="26:36" ht="14.25" customHeight="1" x14ac:dyDescent="0.25">
      <c r="Z72" s="10"/>
      <c r="AA72" s="11" t="s">
        <v>21</v>
      </c>
      <c r="AB72" s="11" t="s">
        <v>22</v>
      </c>
      <c r="AC72" s="11" t="s">
        <v>23</v>
      </c>
      <c r="AD72" s="11" t="s">
        <v>24</v>
      </c>
      <c r="AE72" s="11" t="s">
        <v>25</v>
      </c>
      <c r="AF72" s="11" t="s">
        <v>26</v>
      </c>
      <c r="AG72" s="12" t="s">
        <v>27</v>
      </c>
      <c r="AH72" s="12" t="s">
        <v>28</v>
      </c>
      <c r="AI72" s="12" t="s">
        <v>29</v>
      </c>
      <c r="AJ72" s="12" t="s">
        <v>30</v>
      </c>
    </row>
    <row r="73" spans="26:36" ht="14.25" customHeight="1" x14ac:dyDescent="0.25">
      <c r="Z73" s="18"/>
      <c r="AA73" s="18">
        <v>2.1999999999999999E-2</v>
      </c>
      <c r="AB73" s="14">
        <v>500</v>
      </c>
      <c r="AC73" s="14">
        <v>21</v>
      </c>
      <c r="AD73" s="14">
        <v>19.600000000000001</v>
      </c>
      <c r="AE73" s="19">
        <f>AC73/100</f>
        <v>0.21</v>
      </c>
      <c r="AF73" s="19">
        <f>AD73/100</f>
        <v>0.19600000000000001</v>
      </c>
      <c r="AG73" s="20">
        <f>(AB73*(AE73-AF73))/(1-AE73*(1-0.85))</f>
        <v>7.2276716572018502</v>
      </c>
      <c r="AH73" s="15">
        <f>AG73/AA73</f>
        <v>328.53052987281137</v>
      </c>
      <c r="AI73" s="18">
        <f>(AH73*0.795)</f>
        <v>261.18177124888507</v>
      </c>
      <c r="AJ73" s="13">
        <f>N8/AI73</f>
        <v>15.525402024079083</v>
      </c>
    </row>
    <row r="74" spans="26:36" ht="14.25" customHeight="1" x14ac:dyDescent="0.25">
      <c r="Z74" s="18"/>
      <c r="AA74" s="18">
        <v>2.5000000000000001E-2</v>
      </c>
      <c r="AB74" s="14">
        <v>500</v>
      </c>
      <c r="AC74" s="19">
        <v>21</v>
      </c>
      <c r="AD74" s="19">
        <v>19.8</v>
      </c>
      <c r="AE74" s="19">
        <f t="shared" ref="AE74:AE76" si="89">AC74/100</f>
        <v>0.21</v>
      </c>
      <c r="AF74" s="19">
        <f t="shared" ref="AF74:AF76" si="90">AD74/100</f>
        <v>0.19800000000000001</v>
      </c>
      <c r="AG74" s="20">
        <f t="shared" ref="AG74:AG76" si="91">(AB74*(AE74-AF74))/(1-AE74*(1-0.85))</f>
        <v>6.1951471347444409</v>
      </c>
      <c r="AH74" s="15">
        <f t="shared" ref="AH74:AH76" si="92">AG74/AA74</f>
        <v>247.80588538977761</v>
      </c>
      <c r="AI74" s="18">
        <f t="shared" ref="AI74:AI76" si="93">(AH74*0.795)</f>
        <v>197.00567888487322</v>
      </c>
      <c r="AJ74" s="13">
        <f t="shared" ref="AJ74:AJ76" si="94">N9/AI74</f>
        <v>28.538273778826035</v>
      </c>
    </row>
    <row r="75" spans="26:36" ht="14.25" customHeight="1" x14ac:dyDescent="0.25">
      <c r="Z75" s="18"/>
      <c r="AA75" s="18">
        <v>2.7E-2</v>
      </c>
      <c r="AB75" s="14">
        <v>500</v>
      </c>
      <c r="AC75" s="19">
        <v>21</v>
      </c>
      <c r="AD75" s="19">
        <v>19.899999999999999</v>
      </c>
      <c r="AE75" s="19">
        <f t="shared" si="89"/>
        <v>0.21</v>
      </c>
      <c r="AF75" s="19">
        <f t="shared" si="90"/>
        <v>0.19899999999999998</v>
      </c>
      <c r="AG75" s="20">
        <f t="shared" si="91"/>
        <v>5.6788848735157513</v>
      </c>
      <c r="AH75" s="15">
        <f t="shared" si="92"/>
        <v>210.32906938947227</v>
      </c>
      <c r="AI75" s="18">
        <f t="shared" si="93"/>
        <v>167.21161016463046</v>
      </c>
      <c r="AJ75" s="13">
        <f t="shared" si="94"/>
        <v>23.164707260377337</v>
      </c>
    </row>
    <row r="76" spans="26:36" ht="14.25" customHeight="1" x14ac:dyDescent="0.25">
      <c r="Z76" s="18"/>
      <c r="AA76" s="18">
        <v>2.5999999999999999E-2</v>
      </c>
      <c r="AB76" s="14">
        <v>500</v>
      </c>
      <c r="AC76" s="19">
        <v>21</v>
      </c>
      <c r="AD76" s="18">
        <v>20</v>
      </c>
      <c r="AE76" s="19">
        <f t="shared" si="89"/>
        <v>0.21</v>
      </c>
      <c r="AF76" s="19">
        <f t="shared" si="90"/>
        <v>0.2</v>
      </c>
      <c r="AG76" s="20">
        <f t="shared" si="91"/>
        <v>5.1626226122870316</v>
      </c>
      <c r="AH76" s="15">
        <f t="shared" si="92"/>
        <v>198.56240816488585</v>
      </c>
      <c r="AI76" s="18">
        <f t="shared" si="93"/>
        <v>157.85711449108425</v>
      </c>
      <c r="AJ76" s="13">
        <f t="shared" si="94"/>
        <v>21.125433660377396</v>
      </c>
    </row>
    <row r="77" spans="26:36" ht="14.25" customHeight="1" x14ac:dyDescent="0.25"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26:36" ht="14.25" customHeight="1" x14ac:dyDescent="0.25"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26:36" ht="14.25" customHeight="1" x14ac:dyDescent="0.25"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26:36" ht="14.25" customHeight="1" x14ac:dyDescent="0.2">
      <c r="Z80" s="2" t="s">
        <v>10</v>
      </c>
      <c r="AA80" s="3">
        <f>AVERAGE(AA73:AA78)</f>
        <v>2.4999999999999998E-2</v>
      </c>
      <c r="AB80" s="3">
        <f t="shared" ref="AB80:AJ80" si="95">AVERAGE(AB73:AB78)</f>
        <v>500</v>
      </c>
      <c r="AC80" s="3">
        <f t="shared" si="95"/>
        <v>21</v>
      </c>
      <c r="AD80" s="3">
        <f t="shared" si="95"/>
        <v>19.825000000000003</v>
      </c>
      <c r="AE80" s="3">
        <f t="shared" si="95"/>
        <v>0.21</v>
      </c>
      <c r="AF80" s="3">
        <f t="shared" si="95"/>
        <v>0.19824999999999998</v>
      </c>
      <c r="AG80" s="3">
        <f t="shared" si="95"/>
        <v>6.0660815694372685</v>
      </c>
      <c r="AH80" s="3">
        <f t="shared" si="95"/>
        <v>246.30697320423675</v>
      </c>
      <c r="AI80" s="3">
        <f t="shared" si="95"/>
        <v>195.81404369736822</v>
      </c>
      <c r="AJ80" s="3">
        <f t="shared" si="95"/>
        <v>22.088454180914962</v>
      </c>
    </row>
    <row r="81" spans="26:36" ht="14.25" customHeight="1" x14ac:dyDescent="0.2">
      <c r="Z81" s="2" t="s">
        <v>11</v>
      </c>
      <c r="AA81" s="3">
        <f>STDEV(AA73:AA78)</f>
        <v>2.160246899469287E-3</v>
      </c>
      <c r="AB81" s="3">
        <f t="shared" ref="AB81:AJ81" si="96">STDEV(AB73:AB78)</f>
        <v>0</v>
      </c>
      <c r="AC81" s="3">
        <f t="shared" si="96"/>
        <v>0</v>
      </c>
      <c r="AD81" s="3">
        <f t="shared" si="96"/>
        <v>0.17078251276599243</v>
      </c>
      <c r="AE81" s="3">
        <f t="shared" si="96"/>
        <v>0</v>
      </c>
      <c r="AF81" s="3">
        <f t="shared" si="96"/>
        <v>1.7078251276599306E-3</v>
      </c>
      <c r="AG81" s="3">
        <f t="shared" si="96"/>
        <v>0.88168566218891853</v>
      </c>
      <c r="AH81" s="3">
        <f t="shared" si="96"/>
        <v>58.699554406802633</v>
      </c>
      <c r="AI81" s="3">
        <f t="shared" si="96"/>
        <v>46.666145753408223</v>
      </c>
      <c r="AJ81" s="3">
        <f t="shared" si="96"/>
        <v>5.3777180932986433</v>
      </c>
    </row>
    <row r="82" spans="26:36" ht="14.25" customHeight="1" x14ac:dyDescent="0.2">
      <c r="Z82" s="2" t="s">
        <v>12</v>
      </c>
      <c r="AA82" s="3">
        <f>AA81/SQRT(AA83)</f>
        <v>1.0801234497346435E-3</v>
      </c>
      <c r="AB82" s="3">
        <f t="shared" ref="AB82" si="97">AB81/SQRT(AB83)</f>
        <v>0</v>
      </c>
      <c r="AC82" s="3">
        <f t="shared" ref="AC82" si="98">AC81/SQRT(AC83)</f>
        <v>0</v>
      </c>
      <c r="AD82" s="3">
        <f t="shared" ref="AD82" si="99">AD81/SQRT(AD83)</f>
        <v>8.5391256382996217E-2</v>
      </c>
      <c r="AE82" s="3">
        <f t="shared" ref="AE82" si="100">AE81/SQRT(AE83)</f>
        <v>0</v>
      </c>
      <c r="AF82" s="3">
        <f t="shared" ref="AF82" si="101">AF81/SQRT(AF83)</f>
        <v>8.5391256382996532E-4</v>
      </c>
      <c r="AG82" s="3">
        <f t="shared" ref="AG82" si="102">AG81/SQRT(AG83)</f>
        <v>0.44084283109445926</v>
      </c>
      <c r="AH82" s="3">
        <f t="shared" ref="AH82" si="103">AH81/SQRT(AH83)</f>
        <v>29.349777203401317</v>
      </c>
      <c r="AI82" s="3">
        <f t="shared" ref="AI82" si="104">AI81/SQRT(AI83)</f>
        <v>23.333072876704112</v>
      </c>
      <c r="AJ82" s="3">
        <f t="shared" ref="AJ82" si="105">AJ81/SQRT(AJ83)</f>
        <v>2.6888590466493216</v>
      </c>
    </row>
    <row r="83" spans="26:36" ht="14.25" customHeight="1" x14ac:dyDescent="0.2">
      <c r="Z83" s="2" t="s">
        <v>13</v>
      </c>
      <c r="AA83" s="3">
        <f>COUNT(AA73:AA78)</f>
        <v>4</v>
      </c>
      <c r="AB83" s="3">
        <f t="shared" ref="AB83:AJ83" si="106">COUNT(AB73:AB78)</f>
        <v>4</v>
      </c>
      <c r="AC83" s="3">
        <f t="shared" si="106"/>
        <v>4</v>
      </c>
      <c r="AD83" s="3">
        <f t="shared" si="106"/>
        <v>4</v>
      </c>
      <c r="AE83" s="3">
        <f t="shared" si="106"/>
        <v>4</v>
      </c>
      <c r="AF83" s="3">
        <f t="shared" si="106"/>
        <v>4</v>
      </c>
      <c r="AG83" s="3">
        <f t="shared" si="106"/>
        <v>4</v>
      </c>
      <c r="AH83" s="3">
        <f t="shared" si="106"/>
        <v>4</v>
      </c>
      <c r="AI83" s="3">
        <f t="shared" si="106"/>
        <v>4</v>
      </c>
      <c r="AJ83" s="3">
        <f t="shared" si="106"/>
        <v>4</v>
      </c>
    </row>
    <row r="84" spans="26:36" ht="14.25" customHeight="1" x14ac:dyDescent="0.2"/>
    <row r="85" spans="26:36" ht="14.25" customHeight="1" x14ac:dyDescent="0.2"/>
    <row r="86" spans="26:36" ht="14.25" customHeight="1" x14ac:dyDescent="0.2"/>
    <row r="87" spans="26:36" ht="14.25" customHeight="1" x14ac:dyDescent="0.2"/>
    <row r="88" spans="26:36" ht="14.25" customHeight="1" x14ac:dyDescent="0.2"/>
    <row r="89" spans="26:36" ht="14.25" customHeight="1" x14ac:dyDescent="0.2"/>
    <row r="90" spans="26:36" ht="14.25" customHeight="1" x14ac:dyDescent="0.2"/>
    <row r="91" spans="26:36" ht="14.25" customHeight="1" x14ac:dyDescent="0.2"/>
    <row r="92" spans="26:36" ht="14.25" customHeight="1" x14ac:dyDescent="0.2"/>
    <row r="93" spans="26:36" ht="14.25" customHeight="1" x14ac:dyDescent="0.2"/>
    <row r="94" spans="26:36" ht="14.25" customHeight="1" x14ac:dyDescent="0.2"/>
    <row r="95" spans="26:36" ht="14.25" customHeight="1" x14ac:dyDescent="0.2"/>
    <row r="96" spans="26:36" ht="14.25" customHeight="1" x14ac:dyDescent="0.2"/>
    <row r="97" s="13" customFormat="1" ht="14.25" customHeight="1" x14ac:dyDescent="0.2"/>
    <row r="98" s="13" customFormat="1" ht="14.25" customHeight="1" x14ac:dyDescent="0.2"/>
    <row r="99" s="13" customFormat="1" ht="14.25" customHeight="1" x14ac:dyDescent="0.2"/>
    <row r="100" s="13" customFormat="1" ht="14.25" customHeight="1" x14ac:dyDescent="0.2"/>
    <row r="101" s="13" customFormat="1" ht="14.25" customHeight="1" x14ac:dyDescent="0.2"/>
    <row r="102" s="13" customFormat="1" ht="14.25" customHeight="1" x14ac:dyDescent="0.2"/>
    <row r="103" s="13" customFormat="1" ht="14.25" customHeight="1" x14ac:dyDescent="0.2"/>
    <row r="104" s="13" customFormat="1" ht="14.25" customHeight="1" x14ac:dyDescent="0.2"/>
    <row r="105" s="13" customFormat="1" ht="14.25" customHeight="1" x14ac:dyDescent="0.2"/>
    <row r="106" s="13" customFormat="1" ht="14.25" customHeight="1" x14ac:dyDescent="0.2"/>
    <row r="107" s="13" customFormat="1" ht="14.25" customHeight="1" x14ac:dyDescent="0.2"/>
    <row r="108" s="13" customFormat="1" ht="14.25" customHeight="1" x14ac:dyDescent="0.2"/>
    <row r="109" s="13" customFormat="1" ht="14.25" customHeight="1" x14ac:dyDescent="0.2"/>
    <row r="110" s="13" customFormat="1" ht="14.25" customHeight="1" x14ac:dyDescent="0.2"/>
    <row r="111" s="13" customFormat="1" ht="14.25" customHeight="1" x14ac:dyDescent="0.2"/>
    <row r="112" s="13" customFormat="1" ht="14.25" customHeight="1" x14ac:dyDescent="0.2"/>
    <row r="113" s="13" customFormat="1" ht="14.25" customHeight="1" x14ac:dyDescent="0.2"/>
    <row r="114" s="13" customFormat="1" ht="14.25" customHeight="1" x14ac:dyDescent="0.2"/>
    <row r="115" s="13" customFormat="1" ht="14.25" customHeight="1" x14ac:dyDescent="0.2"/>
    <row r="116" s="13" customFormat="1" ht="14.25" customHeight="1" x14ac:dyDescent="0.2"/>
    <row r="117" s="13" customFormat="1" ht="14.25" customHeight="1" x14ac:dyDescent="0.2"/>
    <row r="118" s="13" customFormat="1" ht="14.25" customHeight="1" x14ac:dyDescent="0.2"/>
    <row r="119" s="13" customFormat="1" ht="14.25" customHeight="1" x14ac:dyDescent="0.2"/>
    <row r="120" s="13" customFormat="1" ht="14.25" customHeight="1" x14ac:dyDescent="0.2"/>
    <row r="121" s="13" customFormat="1" ht="14.25" customHeight="1" x14ac:dyDescent="0.2"/>
    <row r="122" s="13" customFormat="1" ht="14.25" customHeight="1" x14ac:dyDescent="0.2"/>
    <row r="123" s="13" customFormat="1" ht="14.25" customHeight="1" x14ac:dyDescent="0.2"/>
    <row r="124" s="13" customFormat="1" ht="14.25" customHeight="1" x14ac:dyDescent="0.2"/>
    <row r="125" s="13" customFormat="1" ht="14.25" customHeight="1" x14ac:dyDescent="0.2"/>
    <row r="126" s="13" customFormat="1" ht="14.25" customHeight="1" x14ac:dyDescent="0.2"/>
    <row r="127" s="13" customFormat="1" ht="14.25" customHeight="1" x14ac:dyDescent="0.2"/>
    <row r="128" s="13" customFormat="1" ht="14.25" customHeight="1" x14ac:dyDescent="0.2"/>
    <row r="129" s="13" customFormat="1" ht="14.25" customHeight="1" x14ac:dyDescent="0.2"/>
    <row r="130" s="13" customFormat="1" ht="14.25" customHeight="1" x14ac:dyDescent="0.2"/>
    <row r="131" s="13" customFormat="1" ht="14.25" customHeight="1" x14ac:dyDescent="0.2"/>
    <row r="132" s="13" customFormat="1" ht="14.25" customHeight="1" x14ac:dyDescent="0.2"/>
    <row r="133" s="13" customFormat="1" ht="14.25" customHeight="1" x14ac:dyDescent="0.2"/>
    <row r="134" s="13" customFormat="1" ht="14.25" customHeight="1" x14ac:dyDescent="0.2"/>
    <row r="135" s="13" customFormat="1" ht="14.25" customHeight="1" x14ac:dyDescent="0.2"/>
    <row r="136" s="13" customFormat="1" ht="14.25" customHeight="1" x14ac:dyDescent="0.2"/>
    <row r="137" s="13" customFormat="1" ht="14.25" customHeight="1" x14ac:dyDescent="0.2"/>
    <row r="138" s="13" customFormat="1" ht="14.25" customHeight="1" x14ac:dyDescent="0.2"/>
    <row r="139" s="13" customFormat="1" ht="14.25" customHeight="1" x14ac:dyDescent="0.2"/>
    <row r="140" s="13" customFormat="1" ht="14.25" customHeight="1" x14ac:dyDescent="0.2"/>
    <row r="141" s="13" customFormat="1" ht="14.25" customHeight="1" x14ac:dyDescent="0.2"/>
    <row r="142" s="13" customFormat="1" ht="14.25" customHeight="1" x14ac:dyDescent="0.2"/>
    <row r="143" s="13" customFormat="1" ht="14.25" customHeight="1" x14ac:dyDescent="0.2"/>
    <row r="144" s="13" customFormat="1" ht="14.25" customHeight="1" x14ac:dyDescent="0.2"/>
    <row r="145" s="13" customFormat="1" ht="14.25" customHeight="1" x14ac:dyDescent="0.2"/>
    <row r="146" s="13" customFormat="1" ht="14.25" customHeight="1" x14ac:dyDescent="0.2"/>
    <row r="147" s="13" customFormat="1" ht="14.25" customHeight="1" x14ac:dyDescent="0.2"/>
    <row r="148" s="13" customFormat="1" ht="14.25" customHeight="1" x14ac:dyDescent="0.2"/>
    <row r="149" s="13" customFormat="1" ht="14.25" customHeight="1" x14ac:dyDescent="0.2"/>
    <row r="150" s="13" customFormat="1" ht="14.25" customHeight="1" x14ac:dyDescent="0.2"/>
    <row r="151" s="13" customFormat="1" ht="14.25" customHeight="1" x14ac:dyDescent="0.2"/>
    <row r="152" s="13" customFormat="1" ht="14.25" customHeight="1" x14ac:dyDescent="0.2"/>
    <row r="153" s="13" customFormat="1" ht="14.25" customHeight="1" x14ac:dyDescent="0.2"/>
    <row r="154" s="13" customFormat="1" ht="14.25" customHeight="1" x14ac:dyDescent="0.2"/>
    <row r="155" s="13" customFormat="1" ht="14.25" customHeight="1" x14ac:dyDescent="0.2"/>
    <row r="156" s="13" customFormat="1" ht="14.25" customHeight="1" x14ac:dyDescent="0.2"/>
    <row r="157" s="13" customFormat="1" ht="14.25" customHeight="1" x14ac:dyDescent="0.2"/>
    <row r="158" s="13" customFormat="1" ht="14.25" customHeight="1" x14ac:dyDescent="0.2"/>
    <row r="159" s="13" customFormat="1" ht="14.25" customHeight="1" x14ac:dyDescent="0.2"/>
    <row r="160" s="13" customFormat="1" ht="14.25" customHeight="1" x14ac:dyDescent="0.2"/>
    <row r="161" s="13" customFormat="1" ht="14.25" customHeight="1" x14ac:dyDescent="0.2"/>
    <row r="162" s="13" customFormat="1" ht="14.25" customHeight="1" x14ac:dyDescent="0.2"/>
    <row r="163" s="13" customFormat="1" ht="14.25" customHeight="1" x14ac:dyDescent="0.2"/>
    <row r="164" s="13" customFormat="1" ht="14.25" customHeight="1" x14ac:dyDescent="0.2"/>
    <row r="165" s="13" customFormat="1" ht="14.25" customHeight="1" x14ac:dyDescent="0.2"/>
    <row r="166" s="13" customFormat="1" ht="14.25" customHeight="1" x14ac:dyDescent="0.2"/>
    <row r="167" s="13" customFormat="1" ht="14.25" customHeight="1" x14ac:dyDescent="0.2"/>
    <row r="168" s="13" customFormat="1" ht="14.25" customHeight="1" x14ac:dyDescent="0.2"/>
    <row r="169" s="13" customFormat="1" ht="14.25" customHeight="1" x14ac:dyDescent="0.2"/>
    <row r="170" s="13" customFormat="1" ht="14.25" customHeight="1" x14ac:dyDescent="0.2"/>
    <row r="171" s="13" customFormat="1" ht="14.25" customHeight="1" x14ac:dyDescent="0.2"/>
    <row r="172" s="13" customFormat="1" ht="14.25" customHeight="1" x14ac:dyDescent="0.2"/>
    <row r="173" s="13" customFormat="1" ht="14.25" customHeight="1" x14ac:dyDescent="0.2"/>
    <row r="174" s="13" customFormat="1" ht="14.25" customHeight="1" x14ac:dyDescent="0.2"/>
    <row r="175" s="13" customFormat="1" ht="14.25" customHeight="1" x14ac:dyDescent="0.2"/>
    <row r="176" s="13" customFormat="1" ht="14.25" customHeight="1" x14ac:dyDescent="0.2"/>
    <row r="177" s="13" customFormat="1" ht="14.25" customHeight="1" x14ac:dyDescent="0.2"/>
    <row r="178" s="13" customFormat="1" ht="14.25" customHeight="1" x14ac:dyDescent="0.2"/>
    <row r="179" s="13" customFormat="1" ht="14.25" customHeight="1" x14ac:dyDescent="0.2"/>
    <row r="180" s="13" customFormat="1" ht="14.25" customHeight="1" x14ac:dyDescent="0.2"/>
    <row r="181" s="13" customFormat="1" ht="14.25" customHeight="1" x14ac:dyDescent="0.2"/>
    <row r="182" s="13" customFormat="1" ht="14.25" customHeight="1" x14ac:dyDescent="0.2"/>
    <row r="183" s="13" customFormat="1" ht="14.25" customHeight="1" x14ac:dyDescent="0.2"/>
    <row r="184" s="13" customFormat="1" ht="14.25" customHeight="1" x14ac:dyDescent="0.2"/>
    <row r="185" s="13" customFormat="1" ht="14.25" customHeight="1" x14ac:dyDescent="0.2"/>
    <row r="186" s="13" customFormat="1" ht="14.25" customHeight="1" x14ac:dyDescent="0.2"/>
    <row r="187" s="13" customFormat="1" ht="14.25" customHeight="1" x14ac:dyDescent="0.2"/>
    <row r="188" s="13" customFormat="1" ht="14.25" customHeight="1" x14ac:dyDescent="0.2"/>
    <row r="189" s="13" customFormat="1" ht="14.25" customHeight="1" x14ac:dyDescent="0.2"/>
    <row r="190" s="13" customFormat="1" ht="14.25" customHeight="1" x14ac:dyDescent="0.2"/>
    <row r="191" s="13" customFormat="1" ht="14.25" customHeight="1" x14ac:dyDescent="0.2"/>
    <row r="192" s="13" customFormat="1" ht="14.25" customHeight="1" x14ac:dyDescent="0.2"/>
    <row r="193" s="13" customFormat="1" ht="14.25" customHeight="1" x14ac:dyDescent="0.2"/>
    <row r="194" s="13" customFormat="1" ht="14.25" customHeight="1" x14ac:dyDescent="0.2"/>
    <row r="195" s="13" customFormat="1" ht="14.25" customHeight="1" x14ac:dyDescent="0.2"/>
    <row r="196" s="13" customFormat="1" ht="14.25" customHeight="1" x14ac:dyDescent="0.2"/>
    <row r="197" s="13" customFormat="1" ht="14.25" customHeight="1" x14ac:dyDescent="0.2"/>
    <row r="198" s="13" customFormat="1" ht="14.25" customHeight="1" x14ac:dyDescent="0.2"/>
    <row r="199" s="13" customFormat="1" ht="14.25" customHeight="1" x14ac:dyDescent="0.2"/>
    <row r="200" s="13" customFormat="1" ht="14.25" customHeight="1" x14ac:dyDescent="0.2"/>
    <row r="201" s="13" customFormat="1" ht="14.25" customHeight="1" x14ac:dyDescent="0.2"/>
    <row r="202" s="13" customFormat="1" ht="14.25" customHeight="1" x14ac:dyDescent="0.2"/>
    <row r="203" s="13" customFormat="1" ht="14.25" customHeight="1" x14ac:dyDescent="0.2"/>
    <row r="204" s="13" customFormat="1" ht="14.25" customHeight="1" x14ac:dyDescent="0.2"/>
    <row r="205" s="13" customFormat="1" ht="14.25" customHeight="1" x14ac:dyDescent="0.2"/>
    <row r="206" s="13" customFormat="1" ht="14.25" customHeight="1" x14ac:dyDescent="0.2"/>
    <row r="207" s="13" customFormat="1" ht="14.25" customHeight="1" x14ac:dyDescent="0.2"/>
    <row r="208" s="13" customFormat="1" ht="14.25" customHeight="1" x14ac:dyDescent="0.2"/>
    <row r="209" s="13" customFormat="1" ht="14.25" customHeight="1" x14ac:dyDescent="0.2"/>
    <row r="210" s="13" customFormat="1" ht="14.25" customHeight="1" x14ac:dyDescent="0.2"/>
    <row r="211" s="13" customFormat="1" ht="14.25" customHeight="1" x14ac:dyDescent="0.2"/>
    <row r="212" s="13" customFormat="1" ht="14.25" customHeight="1" x14ac:dyDescent="0.2"/>
    <row r="213" s="13" customFormat="1" ht="14.25" customHeight="1" x14ac:dyDescent="0.2"/>
    <row r="214" s="13" customFormat="1" ht="14.25" customHeight="1" x14ac:dyDescent="0.2"/>
    <row r="215" s="13" customFormat="1" ht="14.25" customHeight="1" x14ac:dyDescent="0.2"/>
    <row r="216" s="13" customFormat="1" ht="14.25" customHeight="1" x14ac:dyDescent="0.2"/>
    <row r="217" s="13" customFormat="1" ht="14.25" customHeight="1" x14ac:dyDescent="0.2"/>
    <row r="218" s="13" customFormat="1" ht="14.25" customHeight="1" x14ac:dyDescent="0.2"/>
    <row r="219" s="13" customFormat="1" ht="14.25" customHeight="1" x14ac:dyDescent="0.2"/>
    <row r="220" s="13" customFormat="1" ht="14.25" customHeight="1" x14ac:dyDescent="0.2"/>
    <row r="221" s="13" customFormat="1" ht="14.25" customHeight="1" x14ac:dyDescent="0.2"/>
    <row r="222" s="13" customFormat="1" ht="14.25" customHeight="1" x14ac:dyDescent="0.2"/>
    <row r="223" s="13" customFormat="1" ht="14.25" customHeight="1" x14ac:dyDescent="0.2"/>
    <row r="224" s="13" customFormat="1" ht="14.25" customHeight="1" x14ac:dyDescent="0.2"/>
    <row r="225" s="13" customFormat="1" ht="14.25" customHeight="1" x14ac:dyDescent="0.2"/>
    <row r="226" s="13" customFormat="1" ht="14.25" customHeight="1" x14ac:dyDescent="0.2"/>
    <row r="227" s="13" customFormat="1" ht="14.25" customHeight="1" x14ac:dyDescent="0.2"/>
    <row r="228" s="13" customFormat="1" ht="14.25" customHeight="1" x14ac:dyDescent="0.2"/>
    <row r="229" s="13" customFormat="1" ht="14.25" customHeight="1" x14ac:dyDescent="0.2"/>
    <row r="230" s="13" customFormat="1" ht="14.25" customHeight="1" x14ac:dyDescent="0.2"/>
    <row r="231" s="13" customFormat="1" ht="14.25" customHeight="1" x14ac:dyDescent="0.2"/>
    <row r="232" s="13" customFormat="1" ht="14.25" customHeight="1" x14ac:dyDescent="0.2"/>
    <row r="233" s="13" customFormat="1" ht="14.25" customHeight="1" x14ac:dyDescent="0.2"/>
    <row r="234" s="13" customFormat="1" ht="14.25" customHeight="1" x14ac:dyDescent="0.2"/>
    <row r="235" s="13" customFormat="1" ht="14.25" customHeight="1" x14ac:dyDescent="0.2"/>
    <row r="236" s="13" customFormat="1" ht="14.25" customHeight="1" x14ac:dyDescent="0.2"/>
    <row r="237" s="13" customFormat="1" ht="14.25" customHeight="1" x14ac:dyDescent="0.2"/>
    <row r="238" s="13" customFormat="1" ht="14.25" customHeight="1" x14ac:dyDescent="0.2"/>
    <row r="239" s="13" customFormat="1" ht="14.25" customHeight="1" x14ac:dyDescent="0.2"/>
    <row r="240" s="13" customFormat="1" ht="14.25" customHeight="1" x14ac:dyDescent="0.2"/>
    <row r="241" s="13" customFormat="1" ht="14.25" customHeight="1" x14ac:dyDescent="0.2"/>
    <row r="242" s="13" customFormat="1" ht="14.25" customHeight="1" x14ac:dyDescent="0.2"/>
    <row r="243" s="13" customFormat="1" ht="14.25" customHeight="1" x14ac:dyDescent="0.2"/>
    <row r="244" s="13" customFormat="1" ht="14.25" customHeight="1" x14ac:dyDescent="0.2"/>
    <row r="245" s="13" customFormat="1" ht="14.25" customHeight="1" x14ac:dyDescent="0.2"/>
    <row r="246" s="13" customFormat="1" ht="14.25" customHeight="1" x14ac:dyDescent="0.2"/>
    <row r="247" s="13" customFormat="1" ht="14.25" customHeight="1" x14ac:dyDescent="0.2"/>
    <row r="248" s="13" customFormat="1" ht="14.25" customHeight="1" x14ac:dyDescent="0.2"/>
    <row r="249" s="13" customFormat="1" ht="14.25" customHeight="1" x14ac:dyDescent="0.2"/>
    <row r="250" s="13" customFormat="1" ht="14.25" customHeight="1" x14ac:dyDescent="0.2"/>
    <row r="251" s="13" customFormat="1" ht="14.25" customHeight="1" x14ac:dyDescent="0.2"/>
    <row r="252" s="13" customFormat="1" ht="14.25" customHeight="1" x14ac:dyDescent="0.2"/>
    <row r="253" s="13" customFormat="1" ht="14.25" customHeight="1" x14ac:dyDescent="0.2"/>
    <row r="254" s="13" customFormat="1" ht="14.25" customHeight="1" x14ac:dyDescent="0.2"/>
    <row r="255" s="13" customFormat="1" ht="14.25" customHeight="1" x14ac:dyDescent="0.2"/>
    <row r="256" s="13" customFormat="1" ht="14.25" customHeight="1" x14ac:dyDescent="0.2"/>
    <row r="257" s="13" customFormat="1" ht="14.25" customHeight="1" x14ac:dyDescent="0.2"/>
    <row r="258" s="13" customFormat="1" ht="14.25" customHeight="1" x14ac:dyDescent="0.2"/>
    <row r="259" s="13" customFormat="1" ht="14.25" customHeight="1" x14ac:dyDescent="0.2"/>
    <row r="260" s="13" customFormat="1" ht="14.25" customHeight="1" x14ac:dyDescent="0.2"/>
    <row r="261" s="13" customFormat="1" ht="14.25" customHeight="1" x14ac:dyDescent="0.2"/>
    <row r="262" s="13" customFormat="1" ht="14.25" customHeight="1" x14ac:dyDescent="0.2"/>
    <row r="263" s="13" customFormat="1" ht="14.25" customHeight="1" x14ac:dyDescent="0.2"/>
    <row r="264" s="13" customFormat="1" ht="14.25" customHeight="1" x14ac:dyDescent="0.2"/>
    <row r="265" s="13" customFormat="1" ht="14.25" customHeight="1" x14ac:dyDescent="0.2"/>
    <row r="266" s="13" customFormat="1" ht="14.25" customHeight="1" x14ac:dyDescent="0.2"/>
    <row r="267" s="13" customFormat="1" ht="14.25" customHeight="1" x14ac:dyDescent="0.2"/>
    <row r="268" s="13" customFormat="1" ht="14.25" customHeight="1" x14ac:dyDescent="0.2"/>
    <row r="269" s="13" customFormat="1" ht="14.25" customHeight="1" x14ac:dyDescent="0.2"/>
    <row r="270" s="13" customFormat="1" ht="14.25" customHeight="1" x14ac:dyDescent="0.2"/>
    <row r="271" s="13" customFormat="1" ht="14.25" customHeight="1" x14ac:dyDescent="0.2"/>
    <row r="272" s="13" customFormat="1" ht="14.25" customHeight="1" x14ac:dyDescent="0.2"/>
    <row r="273" s="13" customFormat="1" ht="14.25" customHeight="1" x14ac:dyDescent="0.2"/>
    <row r="274" s="13" customFormat="1" ht="14.25" customHeight="1" x14ac:dyDescent="0.2"/>
    <row r="275" s="13" customFormat="1" ht="14.25" customHeight="1" x14ac:dyDescent="0.2"/>
    <row r="276" s="13" customFormat="1" ht="14.25" customHeight="1" x14ac:dyDescent="0.2"/>
    <row r="277" s="13" customFormat="1" ht="14.25" customHeight="1" x14ac:dyDescent="0.2"/>
    <row r="278" s="13" customFormat="1" ht="14.25" customHeight="1" x14ac:dyDescent="0.2"/>
    <row r="279" s="13" customFormat="1" ht="14.25" customHeight="1" x14ac:dyDescent="0.2"/>
    <row r="280" s="13" customFormat="1" ht="14.25" customHeight="1" x14ac:dyDescent="0.2"/>
    <row r="281" s="13" customFormat="1" ht="14.25" customHeight="1" x14ac:dyDescent="0.2"/>
    <row r="282" s="13" customFormat="1" ht="14.25" customHeight="1" x14ac:dyDescent="0.2"/>
    <row r="283" s="13" customFormat="1" ht="14.25" customHeight="1" x14ac:dyDescent="0.2"/>
    <row r="284" s="13" customFormat="1" ht="14.25" customHeight="1" x14ac:dyDescent="0.2"/>
    <row r="285" s="13" customFormat="1" ht="14.25" customHeight="1" x14ac:dyDescent="0.2"/>
    <row r="286" s="13" customFormat="1" ht="14.25" customHeight="1" x14ac:dyDescent="0.2"/>
    <row r="287" s="13" customFormat="1" ht="14.25" customHeight="1" x14ac:dyDescent="0.2"/>
    <row r="288" s="13" customFormat="1" ht="14.25" customHeight="1" x14ac:dyDescent="0.2"/>
    <row r="289" s="13" customFormat="1" ht="14.25" customHeight="1" x14ac:dyDescent="0.2"/>
    <row r="290" s="13" customFormat="1" ht="14.25" customHeight="1" x14ac:dyDescent="0.2"/>
    <row r="291" s="13" customFormat="1" ht="14.25" customHeight="1" x14ac:dyDescent="0.2"/>
    <row r="292" s="13" customFormat="1" ht="14.25" customHeight="1" x14ac:dyDescent="0.2"/>
    <row r="293" s="13" customFormat="1" ht="14.25" customHeight="1" x14ac:dyDescent="0.2"/>
    <row r="294" s="13" customFormat="1" ht="14.25" customHeight="1" x14ac:dyDescent="0.2"/>
    <row r="295" s="13" customFormat="1" ht="14.25" customHeight="1" x14ac:dyDescent="0.2"/>
    <row r="296" s="13" customFormat="1" ht="14.25" customHeight="1" x14ac:dyDescent="0.2"/>
    <row r="297" s="13" customFormat="1" ht="14.25" customHeight="1" x14ac:dyDescent="0.2"/>
    <row r="298" s="13" customFormat="1" ht="14.25" customHeight="1" x14ac:dyDescent="0.2"/>
    <row r="299" s="13" customFormat="1" ht="14.25" customHeight="1" x14ac:dyDescent="0.2"/>
    <row r="300" s="13" customFormat="1" ht="14.25" customHeight="1" x14ac:dyDescent="0.2"/>
    <row r="301" s="13" customFormat="1" ht="14.25" customHeight="1" x14ac:dyDescent="0.2"/>
    <row r="302" s="13" customFormat="1" ht="14.25" customHeight="1" x14ac:dyDescent="0.2"/>
    <row r="303" s="13" customFormat="1" ht="14.25" customHeight="1" x14ac:dyDescent="0.2"/>
    <row r="304" s="13" customFormat="1" ht="14.25" customHeight="1" x14ac:dyDescent="0.2"/>
    <row r="305" s="13" customFormat="1" ht="14.25" customHeight="1" x14ac:dyDescent="0.2"/>
    <row r="306" s="13" customFormat="1" ht="14.25" customHeight="1" x14ac:dyDescent="0.2"/>
    <row r="307" s="13" customFormat="1" ht="14.25" customHeight="1" x14ac:dyDescent="0.2"/>
    <row r="308" s="13" customFormat="1" ht="14.25" customHeight="1" x14ac:dyDescent="0.2"/>
    <row r="309" s="13" customFormat="1" ht="14.25" customHeight="1" x14ac:dyDescent="0.2"/>
    <row r="310" s="13" customFormat="1" ht="14.25" customHeight="1" x14ac:dyDescent="0.2"/>
    <row r="311" s="13" customFormat="1" ht="14.25" customHeight="1" x14ac:dyDescent="0.2"/>
    <row r="312" s="13" customFormat="1" ht="14.25" customHeight="1" x14ac:dyDescent="0.2"/>
    <row r="313" s="13" customFormat="1" ht="14.25" customHeight="1" x14ac:dyDescent="0.2"/>
    <row r="314" s="13" customFormat="1" ht="14.25" customHeight="1" x14ac:dyDescent="0.2"/>
    <row r="315" s="13" customFormat="1" ht="14.25" customHeight="1" x14ac:dyDescent="0.2"/>
    <row r="316" s="13" customFormat="1" ht="14.25" customHeight="1" x14ac:dyDescent="0.2"/>
    <row r="317" s="13" customFormat="1" ht="14.25" customHeight="1" x14ac:dyDescent="0.2"/>
    <row r="318" s="13" customFormat="1" ht="14.25" customHeight="1" x14ac:dyDescent="0.2"/>
    <row r="319" s="13" customFormat="1" ht="14.25" customHeight="1" x14ac:dyDescent="0.2"/>
    <row r="320" s="13" customFormat="1" ht="14.25" customHeight="1" x14ac:dyDescent="0.2"/>
    <row r="321" s="13" customFormat="1" ht="14.25" customHeight="1" x14ac:dyDescent="0.2"/>
    <row r="322" s="13" customFormat="1" ht="14.25" customHeight="1" x14ac:dyDescent="0.2"/>
    <row r="323" s="13" customFormat="1" ht="14.25" customHeight="1" x14ac:dyDescent="0.2"/>
    <row r="324" s="13" customFormat="1" ht="14.25" customHeight="1" x14ac:dyDescent="0.2"/>
    <row r="325" s="13" customFormat="1" ht="14.25" customHeight="1" x14ac:dyDescent="0.2"/>
    <row r="326" s="13" customFormat="1" ht="14.25" customHeight="1" x14ac:dyDescent="0.2"/>
    <row r="327" s="13" customFormat="1" ht="14.25" customHeight="1" x14ac:dyDescent="0.2"/>
    <row r="328" s="13" customFormat="1" ht="14.25" customHeight="1" x14ac:dyDescent="0.2"/>
    <row r="329" s="13" customFormat="1" ht="14.25" customHeight="1" x14ac:dyDescent="0.2"/>
    <row r="330" s="13" customFormat="1" ht="14.25" customHeight="1" x14ac:dyDescent="0.2"/>
    <row r="331" s="13" customFormat="1" ht="14.25" customHeight="1" x14ac:dyDescent="0.2"/>
    <row r="332" s="13" customFormat="1" ht="14.25" customHeight="1" x14ac:dyDescent="0.2"/>
    <row r="333" s="13" customFormat="1" ht="14.25" customHeight="1" x14ac:dyDescent="0.2"/>
    <row r="334" s="13" customFormat="1" ht="14.25" customHeight="1" x14ac:dyDescent="0.2"/>
    <row r="335" s="13" customFormat="1" ht="14.25" customHeight="1" x14ac:dyDescent="0.2"/>
    <row r="336" s="13" customFormat="1" ht="14.25" customHeight="1" x14ac:dyDescent="0.2"/>
    <row r="337" s="13" customFormat="1" ht="14.25" customHeight="1" x14ac:dyDescent="0.2"/>
    <row r="338" s="13" customFormat="1" ht="14.25" customHeight="1" x14ac:dyDescent="0.2"/>
    <row r="339" s="13" customFormat="1" ht="14.25" customHeight="1" x14ac:dyDescent="0.2"/>
    <row r="340" s="13" customFormat="1" ht="14.25" customHeight="1" x14ac:dyDescent="0.2"/>
    <row r="341" s="13" customFormat="1" ht="14.25" customHeight="1" x14ac:dyDescent="0.2"/>
    <row r="342" s="13" customFormat="1" ht="14.25" customHeight="1" x14ac:dyDescent="0.2"/>
    <row r="343" s="13" customFormat="1" ht="14.25" customHeight="1" x14ac:dyDescent="0.2"/>
    <row r="344" s="13" customFormat="1" ht="14.25" customHeight="1" x14ac:dyDescent="0.2"/>
    <row r="345" s="13" customFormat="1" ht="14.25" customHeight="1" x14ac:dyDescent="0.2"/>
    <row r="346" s="13" customFormat="1" ht="14.25" customHeight="1" x14ac:dyDescent="0.2"/>
    <row r="347" s="13" customFormat="1" ht="14.25" customHeight="1" x14ac:dyDescent="0.2"/>
    <row r="348" s="13" customFormat="1" ht="14.25" customHeight="1" x14ac:dyDescent="0.2"/>
    <row r="349" s="13" customFormat="1" ht="14.25" customHeight="1" x14ac:dyDescent="0.2"/>
    <row r="350" s="13" customFormat="1" ht="14.25" customHeight="1" x14ac:dyDescent="0.2"/>
    <row r="351" s="13" customFormat="1" ht="14.25" customHeight="1" x14ac:dyDescent="0.2"/>
    <row r="352" s="13" customFormat="1" ht="14.25" customHeight="1" x14ac:dyDescent="0.2"/>
    <row r="353" s="13" customFormat="1" ht="14.25" customHeight="1" x14ac:dyDescent="0.2"/>
    <row r="354" s="13" customFormat="1" ht="14.25" customHeight="1" x14ac:dyDescent="0.2"/>
    <row r="355" s="13" customFormat="1" ht="14.25" customHeight="1" x14ac:dyDescent="0.2"/>
    <row r="356" s="13" customFormat="1" ht="14.25" customHeight="1" x14ac:dyDescent="0.2"/>
    <row r="357" s="13" customFormat="1" ht="14.25" customHeight="1" x14ac:dyDescent="0.2"/>
    <row r="358" s="13" customFormat="1" ht="14.25" customHeight="1" x14ac:dyDescent="0.2"/>
    <row r="359" s="13" customFormat="1" ht="14.25" customHeight="1" x14ac:dyDescent="0.2"/>
    <row r="360" s="13" customFormat="1" ht="14.25" customHeight="1" x14ac:dyDescent="0.2"/>
    <row r="361" s="13" customFormat="1" ht="14.25" customHeight="1" x14ac:dyDescent="0.2"/>
    <row r="362" s="13" customFormat="1" ht="14.25" customHeight="1" x14ac:dyDescent="0.2"/>
    <row r="363" s="13" customFormat="1" ht="14.25" customHeight="1" x14ac:dyDescent="0.2"/>
    <row r="364" s="13" customFormat="1" ht="14.25" customHeight="1" x14ac:dyDescent="0.2"/>
    <row r="365" s="13" customFormat="1" ht="14.25" customHeight="1" x14ac:dyDescent="0.2"/>
    <row r="366" s="13" customFormat="1" ht="14.25" customHeight="1" x14ac:dyDescent="0.2"/>
    <row r="367" s="13" customFormat="1" ht="14.25" customHeight="1" x14ac:dyDescent="0.2"/>
    <row r="368" s="13" customFormat="1" ht="14.25" customHeight="1" x14ac:dyDescent="0.2"/>
    <row r="369" s="13" customFormat="1" ht="14.25" customHeight="1" x14ac:dyDescent="0.2"/>
    <row r="370" s="13" customFormat="1" ht="14.25" customHeight="1" x14ac:dyDescent="0.2"/>
    <row r="371" s="13" customFormat="1" ht="14.25" customHeight="1" x14ac:dyDescent="0.2"/>
    <row r="372" s="13" customFormat="1" ht="14.25" customHeight="1" x14ac:dyDescent="0.2"/>
    <row r="373" s="13" customFormat="1" ht="14.25" customHeight="1" x14ac:dyDescent="0.2"/>
    <row r="374" s="13" customFormat="1" ht="14.25" customHeight="1" x14ac:dyDescent="0.2"/>
    <row r="375" s="13" customFormat="1" ht="14.25" customHeight="1" x14ac:dyDescent="0.2"/>
    <row r="376" s="13" customFormat="1" ht="14.25" customHeight="1" x14ac:dyDescent="0.2"/>
    <row r="377" s="13" customFormat="1" ht="14.25" customHeight="1" x14ac:dyDescent="0.2"/>
    <row r="378" s="13" customFormat="1" ht="14.25" customHeight="1" x14ac:dyDescent="0.2"/>
    <row r="379" s="13" customFormat="1" ht="14.25" customHeight="1" x14ac:dyDescent="0.2"/>
    <row r="380" s="13" customFormat="1" ht="14.25" customHeight="1" x14ac:dyDescent="0.2"/>
    <row r="381" s="13" customFormat="1" ht="14.25" customHeight="1" x14ac:dyDescent="0.2"/>
    <row r="382" s="13" customFormat="1" ht="14.25" customHeight="1" x14ac:dyDescent="0.2"/>
    <row r="383" s="13" customFormat="1" ht="14.25" customHeight="1" x14ac:dyDescent="0.2"/>
    <row r="384" s="13" customFormat="1" ht="14.25" customHeight="1" x14ac:dyDescent="0.2"/>
    <row r="385" s="13" customFormat="1" ht="14.25" customHeight="1" x14ac:dyDescent="0.2"/>
    <row r="386" s="13" customFormat="1" ht="14.25" customHeight="1" x14ac:dyDescent="0.2"/>
    <row r="387" s="13" customFormat="1" ht="14.25" customHeight="1" x14ac:dyDescent="0.2"/>
    <row r="388" s="13" customFormat="1" ht="14.25" customHeight="1" x14ac:dyDescent="0.2"/>
    <row r="389" s="13" customFormat="1" ht="14.25" customHeight="1" x14ac:dyDescent="0.2"/>
    <row r="390" s="13" customFormat="1" ht="14.25" customHeight="1" x14ac:dyDescent="0.2"/>
    <row r="391" s="13" customFormat="1" ht="14.25" customHeight="1" x14ac:dyDescent="0.2"/>
    <row r="392" s="13" customFormat="1" ht="14.25" customHeight="1" x14ac:dyDescent="0.2"/>
    <row r="393" s="13" customFormat="1" ht="14.25" customHeight="1" x14ac:dyDescent="0.2"/>
    <row r="394" s="13" customFormat="1" ht="14.25" customHeight="1" x14ac:dyDescent="0.2"/>
    <row r="395" s="13" customFormat="1" ht="14.25" customHeight="1" x14ac:dyDescent="0.2"/>
    <row r="396" s="13" customFormat="1" ht="14.25" customHeight="1" x14ac:dyDescent="0.2"/>
    <row r="397" s="13" customFormat="1" ht="14.25" customHeight="1" x14ac:dyDescent="0.2"/>
    <row r="398" s="13" customFormat="1" ht="14.25" customHeight="1" x14ac:dyDescent="0.2"/>
    <row r="399" s="13" customFormat="1" ht="14.25" customHeight="1" x14ac:dyDescent="0.2"/>
    <row r="400" s="13" customFormat="1" ht="14.25" customHeight="1" x14ac:dyDescent="0.2"/>
    <row r="401" s="13" customFormat="1" ht="14.25" customHeight="1" x14ac:dyDescent="0.2"/>
    <row r="402" s="13" customFormat="1" ht="14.25" customHeight="1" x14ac:dyDescent="0.2"/>
    <row r="403" s="13" customFormat="1" ht="14.25" customHeight="1" x14ac:dyDescent="0.2"/>
    <row r="404" s="13" customFormat="1" ht="14.25" customHeight="1" x14ac:dyDescent="0.2"/>
    <row r="405" s="13" customFormat="1" ht="14.25" customHeight="1" x14ac:dyDescent="0.2"/>
    <row r="406" s="13" customFormat="1" ht="14.25" customHeight="1" x14ac:dyDescent="0.2"/>
    <row r="407" s="13" customFormat="1" ht="14.25" customHeight="1" x14ac:dyDescent="0.2"/>
    <row r="408" s="13" customFormat="1" ht="14.25" customHeight="1" x14ac:dyDescent="0.2"/>
    <row r="409" s="13" customFormat="1" ht="14.25" customHeight="1" x14ac:dyDescent="0.2"/>
    <row r="410" s="13" customFormat="1" ht="14.25" customHeight="1" x14ac:dyDescent="0.2"/>
    <row r="411" s="13" customFormat="1" ht="14.25" customHeight="1" x14ac:dyDescent="0.2"/>
    <row r="412" s="13" customFormat="1" ht="14.25" customHeight="1" x14ac:dyDescent="0.2"/>
    <row r="413" s="13" customFormat="1" ht="14.25" customHeight="1" x14ac:dyDescent="0.2"/>
    <row r="414" s="13" customFormat="1" ht="14.25" customHeight="1" x14ac:dyDescent="0.2"/>
    <row r="415" s="13" customFormat="1" ht="14.25" customHeight="1" x14ac:dyDescent="0.2"/>
    <row r="416" s="13" customFormat="1" ht="14.25" customHeight="1" x14ac:dyDescent="0.2"/>
    <row r="417" s="13" customFormat="1" ht="14.25" customHeight="1" x14ac:dyDescent="0.2"/>
    <row r="418" s="13" customFormat="1" ht="14.25" customHeight="1" x14ac:dyDescent="0.2"/>
    <row r="419" s="13" customFormat="1" ht="14.25" customHeight="1" x14ac:dyDescent="0.2"/>
    <row r="420" s="13" customFormat="1" ht="14.25" customHeight="1" x14ac:dyDescent="0.2"/>
    <row r="421" s="13" customFormat="1" ht="14.25" customHeight="1" x14ac:dyDescent="0.2"/>
    <row r="422" s="13" customFormat="1" ht="14.25" customHeight="1" x14ac:dyDescent="0.2"/>
    <row r="423" s="13" customFormat="1" ht="14.25" customHeight="1" x14ac:dyDescent="0.2"/>
    <row r="424" s="13" customFormat="1" ht="14.25" customHeight="1" x14ac:dyDescent="0.2"/>
    <row r="425" s="13" customFormat="1" ht="14.25" customHeight="1" x14ac:dyDescent="0.2"/>
    <row r="426" s="13" customFormat="1" ht="14.25" customHeight="1" x14ac:dyDescent="0.2"/>
    <row r="427" s="13" customFormat="1" ht="14.25" customHeight="1" x14ac:dyDescent="0.2"/>
    <row r="428" s="13" customFormat="1" ht="14.25" customHeight="1" x14ac:dyDescent="0.2"/>
    <row r="429" s="13" customFormat="1" ht="14.25" customHeight="1" x14ac:dyDescent="0.2"/>
    <row r="430" s="13" customFormat="1" ht="14.25" customHeight="1" x14ac:dyDescent="0.2"/>
    <row r="431" s="13" customFormat="1" ht="14.25" customHeight="1" x14ac:dyDescent="0.2"/>
    <row r="432" s="13" customFormat="1" ht="14.25" customHeight="1" x14ac:dyDescent="0.2"/>
    <row r="433" s="13" customFormat="1" ht="14.25" customHeight="1" x14ac:dyDescent="0.2"/>
    <row r="434" s="13" customFormat="1" ht="14.25" customHeight="1" x14ac:dyDescent="0.2"/>
    <row r="435" s="13" customFormat="1" ht="14.25" customHeight="1" x14ac:dyDescent="0.2"/>
    <row r="436" s="13" customFormat="1" ht="14.25" customHeight="1" x14ac:dyDescent="0.2"/>
    <row r="437" s="13" customFormat="1" ht="14.25" customHeight="1" x14ac:dyDescent="0.2"/>
    <row r="438" s="13" customFormat="1" ht="14.25" customHeight="1" x14ac:dyDescent="0.2"/>
    <row r="439" s="13" customFormat="1" ht="14.25" customHeight="1" x14ac:dyDescent="0.2"/>
    <row r="440" s="13" customFormat="1" ht="14.25" customHeight="1" x14ac:dyDescent="0.2"/>
    <row r="441" s="13" customFormat="1" ht="14.25" customHeight="1" x14ac:dyDescent="0.2"/>
    <row r="442" s="13" customFormat="1" ht="14.25" customHeight="1" x14ac:dyDescent="0.2"/>
    <row r="443" s="13" customFormat="1" ht="14.25" customHeight="1" x14ac:dyDescent="0.2"/>
    <row r="444" s="13" customFormat="1" ht="14.25" customHeight="1" x14ac:dyDescent="0.2"/>
    <row r="445" s="13" customFormat="1" ht="14.25" customHeight="1" x14ac:dyDescent="0.2"/>
    <row r="446" s="13" customFormat="1" ht="14.25" customHeight="1" x14ac:dyDescent="0.2"/>
    <row r="447" s="13" customFormat="1" ht="14.25" customHeight="1" x14ac:dyDescent="0.2"/>
    <row r="448" s="13" customFormat="1" ht="14.25" customHeight="1" x14ac:dyDescent="0.2"/>
    <row r="449" s="13" customFormat="1" ht="14.25" customHeight="1" x14ac:dyDescent="0.2"/>
    <row r="450" s="13" customFormat="1" ht="14.25" customHeight="1" x14ac:dyDescent="0.2"/>
    <row r="451" s="13" customFormat="1" ht="14.25" customHeight="1" x14ac:dyDescent="0.2"/>
    <row r="452" s="13" customFormat="1" ht="14.25" customHeight="1" x14ac:dyDescent="0.2"/>
    <row r="453" s="13" customFormat="1" ht="14.25" customHeight="1" x14ac:dyDescent="0.2"/>
    <row r="454" s="13" customFormat="1" ht="14.25" customHeight="1" x14ac:dyDescent="0.2"/>
    <row r="455" s="13" customFormat="1" ht="14.25" customHeight="1" x14ac:dyDescent="0.2"/>
    <row r="456" s="13" customFormat="1" ht="14.25" customHeight="1" x14ac:dyDescent="0.2"/>
    <row r="457" s="13" customFormat="1" ht="14.25" customHeight="1" x14ac:dyDescent="0.2"/>
    <row r="458" s="13" customFormat="1" ht="14.25" customHeight="1" x14ac:dyDescent="0.2"/>
    <row r="459" s="13" customFormat="1" ht="14.25" customHeight="1" x14ac:dyDescent="0.2"/>
    <row r="460" s="13" customFormat="1" ht="14.25" customHeight="1" x14ac:dyDescent="0.2"/>
    <row r="461" s="13" customFormat="1" ht="14.25" customHeight="1" x14ac:dyDescent="0.2"/>
    <row r="462" s="13" customFormat="1" ht="14.25" customHeight="1" x14ac:dyDescent="0.2"/>
    <row r="463" s="13" customFormat="1" ht="14.25" customHeight="1" x14ac:dyDescent="0.2"/>
    <row r="464" s="13" customFormat="1" ht="14.25" customHeight="1" x14ac:dyDescent="0.2"/>
    <row r="465" s="13" customFormat="1" ht="14.25" customHeight="1" x14ac:dyDescent="0.2"/>
    <row r="466" s="13" customFormat="1" ht="14.25" customHeight="1" x14ac:dyDescent="0.2"/>
    <row r="467" s="13" customFormat="1" ht="14.25" customHeight="1" x14ac:dyDescent="0.2"/>
    <row r="468" s="13" customFormat="1" ht="14.25" customHeight="1" x14ac:dyDescent="0.2"/>
    <row r="469" s="13" customFormat="1" ht="14.25" customHeight="1" x14ac:dyDescent="0.2"/>
    <row r="470" s="13" customFormat="1" ht="14.25" customHeight="1" x14ac:dyDescent="0.2"/>
    <row r="471" s="13" customFormat="1" ht="14.25" customHeight="1" x14ac:dyDescent="0.2"/>
    <row r="472" s="13" customFormat="1" ht="14.25" customHeight="1" x14ac:dyDescent="0.2"/>
    <row r="473" s="13" customFormat="1" ht="14.25" customHeight="1" x14ac:dyDescent="0.2"/>
    <row r="474" s="13" customFormat="1" ht="14.25" customHeight="1" x14ac:dyDescent="0.2"/>
    <row r="475" s="13" customFormat="1" ht="14.25" customHeight="1" x14ac:dyDescent="0.2"/>
    <row r="476" s="13" customFormat="1" ht="14.25" customHeight="1" x14ac:dyDescent="0.2"/>
    <row r="477" s="13" customFormat="1" ht="14.25" customHeight="1" x14ac:dyDescent="0.2"/>
    <row r="478" s="13" customFormat="1" ht="14.25" customHeight="1" x14ac:dyDescent="0.2"/>
    <row r="479" s="13" customFormat="1" ht="14.25" customHeight="1" x14ac:dyDescent="0.2"/>
    <row r="480" s="13" customFormat="1" ht="14.25" customHeight="1" x14ac:dyDescent="0.2"/>
    <row r="481" s="13" customFormat="1" ht="14.25" customHeight="1" x14ac:dyDescent="0.2"/>
    <row r="482" s="13" customFormat="1" ht="14.25" customHeight="1" x14ac:dyDescent="0.2"/>
    <row r="483" s="13" customFormat="1" ht="14.25" customHeight="1" x14ac:dyDescent="0.2"/>
    <row r="484" s="13" customFormat="1" ht="14.25" customHeight="1" x14ac:dyDescent="0.2"/>
    <row r="485" s="13" customFormat="1" ht="14.25" customHeight="1" x14ac:dyDescent="0.2"/>
    <row r="486" s="13" customFormat="1" ht="14.25" customHeight="1" x14ac:dyDescent="0.2"/>
    <row r="487" s="13" customFormat="1" ht="14.25" customHeight="1" x14ac:dyDescent="0.2"/>
    <row r="488" s="13" customFormat="1" ht="14.25" customHeight="1" x14ac:dyDescent="0.2"/>
    <row r="489" s="13" customFormat="1" ht="14.25" customHeight="1" x14ac:dyDescent="0.2"/>
    <row r="490" s="13" customFormat="1" ht="14.25" customHeight="1" x14ac:dyDescent="0.2"/>
    <row r="491" s="13" customFormat="1" ht="14.25" customHeight="1" x14ac:dyDescent="0.2"/>
    <row r="492" s="13" customFormat="1" ht="14.25" customHeight="1" x14ac:dyDescent="0.2"/>
    <row r="493" s="13" customFormat="1" ht="14.25" customHeight="1" x14ac:dyDescent="0.2"/>
    <row r="494" s="13" customFormat="1" ht="14.25" customHeight="1" x14ac:dyDescent="0.2"/>
    <row r="495" s="13" customFormat="1" ht="14.25" customHeight="1" x14ac:dyDescent="0.2"/>
    <row r="496" s="13" customFormat="1" ht="14.25" customHeight="1" x14ac:dyDescent="0.2"/>
    <row r="497" s="13" customFormat="1" ht="14.25" customHeight="1" x14ac:dyDescent="0.2"/>
    <row r="498" s="13" customFormat="1" ht="14.25" customHeight="1" x14ac:dyDescent="0.2"/>
    <row r="499" s="13" customFormat="1" ht="14.25" customHeight="1" x14ac:dyDescent="0.2"/>
    <row r="500" s="13" customFormat="1" ht="14.25" customHeight="1" x14ac:dyDescent="0.2"/>
    <row r="501" s="13" customFormat="1" ht="14.25" customHeight="1" x14ac:dyDescent="0.2"/>
    <row r="502" s="13" customFormat="1" ht="14.25" customHeight="1" x14ac:dyDescent="0.2"/>
    <row r="503" s="13" customFormat="1" ht="14.25" customHeight="1" x14ac:dyDescent="0.2"/>
    <row r="504" s="13" customFormat="1" ht="14.25" customHeight="1" x14ac:dyDescent="0.2"/>
    <row r="505" s="13" customFormat="1" ht="14.25" customHeight="1" x14ac:dyDescent="0.2"/>
    <row r="506" s="13" customFormat="1" ht="14.25" customHeight="1" x14ac:dyDescent="0.2"/>
    <row r="507" s="13" customFormat="1" ht="14.25" customHeight="1" x14ac:dyDescent="0.2"/>
    <row r="508" s="13" customFormat="1" ht="14.25" customHeight="1" x14ac:dyDescent="0.2"/>
    <row r="509" s="13" customFormat="1" ht="14.25" customHeight="1" x14ac:dyDescent="0.2"/>
    <row r="510" s="13" customFormat="1" ht="14.25" customHeight="1" x14ac:dyDescent="0.2"/>
    <row r="511" s="13" customFormat="1" ht="14.25" customHeight="1" x14ac:dyDescent="0.2"/>
    <row r="512" s="13" customFormat="1" ht="14.25" customHeight="1" x14ac:dyDescent="0.2"/>
    <row r="513" s="13" customFormat="1" ht="14.25" customHeight="1" x14ac:dyDescent="0.2"/>
    <row r="514" s="13" customFormat="1" ht="14.25" customHeight="1" x14ac:dyDescent="0.2"/>
    <row r="515" s="13" customFormat="1" ht="14.25" customHeight="1" x14ac:dyDescent="0.2"/>
    <row r="516" s="13" customFormat="1" ht="14.25" customHeight="1" x14ac:dyDescent="0.2"/>
    <row r="517" s="13" customFormat="1" ht="14.25" customHeight="1" x14ac:dyDescent="0.2"/>
    <row r="518" s="13" customFormat="1" ht="14.25" customHeight="1" x14ac:dyDescent="0.2"/>
    <row r="519" s="13" customFormat="1" ht="14.25" customHeight="1" x14ac:dyDescent="0.2"/>
    <row r="520" s="13" customFormat="1" ht="14.25" customHeight="1" x14ac:dyDescent="0.2"/>
    <row r="521" s="13" customFormat="1" ht="14.25" customHeight="1" x14ac:dyDescent="0.2"/>
    <row r="522" s="13" customFormat="1" ht="14.25" customHeight="1" x14ac:dyDescent="0.2"/>
    <row r="523" s="13" customFormat="1" ht="14.25" customHeight="1" x14ac:dyDescent="0.2"/>
    <row r="524" s="13" customFormat="1" ht="14.25" customHeight="1" x14ac:dyDescent="0.2"/>
    <row r="525" s="13" customFormat="1" ht="14.25" customHeight="1" x14ac:dyDescent="0.2"/>
    <row r="526" s="13" customFormat="1" ht="14.25" customHeight="1" x14ac:dyDescent="0.2"/>
    <row r="527" s="13" customFormat="1" ht="14.25" customHeight="1" x14ac:dyDescent="0.2"/>
    <row r="528" s="13" customFormat="1" ht="14.25" customHeight="1" x14ac:dyDescent="0.2"/>
    <row r="529" s="13" customFormat="1" ht="14.25" customHeight="1" x14ac:dyDescent="0.2"/>
    <row r="530" s="13" customFormat="1" ht="14.25" customHeight="1" x14ac:dyDescent="0.2"/>
    <row r="531" s="13" customFormat="1" ht="14.25" customHeight="1" x14ac:dyDescent="0.2"/>
    <row r="532" s="13" customFormat="1" ht="14.25" customHeight="1" x14ac:dyDescent="0.2"/>
    <row r="533" s="13" customFormat="1" ht="14.25" customHeight="1" x14ac:dyDescent="0.2"/>
    <row r="534" s="13" customFormat="1" ht="14.25" customHeight="1" x14ac:dyDescent="0.2"/>
    <row r="535" s="13" customFormat="1" ht="14.25" customHeight="1" x14ac:dyDescent="0.2"/>
    <row r="536" s="13" customFormat="1" ht="14.25" customHeight="1" x14ac:dyDescent="0.2"/>
    <row r="537" s="13" customFormat="1" ht="14.25" customHeight="1" x14ac:dyDescent="0.2"/>
    <row r="538" s="13" customFormat="1" ht="14.25" customHeight="1" x14ac:dyDescent="0.2"/>
    <row r="539" s="13" customFormat="1" ht="14.25" customHeight="1" x14ac:dyDescent="0.2"/>
    <row r="540" s="13" customFormat="1" ht="14.25" customHeight="1" x14ac:dyDescent="0.2"/>
    <row r="541" s="13" customFormat="1" ht="14.25" customHeight="1" x14ac:dyDescent="0.2"/>
    <row r="542" s="13" customFormat="1" ht="14.25" customHeight="1" x14ac:dyDescent="0.2"/>
    <row r="543" s="13" customFormat="1" ht="14.25" customHeight="1" x14ac:dyDescent="0.2"/>
    <row r="544" s="13" customFormat="1" ht="14.25" customHeight="1" x14ac:dyDescent="0.2"/>
    <row r="545" s="13" customFormat="1" ht="14.25" customHeight="1" x14ac:dyDescent="0.2"/>
    <row r="546" s="13" customFormat="1" ht="14.25" customHeight="1" x14ac:dyDescent="0.2"/>
    <row r="547" s="13" customFormat="1" ht="14.25" customHeight="1" x14ac:dyDescent="0.2"/>
    <row r="548" s="13" customFormat="1" ht="14.25" customHeight="1" x14ac:dyDescent="0.2"/>
    <row r="549" s="13" customFormat="1" ht="14.25" customHeight="1" x14ac:dyDescent="0.2"/>
    <row r="550" s="13" customFormat="1" ht="14.25" customHeight="1" x14ac:dyDescent="0.2"/>
    <row r="551" s="13" customFormat="1" ht="14.25" customHeight="1" x14ac:dyDescent="0.2"/>
    <row r="552" s="13" customFormat="1" ht="14.25" customHeight="1" x14ac:dyDescent="0.2"/>
    <row r="553" s="13" customFormat="1" ht="14.25" customHeight="1" x14ac:dyDescent="0.2"/>
    <row r="554" s="13" customFormat="1" ht="14.25" customHeight="1" x14ac:dyDescent="0.2"/>
    <row r="555" s="13" customFormat="1" ht="14.25" customHeight="1" x14ac:dyDescent="0.2"/>
    <row r="556" s="13" customFormat="1" ht="14.25" customHeight="1" x14ac:dyDescent="0.2"/>
    <row r="557" s="13" customFormat="1" ht="14.25" customHeight="1" x14ac:dyDescent="0.2"/>
    <row r="558" s="13" customFormat="1" ht="14.25" customHeight="1" x14ac:dyDescent="0.2"/>
    <row r="559" s="13" customFormat="1" ht="14.25" customHeight="1" x14ac:dyDescent="0.2"/>
    <row r="560" s="13" customFormat="1" ht="14.25" customHeight="1" x14ac:dyDescent="0.2"/>
    <row r="561" s="13" customFormat="1" ht="14.25" customHeight="1" x14ac:dyDescent="0.2"/>
    <row r="562" s="13" customFormat="1" ht="14.25" customHeight="1" x14ac:dyDescent="0.2"/>
    <row r="563" s="13" customFormat="1" ht="14.25" customHeight="1" x14ac:dyDescent="0.2"/>
    <row r="564" s="13" customFormat="1" ht="14.25" customHeight="1" x14ac:dyDescent="0.2"/>
    <row r="565" s="13" customFormat="1" ht="14.25" customHeight="1" x14ac:dyDescent="0.2"/>
    <row r="566" s="13" customFormat="1" ht="14.25" customHeight="1" x14ac:dyDescent="0.2"/>
    <row r="567" s="13" customFormat="1" ht="14.25" customHeight="1" x14ac:dyDescent="0.2"/>
    <row r="568" s="13" customFormat="1" ht="14.25" customHeight="1" x14ac:dyDescent="0.2"/>
    <row r="569" s="13" customFormat="1" ht="14.25" customHeight="1" x14ac:dyDescent="0.2"/>
    <row r="570" s="13" customFormat="1" ht="14.25" customHeight="1" x14ac:dyDescent="0.2"/>
    <row r="571" s="13" customFormat="1" ht="14.25" customHeight="1" x14ac:dyDescent="0.2"/>
    <row r="572" s="13" customFormat="1" ht="14.25" customHeight="1" x14ac:dyDescent="0.2"/>
    <row r="573" s="13" customFormat="1" ht="14.25" customHeight="1" x14ac:dyDescent="0.2"/>
    <row r="574" s="13" customFormat="1" ht="14.25" customHeight="1" x14ac:dyDescent="0.2"/>
    <row r="575" s="13" customFormat="1" ht="14.25" customHeight="1" x14ac:dyDescent="0.2"/>
    <row r="576" s="13" customFormat="1" ht="14.25" customHeight="1" x14ac:dyDescent="0.2"/>
    <row r="577" s="13" customFormat="1" ht="14.25" customHeight="1" x14ac:dyDescent="0.2"/>
    <row r="578" s="13" customFormat="1" ht="14.25" customHeight="1" x14ac:dyDescent="0.2"/>
    <row r="579" s="13" customFormat="1" ht="14.25" customHeight="1" x14ac:dyDescent="0.2"/>
    <row r="580" s="13" customFormat="1" ht="14.25" customHeight="1" x14ac:dyDescent="0.2"/>
    <row r="581" s="13" customFormat="1" ht="14.25" customHeight="1" x14ac:dyDescent="0.2"/>
    <row r="582" s="13" customFormat="1" ht="14.25" customHeight="1" x14ac:dyDescent="0.2"/>
    <row r="583" s="13" customFormat="1" ht="14.25" customHeight="1" x14ac:dyDescent="0.2"/>
    <row r="584" s="13" customFormat="1" ht="14.25" customHeight="1" x14ac:dyDescent="0.2"/>
    <row r="585" s="13" customFormat="1" ht="14.25" customHeight="1" x14ac:dyDescent="0.2"/>
    <row r="586" s="13" customFormat="1" ht="14.25" customHeight="1" x14ac:dyDescent="0.2"/>
    <row r="587" s="13" customFormat="1" ht="14.25" customHeight="1" x14ac:dyDescent="0.2"/>
    <row r="588" s="13" customFormat="1" ht="14.25" customHeight="1" x14ac:dyDescent="0.2"/>
    <row r="589" s="13" customFormat="1" ht="14.25" customHeight="1" x14ac:dyDescent="0.2"/>
    <row r="590" s="13" customFormat="1" ht="14.25" customHeight="1" x14ac:dyDescent="0.2"/>
    <row r="591" s="13" customFormat="1" ht="14.25" customHeight="1" x14ac:dyDescent="0.2"/>
    <row r="592" s="13" customFormat="1" ht="14.25" customHeight="1" x14ac:dyDescent="0.2"/>
    <row r="593" s="13" customFormat="1" ht="14.25" customHeight="1" x14ac:dyDescent="0.2"/>
    <row r="594" s="13" customFormat="1" ht="14.25" customHeight="1" x14ac:dyDescent="0.2"/>
    <row r="595" s="13" customFormat="1" ht="14.25" customHeight="1" x14ac:dyDescent="0.2"/>
    <row r="596" s="13" customFormat="1" ht="14.25" customHeight="1" x14ac:dyDescent="0.2"/>
    <row r="597" s="13" customFormat="1" ht="14.25" customHeight="1" x14ac:dyDescent="0.2"/>
    <row r="598" s="13" customFormat="1" ht="14.25" customHeight="1" x14ac:dyDescent="0.2"/>
    <row r="599" s="13" customFormat="1" ht="14.25" customHeight="1" x14ac:dyDescent="0.2"/>
    <row r="600" s="13" customFormat="1" ht="14.25" customHeight="1" x14ac:dyDescent="0.2"/>
    <row r="601" s="13" customFormat="1" ht="14.25" customHeight="1" x14ac:dyDescent="0.2"/>
    <row r="602" s="13" customFormat="1" ht="14.25" customHeight="1" x14ac:dyDescent="0.2"/>
    <row r="603" s="13" customFormat="1" ht="14.25" customHeight="1" x14ac:dyDescent="0.2"/>
    <row r="604" s="13" customFormat="1" ht="14.25" customHeight="1" x14ac:dyDescent="0.2"/>
    <row r="605" s="13" customFormat="1" ht="14.25" customHeight="1" x14ac:dyDescent="0.2"/>
    <row r="606" s="13" customFormat="1" ht="14.25" customHeight="1" x14ac:dyDescent="0.2"/>
    <row r="607" s="13" customFormat="1" ht="14.25" customHeight="1" x14ac:dyDescent="0.2"/>
    <row r="608" s="13" customFormat="1" ht="14.25" customHeight="1" x14ac:dyDescent="0.2"/>
    <row r="609" s="13" customFormat="1" ht="14.25" customHeight="1" x14ac:dyDescent="0.2"/>
    <row r="610" s="13" customFormat="1" ht="14.25" customHeight="1" x14ac:dyDescent="0.2"/>
    <row r="611" s="13" customFormat="1" ht="14.25" customHeight="1" x14ac:dyDescent="0.2"/>
    <row r="612" s="13" customFormat="1" ht="14.25" customHeight="1" x14ac:dyDescent="0.2"/>
    <row r="613" s="13" customFormat="1" ht="14.25" customHeight="1" x14ac:dyDescent="0.2"/>
    <row r="614" s="13" customFormat="1" ht="14.25" customHeight="1" x14ac:dyDescent="0.2"/>
    <row r="615" s="13" customFormat="1" ht="14.25" customHeight="1" x14ac:dyDescent="0.2"/>
    <row r="616" s="13" customFormat="1" ht="14.25" customHeight="1" x14ac:dyDescent="0.2"/>
    <row r="617" s="13" customFormat="1" ht="14.25" customHeight="1" x14ac:dyDescent="0.2"/>
    <row r="618" s="13" customFormat="1" ht="14.25" customHeight="1" x14ac:dyDescent="0.2"/>
    <row r="619" s="13" customFormat="1" ht="14.25" customHeight="1" x14ac:dyDescent="0.2"/>
    <row r="620" s="13" customFormat="1" ht="14.25" customHeight="1" x14ac:dyDescent="0.2"/>
    <row r="621" s="13" customFormat="1" ht="14.25" customHeight="1" x14ac:dyDescent="0.2"/>
    <row r="622" s="13" customFormat="1" ht="14.25" customHeight="1" x14ac:dyDescent="0.2"/>
    <row r="623" s="13" customFormat="1" ht="14.25" customHeight="1" x14ac:dyDescent="0.2"/>
    <row r="624" s="13" customFormat="1" ht="14.25" customHeight="1" x14ac:dyDescent="0.2"/>
    <row r="625" s="13" customFormat="1" ht="14.25" customHeight="1" x14ac:dyDescent="0.2"/>
    <row r="626" s="13" customFormat="1" ht="14.25" customHeight="1" x14ac:dyDescent="0.2"/>
    <row r="627" s="13" customFormat="1" ht="14.25" customHeight="1" x14ac:dyDescent="0.2"/>
    <row r="628" s="13" customFormat="1" ht="14.25" customHeight="1" x14ac:dyDescent="0.2"/>
    <row r="629" s="13" customFormat="1" ht="14.25" customHeight="1" x14ac:dyDescent="0.2"/>
    <row r="630" s="13" customFormat="1" ht="14.25" customHeight="1" x14ac:dyDescent="0.2"/>
    <row r="631" s="13" customFormat="1" ht="14.25" customHeight="1" x14ac:dyDescent="0.2"/>
    <row r="632" s="13" customFormat="1" ht="14.25" customHeight="1" x14ac:dyDescent="0.2"/>
    <row r="633" s="13" customFormat="1" ht="14.25" customHeight="1" x14ac:dyDescent="0.2"/>
    <row r="634" s="13" customFormat="1" ht="14.25" customHeight="1" x14ac:dyDescent="0.2"/>
    <row r="635" s="13" customFormat="1" ht="14.25" customHeight="1" x14ac:dyDescent="0.2"/>
    <row r="636" s="13" customFormat="1" ht="14.25" customHeight="1" x14ac:dyDescent="0.2"/>
    <row r="637" s="13" customFormat="1" ht="14.25" customHeight="1" x14ac:dyDescent="0.2"/>
    <row r="638" s="13" customFormat="1" ht="14.25" customHeight="1" x14ac:dyDescent="0.2"/>
    <row r="639" s="13" customFormat="1" ht="14.25" customHeight="1" x14ac:dyDescent="0.2"/>
    <row r="640" s="13" customFormat="1" ht="14.25" customHeight="1" x14ac:dyDescent="0.2"/>
    <row r="641" s="13" customFormat="1" ht="14.25" customHeight="1" x14ac:dyDescent="0.2"/>
    <row r="642" s="13" customFormat="1" ht="14.25" customHeight="1" x14ac:dyDescent="0.2"/>
    <row r="643" s="13" customFormat="1" ht="14.25" customHeight="1" x14ac:dyDescent="0.2"/>
    <row r="644" s="13" customFormat="1" ht="14.25" customHeight="1" x14ac:dyDescent="0.2"/>
    <row r="645" s="13" customFormat="1" ht="14.25" customHeight="1" x14ac:dyDescent="0.2"/>
    <row r="646" s="13" customFormat="1" ht="14.25" customHeight="1" x14ac:dyDescent="0.2"/>
    <row r="647" s="13" customFormat="1" ht="14.25" customHeight="1" x14ac:dyDescent="0.2"/>
    <row r="648" s="13" customFormat="1" ht="14.25" customHeight="1" x14ac:dyDescent="0.2"/>
    <row r="649" s="13" customFormat="1" ht="14.25" customHeight="1" x14ac:dyDescent="0.2"/>
    <row r="650" s="13" customFormat="1" ht="14.25" customHeight="1" x14ac:dyDescent="0.2"/>
    <row r="651" s="13" customFormat="1" ht="14.25" customHeight="1" x14ac:dyDescent="0.2"/>
    <row r="652" s="13" customFormat="1" ht="14.25" customHeight="1" x14ac:dyDescent="0.2"/>
    <row r="653" s="13" customFormat="1" ht="14.25" customHeight="1" x14ac:dyDescent="0.2"/>
    <row r="654" s="13" customFormat="1" ht="14.25" customHeight="1" x14ac:dyDescent="0.2"/>
    <row r="655" s="13" customFormat="1" ht="14.25" customHeight="1" x14ac:dyDescent="0.2"/>
    <row r="656" s="13" customFormat="1" ht="14.25" customHeight="1" x14ac:dyDescent="0.2"/>
    <row r="657" s="13" customFormat="1" ht="14.25" customHeight="1" x14ac:dyDescent="0.2"/>
    <row r="658" s="13" customFormat="1" ht="14.25" customHeight="1" x14ac:dyDescent="0.2"/>
    <row r="659" s="13" customFormat="1" ht="14.25" customHeight="1" x14ac:dyDescent="0.2"/>
    <row r="660" s="13" customFormat="1" ht="14.25" customHeight="1" x14ac:dyDescent="0.2"/>
    <row r="661" s="13" customFormat="1" ht="14.25" customHeight="1" x14ac:dyDescent="0.2"/>
    <row r="662" s="13" customFormat="1" ht="14.25" customHeight="1" x14ac:dyDescent="0.2"/>
    <row r="663" s="13" customFormat="1" ht="14.25" customHeight="1" x14ac:dyDescent="0.2"/>
    <row r="664" s="13" customFormat="1" ht="14.25" customHeight="1" x14ac:dyDescent="0.2"/>
    <row r="665" s="13" customFormat="1" ht="14.25" customHeight="1" x14ac:dyDescent="0.2"/>
    <row r="666" s="13" customFormat="1" ht="14.25" customHeight="1" x14ac:dyDescent="0.2"/>
    <row r="667" s="13" customFormat="1" ht="14.25" customHeight="1" x14ac:dyDescent="0.2"/>
    <row r="668" s="13" customFormat="1" ht="14.25" customHeight="1" x14ac:dyDescent="0.2"/>
    <row r="669" s="13" customFormat="1" ht="14.25" customHeight="1" x14ac:dyDescent="0.2"/>
    <row r="670" s="13" customFormat="1" ht="14.25" customHeight="1" x14ac:dyDescent="0.2"/>
    <row r="671" s="13" customFormat="1" ht="14.25" customHeight="1" x14ac:dyDescent="0.2"/>
    <row r="672" s="13" customFormat="1" ht="14.25" customHeight="1" x14ac:dyDescent="0.2"/>
    <row r="673" s="13" customFormat="1" ht="14.25" customHeight="1" x14ac:dyDescent="0.2"/>
    <row r="674" s="13" customFormat="1" ht="14.25" customHeight="1" x14ac:dyDescent="0.2"/>
    <row r="675" s="13" customFormat="1" ht="14.25" customHeight="1" x14ac:dyDescent="0.2"/>
    <row r="676" s="13" customFormat="1" ht="14.25" customHeight="1" x14ac:dyDescent="0.2"/>
    <row r="677" s="13" customFormat="1" ht="14.25" customHeight="1" x14ac:dyDescent="0.2"/>
    <row r="678" s="13" customFormat="1" ht="14.25" customHeight="1" x14ac:dyDescent="0.2"/>
    <row r="679" s="13" customFormat="1" ht="14.25" customHeight="1" x14ac:dyDescent="0.2"/>
    <row r="680" s="13" customFormat="1" ht="14.25" customHeight="1" x14ac:dyDescent="0.2"/>
    <row r="681" s="13" customFormat="1" ht="14.25" customHeight="1" x14ac:dyDescent="0.2"/>
    <row r="682" s="13" customFormat="1" ht="14.25" customHeight="1" x14ac:dyDescent="0.2"/>
    <row r="683" s="13" customFormat="1" ht="14.25" customHeight="1" x14ac:dyDescent="0.2"/>
    <row r="684" s="13" customFormat="1" ht="14.25" customHeight="1" x14ac:dyDescent="0.2"/>
    <row r="685" s="13" customFormat="1" ht="14.25" customHeight="1" x14ac:dyDescent="0.2"/>
    <row r="686" s="13" customFormat="1" ht="14.25" customHeight="1" x14ac:dyDescent="0.2"/>
    <row r="687" s="13" customFormat="1" ht="14.25" customHeight="1" x14ac:dyDescent="0.2"/>
    <row r="688" s="13" customFormat="1" ht="14.25" customHeight="1" x14ac:dyDescent="0.2"/>
    <row r="689" s="13" customFormat="1" ht="14.25" customHeight="1" x14ac:dyDescent="0.2"/>
    <row r="690" s="13" customFormat="1" ht="14.25" customHeight="1" x14ac:dyDescent="0.2"/>
    <row r="691" s="13" customFormat="1" ht="14.25" customHeight="1" x14ac:dyDescent="0.2"/>
    <row r="692" s="13" customFormat="1" ht="14.25" customHeight="1" x14ac:dyDescent="0.2"/>
    <row r="693" s="13" customFormat="1" ht="14.25" customHeight="1" x14ac:dyDescent="0.2"/>
    <row r="694" s="13" customFormat="1" ht="14.25" customHeight="1" x14ac:dyDescent="0.2"/>
    <row r="695" s="13" customFormat="1" ht="14.25" customHeight="1" x14ac:dyDescent="0.2"/>
    <row r="696" s="13" customFormat="1" ht="14.25" customHeight="1" x14ac:dyDescent="0.2"/>
    <row r="697" s="13" customFormat="1" ht="14.25" customHeight="1" x14ac:dyDescent="0.2"/>
    <row r="698" s="13" customFormat="1" ht="14.25" customHeight="1" x14ac:dyDescent="0.2"/>
    <row r="699" s="13" customFormat="1" ht="14.25" customHeight="1" x14ac:dyDescent="0.2"/>
    <row r="700" s="13" customFormat="1" ht="14.25" customHeight="1" x14ac:dyDescent="0.2"/>
    <row r="701" s="13" customFormat="1" ht="14.25" customHeight="1" x14ac:dyDescent="0.2"/>
    <row r="702" s="13" customFormat="1" ht="14.25" customHeight="1" x14ac:dyDescent="0.2"/>
    <row r="703" s="13" customFormat="1" ht="14.25" customHeight="1" x14ac:dyDescent="0.2"/>
    <row r="704" s="13" customFormat="1" ht="14.25" customHeight="1" x14ac:dyDescent="0.2"/>
    <row r="705" s="13" customFormat="1" ht="14.25" customHeight="1" x14ac:dyDescent="0.2"/>
    <row r="706" s="13" customFormat="1" ht="14.25" customHeight="1" x14ac:dyDescent="0.2"/>
    <row r="707" s="13" customFormat="1" ht="14.25" customHeight="1" x14ac:dyDescent="0.2"/>
    <row r="708" s="13" customFormat="1" ht="14.25" customHeight="1" x14ac:dyDescent="0.2"/>
    <row r="709" s="13" customFormat="1" ht="14.25" customHeight="1" x14ac:dyDescent="0.2"/>
    <row r="710" s="13" customFormat="1" ht="14.25" customHeight="1" x14ac:dyDescent="0.2"/>
    <row r="711" s="13" customFormat="1" ht="14.25" customHeight="1" x14ac:dyDescent="0.2"/>
    <row r="712" s="13" customFormat="1" ht="14.25" customHeight="1" x14ac:dyDescent="0.2"/>
    <row r="713" s="13" customFormat="1" ht="14.25" customHeight="1" x14ac:dyDescent="0.2"/>
    <row r="714" s="13" customFormat="1" ht="14.25" customHeight="1" x14ac:dyDescent="0.2"/>
    <row r="715" s="13" customFormat="1" ht="14.25" customHeight="1" x14ac:dyDescent="0.2"/>
    <row r="716" s="13" customFormat="1" ht="14.25" customHeight="1" x14ac:dyDescent="0.2"/>
    <row r="717" s="13" customFormat="1" ht="14.25" customHeight="1" x14ac:dyDescent="0.2"/>
    <row r="718" s="13" customFormat="1" ht="14.25" customHeight="1" x14ac:dyDescent="0.2"/>
    <row r="719" s="13" customFormat="1" ht="14.25" customHeight="1" x14ac:dyDescent="0.2"/>
    <row r="720" s="13" customFormat="1" ht="14.25" customHeight="1" x14ac:dyDescent="0.2"/>
    <row r="721" s="13" customFormat="1" ht="14.25" customHeight="1" x14ac:dyDescent="0.2"/>
    <row r="722" s="13" customFormat="1" ht="14.25" customHeight="1" x14ac:dyDescent="0.2"/>
    <row r="723" s="13" customFormat="1" ht="14.25" customHeight="1" x14ac:dyDescent="0.2"/>
    <row r="724" s="13" customFormat="1" ht="14.25" customHeight="1" x14ac:dyDescent="0.2"/>
    <row r="725" s="13" customFormat="1" ht="14.25" customHeight="1" x14ac:dyDescent="0.2"/>
    <row r="726" s="13" customFormat="1" ht="14.25" customHeight="1" x14ac:dyDescent="0.2"/>
    <row r="727" s="13" customFormat="1" ht="14.25" customHeight="1" x14ac:dyDescent="0.2"/>
    <row r="728" s="13" customFormat="1" ht="14.25" customHeight="1" x14ac:dyDescent="0.2"/>
    <row r="729" s="13" customFormat="1" ht="14.25" customHeight="1" x14ac:dyDescent="0.2"/>
    <row r="730" s="13" customFormat="1" ht="14.25" customHeight="1" x14ac:dyDescent="0.2"/>
    <row r="731" s="13" customFormat="1" ht="14.25" customHeight="1" x14ac:dyDescent="0.2"/>
    <row r="732" s="13" customFormat="1" ht="14.25" customHeight="1" x14ac:dyDescent="0.2"/>
    <row r="733" s="13" customFormat="1" ht="14.25" customHeight="1" x14ac:dyDescent="0.2"/>
    <row r="734" s="13" customFormat="1" ht="14.25" customHeight="1" x14ac:dyDescent="0.2"/>
    <row r="735" s="13" customFormat="1" ht="14.25" customHeight="1" x14ac:dyDescent="0.2"/>
    <row r="736" s="13" customFormat="1" ht="14.25" customHeight="1" x14ac:dyDescent="0.2"/>
    <row r="737" s="13" customFormat="1" ht="14.25" customHeight="1" x14ac:dyDescent="0.2"/>
    <row r="738" s="13" customFormat="1" ht="14.25" customHeight="1" x14ac:dyDescent="0.2"/>
    <row r="739" s="13" customFormat="1" ht="14.25" customHeight="1" x14ac:dyDescent="0.2"/>
    <row r="740" s="13" customFormat="1" ht="14.25" customHeight="1" x14ac:dyDescent="0.2"/>
    <row r="741" s="13" customFormat="1" ht="14.25" customHeight="1" x14ac:dyDescent="0.2"/>
    <row r="742" s="13" customFormat="1" ht="14.25" customHeight="1" x14ac:dyDescent="0.2"/>
    <row r="743" s="13" customFormat="1" ht="14.25" customHeight="1" x14ac:dyDescent="0.2"/>
    <row r="744" s="13" customFormat="1" ht="14.25" customHeight="1" x14ac:dyDescent="0.2"/>
    <row r="745" s="13" customFormat="1" ht="14.25" customHeight="1" x14ac:dyDescent="0.2"/>
    <row r="746" s="13" customFormat="1" ht="14.25" customHeight="1" x14ac:dyDescent="0.2"/>
    <row r="747" s="13" customFormat="1" ht="14.25" customHeight="1" x14ac:dyDescent="0.2"/>
    <row r="748" s="13" customFormat="1" ht="14.25" customHeight="1" x14ac:dyDescent="0.2"/>
    <row r="749" s="13" customFormat="1" ht="14.25" customHeight="1" x14ac:dyDescent="0.2"/>
    <row r="750" s="13" customFormat="1" ht="14.25" customHeight="1" x14ac:dyDescent="0.2"/>
    <row r="751" s="13" customFormat="1" ht="14.25" customHeight="1" x14ac:dyDescent="0.2"/>
    <row r="752" s="13" customFormat="1" ht="14.25" customHeight="1" x14ac:dyDescent="0.2"/>
    <row r="753" s="13" customFormat="1" ht="14.25" customHeight="1" x14ac:dyDescent="0.2"/>
    <row r="754" s="13" customFormat="1" ht="14.25" customHeight="1" x14ac:dyDescent="0.2"/>
    <row r="755" s="13" customFormat="1" ht="14.25" customHeight="1" x14ac:dyDescent="0.2"/>
    <row r="756" s="13" customFormat="1" ht="14.25" customHeight="1" x14ac:dyDescent="0.2"/>
    <row r="757" s="13" customFormat="1" ht="14.25" customHeight="1" x14ac:dyDescent="0.2"/>
    <row r="758" s="13" customFormat="1" ht="14.25" customHeight="1" x14ac:dyDescent="0.2"/>
    <row r="759" s="13" customFormat="1" ht="14.25" customHeight="1" x14ac:dyDescent="0.2"/>
    <row r="760" s="13" customFormat="1" ht="14.25" customHeight="1" x14ac:dyDescent="0.2"/>
    <row r="761" s="13" customFormat="1" ht="14.25" customHeight="1" x14ac:dyDescent="0.2"/>
    <row r="762" s="13" customFormat="1" ht="14.25" customHeight="1" x14ac:dyDescent="0.2"/>
    <row r="763" s="13" customFormat="1" ht="14.25" customHeight="1" x14ac:dyDescent="0.2"/>
    <row r="764" s="13" customFormat="1" ht="14.25" customHeight="1" x14ac:dyDescent="0.2"/>
    <row r="765" s="13" customFormat="1" ht="14.25" customHeight="1" x14ac:dyDescent="0.2"/>
    <row r="766" s="13" customFormat="1" ht="14.25" customHeight="1" x14ac:dyDescent="0.2"/>
    <row r="767" s="13" customFormat="1" ht="14.25" customHeight="1" x14ac:dyDescent="0.2"/>
    <row r="768" s="13" customFormat="1" ht="14.25" customHeight="1" x14ac:dyDescent="0.2"/>
    <row r="769" s="13" customFormat="1" ht="14.25" customHeight="1" x14ac:dyDescent="0.2"/>
    <row r="770" s="13" customFormat="1" ht="14.25" customHeight="1" x14ac:dyDescent="0.2"/>
    <row r="771" s="13" customFormat="1" ht="14.25" customHeight="1" x14ac:dyDescent="0.2"/>
    <row r="772" s="13" customFormat="1" ht="14.25" customHeight="1" x14ac:dyDescent="0.2"/>
    <row r="773" s="13" customFormat="1" ht="14.25" customHeight="1" x14ac:dyDescent="0.2"/>
    <row r="774" s="13" customFormat="1" ht="14.25" customHeight="1" x14ac:dyDescent="0.2"/>
    <row r="775" s="13" customFormat="1" ht="14.25" customHeight="1" x14ac:dyDescent="0.2"/>
    <row r="776" s="13" customFormat="1" ht="14.25" customHeight="1" x14ac:dyDescent="0.2"/>
    <row r="777" s="13" customFormat="1" ht="14.25" customHeight="1" x14ac:dyDescent="0.2"/>
    <row r="778" s="13" customFormat="1" ht="14.25" customHeight="1" x14ac:dyDescent="0.2"/>
    <row r="779" s="13" customFormat="1" ht="14.25" customHeight="1" x14ac:dyDescent="0.2"/>
    <row r="780" s="13" customFormat="1" ht="14.25" customHeight="1" x14ac:dyDescent="0.2"/>
    <row r="781" s="13" customFormat="1" ht="14.25" customHeight="1" x14ac:dyDescent="0.2"/>
    <row r="782" s="13" customFormat="1" ht="14.25" customHeight="1" x14ac:dyDescent="0.2"/>
    <row r="783" s="13" customFormat="1" ht="14.25" customHeight="1" x14ac:dyDescent="0.2"/>
    <row r="784" s="13" customFormat="1" ht="14.25" customHeight="1" x14ac:dyDescent="0.2"/>
    <row r="785" s="13" customFormat="1" ht="14.25" customHeight="1" x14ac:dyDescent="0.2"/>
    <row r="786" s="13" customFormat="1" ht="14.25" customHeight="1" x14ac:dyDescent="0.2"/>
    <row r="787" s="13" customFormat="1" ht="14.25" customHeight="1" x14ac:dyDescent="0.2"/>
    <row r="788" s="13" customFormat="1" ht="14.25" customHeight="1" x14ac:dyDescent="0.2"/>
    <row r="789" s="13" customFormat="1" ht="14.25" customHeight="1" x14ac:dyDescent="0.2"/>
    <row r="790" s="13" customFormat="1" ht="14.25" customHeight="1" x14ac:dyDescent="0.2"/>
    <row r="791" s="13" customFormat="1" ht="14.25" customHeight="1" x14ac:dyDescent="0.2"/>
    <row r="792" s="13" customFormat="1" ht="14.25" customHeight="1" x14ac:dyDescent="0.2"/>
    <row r="793" s="13" customFormat="1" ht="14.25" customHeight="1" x14ac:dyDescent="0.2"/>
    <row r="794" s="13" customFormat="1" ht="14.25" customHeight="1" x14ac:dyDescent="0.2"/>
    <row r="795" s="13" customFormat="1" ht="14.25" customHeight="1" x14ac:dyDescent="0.2"/>
    <row r="796" s="13" customFormat="1" ht="14.25" customHeight="1" x14ac:dyDescent="0.2"/>
    <row r="797" s="13" customFormat="1" ht="14.25" customHeight="1" x14ac:dyDescent="0.2"/>
    <row r="798" s="13" customFormat="1" ht="14.25" customHeight="1" x14ac:dyDescent="0.2"/>
    <row r="799" s="13" customFormat="1" ht="14.25" customHeight="1" x14ac:dyDescent="0.2"/>
    <row r="800" s="13" customFormat="1" ht="14.25" customHeight="1" x14ac:dyDescent="0.2"/>
    <row r="801" s="13" customFormat="1" ht="14.25" customHeight="1" x14ac:dyDescent="0.2"/>
    <row r="802" s="13" customFormat="1" ht="14.25" customHeight="1" x14ac:dyDescent="0.2"/>
    <row r="803" s="13" customFormat="1" ht="14.25" customHeight="1" x14ac:dyDescent="0.2"/>
    <row r="804" s="13" customFormat="1" ht="14.25" customHeight="1" x14ac:dyDescent="0.2"/>
    <row r="805" s="13" customFormat="1" ht="14.25" customHeight="1" x14ac:dyDescent="0.2"/>
    <row r="806" s="13" customFormat="1" ht="14.25" customHeight="1" x14ac:dyDescent="0.2"/>
    <row r="807" s="13" customFormat="1" ht="14.25" customHeight="1" x14ac:dyDescent="0.2"/>
    <row r="808" s="13" customFormat="1" ht="14.25" customHeight="1" x14ac:dyDescent="0.2"/>
    <row r="809" s="13" customFormat="1" ht="14.25" customHeight="1" x14ac:dyDescent="0.2"/>
    <row r="810" s="13" customFormat="1" ht="14.25" customHeight="1" x14ac:dyDescent="0.2"/>
    <row r="811" s="13" customFormat="1" ht="14.25" customHeight="1" x14ac:dyDescent="0.2"/>
    <row r="812" s="13" customFormat="1" ht="14.25" customHeight="1" x14ac:dyDescent="0.2"/>
    <row r="813" s="13" customFormat="1" ht="14.25" customHeight="1" x14ac:dyDescent="0.2"/>
    <row r="814" s="13" customFormat="1" ht="14.25" customHeight="1" x14ac:dyDescent="0.2"/>
    <row r="815" s="13" customFormat="1" ht="14.25" customHeight="1" x14ac:dyDescent="0.2"/>
    <row r="816" s="13" customFormat="1" ht="14.25" customHeight="1" x14ac:dyDescent="0.2"/>
    <row r="817" s="13" customFormat="1" ht="14.25" customHeight="1" x14ac:dyDescent="0.2"/>
    <row r="818" s="13" customFormat="1" ht="14.25" customHeight="1" x14ac:dyDescent="0.2"/>
    <row r="819" s="13" customFormat="1" ht="14.25" customHeight="1" x14ac:dyDescent="0.2"/>
    <row r="820" s="13" customFormat="1" ht="14.25" customHeight="1" x14ac:dyDescent="0.2"/>
    <row r="821" s="13" customFormat="1" ht="14.25" customHeight="1" x14ac:dyDescent="0.2"/>
    <row r="822" s="13" customFormat="1" ht="14.25" customHeight="1" x14ac:dyDescent="0.2"/>
    <row r="823" s="13" customFormat="1" ht="14.25" customHeight="1" x14ac:dyDescent="0.2"/>
    <row r="824" s="13" customFormat="1" ht="14.25" customHeight="1" x14ac:dyDescent="0.2"/>
    <row r="825" s="13" customFormat="1" ht="14.25" customHeight="1" x14ac:dyDescent="0.2"/>
    <row r="826" s="13" customFormat="1" ht="14.25" customHeight="1" x14ac:dyDescent="0.2"/>
    <row r="827" s="13" customFormat="1" ht="14.25" customHeight="1" x14ac:dyDescent="0.2"/>
    <row r="828" s="13" customFormat="1" ht="14.25" customHeight="1" x14ac:dyDescent="0.2"/>
    <row r="829" s="13" customFormat="1" ht="14.25" customHeight="1" x14ac:dyDescent="0.2"/>
    <row r="830" s="13" customFormat="1" ht="14.25" customHeight="1" x14ac:dyDescent="0.2"/>
    <row r="831" s="13" customFormat="1" ht="14.25" customHeight="1" x14ac:dyDescent="0.2"/>
    <row r="832" s="13" customFormat="1" ht="14.25" customHeight="1" x14ac:dyDescent="0.2"/>
    <row r="833" s="13" customFormat="1" ht="14.25" customHeight="1" x14ac:dyDescent="0.2"/>
    <row r="834" s="13" customFormat="1" ht="14.25" customHeight="1" x14ac:dyDescent="0.2"/>
    <row r="835" s="13" customFormat="1" ht="14.25" customHeight="1" x14ac:dyDescent="0.2"/>
    <row r="836" s="13" customFormat="1" ht="14.25" customHeight="1" x14ac:dyDescent="0.2"/>
    <row r="837" s="13" customFormat="1" ht="14.25" customHeight="1" x14ac:dyDescent="0.2"/>
    <row r="838" s="13" customFormat="1" ht="14.25" customHeight="1" x14ac:dyDescent="0.2"/>
    <row r="839" s="13" customFormat="1" ht="14.25" customHeight="1" x14ac:dyDescent="0.2"/>
    <row r="840" s="13" customFormat="1" ht="14.25" customHeight="1" x14ac:dyDescent="0.2"/>
    <row r="841" s="13" customFormat="1" ht="14.25" customHeight="1" x14ac:dyDescent="0.2"/>
    <row r="842" s="13" customFormat="1" ht="14.25" customHeight="1" x14ac:dyDescent="0.2"/>
    <row r="843" s="13" customFormat="1" ht="14.25" customHeight="1" x14ac:dyDescent="0.2"/>
    <row r="844" s="13" customFormat="1" ht="14.25" customHeight="1" x14ac:dyDescent="0.2"/>
    <row r="845" s="13" customFormat="1" ht="14.25" customHeight="1" x14ac:dyDescent="0.2"/>
    <row r="846" s="13" customFormat="1" ht="14.25" customHeight="1" x14ac:dyDescent="0.2"/>
    <row r="847" s="13" customFormat="1" ht="14.25" customHeight="1" x14ac:dyDescent="0.2"/>
    <row r="848" s="13" customFormat="1" ht="14.25" customHeight="1" x14ac:dyDescent="0.2"/>
    <row r="849" s="13" customFormat="1" ht="14.25" customHeight="1" x14ac:dyDescent="0.2"/>
    <row r="850" s="13" customFormat="1" ht="14.25" customHeight="1" x14ac:dyDescent="0.2"/>
    <row r="851" s="13" customFormat="1" ht="14.25" customHeight="1" x14ac:dyDescent="0.2"/>
    <row r="852" s="13" customFormat="1" ht="14.25" customHeight="1" x14ac:dyDescent="0.2"/>
    <row r="853" s="13" customFormat="1" ht="14.25" customHeight="1" x14ac:dyDescent="0.2"/>
    <row r="854" s="13" customFormat="1" ht="14.25" customHeight="1" x14ac:dyDescent="0.2"/>
    <row r="855" s="13" customFormat="1" ht="14.25" customHeight="1" x14ac:dyDescent="0.2"/>
    <row r="856" s="13" customFormat="1" ht="14.25" customHeight="1" x14ac:dyDescent="0.2"/>
    <row r="857" s="13" customFormat="1" ht="14.25" customHeight="1" x14ac:dyDescent="0.2"/>
    <row r="858" s="13" customFormat="1" ht="14.25" customHeight="1" x14ac:dyDescent="0.2"/>
    <row r="859" s="13" customFormat="1" ht="14.25" customHeight="1" x14ac:dyDescent="0.2"/>
    <row r="860" s="13" customFormat="1" ht="14.25" customHeight="1" x14ac:dyDescent="0.2"/>
    <row r="861" s="13" customFormat="1" ht="14.25" customHeight="1" x14ac:dyDescent="0.2"/>
    <row r="862" s="13" customFormat="1" ht="14.25" customHeight="1" x14ac:dyDescent="0.2"/>
    <row r="863" s="13" customFormat="1" ht="14.25" customHeight="1" x14ac:dyDescent="0.2"/>
    <row r="864" s="13" customFormat="1" ht="14.25" customHeight="1" x14ac:dyDescent="0.2"/>
    <row r="865" s="13" customFormat="1" ht="14.25" customHeight="1" x14ac:dyDescent="0.2"/>
    <row r="866" s="13" customFormat="1" ht="14.25" customHeight="1" x14ac:dyDescent="0.2"/>
    <row r="867" s="13" customFormat="1" ht="14.25" customHeight="1" x14ac:dyDescent="0.2"/>
    <row r="868" s="13" customFormat="1" ht="14.25" customHeight="1" x14ac:dyDescent="0.2"/>
    <row r="869" s="13" customFormat="1" ht="14.25" customHeight="1" x14ac:dyDescent="0.2"/>
    <row r="870" s="13" customFormat="1" ht="14.25" customHeight="1" x14ac:dyDescent="0.2"/>
    <row r="871" s="13" customFormat="1" ht="14.25" customHeight="1" x14ac:dyDescent="0.2"/>
    <row r="872" s="13" customFormat="1" ht="14.25" customHeight="1" x14ac:dyDescent="0.2"/>
    <row r="873" s="13" customFormat="1" ht="14.25" customHeight="1" x14ac:dyDescent="0.2"/>
    <row r="874" s="13" customFormat="1" ht="14.25" customHeight="1" x14ac:dyDescent="0.2"/>
    <row r="875" s="13" customFormat="1" ht="14.25" customHeight="1" x14ac:dyDescent="0.2"/>
    <row r="876" s="13" customFormat="1" ht="14.25" customHeight="1" x14ac:dyDescent="0.2"/>
    <row r="877" s="13" customFormat="1" ht="14.25" customHeight="1" x14ac:dyDescent="0.2"/>
    <row r="878" s="13" customFormat="1" ht="14.25" customHeight="1" x14ac:dyDescent="0.2"/>
    <row r="879" s="13" customFormat="1" ht="14.25" customHeight="1" x14ac:dyDescent="0.2"/>
    <row r="880" s="13" customFormat="1" ht="14.25" customHeight="1" x14ac:dyDescent="0.2"/>
    <row r="881" s="13" customFormat="1" ht="14.25" customHeight="1" x14ac:dyDescent="0.2"/>
    <row r="882" s="13" customFormat="1" ht="14.25" customHeight="1" x14ac:dyDescent="0.2"/>
    <row r="883" s="13" customFormat="1" ht="14.25" customHeight="1" x14ac:dyDescent="0.2"/>
    <row r="884" s="13" customFormat="1" ht="14.25" customHeight="1" x14ac:dyDescent="0.2"/>
    <row r="885" s="13" customFormat="1" ht="14.25" customHeight="1" x14ac:dyDescent="0.2"/>
    <row r="886" s="13" customFormat="1" ht="14.25" customHeight="1" x14ac:dyDescent="0.2"/>
    <row r="887" s="13" customFormat="1" ht="14.25" customHeight="1" x14ac:dyDescent="0.2"/>
    <row r="888" s="13" customFormat="1" ht="14.25" customHeight="1" x14ac:dyDescent="0.2"/>
    <row r="889" s="13" customFormat="1" ht="14.25" customHeight="1" x14ac:dyDescent="0.2"/>
    <row r="890" s="13" customFormat="1" ht="14.25" customHeight="1" x14ac:dyDescent="0.2"/>
    <row r="891" s="13" customFormat="1" ht="14.25" customHeight="1" x14ac:dyDescent="0.2"/>
    <row r="892" s="13" customFormat="1" ht="14.25" customHeight="1" x14ac:dyDescent="0.2"/>
    <row r="893" s="13" customFormat="1" ht="14.25" customHeight="1" x14ac:dyDescent="0.2"/>
    <row r="894" s="13" customFormat="1" ht="14.25" customHeight="1" x14ac:dyDescent="0.2"/>
    <row r="895" s="13" customFormat="1" ht="14.25" customHeight="1" x14ac:dyDescent="0.2"/>
    <row r="896" s="13" customFormat="1" ht="14.25" customHeight="1" x14ac:dyDescent="0.2"/>
    <row r="897" s="13" customFormat="1" ht="14.25" customHeight="1" x14ac:dyDescent="0.2"/>
    <row r="898" s="13" customFormat="1" ht="14.25" customHeight="1" x14ac:dyDescent="0.2"/>
    <row r="899" s="13" customFormat="1" ht="14.25" customHeight="1" x14ac:dyDescent="0.2"/>
    <row r="900" s="13" customFormat="1" ht="14.25" customHeight="1" x14ac:dyDescent="0.2"/>
    <row r="901" s="13" customFormat="1" ht="14.25" customHeight="1" x14ac:dyDescent="0.2"/>
    <row r="902" s="13" customFormat="1" ht="14.25" customHeight="1" x14ac:dyDescent="0.2"/>
    <row r="903" s="13" customFormat="1" ht="14.25" customHeight="1" x14ac:dyDescent="0.2"/>
    <row r="904" s="13" customFormat="1" ht="14.25" customHeight="1" x14ac:dyDescent="0.2"/>
    <row r="905" s="13" customFormat="1" ht="14.25" customHeight="1" x14ac:dyDescent="0.2"/>
    <row r="906" s="13" customFormat="1" ht="14.25" customHeight="1" x14ac:dyDescent="0.2"/>
    <row r="907" s="13" customFormat="1" ht="14.25" customHeight="1" x14ac:dyDescent="0.2"/>
    <row r="908" s="13" customFormat="1" ht="14.25" customHeight="1" x14ac:dyDescent="0.2"/>
    <row r="909" s="13" customFormat="1" ht="14.25" customHeight="1" x14ac:dyDescent="0.2"/>
    <row r="910" s="13" customFormat="1" ht="14.25" customHeight="1" x14ac:dyDescent="0.2"/>
    <row r="911" s="13" customFormat="1" ht="14.25" customHeight="1" x14ac:dyDescent="0.2"/>
    <row r="912" s="13" customFormat="1" ht="14.25" customHeight="1" x14ac:dyDescent="0.2"/>
    <row r="913" s="13" customFormat="1" ht="14.25" customHeight="1" x14ac:dyDescent="0.2"/>
    <row r="914" s="13" customFormat="1" ht="14.25" customHeight="1" x14ac:dyDescent="0.2"/>
    <row r="915" s="13" customFormat="1" ht="14.25" customHeight="1" x14ac:dyDescent="0.2"/>
    <row r="916" s="13" customFormat="1" ht="14.25" customHeight="1" x14ac:dyDescent="0.2"/>
    <row r="917" s="13" customFormat="1" ht="14.25" customHeight="1" x14ac:dyDescent="0.2"/>
    <row r="918" s="13" customFormat="1" ht="14.25" customHeight="1" x14ac:dyDescent="0.2"/>
    <row r="919" s="13" customFormat="1" ht="14.25" customHeight="1" x14ac:dyDescent="0.2"/>
    <row r="920" s="13" customFormat="1" ht="14.25" customHeight="1" x14ac:dyDescent="0.2"/>
    <row r="921" s="13" customFormat="1" ht="14.25" customHeight="1" x14ac:dyDescent="0.2"/>
    <row r="922" s="13" customFormat="1" ht="14.25" customHeight="1" x14ac:dyDescent="0.2"/>
    <row r="923" s="13" customFormat="1" ht="14.25" customHeight="1" x14ac:dyDescent="0.2"/>
    <row r="924" s="13" customFormat="1" ht="14.25" customHeight="1" x14ac:dyDescent="0.2"/>
    <row r="925" s="13" customFormat="1" ht="14.25" customHeight="1" x14ac:dyDescent="0.2"/>
    <row r="926" s="13" customFormat="1" ht="14.25" customHeight="1" x14ac:dyDescent="0.2"/>
    <row r="927" s="13" customFormat="1" ht="14.25" customHeight="1" x14ac:dyDescent="0.2"/>
    <row r="928" s="13" customFormat="1" ht="14.25" customHeight="1" x14ac:dyDescent="0.2"/>
    <row r="929" s="13" customFormat="1" ht="14.25" customHeight="1" x14ac:dyDescent="0.2"/>
    <row r="930" s="13" customFormat="1" ht="14.25" customHeight="1" x14ac:dyDescent="0.2"/>
    <row r="931" s="13" customFormat="1" ht="14.25" customHeight="1" x14ac:dyDescent="0.2"/>
    <row r="932" s="13" customFormat="1" ht="14.25" customHeight="1" x14ac:dyDescent="0.2"/>
    <row r="933" s="13" customFormat="1" ht="14.25" customHeight="1" x14ac:dyDescent="0.2"/>
    <row r="934" s="13" customFormat="1" ht="14.25" customHeight="1" x14ac:dyDescent="0.2"/>
    <row r="935" s="13" customFormat="1" ht="14.25" customHeight="1" x14ac:dyDescent="0.2"/>
    <row r="936" s="13" customFormat="1" ht="14.25" customHeight="1" x14ac:dyDescent="0.2"/>
    <row r="937" s="13" customFormat="1" ht="14.25" customHeight="1" x14ac:dyDescent="0.2"/>
    <row r="938" s="13" customFormat="1" ht="14.25" customHeight="1" x14ac:dyDescent="0.2"/>
    <row r="939" s="13" customFormat="1" ht="14.25" customHeight="1" x14ac:dyDescent="0.2"/>
    <row r="940" s="13" customFormat="1" ht="14.25" customHeight="1" x14ac:dyDescent="0.2"/>
    <row r="941" s="13" customFormat="1" ht="14.25" customHeight="1" x14ac:dyDescent="0.2"/>
    <row r="942" s="13" customFormat="1" ht="14.25" customHeight="1" x14ac:dyDescent="0.2"/>
    <row r="943" s="13" customFormat="1" ht="14.25" customHeight="1" x14ac:dyDescent="0.2"/>
    <row r="944" s="13" customFormat="1" ht="14.25" customHeight="1" x14ac:dyDescent="0.2"/>
    <row r="945" s="13" customFormat="1" ht="14.25" customHeight="1" x14ac:dyDescent="0.2"/>
    <row r="946" s="13" customFormat="1" ht="14.25" customHeight="1" x14ac:dyDescent="0.2"/>
    <row r="947" s="13" customFormat="1" ht="14.25" customHeight="1" x14ac:dyDescent="0.2"/>
    <row r="948" s="13" customFormat="1" ht="14.25" customHeight="1" x14ac:dyDescent="0.2"/>
    <row r="949" s="13" customFormat="1" ht="14.25" customHeight="1" x14ac:dyDescent="0.2"/>
    <row r="950" s="13" customFormat="1" ht="14.25" customHeight="1" x14ac:dyDescent="0.2"/>
    <row r="951" s="13" customFormat="1" ht="14.25" customHeight="1" x14ac:dyDescent="0.2"/>
    <row r="952" s="13" customFormat="1" ht="14.25" customHeight="1" x14ac:dyDescent="0.2"/>
    <row r="953" s="13" customFormat="1" ht="14.25" customHeight="1" x14ac:dyDescent="0.2"/>
    <row r="954" s="13" customFormat="1" ht="14.25" customHeight="1" x14ac:dyDescent="0.2"/>
    <row r="955" s="13" customFormat="1" ht="14.25" customHeight="1" x14ac:dyDescent="0.2"/>
    <row r="956" s="13" customFormat="1" ht="14.25" customHeight="1" x14ac:dyDescent="0.2"/>
    <row r="957" s="13" customFormat="1" ht="14.25" customHeight="1" x14ac:dyDescent="0.2"/>
    <row r="958" s="13" customFormat="1" ht="14.25" customHeight="1" x14ac:dyDescent="0.2"/>
    <row r="959" s="13" customFormat="1" ht="14.25" customHeight="1" x14ac:dyDescent="0.2"/>
    <row r="960" s="13" customFormat="1" ht="14.25" customHeight="1" x14ac:dyDescent="0.2"/>
    <row r="961" s="13" customFormat="1" ht="14.25" customHeight="1" x14ac:dyDescent="0.2"/>
    <row r="962" s="13" customFormat="1" ht="14.25" customHeight="1" x14ac:dyDescent="0.2"/>
    <row r="963" s="13" customFormat="1" ht="14.25" customHeight="1" x14ac:dyDescent="0.2"/>
    <row r="964" s="13" customFormat="1" ht="14.25" customHeight="1" x14ac:dyDescent="0.2"/>
    <row r="965" s="13" customFormat="1" ht="14.25" customHeight="1" x14ac:dyDescent="0.2"/>
    <row r="966" s="13" customFormat="1" ht="14.25" customHeight="1" x14ac:dyDescent="0.2"/>
    <row r="967" s="13" customFormat="1" ht="14.25" customHeight="1" x14ac:dyDescent="0.2"/>
    <row r="968" s="13" customFormat="1" ht="14.25" customHeight="1" x14ac:dyDescent="0.2"/>
    <row r="969" s="13" customFormat="1" ht="14.25" customHeight="1" x14ac:dyDescent="0.2"/>
    <row r="970" s="13" customFormat="1" ht="14.25" customHeight="1" x14ac:dyDescent="0.2"/>
    <row r="971" s="13" customFormat="1" ht="14.25" customHeight="1" x14ac:dyDescent="0.2"/>
    <row r="972" s="13" customFormat="1" ht="14.25" customHeight="1" x14ac:dyDescent="0.2"/>
    <row r="973" s="13" customFormat="1" ht="14.25" customHeight="1" x14ac:dyDescent="0.2"/>
    <row r="974" s="13" customFormat="1" ht="14.25" customHeight="1" x14ac:dyDescent="0.2"/>
    <row r="975" s="13" customFormat="1" ht="14.25" customHeight="1" x14ac:dyDescent="0.2"/>
    <row r="976" s="13" customFormat="1" ht="14.25" customHeight="1" x14ac:dyDescent="0.2"/>
    <row r="977" s="13" customFormat="1" ht="14.25" customHeight="1" x14ac:dyDescent="0.2"/>
    <row r="978" s="13" customFormat="1" ht="14.25" customHeight="1" x14ac:dyDescent="0.2"/>
    <row r="979" s="13" customFormat="1" ht="14.25" customHeight="1" x14ac:dyDescent="0.2"/>
    <row r="980" s="13" customFormat="1" ht="14.25" customHeight="1" x14ac:dyDescent="0.2"/>
    <row r="981" s="13" customFormat="1" ht="14.25" customHeight="1" x14ac:dyDescent="0.2"/>
    <row r="982" s="13" customFormat="1" ht="14.25" customHeight="1" x14ac:dyDescent="0.2"/>
    <row r="983" s="13" customFormat="1" ht="14.25" customHeight="1" x14ac:dyDescent="0.2"/>
    <row r="984" s="13" customFormat="1" ht="14.25" customHeight="1" x14ac:dyDescent="0.2"/>
    <row r="985" s="13" customFormat="1" ht="14.25" customHeight="1" x14ac:dyDescent="0.2"/>
    <row r="986" s="13" customFormat="1" ht="14.25" customHeight="1" x14ac:dyDescent="0.2"/>
    <row r="987" s="13" customFormat="1" ht="14.25" customHeight="1" x14ac:dyDescent="0.2"/>
    <row r="988" s="13" customFormat="1" ht="14.25" customHeight="1" x14ac:dyDescent="0.2"/>
    <row r="989" s="13" customFormat="1" ht="14.25" customHeight="1" x14ac:dyDescent="0.2"/>
    <row r="990" s="13" customFormat="1" ht="14.25" customHeight="1" x14ac:dyDescent="0.2"/>
    <row r="991" s="13" customFormat="1" ht="14.25" customHeight="1" x14ac:dyDescent="0.2"/>
    <row r="992" s="13" customFormat="1" ht="14.25" customHeight="1" x14ac:dyDescent="0.2"/>
    <row r="993" s="13" customFormat="1" ht="14.25" customHeight="1" x14ac:dyDescent="0.2"/>
    <row r="994" s="13" customFormat="1" ht="14.25" customHeight="1" x14ac:dyDescent="0.2"/>
    <row r="995" s="13" customFormat="1" ht="14.25" customHeight="1" x14ac:dyDescent="0.2"/>
    <row r="996" s="13" customFormat="1" ht="14.25" customHeight="1" x14ac:dyDescent="0.2"/>
    <row r="997" s="13" customFormat="1" ht="14.25" customHeight="1" x14ac:dyDescent="0.2"/>
    <row r="998" s="13" customFormat="1" ht="14.25" customHeight="1" x14ac:dyDescent="0.2"/>
    <row r="999" s="13" customFormat="1" ht="14.25" customHeight="1" x14ac:dyDescent="0.2"/>
    <row r="1000" s="13" customFormat="1" ht="14.25" customHeight="1" x14ac:dyDescent="0.2"/>
    <row r="1001" s="13" customFormat="1" ht="14.25" customHeight="1" x14ac:dyDescent="0.2"/>
    <row r="1002" s="13" customFormat="1" ht="14.25" customHeight="1" x14ac:dyDescent="0.2"/>
    <row r="1003" s="13" customFormat="1" ht="14.25" customHeight="1" x14ac:dyDescent="0.2"/>
    <row r="1004" s="13" customFormat="1" ht="14.25" customHeight="1" x14ac:dyDescent="0.2"/>
    <row r="1005" s="13" customFormat="1" ht="14.25" customHeight="1" x14ac:dyDescent="0.2"/>
    <row r="1006" s="13" customFormat="1" ht="14.25" customHeight="1" x14ac:dyDescent="0.2"/>
    <row r="1007" s="13" customFormat="1" ht="14.25" customHeight="1" x14ac:dyDescent="0.2"/>
    <row r="1008" s="13" customFormat="1" ht="14.25" customHeight="1" x14ac:dyDescent="0.2"/>
  </sheetData>
  <mergeCells count="37">
    <mergeCell ref="Z25:AB25"/>
    <mergeCell ref="U25:X25"/>
    <mergeCell ref="U26:V26"/>
    <mergeCell ref="W26:X26"/>
    <mergeCell ref="M2:N2"/>
    <mergeCell ref="P2:Q2"/>
    <mergeCell ref="K25:N25"/>
    <mergeCell ref="K26:L26"/>
    <mergeCell ref="M26:N26"/>
    <mergeCell ref="P25:S25"/>
    <mergeCell ref="P26:Q26"/>
    <mergeCell ref="R26:S26"/>
    <mergeCell ref="A2:B2"/>
    <mergeCell ref="C2:D2"/>
    <mergeCell ref="F2:G2"/>
    <mergeCell ref="H2:I2"/>
    <mergeCell ref="K2:L2"/>
    <mergeCell ref="Z1:AC1"/>
    <mergeCell ref="AE1:AH1"/>
    <mergeCell ref="R2:S2"/>
    <mergeCell ref="U2:V2"/>
    <mergeCell ref="W2:X2"/>
    <mergeCell ref="Z2:AA2"/>
    <mergeCell ref="AB2:AC2"/>
    <mergeCell ref="AE2:AF2"/>
    <mergeCell ref="AG2:AH2"/>
    <mergeCell ref="A1:D1"/>
    <mergeCell ref="F1:I1"/>
    <mergeCell ref="K1:N1"/>
    <mergeCell ref="P1:S1"/>
    <mergeCell ref="U1:X1"/>
    <mergeCell ref="A25:D25"/>
    <mergeCell ref="A26:B26"/>
    <mergeCell ref="C26:D26"/>
    <mergeCell ref="F25:I25"/>
    <mergeCell ref="F26:G26"/>
    <mergeCell ref="H26:I26"/>
  </mergeCells>
  <pageMargins left="0.511811024" right="0.511811024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Ferreira</dc:creator>
  <cp:lastModifiedBy>Thiago Moreira</cp:lastModifiedBy>
  <dcterms:created xsi:type="dcterms:W3CDTF">2021-09-02T11:35:34Z</dcterms:created>
  <dcterms:modified xsi:type="dcterms:W3CDTF">2022-08-19T13:51:31Z</dcterms:modified>
</cp:coreProperties>
</file>