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20" yWindow="520" windowWidth="27960" windowHeight="15360" activeTab="0"/>
  </bookViews>
  <sheets>
    <sheet name="LMA-fquencies" sheetId="1" r:id="rId1"/>
  </sheets>
  <definedNames/>
  <calcPr fullCalcOnLoad="1"/>
</workbook>
</file>

<file path=xl/sharedStrings.xml><?xml version="1.0" encoding="utf-8"?>
<sst xmlns="http://schemas.openxmlformats.org/spreadsheetml/2006/main" count="118" uniqueCount="43">
  <si>
    <t>Condition</t>
  </si>
  <si>
    <t>exp.I</t>
  </si>
  <si>
    <t>untreated</t>
  </si>
  <si>
    <t>exp.II</t>
  </si>
  <si>
    <t>exp.III</t>
  </si>
  <si>
    <t># of parasites per wells at the moment of mixing (d1)</t>
  </si>
  <si>
    <t>Minimum frequency of hybridization competent cells</t>
  </si>
  <si>
    <t>L747</t>
  </si>
  <si>
    <t>MA37</t>
  </si>
  <si>
    <t>2.4% (2/84)</t>
  </si>
  <si>
    <t>96.4% (81/84)</t>
  </si>
  <si>
    <t>0% (0/84)</t>
  </si>
  <si>
    <t>44% (37/84)</t>
  </si>
  <si>
    <t>1.2% (1/84)</t>
  </si>
  <si>
    <t>40.5% (34/84)</t>
  </si>
  <si>
    <t>73.8% (62/84)</t>
  </si>
  <si>
    <t># of parasites per wells at the moment of mixing (d1 p.i.)</t>
  </si>
  <si>
    <t>Proportion of positive wells</t>
  </si>
  <si>
    <t>exp.IV</t>
  </si>
  <si>
    <t>61.9% (52/84)</t>
  </si>
  <si>
    <t>3.6% (3/84)</t>
  </si>
  <si>
    <t>28.6% (24/84)</t>
  </si>
  <si>
    <t>13.1% (11/84)</t>
  </si>
  <si>
    <t>MMS</t>
  </si>
  <si>
    <t>7.1% (6/84)</t>
  </si>
  <si>
    <t>40.4% (34/84)</t>
  </si>
  <si>
    <t>L747Hap2NG+ x MA37Hap2NG+</t>
  </si>
  <si>
    <t>32.6% (15/46)</t>
  </si>
  <si>
    <t>L747Hap2NG- x MA37Hap2NG+</t>
  </si>
  <si>
    <t>23.9% (11/46)</t>
  </si>
  <si>
    <t>L747Hap2NG+ x MA37Hap2NG-</t>
  </si>
  <si>
    <t>13% (6/46)</t>
  </si>
  <si>
    <t>L747Hap2NG- x MA37Hap2NG-</t>
  </si>
  <si>
    <t>36.7% (11/30)</t>
  </si>
  <si>
    <t>3.3% (1/30)</t>
  </si>
  <si>
    <t>0 (0/60)</t>
  </si>
  <si>
    <t>irradiation</t>
  </si>
  <si>
    <t>Experiment</t>
  </si>
  <si>
    <t>Condition (+irradiation)</t>
  </si>
  <si>
    <t>Cross with HAP2 mNG sorted cells</t>
  </si>
  <si>
    <r>
      <t>H</t>
    </r>
    <r>
      <rPr>
        <b/>
        <vertAlign val="subscript"/>
        <sz val="14"/>
        <color indexed="8"/>
        <rFont val="Times New Roman"/>
        <family val="1"/>
      </rPr>
      <t>2</t>
    </r>
    <r>
      <rPr>
        <b/>
        <sz val="14"/>
        <color indexed="8"/>
        <rFont val="Times New Roman"/>
        <family val="1"/>
      </rPr>
      <t>O</t>
    </r>
    <r>
      <rPr>
        <b/>
        <vertAlign val="subscript"/>
        <sz val="14"/>
        <color indexed="8"/>
        <rFont val="Times New Roman"/>
        <family val="1"/>
      </rPr>
      <t>2</t>
    </r>
  </si>
  <si>
    <r>
      <t>H</t>
    </r>
    <r>
      <rPr>
        <vertAlign val="sub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>O</t>
    </r>
    <r>
      <rPr>
        <vertAlign val="subscript"/>
        <sz val="14"/>
        <color indexed="8"/>
        <rFont val="Times New Roman"/>
        <family val="1"/>
      </rPr>
      <t>2</t>
    </r>
  </si>
  <si>
    <r>
      <t>Supplementary File 1.</t>
    </r>
    <r>
      <rPr>
        <sz val="14"/>
        <color indexed="8"/>
        <rFont val="Times New Roman"/>
        <family val="1"/>
      </rPr>
      <t xml:space="preserve"> Calculations of the minimum frequencies of mating competent cells for each L747 x MA37 cross.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</si>
</sst>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vertAlign val="subscript"/>
      <sz val="14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 wrapText="1"/>
    </xf>
    <xf numFmtId="3" fontId="40" fillId="0" borderId="0" xfId="0" applyNumberFormat="1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85" zoomScaleNormal="85" zoomScalePageLayoutView="0" workbookViewId="0" topLeftCell="A1">
      <selection activeCell="A1" sqref="A1:H1"/>
    </sheetView>
  </sheetViews>
  <sheetFormatPr defaultColWidth="11.57421875" defaultRowHeight="15"/>
  <cols>
    <col min="1" max="1" width="4.28125" style="1" customWidth="1"/>
    <col min="2" max="2" width="11.8515625" style="1" customWidth="1"/>
    <col min="3" max="3" width="36.421875" style="1" customWidth="1"/>
    <col min="4" max="8" width="16.00390625" style="1" customWidth="1"/>
    <col min="9" max="12" width="14.7109375" style="1" customWidth="1"/>
    <col min="13" max="16384" width="11.421875" style="1" customWidth="1"/>
  </cols>
  <sheetData>
    <row r="1" spans="1:8" ht="24" customHeight="1">
      <c r="A1" s="23" t="s">
        <v>42</v>
      </c>
      <c r="B1" s="23"/>
      <c r="C1" s="23"/>
      <c r="D1" s="23"/>
      <c r="E1" s="23"/>
      <c r="F1" s="23"/>
      <c r="G1" s="23"/>
      <c r="H1" s="23"/>
    </row>
    <row r="2" ht="30" customHeight="1" thickBot="1"/>
    <row r="3" spans="2:8" ht="18.75" thickBot="1">
      <c r="B3" s="17" t="s">
        <v>36</v>
      </c>
      <c r="C3" s="20"/>
      <c r="D3" s="20"/>
      <c r="E3" s="20"/>
      <c r="F3" s="20"/>
      <c r="G3" s="20"/>
      <c r="H3" s="21"/>
    </row>
    <row r="4" spans="2:8" ht="38.25" customHeight="1">
      <c r="B4" s="14" t="s">
        <v>37</v>
      </c>
      <c r="C4" s="14" t="s">
        <v>0</v>
      </c>
      <c r="D4" s="22" t="s">
        <v>16</v>
      </c>
      <c r="E4" s="22"/>
      <c r="F4" s="11" t="s">
        <v>17</v>
      </c>
      <c r="G4" s="22" t="s">
        <v>6</v>
      </c>
      <c r="H4" s="22"/>
    </row>
    <row r="5" spans="2:8" ht="16.5" customHeight="1">
      <c r="B5" s="13"/>
      <c r="C5" s="13"/>
      <c r="D5" s="2" t="s">
        <v>7</v>
      </c>
      <c r="E5" s="2" t="s">
        <v>8</v>
      </c>
      <c r="F5" s="12"/>
      <c r="G5" s="3" t="s">
        <v>7</v>
      </c>
      <c r="H5" s="3" t="s">
        <v>8</v>
      </c>
    </row>
    <row r="6" spans="2:8" ht="16.5" customHeight="1">
      <c r="B6" s="10" t="s">
        <v>1</v>
      </c>
      <c r="C6" s="4" t="s">
        <v>2</v>
      </c>
      <c r="D6" s="5">
        <f>39000*50</f>
        <v>1950000</v>
      </c>
      <c r="E6" s="5">
        <f>27000*50</f>
        <v>1350000</v>
      </c>
      <c r="F6" s="4" t="s">
        <v>9</v>
      </c>
      <c r="G6" s="4">
        <f>1/((D6*84)/2)</f>
        <v>1.221001221001221E-08</v>
      </c>
      <c r="H6" s="4">
        <f>1/((E6*84)/2)</f>
        <v>1.763668430335097E-08</v>
      </c>
    </row>
    <row r="7" spans="2:8" ht="16.5" customHeight="1">
      <c r="B7" s="10"/>
      <c r="C7" s="4" t="s">
        <v>36</v>
      </c>
      <c r="D7" s="5">
        <f>19000*50</f>
        <v>950000</v>
      </c>
      <c r="E7" s="5">
        <f>19000*50</f>
        <v>950000</v>
      </c>
      <c r="F7" s="4" t="s">
        <v>10</v>
      </c>
      <c r="G7" s="4">
        <f>1/((D7*84)/81)</f>
        <v>1.0150375939849624E-06</v>
      </c>
      <c r="H7" s="4">
        <f>1/((E7*84)/81)</f>
        <v>1.0150375939849624E-06</v>
      </c>
    </row>
    <row r="8" spans="2:8" ht="16.5" customHeight="1">
      <c r="B8" s="10" t="s">
        <v>3</v>
      </c>
      <c r="C8" s="4" t="s">
        <v>2</v>
      </c>
      <c r="D8" s="6">
        <f>54000*50</f>
        <v>2700000</v>
      </c>
      <c r="E8" s="6">
        <f>26000*50</f>
        <v>1300000</v>
      </c>
      <c r="F8" s="4" t="s">
        <v>11</v>
      </c>
      <c r="G8" s="4">
        <v>0</v>
      </c>
      <c r="H8" s="4">
        <v>0</v>
      </c>
    </row>
    <row r="9" spans="2:8" ht="16.5" customHeight="1">
      <c r="B9" s="10"/>
      <c r="C9" s="4" t="s">
        <v>36</v>
      </c>
      <c r="D9" s="6">
        <f>9000*50</f>
        <v>450000</v>
      </c>
      <c r="E9" s="6">
        <f>6000*50</f>
        <v>300000</v>
      </c>
      <c r="F9" s="4" t="s">
        <v>12</v>
      </c>
      <c r="G9" s="4">
        <f>1/((D9*84)/37)</f>
        <v>9.788359788359789E-07</v>
      </c>
      <c r="H9" s="4">
        <f>1/((E9*84)/37)</f>
        <v>1.4682539682539683E-06</v>
      </c>
    </row>
    <row r="10" spans="2:8" ht="16.5" customHeight="1">
      <c r="B10" s="10" t="s">
        <v>4</v>
      </c>
      <c r="C10" s="4" t="s">
        <v>2</v>
      </c>
      <c r="D10" s="6">
        <f>17000*50</f>
        <v>850000</v>
      </c>
      <c r="E10" s="6">
        <f>22000*50</f>
        <v>1100000</v>
      </c>
      <c r="F10" s="4" t="s">
        <v>13</v>
      </c>
      <c r="G10" s="4">
        <f>1/((D10*84)/1)</f>
        <v>1.4005602240896359E-08</v>
      </c>
      <c r="H10" s="4">
        <f>1/((E10*84)/1)</f>
        <v>1.0822510822510822E-08</v>
      </c>
    </row>
    <row r="11" spans="2:8" ht="16.5" customHeight="1">
      <c r="B11" s="10"/>
      <c r="C11" s="4" t="s">
        <v>36</v>
      </c>
      <c r="D11" s="6">
        <f>12000*50</f>
        <v>600000</v>
      </c>
      <c r="E11" s="6">
        <f>3000*50</f>
        <v>150000</v>
      </c>
      <c r="F11" s="4" t="s">
        <v>14</v>
      </c>
      <c r="G11" s="4">
        <f>1/((D11*84)/34)</f>
        <v>6.746031746031746E-07</v>
      </c>
      <c r="H11" s="4">
        <f>1/((E11*84)/34)</f>
        <v>2.6984126984126986E-06</v>
      </c>
    </row>
    <row r="12" spans="2:8" ht="16.5" customHeight="1">
      <c r="B12" s="10" t="s">
        <v>18</v>
      </c>
      <c r="C12" s="4" t="s">
        <v>2</v>
      </c>
      <c r="D12" s="6">
        <f>44000*50</f>
        <v>2200000</v>
      </c>
      <c r="E12" s="6">
        <f>32000*50</f>
        <v>1600000</v>
      </c>
      <c r="F12" s="4" t="s">
        <v>13</v>
      </c>
      <c r="G12" s="4">
        <f>1/((D12*84)/1)</f>
        <v>5.411255411255411E-09</v>
      </c>
      <c r="H12" s="4">
        <f>1/((E12*84)/1)</f>
        <v>7.44047619047619E-09</v>
      </c>
    </row>
    <row r="13" spans="2:8" ht="16.5" customHeight="1">
      <c r="B13" s="10"/>
      <c r="C13" s="4" t="s">
        <v>36</v>
      </c>
      <c r="D13" s="6">
        <f>14000*50</f>
        <v>700000</v>
      </c>
      <c r="E13" s="6">
        <f>12000*50</f>
        <v>600000</v>
      </c>
      <c r="F13" s="4" t="s">
        <v>15</v>
      </c>
      <c r="G13" s="4">
        <f>1/((D13*84)/62)</f>
        <v>1.054421768707483E-06</v>
      </c>
      <c r="H13" s="4">
        <f>1/((E13*84)/62)</f>
        <v>1.23015873015873E-06</v>
      </c>
    </row>
    <row r="14" ht="48.75" customHeight="1" thickBot="1"/>
    <row r="15" spans="2:8" ht="21" thickBot="1">
      <c r="B15" s="17" t="s">
        <v>40</v>
      </c>
      <c r="C15" s="20"/>
      <c r="D15" s="20"/>
      <c r="E15" s="20"/>
      <c r="F15" s="20"/>
      <c r="G15" s="20"/>
      <c r="H15" s="21"/>
    </row>
    <row r="16" spans="2:8" ht="38.25" customHeight="1">
      <c r="B16" s="14" t="s">
        <v>37</v>
      </c>
      <c r="C16" s="14" t="s">
        <v>0</v>
      </c>
      <c r="D16" s="11" t="s">
        <v>5</v>
      </c>
      <c r="E16" s="11"/>
      <c r="F16" s="11" t="s">
        <v>17</v>
      </c>
      <c r="G16" s="11" t="s">
        <v>6</v>
      </c>
      <c r="H16" s="11"/>
    </row>
    <row r="17" spans="2:8" ht="16.5" customHeight="1">
      <c r="B17" s="13"/>
      <c r="C17" s="13"/>
      <c r="D17" s="7" t="s">
        <v>7</v>
      </c>
      <c r="E17" s="7" t="s">
        <v>8</v>
      </c>
      <c r="F17" s="12"/>
      <c r="G17" s="8" t="s">
        <v>7</v>
      </c>
      <c r="H17" s="8" t="s">
        <v>8</v>
      </c>
    </row>
    <row r="18" spans="2:8" ht="16.5" customHeight="1">
      <c r="B18" s="10" t="s">
        <v>1</v>
      </c>
      <c r="C18" s="4" t="s">
        <v>2</v>
      </c>
      <c r="D18" s="5">
        <f>11200*50</f>
        <v>560000</v>
      </c>
      <c r="E18" s="5">
        <f>4600*50</f>
        <v>230000</v>
      </c>
      <c r="F18" s="4" t="s">
        <v>11</v>
      </c>
      <c r="G18" s="4">
        <v>0</v>
      </c>
      <c r="H18" s="4">
        <v>0</v>
      </c>
    </row>
    <row r="19" spans="2:8" ht="16.5" customHeight="1">
      <c r="B19" s="10"/>
      <c r="C19" s="4" t="s">
        <v>41</v>
      </c>
      <c r="D19" s="5">
        <f>1800*50</f>
        <v>90000</v>
      </c>
      <c r="E19" s="5">
        <f>1400*50</f>
        <v>70000</v>
      </c>
      <c r="F19" s="4" t="s">
        <v>19</v>
      </c>
      <c r="G19" s="4">
        <f>1/((D19*84)/52)</f>
        <v>6.878306878306879E-06</v>
      </c>
      <c r="H19" s="4">
        <f>1/((E19*84)/52)</f>
        <v>8.843537414965987E-06</v>
      </c>
    </row>
    <row r="20" spans="2:8" ht="16.5" customHeight="1">
      <c r="B20" s="10" t="s">
        <v>3</v>
      </c>
      <c r="C20" s="4" t="s">
        <v>2</v>
      </c>
      <c r="D20" s="5">
        <f>60*50*10*50</f>
        <v>1500000</v>
      </c>
      <c r="E20" s="5">
        <f>18*50*10*50</f>
        <v>450000</v>
      </c>
      <c r="F20" s="4" t="s">
        <v>20</v>
      </c>
      <c r="G20" s="4">
        <f>1/((D20*84)/3)</f>
        <v>2.380952380952381E-08</v>
      </c>
      <c r="H20" s="4">
        <f>1/((E20*84)/3)</f>
        <v>7.936507936507937E-08</v>
      </c>
    </row>
    <row r="21" spans="2:8" ht="16.5" customHeight="1">
      <c r="B21" s="10"/>
      <c r="C21" s="4" t="s">
        <v>41</v>
      </c>
      <c r="D21" s="5">
        <f>24*50*10*50</f>
        <v>600000</v>
      </c>
      <c r="E21" s="5">
        <f>38*10*10*50</f>
        <v>190000</v>
      </c>
      <c r="F21" s="4" t="s">
        <v>21</v>
      </c>
      <c r="G21" s="4">
        <f>1/((D21*84)/24)</f>
        <v>4.761904761904762E-07</v>
      </c>
      <c r="H21" s="4">
        <f>1/((E21*84)/24)</f>
        <v>1.5037593984962406E-06</v>
      </c>
    </row>
    <row r="22" spans="2:8" ht="16.5" customHeight="1">
      <c r="B22" s="10" t="s">
        <v>4</v>
      </c>
      <c r="C22" s="4" t="s">
        <v>2</v>
      </c>
      <c r="D22" s="5">
        <f>39000*50</f>
        <v>1950000</v>
      </c>
      <c r="E22" s="5">
        <f>27000*50</f>
        <v>1350000</v>
      </c>
      <c r="F22" s="4" t="s">
        <v>9</v>
      </c>
      <c r="G22" s="4">
        <f>1/((D22*84)/2)</f>
        <v>1.221001221001221E-08</v>
      </c>
      <c r="H22" s="4">
        <f>1/((E22*84)/2)</f>
        <v>1.763668430335097E-08</v>
      </c>
    </row>
    <row r="23" spans="2:8" ht="16.5" customHeight="1">
      <c r="B23" s="10"/>
      <c r="C23" s="4" t="s">
        <v>41</v>
      </c>
      <c r="D23" s="5">
        <f>7000*50</f>
        <v>350000</v>
      </c>
      <c r="E23" s="5">
        <f>3600*50</f>
        <v>180000</v>
      </c>
      <c r="F23" s="4" t="s">
        <v>22</v>
      </c>
      <c r="G23" s="4">
        <f>1/((D23*84)/11)</f>
        <v>3.7414965986394553E-07</v>
      </c>
      <c r="H23" s="4">
        <f>1/((E23*84)/11)</f>
        <v>7.275132275132275E-07</v>
      </c>
    </row>
    <row r="24" spans="2:8" ht="16.5" customHeight="1">
      <c r="B24" s="10" t="s">
        <v>18</v>
      </c>
      <c r="C24" s="4" t="s">
        <v>2</v>
      </c>
      <c r="D24" s="5">
        <f>14000*50</f>
        <v>700000</v>
      </c>
      <c r="E24" s="5">
        <f>9000*50</f>
        <v>450000</v>
      </c>
      <c r="F24" s="4" t="s">
        <v>11</v>
      </c>
      <c r="G24" s="4">
        <v>0</v>
      </c>
      <c r="H24" s="4">
        <v>0</v>
      </c>
    </row>
    <row r="25" spans="2:8" ht="16.5" customHeight="1">
      <c r="B25" s="10"/>
      <c r="C25" s="4" t="s">
        <v>41</v>
      </c>
      <c r="D25" s="5">
        <f>100*50</f>
        <v>5000</v>
      </c>
      <c r="E25" s="5">
        <f>800*50</f>
        <v>40000</v>
      </c>
      <c r="F25" s="4" t="s">
        <v>9</v>
      </c>
      <c r="G25" s="4">
        <f>1/((D25*84)/2)</f>
        <v>4.7619047619047615E-06</v>
      </c>
      <c r="H25" s="4">
        <f>1/((E25*84)/2)</f>
        <v>5.952380952380952E-07</v>
      </c>
    </row>
    <row r="26" ht="54" customHeight="1" thickBot="1"/>
    <row r="27" spans="2:8" ht="18.75" thickBot="1">
      <c r="B27" s="17" t="s">
        <v>23</v>
      </c>
      <c r="C27" s="18"/>
      <c r="D27" s="18"/>
      <c r="E27" s="18"/>
      <c r="F27" s="18"/>
      <c r="G27" s="18"/>
      <c r="H27" s="19"/>
    </row>
    <row r="28" spans="2:8" ht="38.25" customHeight="1">
      <c r="B28" s="14" t="s">
        <v>37</v>
      </c>
      <c r="C28" s="14" t="s">
        <v>0</v>
      </c>
      <c r="D28" s="11" t="s">
        <v>16</v>
      </c>
      <c r="E28" s="11"/>
      <c r="F28" s="11" t="s">
        <v>17</v>
      </c>
      <c r="G28" s="11" t="s">
        <v>6</v>
      </c>
      <c r="H28" s="11"/>
    </row>
    <row r="29" spans="2:8" ht="16.5" customHeight="1">
      <c r="B29" s="13"/>
      <c r="C29" s="13"/>
      <c r="D29" s="7" t="s">
        <v>7</v>
      </c>
      <c r="E29" s="7" t="s">
        <v>8</v>
      </c>
      <c r="F29" s="12"/>
      <c r="G29" s="8" t="s">
        <v>7</v>
      </c>
      <c r="H29" s="8" t="s">
        <v>8</v>
      </c>
    </row>
    <row r="30" spans="2:8" ht="16.5" customHeight="1">
      <c r="B30" s="10" t="s">
        <v>1</v>
      </c>
      <c r="C30" s="4" t="s">
        <v>2</v>
      </c>
      <c r="D30" s="5">
        <f>27000*50</f>
        <v>1350000</v>
      </c>
      <c r="E30" s="5">
        <f>13000*50</f>
        <v>650000</v>
      </c>
      <c r="F30" s="4" t="s">
        <v>13</v>
      </c>
      <c r="G30" s="4">
        <f>1/((D30*84)/1)</f>
        <v>8.818342151675485E-09</v>
      </c>
      <c r="H30" s="4">
        <f>1/((E30*84)/1)</f>
        <v>1.8315018315018314E-08</v>
      </c>
    </row>
    <row r="31" spans="2:8" ht="16.5" customHeight="1">
      <c r="B31" s="10"/>
      <c r="C31" s="4" t="s">
        <v>23</v>
      </c>
      <c r="D31" s="5">
        <f>2800*50</f>
        <v>140000</v>
      </c>
      <c r="E31" s="5">
        <f>2700*50</f>
        <v>135000</v>
      </c>
      <c r="F31" s="4" t="s">
        <v>24</v>
      </c>
      <c r="G31" s="4">
        <f>1/((D31*84/6))</f>
        <v>5.10204081632653E-07</v>
      </c>
      <c r="H31" s="4">
        <f>1/((E31*84)/6)</f>
        <v>5.291005291005291E-07</v>
      </c>
    </row>
    <row r="32" spans="2:8" ht="16.5" customHeight="1">
      <c r="B32" s="10" t="s">
        <v>3</v>
      </c>
      <c r="C32" s="4" t="s">
        <v>2</v>
      </c>
      <c r="D32" s="5">
        <f>68000*50</f>
        <v>3400000</v>
      </c>
      <c r="E32" s="5">
        <f>34000*50</f>
        <v>1700000</v>
      </c>
      <c r="F32" s="4" t="s">
        <v>13</v>
      </c>
      <c r="G32" s="4">
        <f>1/((D32*84)/1)</f>
        <v>3.5014005602240898E-09</v>
      </c>
      <c r="H32" s="4">
        <f>1/((E32*84)/1)</f>
        <v>7.0028011204481796E-09</v>
      </c>
    </row>
    <row r="33" spans="2:8" ht="16.5" customHeight="1">
      <c r="B33" s="10"/>
      <c r="C33" s="4" t="s">
        <v>23</v>
      </c>
      <c r="D33" s="5">
        <f>24000*50</f>
        <v>1200000</v>
      </c>
      <c r="E33" s="5">
        <f>6000*50</f>
        <v>300000</v>
      </c>
      <c r="F33" s="4" t="s">
        <v>25</v>
      </c>
      <c r="G33" s="4">
        <f>1/((D33*84)/34)</f>
        <v>3.373015873015873E-07</v>
      </c>
      <c r="H33" s="4">
        <f>1/((E33*84)/34)</f>
        <v>1.3492063492063493E-06</v>
      </c>
    </row>
    <row r="34" spans="2:8" ht="16.5" customHeight="1">
      <c r="B34" s="10" t="s">
        <v>4</v>
      </c>
      <c r="C34" s="4" t="s">
        <v>2</v>
      </c>
      <c r="D34" s="5">
        <f>14000*50</f>
        <v>700000</v>
      </c>
      <c r="E34" s="5">
        <f>9000*50</f>
        <v>450000</v>
      </c>
      <c r="F34" s="4" t="s">
        <v>11</v>
      </c>
      <c r="G34" s="4">
        <v>0</v>
      </c>
      <c r="H34" s="4">
        <v>0</v>
      </c>
    </row>
    <row r="35" spans="2:8" ht="16.5" customHeight="1">
      <c r="B35" s="10"/>
      <c r="C35" s="4" t="s">
        <v>23</v>
      </c>
      <c r="D35" s="5">
        <f>4000*50</f>
        <v>200000</v>
      </c>
      <c r="E35" s="5">
        <f>4000*50</f>
        <v>200000</v>
      </c>
      <c r="F35" s="4" t="s">
        <v>19</v>
      </c>
      <c r="G35" s="4">
        <f>1/((D35*84)/52)</f>
        <v>3.0952380952380953E-06</v>
      </c>
      <c r="H35" s="4">
        <f>1/((E35*84)/52)</f>
        <v>3.0952380952380953E-06</v>
      </c>
    </row>
    <row r="36" spans="2:8" ht="16.5" customHeight="1">
      <c r="B36" s="10" t="s">
        <v>18</v>
      </c>
      <c r="C36" s="4" t="s">
        <v>2</v>
      </c>
      <c r="D36" s="5">
        <f>48000*50</f>
        <v>2400000</v>
      </c>
      <c r="E36" s="5">
        <f>19000*50</f>
        <v>950000</v>
      </c>
      <c r="F36" s="4" t="s">
        <v>24</v>
      </c>
      <c r="G36" s="4">
        <f>1/((D36*84)/6)</f>
        <v>2.976190476190476E-08</v>
      </c>
      <c r="H36" s="4">
        <f>1/((E36*84)/6)</f>
        <v>7.518796992481203E-08</v>
      </c>
    </row>
    <row r="37" spans="2:8" ht="16.5" customHeight="1">
      <c r="B37" s="10"/>
      <c r="C37" s="4" t="s">
        <v>23</v>
      </c>
      <c r="D37" s="5">
        <f>16000*50</f>
        <v>800000</v>
      </c>
      <c r="E37" s="5">
        <f>6000*50</f>
        <v>300000</v>
      </c>
      <c r="F37" s="4" t="s">
        <v>21</v>
      </c>
      <c r="G37" s="4">
        <f>1/((D37*84)/24)</f>
        <v>3.5714285714285716E-07</v>
      </c>
      <c r="H37" s="4">
        <f>1/((E37*84)/24)</f>
        <v>9.523809523809523E-07</v>
      </c>
    </row>
    <row r="38" ht="57.75" customHeight="1" thickBot="1"/>
    <row r="39" spans="2:8" ht="18.75" thickBot="1">
      <c r="B39" s="17" t="s">
        <v>39</v>
      </c>
      <c r="C39" s="18"/>
      <c r="D39" s="18"/>
      <c r="E39" s="18"/>
      <c r="F39" s="18"/>
      <c r="G39" s="18"/>
      <c r="H39" s="19"/>
    </row>
    <row r="40" spans="2:8" ht="38.25" customHeight="1">
      <c r="B40" s="10" t="s">
        <v>37</v>
      </c>
      <c r="C40" s="10" t="s">
        <v>38</v>
      </c>
      <c r="D40" s="12" t="s">
        <v>16</v>
      </c>
      <c r="E40" s="12"/>
      <c r="F40" s="15" t="s">
        <v>17</v>
      </c>
      <c r="G40" s="16" t="s">
        <v>6</v>
      </c>
      <c r="H40" s="16"/>
    </row>
    <row r="41" spans="2:8" ht="16.5" customHeight="1">
      <c r="B41" s="13"/>
      <c r="C41" s="13"/>
      <c r="D41" s="8" t="s">
        <v>7</v>
      </c>
      <c r="E41" s="8" t="s">
        <v>8</v>
      </c>
      <c r="F41" s="12"/>
      <c r="G41" s="3" t="s">
        <v>7</v>
      </c>
      <c r="H41" s="3" t="s">
        <v>8</v>
      </c>
    </row>
    <row r="42" spans="2:8" ht="16.5" customHeight="1">
      <c r="B42" s="10" t="s">
        <v>1</v>
      </c>
      <c r="C42" s="4" t="s">
        <v>26</v>
      </c>
      <c r="D42" s="4">
        <v>50000</v>
      </c>
      <c r="E42" s="4">
        <v>50000</v>
      </c>
      <c r="F42" s="4" t="s">
        <v>27</v>
      </c>
      <c r="G42" s="4">
        <f>1/((D42*46)/15)</f>
        <v>6.521739130434782E-06</v>
      </c>
      <c r="H42" s="4">
        <f>1/((E42*46)/15)</f>
        <v>6.521739130434782E-06</v>
      </c>
    </row>
    <row r="43" spans="2:8" ht="16.5" customHeight="1">
      <c r="B43" s="10"/>
      <c r="C43" s="4" t="s">
        <v>28</v>
      </c>
      <c r="D43" s="4">
        <v>50000</v>
      </c>
      <c r="E43" s="4">
        <v>50000</v>
      </c>
      <c r="F43" s="4" t="s">
        <v>29</v>
      </c>
      <c r="G43" s="4">
        <f>1/((D43*46)/11)</f>
        <v>4.782608695652174E-06</v>
      </c>
      <c r="H43" s="4">
        <f>1/((E43*46)/11)</f>
        <v>4.782608695652174E-06</v>
      </c>
    </row>
    <row r="44" spans="2:8" ht="16.5" customHeight="1">
      <c r="B44" s="10"/>
      <c r="C44" s="4" t="s">
        <v>30</v>
      </c>
      <c r="D44" s="4">
        <v>50000</v>
      </c>
      <c r="E44" s="4">
        <v>50000</v>
      </c>
      <c r="F44" s="4" t="s">
        <v>31</v>
      </c>
      <c r="G44" s="4">
        <f>1/((D44*46)/6)</f>
        <v>2.6086956521739132E-06</v>
      </c>
      <c r="H44" s="4">
        <f>1/((E44*46)/6)</f>
        <v>2.6086956521739132E-06</v>
      </c>
    </row>
    <row r="45" spans="2:8" ht="16.5" customHeight="1">
      <c r="B45" s="10"/>
      <c r="C45" s="4" t="s">
        <v>32</v>
      </c>
      <c r="D45" s="4">
        <v>50000</v>
      </c>
      <c r="E45" s="4">
        <v>50000</v>
      </c>
      <c r="F45" s="4">
        <v>0</v>
      </c>
      <c r="G45" s="4">
        <v>0</v>
      </c>
      <c r="H45" s="4">
        <v>0</v>
      </c>
    </row>
    <row r="46" spans="2:8" ht="16.5" customHeight="1">
      <c r="B46" s="10" t="s">
        <v>3</v>
      </c>
      <c r="C46" s="4" t="s">
        <v>26</v>
      </c>
      <c r="D46" s="4">
        <v>43850</v>
      </c>
      <c r="E46" s="4">
        <v>30000</v>
      </c>
      <c r="F46" s="4" t="s">
        <v>33</v>
      </c>
      <c r="G46" s="4">
        <f>1/((D46*30)/11)</f>
        <v>8.361839604713037E-06</v>
      </c>
      <c r="H46" s="4">
        <f>1/((E46*30)/11)</f>
        <v>1.222222222222222E-05</v>
      </c>
    </row>
    <row r="47" spans="2:8" ht="16.5" customHeight="1">
      <c r="B47" s="10"/>
      <c r="C47" s="4" t="s">
        <v>28</v>
      </c>
      <c r="D47" s="4">
        <v>43850</v>
      </c>
      <c r="E47" s="4">
        <v>30000</v>
      </c>
      <c r="F47" s="4" t="s">
        <v>34</v>
      </c>
      <c r="G47" s="4">
        <f>1/((D47*30)/1)</f>
        <v>7.601672367920943E-07</v>
      </c>
      <c r="H47" s="4">
        <f>1/((E47*30)/1)</f>
        <v>1.111111111111111E-06</v>
      </c>
    </row>
    <row r="48" spans="2:8" ht="16.5" customHeight="1">
      <c r="B48" s="10"/>
      <c r="C48" s="4" t="s">
        <v>30</v>
      </c>
      <c r="D48" s="4">
        <v>43850</v>
      </c>
      <c r="E48" s="4">
        <v>30000</v>
      </c>
      <c r="F48" s="4" t="s">
        <v>34</v>
      </c>
      <c r="G48" s="4">
        <f>1/((D48*30)/1)</f>
        <v>7.601672367920943E-07</v>
      </c>
      <c r="H48" s="4">
        <f>1/((E48*30)/1)</f>
        <v>1.111111111111111E-06</v>
      </c>
    </row>
    <row r="49" spans="2:8" ht="16.5" customHeight="1">
      <c r="B49" s="13"/>
      <c r="C49" s="9" t="s">
        <v>32</v>
      </c>
      <c r="D49" s="9">
        <v>43850</v>
      </c>
      <c r="E49" s="9">
        <v>30000</v>
      </c>
      <c r="F49" s="9" t="s">
        <v>35</v>
      </c>
      <c r="G49" s="9">
        <v>0</v>
      </c>
      <c r="H49" s="9">
        <v>0</v>
      </c>
    </row>
  </sheetData>
  <sheetProtection/>
  <mergeCells count="39">
    <mergeCell ref="D4:E4"/>
    <mergeCell ref="A1:H1"/>
    <mergeCell ref="G4:H4"/>
    <mergeCell ref="B3:H3"/>
    <mergeCell ref="C16:C17"/>
    <mergeCell ref="D16:E16"/>
    <mergeCell ref="F16:F17"/>
    <mergeCell ref="G16:H16"/>
    <mergeCell ref="F4:F5"/>
    <mergeCell ref="B6:B7"/>
    <mergeCell ref="B8:B9"/>
    <mergeCell ref="B10:B11"/>
    <mergeCell ref="B12:B13"/>
    <mergeCell ref="C4:C5"/>
    <mergeCell ref="B36:B37"/>
    <mergeCell ref="B39:H39"/>
    <mergeCell ref="B27:H27"/>
    <mergeCell ref="C28:C29"/>
    <mergeCell ref="D28:E28"/>
    <mergeCell ref="B20:B21"/>
    <mergeCell ref="B22:B23"/>
    <mergeCell ref="B24:B25"/>
    <mergeCell ref="B15:H15"/>
    <mergeCell ref="B46:B49"/>
    <mergeCell ref="B4:B5"/>
    <mergeCell ref="B16:B17"/>
    <mergeCell ref="B28:B29"/>
    <mergeCell ref="B40:B41"/>
    <mergeCell ref="B30:B31"/>
    <mergeCell ref="B32:B33"/>
    <mergeCell ref="B34:B35"/>
    <mergeCell ref="F28:F29"/>
    <mergeCell ref="G28:H28"/>
    <mergeCell ref="B18:B19"/>
    <mergeCell ref="B42:B45"/>
    <mergeCell ref="C40:C41"/>
    <mergeCell ref="D40:E40"/>
    <mergeCell ref="F40:F41"/>
    <mergeCell ref="G40:H4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 LOURADOUR</dc:creator>
  <cp:keywords/>
  <dc:description/>
  <cp:lastModifiedBy>Sacks, David (NIH/NIAID) [E]</cp:lastModifiedBy>
  <dcterms:created xsi:type="dcterms:W3CDTF">2021-08-18T15:51:32Z</dcterms:created>
  <dcterms:modified xsi:type="dcterms:W3CDTF">2021-12-07T16:21:14Z</dcterms:modified>
  <cp:category/>
  <cp:version/>
  <cp:contentType/>
  <cp:contentStatus/>
</cp:coreProperties>
</file>