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 firstSheet="1" activeTab="6"/>
  </bookViews>
  <sheets>
    <sheet name="Figure 3b" sheetId="1" r:id="rId1"/>
    <sheet name="Figure 3c" sheetId="8" r:id="rId2"/>
    <sheet name="Figure 3d left panel" sheetId="2" r:id="rId3"/>
    <sheet name="Figure 3d right panel" sheetId="9" r:id="rId4"/>
    <sheet name="Figure 3e" sheetId="3" r:id="rId5"/>
    <sheet name="Figure 3g" sheetId="4" r:id="rId6"/>
    <sheet name="Figure 3h left panel" sheetId="6" r:id="rId7"/>
    <sheet name="Figure 3h right panel" sheetId="7" r:id="rId8"/>
  </sheets>
  <calcPr calcId="124519"/>
</workbook>
</file>

<file path=xl/calcChain.xml><?xml version="1.0" encoding="utf-8"?>
<calcChain xmlns="http://schemas.openxmlformats.org/spreadsheetml/2006/main">
  <c r="BM9" i="9"/>
  <c r="BN9"/>
  <c r="BO9"/>
  <c r="BS9" s="1"/>
  <c r="BQ9"/>
  <c r="BR9"/>
  <c r="CE9"/>
  <c r="CI9" s="1"/>
  <c r="CF9"/>
  <c r="CJ9" s="1"/>
  <c r="CG9"/>
  <c r="CK9"/>
  <c r="BM10"/>
  <c r="BQ10" s="1"/>
  <c r="BN10"/>
  <c r="BO10"/>
  <c r="BR10"/>
  <c r="BS10"/>
  <c r="BM11"/>
  <c r="BN11"/>
  <c r="BO11"/>
  <c r="BQ11"/>
  <c r="BU11" s="1"/>
  <c r="BR11"/>
  <c r="BS11"/>
  <c r="BV11"/>
  <c r="BW11" s="1"/>
  <c r="CE11"/>
  <c r="CF11"/>
  <c r="CG11"/>
  <c r="CK11" s="1"/>
  <c r="CI11"/>
  <c r="CJ11"/>
  <c r="BM13"/>
  <c r="BN13"/>
  <c r="BR13" s="1"/>
  <c r="BO13"/>
  <c r="BQ13"/>
  <c r="BS13"/>
  <c r="CE13"/>
  <c r="CI13" s="1"/>
  <c r="CF13"/>
  <c r="CG13"/>
  <c r="CJ13"/>
  <c r="CK13"/>
  <c r="BM15"/>
  <c r="BN15"/>
  <c r="BO15"/>
  <c r="BQ15"/>
  <c r="BU15" s="1"/>
  <c r="BR15"/>
  <c r="BS15"/>
  <c r="BV15"/>
  <c r="BW15" s="1"/>
  <c r="CE15"/>
  <c r="CF15"/>
  <c r="CG15"/>
  <c r="CK15" s="1"/>
  <c r="CI15"/>
  <c r="CJ15"/>
  <c r="BM17"/>
  <c r="BN17"/>
  <c r="BR17" s="1"/>
  <c r="BO17"/>
  <c r="BQ17"/>
  <c r="BS17"/>
  <c r="CE17"/>
  <c r="CI17" s="1"/>
  <c r="CF17"/>
  <c r="CG17"/>
  <c r="CJ17"/>
  <c r="CK17"/>
  <c r="BM19"/>
  <c r="BN19"/>
  <c r="BO19"/>
  <c r="BQ19"/>
  <c r="BU19" s="1"/>
  <c r="BR19"/>
  <c r="BS19"/>
  <c r="BV19"/>
  <c r="BW19" s="1"/>
  <c r="CE19"/>
  <c r="CF19"/>
  <c r="CJ19" s="1"/>
  <c r="CG19"/>
  <c r="CK19" s="1"/>
  <c r="CI19"/>
  <c r="BM21"/>
  <c r="BN21"/>
  <c r="BR21" s="1"/>
  <c r="BO21"/>
  <c r="BQ21"/>
  <c r="BS21"/>
  <c r="CE21"/>
  <c r="CI21" s="1"/>
  <c r="CF21"/>
  <c r="CG21"/>
  <c r="CJ21"/>
  <c r="CK21"/>
  <c r="BM23"/>
  <c r="BN23"/>
  <c r="BO23"/>
  <c r="BQ23"/>
  <c r="BU23" s="1"/>
  <c r="BR23"/>
  <c r="BS23"/>
  <c r="BV23"/>
  <c r="BW23" s="1"/>
  <c r="CE23"/>
  <c r="CF23"/>
  <c r="CG23"/>
  <c r="CK23" s="1"/>
  <c r="CI23"/>
  <c r="CJ23"/>
  <c r="BM25"/>
  <c r="BN25"/>
  <c r="BR25" s="1"/>
  <c r="BO25"/>
  <c r="BS25" s="1"/>
  <c r="BQ25"/>
  <c r="CE25"/>
  <c r="CI25" s="1"/>
  <c r="CF25"/>
  <c r="CG25"/>
  <c r="CJ25"/>
  <c r="CK25"/>
  <c r="CE27"/>
  <c r="CF27"/>
  <c r="CG27"/>
  <c r="CI27"/>
  <c r="CM27" s="1"/>
  <c r="CJ27"/>
  <c r="CK27"/>
  <c r="CN27"/>
  <c r="CO27" s="1"/>
  <c r="CE29"/>
  <c r="CF29"/>
  <c r="CG29"/>
  <c r="CK29" s="1"/>
  <c r="CI29"/>
  <c r="CJ29"/>
  <c r="N9"/>
  <c r="R9" s="1"/>
  <c r="O9"/>
  <c r="S9" s="1"/>
  <c r="P9"/>
  <c r="T9" s="1"/>
  <c r="AE9"/>
  <c r="AI9" s="1"/>
  <c r="AF9"/>
  <c r="AJ9" s="1"/>
  <c r="AG9"/>
  <c r="AK9" s="1"/>
  <c r="AV9"/>
  <c r="AZ9" s="1"/>
  <c r="AW9"/>
  <c r="BA9" s="1"/>
  <c r="AX9"/>
  <c r="BB9"/>
  <c r="N10"/>
  <c r="R10" s="1"/>
  <c r="O10"/>
  <c r="P10"/>
  <c r="T10" s="1"/>
  <c r="S10"/>
  <c r="AE10"/>
  <c r="AF10"/>
  <c r="AJ10" s="1"/>
  <c r="AG10"/>
  <c r="AI10"/>
  <c r="AK10"/>
  <c r="AV10"/>
  <c r="AZ10" s="1"/>
  <c r="AW10"/>
  <c r="AX10"/>
  <c r="BB10" s="1"/>
  <c r="BA10"/>
  <c r="N11"/>
  <c r="O11"/>
  <c r="S11" s="1"/>
  <c r="P11"/>
  <c r="T11" s="1"/>
  <c r="R11"/>
  <c r="AE11"/>
  <c r="AI11" s="1"/>
  <c r="AF11"/>
  <c r="AJ11" s="1"/>
  <c r="AG11"/>
  <c r="AK11" s="1"/>
  <c r="N12"/>
  <c r="R12" s="1"/>
  <c r="V12" s="1"/>
  <c r="O12"/>
  <c r="S12" s="1"/>
  <c r="P12"/>
  <c r="T12" s="1"/>
  <c r="AE12"/>
  <c r="AI12" s="1"/>
  <c r="AF12"/>
  <c r="AJ12" s="1"/>
  <c r="AG12"/>
  <c r="AK12" s="1"/>
  <c r="AV12"/>
  <c r="AZ12" s="1"/>
  <c r="AW12"/>
  <c r="BA12" s="1"/>
  <c r="AX12"/>
  <c r="BB12"/>
  <c r="N13"/>
  <c r="R13" s="1"/>
  <c r="O13"/>
  <c r="P13"/>
  <c r="T13" s="1"/>
  <c r="S13"/>
  <c r="AE13"/>
  <c r="AF13"/>
  <c r="AJ13" s="1"/>
  <c r="AG13"/>
  <c r="AI13"/>
  <c r="AK13"/>
  <c r="AV13"/>
  <c r="AZ13" s="1"/>
  <c r="AW13"/>
  <c r="AX13"/>
  <c r="BB13" s="1"/>
  <c r="BA13"/>
  <c r="N14"/>
  <c r="O14"/>
  <c r="S14" s="1"/>
  <c r="P14"/>
  <c r="T14" s="1"/>
  <c r="R14"/>
  <c r="AE14"/>
  <c r="AI14" s="1"/>
  <c r="AF14"/>
  <c r="AJ14" s="1"/>
  <c r="AG14"/>
  <c r="AK14" s="1"/>
  <c r="AV14"/>
  <c r="AW14"/>
  <c r="BA14" s="1"/>
  <c r="AX14"/>
  <c r="BB14" s="1"/>
  <c r="AZ14"/>
  <c r="N15"/>
  <c r="R15" s="1"/>
  <c r="O15"/>
  <c r="S15" s="1"/>
  <c r="P15"/>
  <c r="T15" s="1"/>
  <c r="AE15"/>
  <c r="AI15" s="1"/>
  <c r="AF15"/>
  <c r="AJ15" s="1"/>
  <c r="AG15"/>
  <c r="AK15"/>
  <c r="AV15"/>
  <c r="AZ15" s="1"/>
  <c r="AW15"/>
  <c r="AX15"/>
  <c r="BB15" s="1"/>
  <c r="BA15"/>
  <c r="N16"/>
  <c r="O16"/>
  <c r="S16" s="1"/>
  <c r="P16"/>
  <c r="R16"/>
  <c r="T16"/>
  <c r="AE16"/>
  <c r="AI16" s="1"/>
  <c r="AF16"/>
  <c r="AG16"/>
  <c r="AK16" s="1"/>
  <c r="AJ16"/>
  <c r="AV16"/>
  <c r="AW16"/>
  <c r="BA16" s="1"/>
  <c r="AX16"/>
  <c r="BB16" s="1"/>
  <c r="AZ16"/>
  <c r="N17"/>
  <c r="R17" s="1"/>
  <c r="O17"/>
  <c r="S17" s="1"/>
  <c r="P17"/>
  <c r="T17" s="1"/>
  <c r="AE17"/>
  <c r="AF17"/>
  <c r="AJ17" s="1"/>
  <c r="AG17"/>
  <c r="AK17" s="1"/>
  <c r="AI17"/>
  <c r="AV17"/>
  <c r="AZ17" s="1"/>
  <c r="AW17"/>
  <c r="BA17" s="1"/>
  <c r="AX17"/>
  <c r="BB17" s="1"/>
  <c r="N18"/>
  <c r="R18" s="1"/>
  <c r="O18"/>
  <c r="S18" s="1"/>
  <c r="P18"/>
  <c r="T18"/>
  <c r="AE18"/>
  <c r="AI18" s="1"/>
  <c r="AF18"/>
  <c r="AG18"/>
  <c r="AK18" s="1"/>
  <c r="AJ18"/>
  <c r="AV18"/>
  <c r="AW18"/>
  <c r="BA18" s="1"/>
  <c r="AX18"/>
  <c r="AZ18"/>
  <c r="BB18"/>
  <c r="N19"/>
  <c r="R19" s="1"/>
  <c r="O19"/>
  <c r="P19"/>
  <c r="T19" s="1"/>
  <c r="S19"/>
  <c r="AE19"/>
  <c r="AF19"/>
  <c r="AJ19" s="1"/>
  <c r="AG19"/>
  <c r="AK19" s="1"/>
  <c r="AI19"/>
  <c r="AV19"/>
  <c r="AZ19" s="1"/>
  <c r="AW19"/>
  <c r="BA19" s="1"/>
  <c r="AX19"/>
  <c r="BB19" s="1"/>
  <c r="AP9" i="8"/>
  <c r="AQ9"/>
  <c r="AU9" s="1"/>
  <c r="AY9" s="1"/>
  <c r="AZ9" s="1"/>
  <c r="AR9"/>
  <c r="AT9"/>
  <c r="AV9"/>
  <c r="AP10"/>
  <c r="AT10" s="1"/>
  <c r="AQ10"/>
  <c r="AR10"/>
  <c r="AV10" s="1"/>
  <c r="AU10"/>
  <c r="AP11"/>
  <c r="AQ11"/>
  <c r="AU11" s="1"/>
  <c r="AY11" s="1"/>
  <c r="AZ11" s="1"/>
  <c r="AR11"/>
  <c r="AT11"/>
  <c r="AX11" s="1"/>
  <c r="AV11"/>
  <c r="AP12"/>
  <c r="AT12" s="1"/>
  <c r="AQ12"/>
  <c r="AR12"/>
  <c r="AV12" s="1"/>
  <c r="AU12"/>
  <c r="AP13"/>
  <c r="AQ13"/>
  <c r="AU13" s="1"/>
  <c r="AY13" s="1"/>
  <c r="AZ13" s="1"/>
  <c r="AR13"/>
  <c r="AT13"/>
  <c r="AX13" s="1"/>
  <c r="AV13"/>
  <c r="AP14"/>
  <c r="AT14" s="1"/>
  <c r="AQ14"/>
  <c r="AR14"/>
  <c r="AV14" s="1"/>
  <c r="AU14"/>
  <c r="AP15"/>
  <c r="AQ15"/>
  <c r="AU15" s="1"/>
  <c r="AY15" s="1"/>
  <c r="AZ15" s="1"/>
  <c r="AR15"/>
  <c r="AT15"/>
  <c r="AV15"/>
  <c r="AP16"/>
  <c r="AT16" s="1"/>
  <c r="AQ16"/>
  <c r="AR16"/>
  <c r="AV16" s="1"/>
  <c r="AU16"/>
  <c r="AP17"/>
  <c r="AQ17"/>
  <c r="AU17" s="1"/>
  <c r="AY17" s="1"/>
  <c r="AZ17" s="1"/>
  <c r="AR17"/>
  <c r="AT17"/>
  <c r="AV17"/>
  <c r="AP18"/>
  <c r="AT18" s="1"/>
  <c r="AQ18"/>
  <c r="AR18"/>
  <c r="AV18" s="1"/>
  <c r="AU18"/>
  <c r="AP19"/>
  <c r="AQ19"/>
  <c r="AU19" s="1"/>
  <c r="AY19" s="1"/>
  <c r="AZ19" s="1"/>
  <c r="AR19"/>
  <c r="AT19"/>
  <c r="AX19" s="1"/>
  <c r="AV19"/>
  <c r="Z9"/>
  <c r="AA9"/>
  <c r="AB9"/>
  <c r="AF9" s="1"/>
  <c r="AD9"/>
  <c r="AE9"/>
  <c r="Z10"/>
  <c r="AD10" s="1"/>
  <c r="AA10"/>
  <c r="AE10" s="1"/>
  <c r="AB10"/>
  <c r="AF10"/>
  <c r="Z11"/>
  <c r="AD11" s="1"/>
  <c r="AA11"/>
  <c r="AB11"/>
  <c r="AE11"/>
  <c r="AF11"/>
  <c r="Z12"/>
  <c r="AA12"/>
  <c r="AB12"/>
  <c r="AD12"/>
  <c r="AH12" s="1"/>
  <c r="AE12"/>
  <c r="AF12"/>
  <c r="AI12"/>
  <c r="AJ12" s="1"/>
  <c r="Z13"/>
  <c r="AA13"/>
  <c r="AB13"/>
  <c r="AF13" s="1"/>
  <c r="AD13"/>
  <c r="AE13"/>
  <c r="Z14"/>
  <c r="AA14"/>
  <c r="AE14" s="1"/>
  <c r="AB14"/>
  <c r="AD14"/>
  <c r="AF14"/>
  <c r="Z15"/>
  <c r="AD15" s="1"/>
  <c r="AA15"/>
  <c r="AB15"/>
  <c r="AE15"/>
  <c r="AF15"/>
  <c r="Z16"/>
  <c r="AA16"/>
  <c r="AB16"/>
  <c r="AD16"/>
  <c r="AH16" s="1"/>
  <c r="AE16"/>
  <c r="AF16"/>
  <c r="AI16"/>
  <c r="AJ16" s="1"/>
  <c r="Z17"/>
  <c r="AA17"/>
  <c r="AB17"/>
  <c r="AF17" s="1"/>
  <c r="AD17"/>
  <c r="AE17"/>
  <c r="Z18"/>
  <c r="AA18"/>
  <c r="AE18" s="1"/>
  <c r="AB18"/>
  <c r="AD18"/>
  <c r="AF18"/>
  <c r="Z19"/>
  <c r="AD19" s="1"/>
  <c r="AA19"/>
  <c r="AB19"/>
  <c r="AE19"/>
  <c r="AF19"/>
  <c r="Z26"/>
  <c r="AA26"/>
  <c r="AB26"/>
  <c r="AD26"/>
  <c r="AH26" s="1"/>
  <c r="AE26"/>
  <c r="AF26"/>
  <c r="AI26"/>
  <c r="AJ26" s="1"/>
  <c r="Z27"/>
  <c r="AA27"/>
  <c r="AB27"/>
  <c r="AF27" s="1"/>
  <c r="AD27"/>
  <c r="AE27"/>
  <c r="Z28"/>
  <c r="AA28"/>
  <c r="AE28" s="1"/>
  <c r="AB28"/>
  <c r="AD28"/>
  <c r="AF28"/>
  <c r="Z29"/>
  <c r="AD29" s="1"/>
  <c r="AA29"/>
  <c r="AB29"/>
  <c r="AE29"/>
  <c r="AF29"/>
  <c r="Z30"/>
  <c r="AA30"/>
  <c r="AB30"/>
  <c r="AD30"/>
  <c r="AH30" s="1"/>
  <c r="AE30"/>
  <c r="AF30"/>
  <c r="AI30"/>
  <c r="AJ30" s="1"/>
  <c r="Z31"/>
  <c r="AA31"/>
  <c r="AB31"/>
  <c r="AF31" s="1"/>
  <c r="AD31"/>
  <c r="AE31"/>
  <c r="Z32"/>
  <c r="AD32" s="1"/>
  <c r="AA32"/>
  <c r="AE32" s="1"/>
  <c r="AB32"/>
  <c r="AF32"/>
  <c r="Z33"/>
  <c r="AD33" s="1"/>
  <c r="AA33"/>
  <c r="AB33"/>
  <c r="AE33"/>
  <c r="AF33"/>
  <c r="Z34"/>
  <c r="AA34"/>
  <c r="AB34"/>
  <c r="AD34"/>
  <c r="AH34" s="1"/>
  <c r="AE34"/>
  <c r="AF34"/>
  <c r="AI34"/>
  <c r="AJ34" s="1"/>
  <c r="Z35"/>
  <c r="AA35"/>
  <c r="AB35"/>
  <c r="AF35" s="1"/>
  <c r="AD35"/>
  <c r="AE35"/>
  <c r="Z36"/>
  <c r="AA36"/>
  <c r="AE36" s="1"/>
  <c r="AB36"/>
  <c r="AD36"/>
  <c r="AF36"/>
  <c r="J9"/>
  <c r="N9" s="1"/>
  <c r="K9"/>
  <c r="L9"/>
  <c r="P9" s="1"/>
  <c r="O9"/>
  <c r="J10"/>
  <c r="K10"/>
  <c r="O10" s="1"/>
  <c r="L10"/>
  <c r="N10"/>
  <c r="P10"/>
  <c r="J11"/>
  <c r="N11" s="1"/>
  <c r="K11"/>
  <c r="L11"/>
  <c r="P11" s="1"/>
  <c r="O11"/>
  <c r="J12"/>
  <c r="K12"/>
  <c r="O12" s="1"/>
  <c r="S12" s="1"/>
  <c r="T12" s="1"/>
  <c r="L12"/>
  <c r="N12"/>
  <c r="P12"/>
  <c r="J13"/>
  <c r="K13"/>
  <c r="L13"/>
  <c r="P13" s="1"/>
  <c r="N13"/>
  <c r="O13"/>
  <c r="J14"/>
  <c r="K14"/>
  <c r="O14" s="1"/>
  <c r="L14"/>
  <c r="P14" s="1"/>
  <c r="N14"/>
  <c r="J15"/>
  <c r="N15" s="1"/>
  <c r="K15"/>
  <c r="O15" s="1"/>
  <c r="L15"/>
  <c r="P15"/>
  <c r="J16"/>
  <c r="K16"/>
  <c r="L16"/>
  <c r="N16"/>
  <c r="R16" s="1"/>
  <c r="O16"/>
  <c r="P16"/>
  <c r="J17"/>
  <c r="N17" s="1"/>
  <c r="K17"/>
  <c r="L17"/>
  <c r="P17" s="1"/>
  <c r="O17"/>
  <c r="J18"/>
  <c r="K18"/>
  <c r="O18" s="1"/>
  <c r="L18"/>
  <c r="N18"/>
  <c r="P18"/>
  <c r="J19"/>
  <c r="N19" s="1"/>
  <c r="K19"/>
  <c r="L19"/>
  <c r="P19" s="1"/>
  <c r="O19"/>
  <c r="J26"/>
  <c r="K26"/>
  <c r="O26" s="1"/>
  <c r="L26"/>
  <c r="N26"/>
  <c r="P26"/>
  <c r="J27"/>
  <c r="K27"/>
  <c r="L27"/>
  <c r="P27" s="1"/>
  <c r="N27"/>
  <c r="O27"/>
  <c r="J28"/>
  <c r="N28" s="1"/>
  <c r="K28"/>
  <c r="O28" s="1"/>
  <c r="L28"/>
  <c r="P28" s="1"/>
  <c r="J29"/>
  <c r="N29" s="1"/>
  <c r="K29"/>
  <c r="L29"/>
  <c r="P29" s="1"/>
  <c r="O29"/>
  <c r="J30"/>
  <c r="K30"/>
  <c r="O30" s="1"/>
  <c r="S30" s="1"/>
  <c r="T30" s="1"/>
  <c r="L30"/>
  <c r="N30"/>
  <c r="P30"/>
  <c r="J31"/>
  <c r="K31"/>
  <c r="L31"/>
  <c r="P31" s="1"/>
  <c r="N31"/>
  <c r="O31"/>
  <c r="J32"/>
  <c r="K32"/>
  <c r="O32" s="1"/>
  <c r="L32"/>
  <c r="P32" s="1"/>
  <c r="N32"/>
  <c r="J33"/>
  <c r="N33" s="1"/>
  <c r="K33"/>
  <c r="O33" s="1"/>
  <c r="L33"/>
  <c r="P33"/>
  <c r="J34"/>
  <c r="K34"/>
  <c r="L34"/>
  <c r="N34"/>
  <c r="R34" s="1"/>
  <c r="O34"/>
  <c r="P34"/>
  <c r="J35"/>
  <c r="N35" s="1"/>
  <c r="K35"/>
  <c r="L35"/>
  <c r="P35" s="1"/>
  <c r="O35"/>
  <c r="J36"/>
  <c r="K36"/>
  <c r="O36" s="1"/>
  <c r="L36"/>
  <c r="N36"/>
  <c r="P36"/>
  <c r="M29" i="3"/>
  <c r="N29" s="1"/>
  <c r="L29"/>
  <c r="N28"/>
  <c r="M28"/>
  <c r="L28"/>
  <c r="N27"/>
  <c r="M27"/>
  <c r="L27"/>
  <c r="N24"/>
  <c r="O24" s="1"/>
  <c r="M24"/>
  <c r="N20"/>
  <c r="O20" s="1"/>
  <c r="M20"/>
  <c r="K16"/>
  <c r="J16"/>
  <c r="I16"/>
  <c r="M16" s="1"/>
  <c r="N12"/>
  <c r="O12" s="1"/>
  <c r="K12"/>
  <c r="J12"/>
  <c r="I12"/>
  <c r="M12" s="1"/>
  <c r="BU21" i="9" l="1"/>
  <c r="BV21"/>
  <c r="BW21" s="1"/>
  <c r="CN13"/>
  <c r="CO13" s="1"/>
  <c r="CM13"/>
  <c r="CN11"/>
  <c r="CO11" s="1"/>
  <c r="CM11"/>
  <c r="BU25"/>
  <c r="BV25"/>
  <c r="BW25" s="1"/>
  <c r="CN23"/>
  <c r="CO23" s="1"/>
  <c r="CM23"/>
  <c r="V9"/>
  <c r="CN21"/>
  <c r="CO21" s="1"/>
  <c r="CM21"/>
  <c r="CN19"/>
  <c r="CO19" s="1"/>
  <c r="CM19"/>
  <c r="BV9"/>
  <c r="BW9" s="1"/>
  <c r="BU9"/>
  <c r="CN25"/>
  <c r="CO25" s="1"/>
  <c r="CM25"/>
  <c r="BU13"/>
  <c r="BV13"/>
  <c r="BW13" s="1"/>
  <c r="CN29"/>
  <c r="CO29" s="1"/>
  <c r="CM29"/>
  <c r="CN17"/>
  <c r="CO17" s="1"/>
  <c r="CM17"/>
  <c r="BU17"/>
  <c r="BV17"/>
  <c r="BW17" s="1"/>
  <c r="CN15"/>
  <c r="CO15" s="1"/>
  <c r="CM15"/>
  <c r="BV10"/>
  <c r="BW10" s="1"/>
  <c r="BU10"/>
  <c r="CM9"/>
  <c r="CN9"/>
  <c r="CO9" s="1"/>
  <c r="W18"/>
  <c r="X18" s="1"/>
  <c r="V14"/>
  <c r="V11"/>
  <c r="BE18"/>
  <c r="BF18" s="1"/>
  <c r="AM17"/>
  <c r="W16"/>
  <c r="X16" s="1"/>
  <c r="BD14"/>
  <c r="AN13"/>
  <c r="AO13" s="1"/>
  <c r="AM19"/>
  <c r="AN15"/>
  <c r="AO15" s="1"/>
  <c r="AN19"/>
  <c r="AO19" s="1"/>
  <c r="BE16"/>
  <c r="BF16" s="1"/>
  <c r="W14"/>
  <c r="X14" s="1"/>
  <c r="W11"/>
  <c r="X11" s="1"/>
  <c r="W12"/>
  <c r="X12" s="1"/>
  <c r="W9"/>
  <c r="X9" s="1"/>
  <c r="BD16"/>
  <c r="BE9"/>
  <c r="BF9" s="1"/>
  <c r="AN18"/>
  <c r="AO18" s="1"/>
  <c r="AM18"/>
  <c r="BE15"/>
  <c r="BF15" s="1"/>
  <c r="BD15"/>
  <c r="W10"/>
  <c r="X10" s="1"/>
  <c r="V10"/>
  <c r="AN16"/>
  <c r="AO16" s="1"/>
  <c r="AM16"/>
  <c r="BE19"/>
  <c r="BF19" s="1"/>
  <c r="BD19"/>
  <c r="W17"/>
  <c r="X17" s="1"/>
  <c r="V17"/>
  <c r="AN14"/>
  <c r="AO14" s="1"/>
  <c r="AM14"/>
  <c r="AN11"/>
  <c r="AO11" s="1"/>
  <c r="AM11"/>
  <c r="V18"/>
  <c r="AM15"/>
  <c r="BE12"/>
  <c r="BF12" s="1"/>
  <c r="BD9"/>
  <c r="W13"/>
  <c r="X13" s="1"/>
  <c r="V13"/>
  <c r="W19"/>
  <c r="X19" s="1"/>
  <c r="V19"/>
  <c r="BE13"/>
  <c r="BF13" s="1"/>
  <c r="BD13"/>
  <c r="BE10"/>
  <c r="BF10" s="1"/>
  <c r="BD10"/>
  <c r="BD17"/>
  <c r="BE17"/>
  <c r="BF17" s="1"/>
  <c r="W15"/>
  <c r="X15" s="1"/>
  <c r="V15"/>
  <c r="AN12"/>
  <c r="AO12" s="1"/>
  <c r="AM12"/>
  <c r="AN9"/>
  <c r="AO9" s="1"/>
  <c r="AM9"/>
  <c r="BD18"/>
  <c r="V16"/>
  <c r="AM13"/>
  <c r="AM10"/>
  <c r="AN17"/>
  <c r="AO17" s="1"/>
  <c r="BE14"/>
  <c r="BF14" s="1"/>
  <c r="AN10"/>
  <c r="AO10" s="1"/>
  <c r="BD12"/>
  <c r="AY14" i="8"/>
  <c r="AZ14" s="1"/>
  <c r="AX14"/>
  <c r="AY16"/>
  <c r="AZ16" s="1"/>
  <c r="AX16"/>
  <c r="AX17"/>
  <c r="AX9"/>
  <c r="AY18"/>
  <c r="AZ18" s="1"/>
  <c r="AX18"/>
  <c r="AY10"/>
  <c r="AZ10" s="1"/>
  <c r="AX10"/>
  <c r="AY12"/>
  <c r="AZ12" s="1"/>
  <c r="AX12"/>
  <c r="AX15"/>
  <c r="AI35"/>
  <c r="AJ35" s="1"/>
  <c r="AH35"/>
  <c r="AI9"/>
  <c r="AJ9" s="1"/>
  <c r="AH9"/>
  <c r="AI28"/>
  <c r="AJ28" s="1"/>
  <c r="AH28"/>
  <c r="AI27"/>
  <c r="AJ27" s="1"/>
  <c r="AH27"/>
  <c r="AI15"/>
  <c r="AJ15" s="1"/>
  <c r="AH15"/>
  <c r="AI13"/>
  <c r="AJ13" s="1"/>
  <c r="AH13"/>
  <c r="AI33"/>
  <c r="AJ33" s="1"/>
  <c r="AH33"/>
  <c r="AH32"/>
  <c r="AI32"/>
  <c r="AJ32" s="1"/>
  <c r="AI36"/>
  <c r="AJ36" s="1"/>
  <c r="AH36"/>
  <c r="AI29"/>
  <c r="AJ29" s="1"/>
  <c r="AH29"/>
  <c r="AH14"/>
  <c r="AI14"/>
  <c r="AJ14" s="1"/>
  <c r="AH31"/>
  <c r="AI31"/>
  <c r="AJ31" s="1"/>
  <c r="AI19"/>
  <c r="AJ19" s="1"/>
  <c r="AH19"/>
  <c r="AH18"/>
  <c r="AI18"/>
  <c r="AJ18" s="1"/>
  <c r="AH17"/>
  <c r="AI17"/>
  <c r="AJ17" s="1"/>
  <c r="AI11"/>
  <c r="AJ11" s="1"/>
  <c r="AH11"/>
  <c r="AH10"/>
  <c r="AI10"/>
  <c r="AJ10" s="1"/>
  <c r="R30"/>
  <c r="R26"/>
  <c r="R17"/>
  <c r="R12"/>
  <c r="S34"/>
  <c r="T34" s="1"/>
  <c r="R27"/>
  <c r="S16"/>
  <c r="T16" s="1"/>
  <c r="R35"/>
  <c r="S35"/>
  <c r="T35" s="1"/>
  <c r="S29"/>
  <c r="T29" s="1"/>
  <c r="R29"/>
  <c r="S28"/>
  <c r="T28" s="1"/>
  <c r="R28"/>
  <c r="S19"/>
  <c r="T19" s="1"/>
  <c r="R19"/>
  <c r="R18"/>
  <c r="S18"/>
  <c r="T18" s="1"/>
  <c r="S9"/>
  <c r="T9" s="1"/>
  <c r="R9"/>
  <c r="S33"/>
  <c r="T33" s="1"/>
  <c r="R33"/>
  <c r="S32"/>
  <c r="T32" s="1"/>
  <c r="R32"/>
  <c r="S31"/>
  <c r="T31" s="1"/>
  <c r="R31"/>
  <c r="S15"/>
  <c r="T15" s="1"/>
  <c r="R15"/>
  <c r="R14"/>
  <c r="S14"/>
  <c r="T14" s="1"/>
  <c r="S13"/>
  <c r="T13" s="1"/>
  <c r="R13"/>
  <c r="S17"/>
  <c r="T17" s="1"/>
  <c r="R36"/>
  <c r="S36"/>
  <c r="T36" s="1"/>
  <c r="S11"/>
  <c r="T11" s="1"/>
  <c r="R11"/>
  <c r="R10"/>
  <c r="S10"/>
  <c r="T10" s="1"/>
  <c r="S27"/>
  <c r="T27" s="1"/>
  <c r="S26"/>
  <c r="T26" s="1"/>
  <c r="N16" i="3"/>
  <c r="O16" s="1"/>
  <c r="EE28" i="2"/>
  <c r="EI28" s="1"/>
  <c r="ED28"/>
  <c r="EH28" s="1"/>
  <c r="EC28"/>
  <c r="EG28" s="1"/>
  <c r="BN28"/>
  <c r="BR28" s="1"/>
  <c r="BM28"/>
  <c r="BQ28" s="1"/>
  <c r="BL28"/>
  <c r="BP28" s="1"/>
  <c r="BN27"/>
  <c r="BR27" s="1"/>
  <c r="BM27"/>
  <c r="BQ27" s="1"/>
  <c r="BL27"/>
  <c r="BP27" s="1"/>
  <c r="EE26"/>
  <c r="EI26" s="1"/>
  <c r="ED26"/>
  <c r="EH26" s="1"/>
  <c r="EC26"/>
  <c r="EG26" s="1"/>
  <c r="BN26"/>
  <c r="BR26" s="1"/>
  <c r="BM26"/>
  <c r="BQ26" s="1"/>
  <c r="BL26"/>
  <c r="BP26" s="1"/>
  <c r="BP25"/>
  <c r="BN25"/>
  <c r="BR25" s="1"/>
  <c r="BM25"/>
  <c r="BQ25" s="1"/>
  <c r="BL25"/>
  <c r="EH24"/>
  <c r="EE24"/>
  <c r="EI24" s="1"/>
  <c r="ED24"/>
  <c r="EC24"/>
  <c r="EG24" s="1"/>
  <c r="DQ24"/>
  <c r="DM24"/>
  <c r="DL24"/>
  <c r="DP24" s="1"/>
  <c r="DK24"/>
  <c r="DO24" s="1"/>
  <c r="CV24"/>
  <c r="CZ24" s="1"/>
  <c r="CU24"/>
  <c r="CY24" s="1"/>
  <c r="CT24"/>
  <c r="CX24" s="1"/>
  <c r="CE24"/>
  <c r="CI24" s="1"/>
  <c r="CD24"/>
  <c r="CH24" s="1"/>
  <c r="CC24"/>
  <c r="CG24" s="1"/>
  <c r="BN24"/>
  <c r="BR24" s="1"/>
  <c r="BM24"/>
  <c r="BQ24" s="1"/>
  <c r="BL24"/>
  <c r="BP24" s="1"/>
  <c r="CX23"/>
  <c r="CV23"/>
  <c r="CZ23" s="1"/>
  <c r="CU23"/>
  <c r="CY23" s="1"/>
  <c r="CT23"/>
  <c r="CH23"/>
  <c r="CE23"/>
  <c r="CI23" s="1"/>
  <c r="CD23"/>
  <c r="CC23"/>
  <c r="CG23" s="1"/>
  <c r="BR23"/>
  <c r="BP23"/>
  <c r="BT23" s="1"/>
  <c r="BN23"/>
  <c r="BM23"/>
  <c r="BQ23" s="1"/>
  <c r="BL23"/>
  <c r="EH22"/>
  <c r="EE22"/>
  <c r="EI22" s="1"/>
  <c r="ED22"/>
  <c r="EC22"/>
  <c r="EG22" s="1"/>
  <c r="DQ22"/>
  <c r="DM22"/>
  <c r="DL22"/>
  <c r="DP22" s="1"/>
  <c r="DK22"/>
  <c r="DO22" s="1"/>
  <c r="CV22"/>
  <c r="CZ22" s="1"/>
  <c r="CU22"/>
  <c r="CY22" s="1"/>
  <c r="CT22"/>
  <c r="CX22" s="1"/>
  <c r="CE22"/>
  <c r="CI22" s="1"/>
  <c r="CD22"/>
  <c r="CH22" s="1"/>
  <c r="CC22"/>
  <c r="CG22" s="1"/>
  <c r="CK22" s="1"/>
  <c r="BN22"/>
  <c r="BR22" s="1"/>
  <c r="BM22"/>
  <c r="BQ22" s="1"/>
  <c r="BL22"/>
  <c r="BP22" s="1"/>
  <c r="CX21"/>
  <c r="CV21"/>
  <c r="CZ21" s="1"/>
  <c r="CU21"/>
  <c r="CY21" s="1"/>
  <c r="CT21"/>
  <c r="CH21"/>
  <c r="CE21"/>
  <c r="CI21" s="1"/>
  <c r="CD21"/>
  <c r="CC21"/>
  <c r="CG21" s="1"/>
  <c r="BR21"/>
  <c r="BP21"/>
  <c r="BN21"/>
  <c r="BM21"/>
  <c r="BQ21" s="1"/>
  <c r="BL21"/>
  <c r="EH20"/>
  <c r="EE20"/>
  <c r="EI20" s="1"/>
  <c r="ED20"/>
  <c r="EC20"/>
  <c r="EG20" s="1"/>
  <c r="DQ20"/>
  <c r="DM20"/>
  <c r="DL20"/>
  <c r="DP20" s="1"/>
  <c r="DK20"/>
  <c r="DO20" s="1"/>
  <c r="DS20" s="1"/>
  <c r="CV20"/>
  <c r="CZ20" s="1"/>
  <c r="CU20"/>
  <c r="CY20" s="1"/>
  <c r="CT20"/>
  <c r="CX20" s="1"/>
  <c r="CE20"/>
  <c r="CI20" s="1"/>
  <c r="CD20"/>
  <c r="CH20" s="1"/>
  <c r="CC20"/>
  <c r="CG20" s="1"/>
  <c r="BN20"/>
  <c r="BR20" s="1"/>
  <c r="BM20"/>
  <c r="BQ20" s="1"/>
  <c r="BL20"/>
  <c r="BP20" s="1"/>
  <c r="CX19"/>
  <c r="CV19"/>
  <c r="CZ19" s="1"/>
  <c r="CU19"/>
  <c r="CY19" s="1"/>
  <c r="CT19"/>
  <c r="CH19"/>
  <c r="CE19"/>
  <c r="CI19" s="1"/>
  <c r="CD19"/>
  <c r="CC19"/>
  <c r="CG19" s="1"/>
  <c r="BR19"/>
  <c r="BP19"/>
  <c r="BN19"/>
  <c r="BM19"/>
  <c r="BQ19" s="1"/>
  <c r="BL19"/>
  <c r="EH18"/>
  <c r="EE18"/>
  <c r="EI18" s="1"/>
  <c r="ED18"/>
  <c r="EC18"/>
  <c r="EG18" s="1"/>
  <c r="DQ18"/>
  <c r="DM18"/>
  <c r="DL18"/>
  <c r="DP18" s="1"/>
  <c r="DK18"/>
  <c r="DO18" s="1"/>
  <c r="DS18" s="1"/>
  <c r="CV18"/>
  <c r="CZ18" s="1"/>
  <c r="CU18"/>
  <c r="CY18" s="1"/>
  <c r="CT18"/>
  <c r="CX18" s="1"/>
  <c r="CE18"/>
  <c r="CI18" s="1"/>
  <c r="CD18"/>
  <c r="CH18" s="1"/>
  <c r="CC18"/>
  <c r="CG18" s="1"/>
  <c r="BN18"/>
  <c r="BR18" s="1"/>
  <c r="BM18"/>
  <c r="BQ18" s="1"/>
  <c r="BL18"/>
  <c r="BP18" s="1"/>
  <c r="CX17"/>
  <c r="CV17"/>
  <c r="CZ17" s="1"/>
  <c r="CU17"/>
  <c r="CY17" s="1"/>
  <c r="CT17"/>
  <c r="CH17"/>
  <c r="CE17"/>
  <c r="CI17" s="1"/>
  <c r="CD17"/>
  <c r="CC17"/>
  <c r="CG17" s="1"/>
  <c r="BR17"/>
  <c r="BP17"/>
  <c r="BT17" s="1"/>
  <c r="BN17"/>
  <c r="BM17"/>
  <c r="BQ17" s="1"/>
  <c r="BL17"/>
  <c r="EI16"/>
  <c r="EE16"/>
  <c r="ED16"/>
  <c r="EH16" s="1"/>
  <c r="EC16"/>
  <c r="EG16" s="1"/>
  <c r="DM16"/>
  <c r="DQ16" s="1"/>
  <c r="DL16"/>
  <c r="DP16" s="1"/>
  <c r="DK16"/>
  <c r="DO16" s="1"/>
  <c r="CV16"/>
  <c r="CZ16" s="1"/>
  <c r="CU16"/>
  <c r="CY16" s="1"/>
  <c r="CT16"/>
  <c r="CX16" s="1"/>
  <c r="CE16"/>
  <c r="CI16" s="1"/>
  <c r="CD16"/>
  <c r="CH16" s="1"/>
  <c r="CC16"/>
  <c r="CG16" s="1"/>
  <c r="BP16"/>
  <c r="BN16"/>
  <c r="BR16" s="1"/>
  <c r="BM16"/>
  <c r="BQ16" s="1"/>
  <c r="BL16"/>
  <c r="CZ15"/>
  <c r="CV15"/>
  <c r="CU15"/>
  <c r="CY15" s="1"/>
  <c r="CT15"/>
  <c r="CX15" s="1"/>
  <c r="CH15"/>
  <c r="CE15"/>
  <c r="CI15" s="1"/>
  <c r="CD15"/>
  <c r="CC15"/>
  <c r="CG15" s="1"/>
  <c r="BR15"/>
  <c r="BN15"/>
  <c r="BM15"/>
  <c r="BQ15" s="1"/>
  <c r="BL15"/>
  <c r="BP15" s="1"/>
  <c r="BT15" s="1"/>
  <c r="EI14"/>
  <c r="EE14"/>
  <c r="ED14"/>
  <c r="EH14" s="1"/>
  <c r="EC14"/>
  <c r="EG14" s="1"/>
  <c r="DM14"/>
  <c r="DQ14" s="1"/>
  <c r="DL14"/>
  <c r="DP14" s="1"/>
  <c r="DK14"/>
  <c r="DO14" s="1"/>
  <c r="CV14"/>
  <c r="CZ14" s="1"/>
  <c r="CU14"/>
  <c r="CY14" s="1"/>
  <c r="CT14"/>
  <c r="CX14" s="1"/>
  <c r="CE14"/>
  <c r="CI14" s="1"/>
  <c r="CD14"/>
  <c r="CH14" s="1"/>
  <c r="CC14"/>
  <c r="CG14" s="1"/>
  <c r="BP14"/>
  <c r="BN14"/>
  <c r="BR14" s="1"/>
  <c r="BM14"/>
  <c r="BQ14" s="1"/>
  <c r="BL14"/>
  <c r="CV13"/>
  <c r="CZ13" s="1"/>
  <c r="CU13"/>
  <c r="CY13" s="1"/>
  <c r="CT13"/>
  <c r="CX13" s="1"/>
  <c r="CE13"/>
  <c r="CI13" s="1"/>
  <c r="CD13"/>
  <c r="CH13" s="1"/>
  <c r="CC13"/>
  <c r="CG13" s="1"/>
  <c r="BN13"/>
  <c r="BR13" s="1"/>
  <c r="BM13"/>
  <c r="BQ13" s="1"/>
  <c r="BL13"/>
  <c r="BP13" s="1"/>
  <c r="EE12"/>
  <c r="EI12" s="1"/>
  <c r="ED12"/>
  <c r="EH12" s="1"/>
  <c r="EC12"/>
  <c r="EG12" s="1"/>
  <c r="DM12"/>
  <c r="DQ12" s="1"/>
  <c r="DL12"/>
  <c r="DP12" s="1"/>
  <c r="DK12"/>
  <c r="DO12" s="1"/>
  <c r="CV12"/>
  <c r="CZ12" s="1"/>
  <c r="CU12"/>
  <c r="CY12" s="1"/>
  <c r="CT12"/>
  <c r="CX12" s="1"/>
  <c r="CE12"/>
  <c r="CI12" s="1"/>
  <c r="CD12"/>
  <c r="CH12" s="1"/>
  <c r="CC12"/>
  <c r="CG12" s="1"/>
  <c r="BN12"/>
  <c r="BR12" s="1"/>
  <c r="BM12"/>
  <c r="BQ12" s="1"/>
  <c r="BL12"/>
  <c r="BP12" s="1"/>
  <c r="CV11"/>
  <c r="CZ11" s="1"/>
  <c r="CU11"/>
  <c r="CY11" s="1"/>
  <c r="CT11"/>
  <c r="CX11" s="1"/>
  <c r="CE11"/>
  <c r="CI11" s="1"/>
  <c r="CD11"/>
  <c r="CH11" s="1"/>
  <c r="CC11"/>
  <c r="CG11" s="1"/>
  <c r="BN11"/>
  <c r="BR11" s="1"/>
  <c r="BM11"/>
  <c r="BQ11" s="1"/>
  <c r="BL11"/>
  <c r="BP11" s="1"/>
  <c r="EE10"/>
  <c r="EI10" s="1"/>
  <c r="ED10"/>
  <c r="EH10" s="1"/>
  <c r="EC10"/>
  <c r="EG10" s="1"/>
  <c r="DM10"/>
  <c r="DQ10" s="1"/>
  <c r="DL10"/>
  <c r="DP10" s="1"/>
  <c r="DK10"/>
  <c r="DO10" s="1"/>
  <c r="DS10" s="1"/>
  <c r="CV10"/>
  <c r="CZ10" s="1"/>
  <c r="CU10"/>
  <c r="CY10" s="1"/>
  <c r="CT10"/>
  <c r="CX10" s="1"/>
  <c r="CE10"/>
  <c r="CI10" s="1"/>
  <c r="CD10"/>
  <c r="CH10" s="1"/>
  <c r="CC10"/>
  <c r="CG10" s="1"/>
  <c r="BN10"/>
  <c r="BR10" s="1"/>
  <c r="BM10"/>
  <c r="BQ10" s="1"/>
  <c r="BL10"/>
  <c r="BP10" s="1"/>
  <c r="DO9"/>
  <c r="DM9"/>
  <c r="DQ9" s="1"/>
  <c r="DL9"/>
  <c r="DP9" s="1"/>
  <c r="DK9"/>
  <c r="CV9"/>
  <c r="CZ9" s="1"/>
  <c r="CU9"/>
  <c r="CY9" s="1"/>
  <c r="CT9"/>
  <c r="CX9" s="1"/>
  <c r="CE9"/>
  <c r="CI9" s="1"/>
  <c r="CD9"/>
  <c r="CH9" s="1"/>
  <c r="CC9"/>
  <c r="CG9" s="1"/>
  <c r="BQ9"/>
  <c r="BN9"/>
  <c r="BR9" s="1"/>
  <c r="BM9"/>
  <c r="BL9"/>
  <c r="BP9" s="1"/>
  <c r="EE8"/>
  <c r="EI8" s="1"/>
  <c r="ED8"/>
  <c r="EH8" s="1"/>
  <c r="EC8"/>
  <c r="EG8" s="1"/>
  <c r="DM8"/>
  <c r="DQ8" s="1"/>
  <c r="DL8"/>
  <c r="DP8" s="1"/>
  <c r="DK8"/>
  <c r="DO8" s="1"/>
  <c r="DS8" s="1"/>
  <c r="CV8"/>
  <c r="CZ8" s="1"/>
  <c r="CU8"/>
  <c r="CY8" s="1"/>
  <c r="CT8"/>
  <c r="CX8" s="1"/>
  <c r="CG8"/>
  <c r="CE8"/>
  <c r="CI8" s="1"/>
  <c r="CD8"/>
  <c r="CH8" s="1"/>
  <c r="CC8"/>
  <c r="BQ8"/>
  <c r="BN8"/>
  <c r="BR8" s="1"/>
  <c r="BM8"/>
  <c r="BL8"/>
  <c r="BP8" s="1"/>
  <c r="DB14" l="1"/>
  <c r="DB16"/>
  <c r="CK20"/>
  <c r="CL8"/>
  <c r="CM8" s="1"/>
  <c r="BT25"/>
  <c r="BU16"/>
  <c r="BV16" s="1"/>
  <c r="DB21"/>
  <c r="DB23"/>
  <c r="DB9"/>
  <c r="DC9"/>
  <c r="DD9" s="1"/>
  <c r="CK10"/>
  <c r="CL10"/>
  <c r="CM10" s="1"/>
  <c r="EK10"/>
  <c r="EL10"/>
  <c r="EM10" s="1"/>
  <c r="BT11"/>
  <c r="BU11"/>
  <c r="BV11" s="1"/>
  <c r="DB12"/>
  <c r="DC12"/>
  <c r="DD12" s="1"/>
  <c r="EK12"/>
  <c r="EL12"/>
  <c r="EM12" s="1"/>
  <c r="CK15"/>
  <c r="CL15"/>
  <c r="CM15" s="1"/>
  <c r="DS16"/>
  <c r="DT16"/>
  <c r="DU16" s="1"/>
  <c r="CK17"/>
  <c r="CL17"/>
  <c r="CM17" s="1"/>
  <c r="EK18"/>
  <c r="EL18"/>
  <c r="EM18" s="1"/>
  <c r="DB22"/>
  <c r="DC22"/>
  <c r="DD22" s="1"/>
  <c r="BT24"/>
  <c r="BU24"/>
  <c r="BV24" s="1"/>
  <c r="BU26"/>
  <c r="BV26" s="1"/>
  <c r="BT26"/>
  <c r="BU14"/>
  <c r="BV14" s="1"/>
  <c r="EK16"/>
  <c r="CK18"/>
  <c r="DB19"/>
  <c r="BT21"/>
  <c r="DS24"/>
  <c r="BT27"/>
  <c r="EK28"/>
  <c r="DB8"/>
  <c r="DC8"/>
  <c r="DD8" s="1"/>
  <c r="EK8"/>
  <c r="EL8"/>
  <c r="EM8" s="1"/>
  <c r="DB10"/>
  <c r="DC10"/>
  <c r="DD10" s="1"/>
  <c r="CK11"/>
  <c r="CL11"/>
  <c r="CM11" s="1"/>
  <c r="DS12"/>
  <c r="DT12"/>
  <c r="DU12" s="1"/>
  <c r="DS14"/>
  <c r="DT14"/>
  <c r="DU14" s="1"/>
  <c r="CK16"/>
  <c r="CL16"/>
  <c r="CM16" s="1"/>
  <c r="DC20"/>
  <c r="DD20" s="1"/>
  <c r="DB20"/>
  <c r="BU22"/>
  <c r="BV22" s="1"/>
  <c r="BT22"/>
  <c r="CL23"/>
  <c r="CM23" s="1"/>
  <c r="CK23"/>
  <c r="EK24"/>
  <c r="EL24"/>
  <c r="EM24" s="1"/>
  <c r="DC15"/>
  <c r="DD15" s="1"/>
  <c r="DC17"/>
  <c r="DD17" s="1"/>
  <c r="BT19"/>
  <c r="DS22"/>
  <c r="CK24"/>
  <c r="BT8"/>
  <c r="BU8"/>
  <c r="BV8" s="1"/>
  <c r="DC11"/>
  <c r="DD11" s="1"/>
  <c r="DB11"/>
  <c r="BU12"/>
  <c r="BV12" s="1"/>
  <c r="BT12"/>
  <c r="BT13"/>
  <c r="BU13"/>
  <c r="BV13" s="1"/>
  <c r="CK13"/>
  <c r="CL13"/>
  <c r="CM13" s="1"/>
  <c r="CK14"/>
  <c r="CL14"/>
  <c r="CM14" s="1"/>
  <c r="EK14"/>
  <c r="EL14"/>
  <c r="EM14" s="1"/>
  <c r="DB18"/>
  <c r="DC18"/>
  <c r="DD18" s="1"/>
  <c r="BT20"/>
  <c r="BU20"/>
  <c r="BV20" s="1"/>
  <c r="CK21"/>
  <c r="CL21"/>
  <c r="CM21" s="1"/>
  <c r="EK22"/>
  <c r="EL22"/>
  <c r="EM22" s="1"/>
  <c r="BU28"/>
  <c r="BV28" s="1"/>
  <c r="BT28"/>
  <c r="DT9"/>
  <c r="DU9" s="1"/>
  <c r="BT9"/>
  <c r="BU9"/>
  <c r="BV9" s="1"/>
  <c r="CK9"/>
  <c r="CL9"/>
  <c r="CM9" s="1"/>
  <c r="BU10"/>
  <c r="BV10" s="1"/>
  <c r="BT10"/>
  <c r="CK12"/>
  <c r="CL12"/>
  <c r="CM12" s="1"/>
  <c r="DC13"/>
  <c r="DD13" s="1"/>
  <c r="DB13"/>
  <c r="BU18"/>
  <c r="BV18" s="1"/>
  <c r="BT18"/>
  <c r="CL19"/>
  <c r="CM19" s="1"/>
  <c r="CK19"/>
  <c r="EL20"/>
  <c r="EM20" s="1"/>
  <c r="EK20"/>
  <c r="DB24"/>
  <c r="DC24"/>
  <c r="DD24" s="1"/>
  <c r="EK26"/>
  <c r="EL26"/>
  <c r="EM26" s="1"/>
  <c r="CK8"/>
  <c r="DS9"/>
  <c r="DT10"/>
  <c r="DU10" s="1"/>
  <c r="BT14"/>
  <c r="DB15"/>
  <c r="BT16"/>
  <c r="DB17"/>
  <c r="DT18"/>
  <c r="DU18" s="1"/>
  <c r="BU19"/>
  <c r="BV19" s="1"/>
  <c r="CL20"/>
  <c r="CM20" s="1"/>
  <c r="DC21"/>
  <c r="DD21" s="1"/>
  <c r="DT22"/>
  <c r="DU22" s="1"/>
  <c r="BU23"/>
  <c r="BV23" s="1"/>
  <c r="DT24"/>
  <c r="DU24" s="1"/>
  <c r="BU25"/>
  <c r="BV25" s="1"/>
  <c r="BU27"/>
  <c r="BV27" s="1"/>
  <c r="DT8"/>
  <c r="DU8" s="1"/>
  <c r="DC14"/>
  <c r="DD14" s="1"/>
  <c r="BU15"/>
  <c r="BV15" s="1"/>
  <c r="DC16"/>
  <c r="DD16" s="1"/>
  <c r="EL16"/>
  <c r="EM16" s="1"/>
  <c r="BU17"/>
  <c r="BV17" s="1"/>
  <c r="EL28"/>
  <c r="EM28" s="1"/>
  <c r="CL18"/>
  <c r="CM18" s="1"/>
  <c r="DC19"/>
  <c r="DD19" s="1"/>
  <c r="DT20"/>
  <c r="DU20" s="1"/>
  <c r="BU21"/>
  <c r="BV21" s="1"/>
  <c r="CL22"/>
  <c r="CM22" s="1"/>
  <c r="DC23"/>
  <c r="DD23" s="1"/>
  <c r="AC24" i="1"/>
  <c r="AG24" s="1"/>
  <c r="AC25"/>
  <c r="AG25" s="1"/>
  <c r="AC26"/>
  <c r="AG26" s="1"/>
  <c r="AC27"/>
  <c r="AG27" s="1"/>
  <c r="AC28"/>
  <c r="AG28" s="1"/>
  <c r="AC29"/>
  <c r="AG29" s="1"/>
  <c r="AC30"/>
  <c r="AG30" s="1"/>
  <c r="AC31"/>
  <c r="AG31" s="1"/>
  <c r="AC32"/>
  <c r="AG32" s="1"/>
  <c r="AC33"/>
  <c r="AG33" s="1"/>
  <c r="AC23"/>
  <c r="AG23" s="1"/>
  <c r="AB24"/>
  <c r="AF24" s="1"/>
  <c r="AB25"/>
  <c r="AF25" s="1"/>
  <c r="AB26"/>
  <c r="AF26" s="1"/>
  <c r="AB27"/>
  <c r="AF27" s="1"/>
  <c r="AB28"/>
  <c r="AF28" s="1"/>
  <c r="AB29"/>
  <c r="AF29" s="1"/>
  <c r="AB30"/>
  <c r="AF30" s="1"/>
  <c r="AB31"/>
  <c r="AF31" s="1"/>
  <c r="AB32"/>
  <c r="AF32" s="1"/>
  <c r="AB33"/>
  <c r="AF33" s="1"/>
  <c r="AB23"/>
  <c r="AF23" s="1"/>
  <c r="AA24"/>
  <c r="AE24" s="1"/>
  <c r="AA25"/>
  <c r="AE25" s="1"/>
  <c r="AA26"/>
  <c r="AE26" s="1"/>
  <c r="AA27"/>
  <c r="AE27" s="1"/>
  <c r="AA28"/>
  <c r="AE28" s="1"/>
  <c r="AA29"/>
  <c r="AE29" s="1"/>
  <c r="AA30"/>
  <c r="AE30" s="1"/>
  <c r="AA31"/>
  <c r="AE31" s="1"/>
  <c r="AA32"/>
  <c r="AE32" s="1"/>
  <c r="AA33"/>
  <c r="AE33" s="1"/>
  <c r="AA23"/>
  <c r="AE23" s="1"/>
  <c r="M24"/>
  <c r="Q24" s="1"/>
  <c r="M25"/>
  <c r="Q25" s="1"/>
  <c r="M26"/>
  <c r="Q26" s="1"/>
  <c r="M27"/>
  <c r="Q27" s="1"/>
  <c r="M28"/>
  <c r="Q28" s="1"/>
  <c r="M29"/>
  <c r="Q29" s="1"/>
  <c r="M30"/>
  <c r="Q30" s="1"/>
  <c r="M31"/>
  <c r="Q31" s="1"/>
  <c r="M32"/>
  <c r="Q32" s="1"/>
  <c r="M33"/>
  <c r="Q33" s="1"/>
  <c r="M23"/>
  <c r="Q23" s="1"/>
  <c r="L24"/>
  <c r="P24" s="1"/>
  <c r="L25"/>
  <c r="P25" s="1"/>
  <c r="L26"/>
  <c r="P26" s="1"/>
  <c r="L27"/>
  <c r="P27" s="1"/>
  <c r="L28"/>
  <c r="P28" s="1"/>
  <c r="L29"/>
  <c r="P29" s="1"/>
  <c r="L30"/>
  <c r="P30" s="1"/>
  <c r="L31"/>
  <c r="P31" s="1"/>
  <c r="L32"/>
  <c r="P32" s="1"/>
  <c r="L33"/>
  <c r="P33" s="1"/>
  <c r="L23"/>
  <c r="P23" s="1"/>
  <c r="K24"/>
  <c r="O24" s="1"/>
  <c r="K25"/>
  <c r="O25" s="1"/>
  <c r="K26"/>
  <c r="O26" s="1"/>
  <c r="K27"/>
  <c r="O27" s="1"/>
  <c r="K28"/>
  <c r="O28" s="1"/>
  <c r="K29"/>
  <c r="O29" s="1"/>
  <c r="K30"/>
  <c r="O30" s="1"/>
  <c r="K31"/>
  <c r="O31" s="1"/>
  <c r="K32"/>
  <c r="O32" s="1"/>
  <c r="K33"/>
  <c r="O33" s="1"/>
  <c r="K23"/>
  <c r="O23" s="1"/>
  <c r="AS7"/>
  <c r="AW7" s="1"/>
  <c r="AS8"/>
  <c r="AW8" s="1"/>
  <c r="AS9"/>
  <c r="AW9" s="1"/>
  <c r="AS10"/>
  <c r="AW10" s="1"/>
  <c r="AS11"/>
  <c r="AW11" s="1"/>
  <c r="AS12"/>
  <c r="AW12" s="1"/>
  <c r="AS13"/>
  <c r="AW13" s="1"/>
  <c r="AS14"/>
  <c r="AW14" s="1"/>
  <c r="AS15"/>
  <c r="AW15" s="1"/>
  <c r="AS16"/>
  <c r="AW16" s="1"/>
  <c r="AS6"/>
  <c r="AW6" s="1"/>
  <c r="AR7"/>
  <c r="AV7" s="1"/>
  <c r="AR8"/>
  <c r="AV8" s="1"/>
  <c r="AR9"/>
  <c r="AV9" s="1"/>
  <c r="AR10"/>
  <c r="AV10" s="1"/>
  <c r="AR11"/>
  <c r="AV11" s="1"/>
  <c r="AR12"/>
  <c r="AV12" s="1"/>
  <c r="AR13"/>
  <c r="AV13" s="1"/>
  <c r="AR14"/>
  <c r="AV14" s="1"/>
  <c r="AR15"/>
  <c r="AV15" s="1"/>
  <c r="AR16"/>
  <c r="AV16" s="1"/>
  <c r="AR6"/>
  <c r="AV6" s="1"/>
  <c r="AQ7"/>
  <c r="AU7" s="1"/>
  <c r="AQ8"/>
  <c r="AU8" s="1"/>
  <c r="AQ9"/>
  <c r="AU9" s="1"/>
  <c r="AQ10"/>
  <c r="AU10" s="1"/>
  <c r="AQ11"/>
  <c r="AU11" s="1"/>
  <c r="AQ12"/>
  <c r="AU12" s="1"/>
  <c r="AQ13"/>
  <c r="AU13" s="1"/>
  <c r="AQ14"/>
  <c r="AU14" s="1"/>
  <c r="AQ15"/>
  <c r="AU15" s="1"/>
  <c r="AQ16"/>
  <c r="AU16" s="1"/>
  <c r="AQ6"/>
  <c r="AU6" s="1"/>
  <c r="AC7"/>
  <c r="AG7" s="1"/>
  <c r="AC8"/>
  <c r="AG8" s="1"/>
  <c r="AC9"/>
  <c r="AG9" s="1"/>
  <c r="AC10"/>
  <c r="AG10" s="1"/>
  <c r="AC11"/>
  <c r="AG11" s="1"/>
  <c r="AC12"/>
  <c r="AG12" s="1"/>
  <c r="AC13"/>
  <c r="AG13" s="1"/>
  <c r="AC14"/>
  <c r="AG14" s="1"/>
  <c r="AC15"/>
  <c r="AG15" s="1"/>
  <c r="AC16"/>
  <c r="AG16" s="1"/>
  <c r="AC6"/>
  <c r="AG6" s="1"/>
  <c r="AB7"/>
  <c r="AF7" s="1"/>
  <c r="AB8"/>
  <c r="AF8" s="1"/>
  <c r="AB9"/>
  <c r="AF9" s="1"/>
  <c r="AB10"/>
  <c r="AF10" s="1"/>
  <c r="AB11"/>
  <c r="AF11" s="1"/>
  <c r="AB12"/>
  <c r="AF12" s="1"/>
  <c r="AB13"/>
  <c r="AF13" s="1"/>
  <c r="AB14"/>
  <c r="AF14" s="1"/>
  <c r="AB15"/>
  <c r="AF15" s="1"/>
  <c r="AB16"/>
  <c r="AF16" s="1"/>
  <c r="AB6"/>
  <c r="AF6" s="1"/>
  <c r="AA7"/>
  <c r="AE7" s="1"/>
  <c r="AA8"/>
  <c r="AE8" s="1"/>
  <c r="AA9"/>
  <c r="AE9" s="1"/>
  <c r="AA10"/>
  <c r="AE10" s="1"/>
  <c r="AA11"/>
  <c r="AE11" s="1"/>
  <c r="AA12"/>
  <c r="AE12" s="1"/>
  <c r="AA13"/>
  <c r="AE13" s="1"/>
  <c r="AA14"/>
  <c r="AE14" s="1"/>
  <c r="AA15"/>
  <c r="AE15" s="1"/>
  <c r="AA16"/>
  <c r="AE16" s="1"/>
  <c r="AA6"/>
  <c r="AE6" s="1"/>
  <c r="M7"/>
  <c r="Q7" s="1"/>
  <c r="M8"/>
  <c r="Q8" s="1"/>
  <c r="M9"/>
  <c r="Q9" s="1"/>
  <c r="M10"/>
  <c r="Q10" s="1"/>
  <c r="M11"/>
  <c r="Q11" s="1"/>
  <c r="M12"/>
  <c r="Q12" s="1"/>
  <c r="M13"/>
  <c r="Q13" s="1"/>
  <c r="M14"/>
  <c r="Q14" s="1"/>
  <c r="M15"/>
  <c r="Q15" s="1"/>
  <c r="M16"/>
  <c r="Q16" s="1"/>
  <c r="M6"/>
  <c r="Q6" s="1"/>
  <c r="L7"/>
  <c r="P7" s="1"/>
  <c r="L8"/>
  <c r="P8" s="1"/>
  <c r="L9"/>
  <c r="P9" s="1"/>
  <c r="L10"/>
  <c r="P10" s="1"/>
  <c r="L11"/>
  <c r="P11" s="1"/>
  <c r="L12"/>
  <c r="P12" s="1"/>
  <c r="L13"/>
  <c r="P13" s="1"/>
  <c r="L14"/>
  <c r="P14" s="1"/>
  <c r="L15"/>
  <c r="P15" s="1"/>
  <c r="L16"/>
  <c r="P16" s="1"/>
  <c r="L6"/>
  <c r="P6" s="1"/>
  <c r="K7"/>
  <c r="O7" s="1"/>
  <c r="K8"/>
  <c r="O8" s="1"/>
  <c r="K9"/>
  <c r="O9" s="1"/>
  <c r="K10"/>
  <c r="O10" s="1"/>
  <c r="K11"/>
  <c r="O11" s="1"/>
  <c r="K12"/>
  <c r="O12" s="1"/>
  <c r="K13"/>
  <c r="O13" s="1"/>
  <c r="K14"/>
  <c r="O14" s="1"/>
  <c r="K15"/>
  <c r="O15" s="1"/>
  <c r="K16"/>
  <c r="O16" s="1"/>
  <c r="K6"/>
  <c r="O6" s="1"/>
  <c r="AJ14" l="1"/>
  <c r="AK14" s="1"/>
  <c r="S13"/>
  <c r="AI7"/>
  <c r="T12"/>
  <c r="U12" s="1"/>
  <c r="S9"/>
  <c r="S6"/>
  <c r="T14"/>
  <c r="U14" s="1"/>
  <c r="S14"/>
  <c r="T11"/>
  <c r="U11" s="1"/>
  <c r="S11"/>
  <c r="S16"/>
  <c r="T8"/>
  <c r="U8" s="1"/>
  <c r="S10"/>
  <c r="T10"/>
  <c r="U10" s="1"/>
  <c r="T15"/>
  <c r="U15" s="1"/>
  <c r="S15"/>
  <c r="T7"/>
  <c r="U7" s="1"/>
  <c r="S7"/>
  <c r="T13"/>
  <c r="U13" s="1"/>
  <c r="T6"/>
  <c r="U6" s="1"/>
  <c r="T9"/>
  <c r="U9" s="1"/>
  <c r="AJ10"/>
  <c r="AK10" s="1"/>
  <c r="AI10"/>
  <c r="AZ6"/>
  <c r="BA6" s="1"/>
  <c r="AY6"/>
  <c r="AZ13"/>
  <c r="BA13" s="1"/>
  <c r="AY13"/>
  <c r="AZ9"/>
  <c r="BA9" s="1"/>
  <c r="AY9"/>
  <c r="T32"/>
  <c r="U32" s="1"/>
  <c r="S32"/>
  <c r="T28"/>
  <c r="U28" s="1"/>
  <c r="S28"/>
  <c r="T24"/>
  <c r="U24" s="1"/>
  <c r="S24"/>
  <c r="AJ31"/>
  <c r="AK31" s="1"/>
  <c r="AI31"/>
  <c r="AJ27"/>
  <c r="AK27" s="1"/>
  <c r="AI27"/>
  <c r="AJ15"/>
  <c r="AK15" s="1"/>
  <c r="AJ11"/>
  <c r="AK11" s="1"/>
  <c r="AJ7"/>
  <c r="AK7" s="1"/>
  <c r="AI11"/>
  <c r="T30"/>
  <c r="U30" s="1"/>
  <c r="AJ24"/>
  <c r="AK24" s="1"/>
  <c r="AI16"/>
  <c r="AJ16"/>
  <c r="AK16" s="1"/>
  <c r="AI12"/>
  <c r="AJ12"/>
  <c r="AK12" s="1"/>
  <c r="AI8"/>
  <c r="AJ8"/>
  <c r="AK8" s="1"/>
  <c r="AZ14"/>
  <c r="BA14" s="1"/>
  <c r="AY14"/>
  <c r="AZ10"/>
  <c r="BA10" s="1"/>
  <c r="AY10"/>
  <c r="T33"/>
  <c r="U33" s="1"/>
  <c r="S33"/>
  <c r="T29"/>
  <c r="U29" s="1"/>
  <c r="S29"/>
  <c r="T25"/>
  <c r="U25" s="1"/>
  <c r="S25"/>
  <c r="T16"/>
  <c r="U16" s="1"/>
  <c r="S12"/>
  <c r="S8"/>
  <c r="AI14"/>
  <c r="AI15"/>
  <c r="AZ7"/>
  <c r="BA7" s="1"/>
  <c r="T23"/>
  <c r="U23" s="1"/>
  <c r="AJ28"/>
  <c r="AK28" s="1"/>
  <c r="AJ6"/>
  <c r="AK6" s="1"/>
  <c r="AI6"/>
  <c r="AJ13"/>
  <c r="AK13" s="1"/>
  <c r="AI13"/>
  <c r="AJ9"/>
  <c r="AK9" s="1"/>
  <c r="AI9"/>
  <c r="AI33"/>
  <c r="AJ33"/>
  <c r="AK33" s="1"/>
  <c r="AI29"/>
  <c r="AJ29"/>
  <c r="AK29" s="1"/>
  <c r="AI25"/>
  <c r="AJ25"/>
  <c r="AK25" s="1"/>
  <c r="AZ11"/>
  <c r="BA11" s="1"/>
  <c r="AJ32"/>
  <c r="AK32" s="1"/>
  <c r="AY16"/>
  <c r="AZ16"/>
  <c r="BA16" s="1"/>
  <c r="AY12"/>
  <c r="AZ12"/>
  <c r="BA12" s="1"/>
  <c r="AY8"/>
  <c r="AZ8"/>
  <c r="BA8" s="1"/>
  <c r="S31"/>
  <c r="T31"/>
  <c r="U31" s="1"/>
  <c r="S27"/>
  <c r="T27"/>
  <c r="U27" s="1"/>
  <c r="AJ23"/>
  <c r="AK23" s="1"/>
  <c r="AI23"/>
  <c r="AJ30"/>
  <c r="AK30" s="1"/>
  <c r="AI30"/>
  <c r="AJ26"/>
  <c r="AK26" s="1"/>
  <c r="AI26"/>
  <c r="AZ15"/>
  <c r="BA15" s="1"/>
  <c r="T26"/>
  <c r="U26" s="1"/>
  <c r="AY15"/>
  <c r="AY11"/>
  <c r="AY7"/>
  <c r="S23"/>
  <c r="S30"/>
  <c r="S26"/>
  <c r="AI32"/>
  <c r="AI28"/>
  <c r="AI24"/>
</calcChain>
</file>

<file path=xl/sharedStrings.xml><?xml version="1.0" encoding="utf-8"?>
<sst xmlns="http://schemas.openxmlformats.org/spreadsheetml/2006/main" count="236" uniqueCount="51">
  <si>
    <t>Set 1</t>
  </si>
  <si>
    <t>Set 2</t>
  </si>
  <si>
    <t>Set 3</t>
  </si>
  <si>
    <t>AVG</t>
  </si>
  <si>
    <t>STDEV</t>
  </si>
  <si>
    <t>STDErr</t>
  </si>
  <si>
    <t>PRL</t>
  </si>
  <si>
    <t>GAL</t>
  </si>
  <si>
    <t>PRL+5% PRL</t>
  </si>
  <si>
    <t>GAL+5% GAL</t>
  </si>
  <si>
    <t>PRL+2% PRL</t>
  </si>
  <si>
    <t>GAL+2% GAL</t>
  </si>
  <si>
    <t>PRL+1% PRL</t>
  </si>
  <si>
    <t>GAL+1% GAL</t>
  </si>
  <si>
    <t>5%  PRL</t>
  </si>
  <si>
    <t>5% GAL</t>
  </si>
  <si>
    <t>ThT 480 nm</t>
  </si>
  <si>
    <t>PRL+1% GAL</t>
  </si>
  <si>
    <t>PRL+2% GAL</t>
  </si>
  <si>
    <t>GAL+1% PRL</t>
  </si>
  <si>
    <t>GAL+2% PRL</t>
  </si>
  <si>
    <t>GAL+ 2% PRL</t>
  </si>
  <si>
    <t>GAL+5% PRL</t>
  </si>
  <si>
    <t>5% PRL</t>
  </si>
  <si>
    <t>Time (d)</t>
  </si>
  <si>
    <t>Normalized to 0</t>
  </si>
  <si>
    <t>div by highest</t>
  </si>
  <si>
    <t>Avg</t>
  </si>
  <si>
    <t>StdDev</t>
  </si>
  <si>
    <t>StdErr</t>
  </si>
  <si>
    <t>Time (hrs)</t>
  </si>
  <si>
    <t>Lag time (hrs)</t>
  </si>
  <si>
    <t>homo seeding</t>
  </si>
  <si>
    <t>Mean</t>
  </si>
  <si>
    <t>Stdev</t>
  </si>
  <si>
    <t>p value</t>
  </si>
  <si>
    <t>*</t>
  </si>
  <si>
    <t>**</t>
  </si>
  <si>
    <t>hetero seeding</t>
  </si>
  <si>
    <t>Stderr</t>
  </si>
  <si>
    <t>Frequency</t>
  </si>
  <si>
    <t>Freq</t>
  </si>
  <si>
    <t>GAL+Hep</t>
  </si>
  <si>
    <t>1 to 2</t>
  </si>
  <si>
    <t>2 to 3</t>
  </si>
  <si>
    <t>NS</t>
  </si>
  <si>
    <t>GAL + 5% GAL</t>
  </si>
  <si>
    <t>Fibril Diameter</t>
  </si>
  <si>
    <t>Wavelength (nm)</t>
  </si>
  <si>
    <t>PRL+5% GAL</t>
  </si>
  <si>
    <t>SD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</si>
</sst>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1" fontId="0" fillId="0" borderId="0" xfId="0" applyNumberForma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3:BL79"/>
  <sheetViews>
    <sheetView workbookViewId="0">
      <selection activeCell="E15" sqref="E15"/>
    </sheetView>
  </sheetViews>
  <sheetFormatPr defaultRowHeight="14.4"/>
  <cols>
    <col min="7" max="7" width="10.21875" customWidth="1"/>
    <col min="8" max="8" width="10.88671875" customWidth="1"/>
    <col min="10" max="12" width="8.88671875" style="72"/>
    <col min="14" max="14" width="8.88671875" style="72"/>
    <col min="15" max="15" width="10.109375" style="72" customWidth="1"/>
    <col min="16" max="21" width="8.88671875" style="72"/>
    <col min="23" max="23" width="10.44140625" customWidth="1"/>
    <col min="26" max="30" width="8.88671875" style="72"/>
    <col min="31" max="31" width="10.5546875" style="72" customWidth="1"/>
    <col min="32" max="37" width="8.88671875" style="72"/>
    <col min="39" max="39" width="10.6640625" customWidth="1"/>
    <col min="42" max="45" width="8.88671875" style="72"/>
    <col min="47" max="53" width="8.88671875" style="72"/>
    <col min="55" max="55" width="11.109375" customWidth="1"/>
  </cols>
  <sheetData>
    <row r="3" spans="6:53">
      <c r="G3" s="72" t="s">
        <v>8</v>
      </c>
      <c r="W3" s="72" t="s">
        <v>10</v>
      </c>
      <c r="AM3" s="72" t="s">
        <v>12</v>
      </c>
    </row>
    <row r="5" spans="6:53">
      <c r="G5" s="72" t="s">
        <v>0</v>
      </c>
      <c r="H5" s="72" t="s">
        <v>1</v>
      </c>
      <c r="I5" s="72" t="s">
        <v>2</v>
      </c>
      <c r="M5" s="72"/>
      <c r="S5" s="72" t="s">
        <v>3</v>
      </c>
      <c r="T5" s="72" t="s">
        <v>4</v>
      </c>
      <c r="U5" s="72" t="s">
        <v>5</v>
      </c>
      <c r="W5" s="72" t="s">
        <v>0</v>
      </c>
      <c r="X5" s="72" t="s">
        <v>1</v>
      </c>
      <c r="Y5" s="72" t="s">
        <v>2</v>
      </c>
      <c r="AI5" s="72" t="s">
        <v>3</v>
      </c>
      <c r="AJ5" s="72" t="s">
        <v>4</v>
      </c>
      <c r="AK5" s="72" t="s">
        <v>5</v>
      </c>
      <c r="AM5" s="72" t="s">
        <v>0</v>
      </c>
      <c r="AN5" s="72" t="s">
        <v>1</v>
      </c>
      <c r="AO5" s="72" t="s">
        <v>2</v>
      </c>
      <c r="AY5" s="72" t="s">
        <v>3</v>
      </c>
      <c r="AZ5" s="72" t="s">
        <v>4</v>
      </c>
      <c r="BA5" s="72" t="s">
        <v>5</v>
      </c>
    </row>
    <row r="6" spans="6:53">
      <c r="F6">
        <v>0</v>
      </c>
      <c r="G6" s="1">
        <v>260.78800000000001</v>
      </c>
      <c r="H6" s="2">
        <v>250.63200000000001</v>
      </c>
      <c r="I6" s="3">
        <v>249.511</v>
      </c>
      <c r="K6" s="72">
        <f>G6-260.788</f>
        <v>0</v>
      </c>
      <c r="L6" s="72">
        <f>H6-250.632</f>
        <v>0</v>
      </c>
      <c r="M6">
        <f>I6-249.511</f>
        <v>0</v>
      </c>
      <c r="O6" s="72">
        <f>K6/822.022</f>
        <v>0</v>
      </c>
      <c r="P6" s="72">
        <f>L6/860.568</f>
        <v>0</v>
      </c>
      <c r="Q6" s="72">
        <f>M6/1034.349</f>
        <v>0</v>
      </c>
      <c r="S6" s="72">
        <f>AVERAGE(O6:Q6)</f>
        <v>0</v>
      </c>
      <c r="T6" s="72">
        <f>STDEV(O6:Q6)</f>
        <v>0</v>
      </c>
      <c r="U6" s="72">
        <f>T6/1.732</f>
        <v>0</v>
      </c>
      <c r="W6" s="7">
        <v>261.81599999999997</v>
      </c>
      <c r="X6" s="8">
        <v>262.39</v>
      </c>
      <c r="Y6" s="9">
        <v>262.91000000000003</v>
      </c>
      <c r="AA6" s="72">
        <f>W6-261.816</f>
        <v>0</v>
      </c>
      <c r="AB6" s="72">
        <f>X6-262.39</f>
        <v>0</v>
      </c>
      <c r="AC6" s="72">
        <f>Y6-262.91</f>
        <v>0</v>
      </c>
      <c r="AE6" s="72">
        <f>AA6/836.264</f>
        <v>0</v>
      </c>
      <c r="AF6" s="72">
        <f>AB6/849.23</f>
        <v>0</v>
      </c>
      <c r="AG6" s="72">
        <f>AC6/836.46</f>
        <v>0</v>
      </c>
      <c r="AI6" s="72">
        <f>AVERAGE(AE6:AG6)</f>
        <v>0</v>
      </c>
      <c r="AJ6" s="72">
        <f>STDEV(AE6:AG6)</f>
        <v>0</v>
      </c>
      <c r="AK6" s="72">
        <f>AJ6/1.732</f>
        <v>0</v>
      </c>
      <c r="AM6" s="72">
        <v>291.81200000000001</v>
      </c>
      <c r="AN6" s="72">
        <v>286.28199999999998</v>
      </c>
      <c r="AO6" s="72">
        <v>258.84899999999999</v>
      </c>
      <c r="AQ6" s="72">
        <f>AM6-291.812</f>
        <v>0</v>
      </c>
      <c r="AR6" s="72">
        <f>AN6-286.282</f>
        <v>0</v>
      </c>
      <c r="AS6" s="72">
        <f>AO6-258.849</f>
        <v>0</v>
      </c>
      <c r="AU6" s="72">
        <f>AQ6/1034.349</f>
        <v>0</v>
      </c>
      <c r="AV6" s="72">
        <f>AR6/1034.349</f>
        <v>0</v>
      </c>
      <c r="AW6" s="72">
        <f>AS6/1034.349</f>
        <v>0</v>
      </c>
      <c r="AY6" s="72">
        <f>AVERAGE(AU6:AW6)</f>
        <v>0</v>
      </c>
      <c r="AZ6" s="72">
        <f>STDEV(AU6:AW6)</f>
        <v>0</v>
      </c>
      <c r="BA6" s="72">
        <f>AZ6/1.732</f>
        <v>0</v>
      </c>
    </row>
    <row r="7" spans="6:53">
      <c r="F7">
        <v>1</v>
      </c>
      <c r="G7" s="13">
        <v>264.41300000000001</v>
      </c>
      <c r="H7" s="14">
        <v>263.52800000000002</v>
      </c>
      <c r="I7" s="15">
        <v>263.38400000000001</v>
      </c>
      <c r="K7" s="72">
        <f t="shared" ref="K7:K16" si="0">G7-260.788</f>
        <v>3.625</v>
      </c>
      <c r="L7" s="72">
        <f t="shared" ref="L7:L16" si="1">H7-250.632</f>
        <v>12.896000000000015</v>
      </c>
      <c r="M7" s="72">
        <f t="shared" ref="M7:M16" si="2">I7-249.511</f>
        <v>13.873000000000019</v>
      </c>
      <c r="O7" s="72">
        <f t="shared" ref="O7:O16" si="3">K7/822.022</f>
        <v>4.4098576437126983E-3</v>
      </c>
      <c r="P7" s="72">
        <f t="shared" ref="P7:P16" si="4">L7/860.568</f>
        <v>1.498545146926218E-2</v>
      </c>
      <c r="Q7" s="72">
        <f t="shared" ref="Q7:Q16" si="5">M7/1034.349</f>
        <v>1.3412300877170104E-2</v>
      </c>
      <c r="S7" s="72">
        <f t="shared" ref="S7:S16" si="6">AVERAGE(O7:Q7)</f>
        <v>1.0935869996714994E-2</v>
      </c>
      <c r="T7" s="72">
        <f t="shared" ref="T7:T16" si="7">STDEV(O7:Q7)</f>
        <v>5.7061658423151222E-3</v>
      </c>
      <c r="U7" s="72">
        <f t="shared" ref="U7:U16" si="8">T7/1.732</f>
        <v>3.2945530267408326E-3</v>
      </c>
      <c r="W7" s="19">
        <v>262.93700000000001</v>
      </c>
      <c r="X7" s="20">
        <v>263.85700000000003</v>
      </c>
      <c r="Y7" s="21">
        <v>263.76900000000001</v>
      </c>
      <c r="AA7" s="72">
        <f t="shared" ref="AA7:AA16" si="9">W7-261.816</f>
        <v>1.1210000000000377</v>
      </c>
      <c r="AB7" s="72">
        <f t="shared" ref="AB7:AB16" si="10">X7-262.39</f>
        <v>1.4670000000000414</v>
      </c>
      <c r="AC7" s="72">
        <f t="shared" ref="AC7:AC16" si="11">Y7-262.91</f>
        <v>0.85899999999998045</v>
      </c>
      <c r="AE7" s="72">
        <f t="shared" ref="AE7:AE16" si="12">AA7/836.264</f>
        <v>1.3404857796103118E-3</v>
      </c>
      <c r="AF7" s="72">
        <f t="shared" ref="AF7:AF16" si="13">AB7/849.23</f>
        <v>1.7274472168906437E-3</v>
      </c>
      <c r="AG7" s="72">
        <f t="shared" ref="AG7:AG16" si="14">AC7/836.46</f>
        <v>1.0269468952490023E-3</v>
      </c>
      <c r="AI7" s="72">
        <f t="shared" ref="AI7:AI16" si="15">AVERAGE(AE7:AG7)</f>
        <v>1.3649599639166527E-3</v>
      </c>
      <c r="AJ7" s="72">
        <f t="shared" ref="AJ7:AJ16" si="16">STDEV(AE7:AG7)</f>
        <v>3.5089088678406325E-4</v>
      </c>
      <c r="AK7" s="72">
        <f t="shared" ref="AK7:AK16" si="17">AJ7/1.732</f>
        <v>2.0259289075292335E-4</v>
      </c>
      <c r="AM7" s="72">
        <v>207.84</v>
      </c>
      <c r="AN7" s="72">
        <v>308.392</v>
      </c>
      <c r="AO7" s="72">
        <v>273.11099999999999</v>
      </c>
      <c r="AQ7" s="72">
        <f t="shared" ref="AQ7:AQ16" si="18">AM7-291.812</f>
        <v>-83.972000000000008</v>
      </c>
      <c r="AR7" s="72">
        <f t="shared" ref="AR7:AR16" si="19">AN7-286.282</f>
        <v>22.110000000000014</v>
      </c>
      <c r="AS7" s="72">
        <f t="shared" ref="AS7:AS16" si="20">AO7-258.849</f>
        <v>14.262</v>
      </c>
      <c r="AU7" s="72">
        <f t="shared" ref="AU7:AU16" si="21">AQ7/1034.349</f>
        <v>-8.1183430350877717E-2</v>
      </c>
      <c r="AV7" s="72">
        <f t="shared" ref="AV7:AV16" si="22">AR7/1034.349</f>
        <v>2.1375763886270511E-2</v>
      </c>
      <c r="AW7" s="72">
        <f t="shared" ref="AW7:AW16" si="23">AS7/1034.349</f>
        <v>1.3788382837900941E-2</v>
      </c>
      <c r="AY7" s="72">
        <f t="shared" ref="AY7:AY16" si="24">AVERAGE(AU7:AW7)</f>
        <v>-1.5339761208902089E-2</v>
      </c>
      <c r="AZ7" s="72">
        <f t="shared" ref="AZ7:AZ16" si="25">STDEV(AU7:AW7)</f>
        <v>5.7148347853212302E-2</v>
      </c>
      <c r="BA7" s="72">
        <f t="shared" ref="BA7:BA16" si="26">AZ7/1.732</f>
        <v>3.2995581901392783E-2</v>
      </c>
    </row>
    <row r="8" spans="6:53">
      <c r="F8">
        <v>2</v>
      </c>
      <c r="G8" s="25">
        <v>416.40300000000002</v>
      </c>
      <c r="H8" s="26">
        <v>367.51</v>
      </c>
      <c r="I8" s="27">
        <v>368.74700000000001</v>
      </c>
      <c r="K8" s="72">
        <f t="shared" si="0"/>
        <v>155.61500000000001</v>
      </c>
      <c r="L8" s="72">
        <f t="shared" si="1"/>
        <v>116.87799999999999</v>
      </c>
      <c r="M8" s="72">
        <f t="shared" si="2"/>
        <v>119.23600000000002</v>
      </c>
      <c r="O8" s="72">
        <f t="shared" si="3"/>
        <v>0.18930758544175216</v>
      </c>
      <c r="P8" s="72">
        <f t="shared" si="4"/>
        <v>0.13581495012596331</v>
      </c>
      <c r="Q8" s="72">
        <f t="shared" si="5"/>
        <v>0.11527637190155356</v>
      </c>
      <c r="S8" s="72">
        <f t="shared" si="6"/>
        <v>0.14679963582308966</v>
      </c>
      <c r="T8" s="72">
        <f t="shared" si="7"/>
        <v>3.8218485507109143E-2</v>
      </c>
      <c r="U8" s="72">
        <f t="shared" si="8"/>
        <v>2.2066100177314748E-2</v>
      </c>
      <c r="W8" s="31">
        <v>248.131</v>
      </c>
      <c r="X8" s="32">
        <v>246.42699999999999</v>
      </c>
      <c r="Y8" s="33">
        <v>246.03800000000001</v>
      </c>
      <c r="AA8" s="72">
        <f t="shared" si="9"/>
        <v>-13.684999999999974</v>
      </c>
      <c r="AB8" s="72">
        <f t="shared" si="10"/>
        <v>-15.962999999999994</v>
      </c>
      <c r="AC8" s="72">
        <f t="shared" si="11"/>
        <v>-16.872000000000014</v>
      </c>
      <c r="AE8" s="72">
        <f t="shared" si="12"/>
        <v>-1.6364449503984357E-2</v>
      </c>
      <c r="AF8" s="72">
        <f t="shared" si="13"/>
        <v>-1.8797027895858593E-2</v>
      </c>
      <c r="AG8" s="72">
        <f t="shared" si="14"/>
        <v>-2.0170719460583904E-2</v>
      </c>
      <c r="AI8" s="72">
        <f t="shared" si="15"/>
        <v>-1.8444065620142284E-2</v>
      </c>
      <c r="AJ8" s="72">
        <f t="shared" si="16"/>
        <v>1.9275267888377598E-3</v>
      </c>
      <c r="AK8" s="72">
        <f t="shared" si="17"/>
        <v>1.11289075568E-3</v>
      </c>
      <c r="AM8" s="72">
        <v>234.96299999999999</v>
      </c>
      <c r="AN8" s="72">
        <v>216.71700000000001</v>
      </c>
      <c r="AO8" s="72">
        <v>227.10499999999999</v>
      </c>
      <c r="AQ8" s="72">
        <f t="shared" si="18"/>
        <v>-56.849000000000018</v>
      </c>
      <c r="AR8" s="72">
        <f t="shared" si="19"/>
        <v>-69.564999999999969</v>
      </c>
      <c r="AS8" s="72">
        <f t="shared" si="20"/>
        <v>-31.744</v>
      </c>
      <c r="AU8" s="72">
        <f t="shared" si="21"/>
        <v>-5.4961139808710618E-2</v>
      </c>
      <c r="AV8" s="72">
        <f t="shared" si="22"/>
        <v>-6.7254862720416392E-2</v>
      </c>
      <c r="AW8" s="72">
        <f t="shared" si="23"/>
        <v>-3.0689834862314365E-2</v>
      </c>
      <c r="AY8" s="72">
        <f t="shared" si="24"/>
        <v>-5.0968612463813789E-2</v>
      </c>
      <c r="AZ8" s="72">
        <f t="shared" si="25"/>
        <v>1.8606598870179267E-2</v>
      </c>
      <c r="BA8" s="72">
        <f t="shared" si="26"/>
        <v>1.0742839994329831E-2</v>
      </c>
    </row>
    <row r="9" spans="6:53">
      <c r="F9">
        <v>3</v>
      </c>
      <c r="G9" s="37">
        <v>534.92899999999997</v>
      </c>
      <c r="H9" s="38">
        <v>546.303</v>
      </c>
      <c r="I9" s="39">
        <v>522.73500000000001</v>
      </c>
      <c r="K9" s="72">
        <f t="shared" si="0"/>
        <v>274.14099999999996</v>
      </c>
      <c r="L9" s="72">
        <f t="shared" si="1"/>
        <v>295.67099999999999</v>
      </c>
      <c r="M9" s="72">
        <f t="shared" si="2"/>
        <v>273.22400000000005</v>
      </c>
      <c r="O9" s="72">
        <f t="shared" si="3"/>
        <v>0.33349594049794279</v>
      </c>
      <c r="P9" s="72">
        <f t="shared" si="4"/>
        <v>0.34357656803413561</v>
      </c>
      <c r="Q9" s="72">
        <f t="shared" si="5"/>
        <v>0.26415068801729402</v>
      </c>
      <c r="S9" s="72">
        <f t="shared" si="6"/>
        <v>0.31374106551645747</v>
      </c>
      <c r="T9" s="72">
        <f t="shared" si="7"/>
        <v>4.3241287194798236E-2</v>
      </c>
      <c r="U9" s="72">
        <f t="shared" si="8"/>
        <v>2.4966101151731084E-2</v>
      </c>
      <c r="W9" s="43">
        <v>303.68400000000003</v>
      </c>
      <c r="X9" s="44">
        <v>373.517</v>
      </c>
      <c r="Y9" s="45">
        <v>365.40300000000002</v>
      </c>
      <c r="AA9" s="72">
        <f t="shared" si="9"/>
        <v>41.868000000000052</v>
      </c>
      <c r="AB9" s="72">
        <f t="shared" si="10"/>
        <v>111.12700000000001</v>
      </c>
      <c r="AC9" s="72">
        <f t="shared" si="11"/>
        <v>102.49299999999999</v>
      </c>
      <c r="AE9" s="72">
        <f t="shared" si="12"/>
        <v>5.0065529545693765E-2</v>
      </c>
      <c r="AF9" s="72">
        <f t="shared" si="13"/>
        <v>0.13085618736973495</v>
      </c>
      <c r="AG9" s="72">
        <f t="shared" si="14"/>
        <v>0.12253186045955573</v>
      </c>
      <c r="AI9" s="72">
        <f t="shared" si="15"/>
        <v>0.10115119245832815</v>
      </c>
      <c r="AJ9" s="72">
        <f t="shared" si="16"/>
        <v>4.4436835182586565E-2</v>
      </c>
      <c r="AK9" s="72">
        <f t="shared" si="17"/>
        <v>2.565637135253266E-2</v>
      </c>
      <c r="AM9" s="72">
        <v>216.40799999999999</v>
      </c>
      <c r="AN9" s="72">
        <v>259.42200000000003</v>
      </c>
      <c r="AO9" s="72">
        <v>213.066</v>
      </c>
      <c r="AQ9" s="72">
        <f t="shared" si="18"/>
        <v>-75.404000000000025</v>
      </c>
      <c r="AR9" s="72">
        <f t="shared" si="19"/>
        <v>-26.859999999999957</v>
      </c>
      <c r="AS9" s="72">
        <f t="shared" si="20"/>
        <v>-45.782999999999987</v>
      </c>
      <c r="AU9" s="72">
        <f t="shared" si="21"/>
        <v>-7.2899959298070596E-2</v>
      </c>
      <c r="AV9" s="72">
        <f t="shared" si="22"/>
        <v>-2.5968024332212781E-2</v>
      </c>
      <c r="AW9" s="72">
        <f t="shared" si="23"/>
        <v>-4.4262623157174212E-2</v>
      </c>
      <c r="AY9" s="72">
        <f t="shared" si="24"/>
        <v>-4.7710202262485867E-2</v>
      </c>
      <c r="AZ9" s="72">
        <f t="shared" si="25"/>
        <v>2.3655147033476938E-2</v>
      </c>
      <c r="BA9" s="72">
        <f t="shared" si="26"/>
        <v>1.3657706139420864E-2</v>
      </c>
    </row>
    <row r="10" spans="6:53">
      <c r="F10">
        <v>4</v>
      </c>
      <c r="G10" s="49">
        <v>702.72900000000004</v>
      </c>
      <c r="H10" s="50">
        <v>681.11699999999996</v>
      </c>
      <c r="I10" s="51">
        <v>724.91700000000003</v>
      </c>
      <c r="K10" s="72">
        <f t="shared" si="0"/>
        <v>441.94100000000003</v>
      </c>
      <c r="L10" s="72">
        <f t="shared" si="1"/>
        <v>430.48499999999996</v>
      </c>
      <c r="M10" s="72">
        <f t="shared" si="2"/>
        <v>475.40600000000006</v>
      </c>
      <c r="O10" s="72">
        <f t="shared" si="3"/>
        <v>0.53762673018483687</v>
      </c>
      <c r="P10" s="72">
        <f t="shared" si="4"/>
        <v>0.50023356666759622</v>
      </c>
      <c r="Q10" s="72">
        <f t="shared" si="5"/>
        <v>0.45961856201340173</v>
      </c>
      <c r="S10" s="72">
        <f t="shared" si="6"/>
        <v>0.49915961962194494</v>
      </c>
      <c r="T10" s="72">
        <f t="shared" si="7"/>
        <v>3.9015171370358134E-2</v>
      </c>
      <c r="U10" s="72">
        <f t="shared" si="8"/>
        <v>2.2526080467874212E-2</v>
      </c>
      <c r="W10" s="55">
        <v>489.93</v>
      </c>
      <c r="X10" s="56">
        <v>524.15899999999999</v>
      </c>
      <c r="Y10" s="57">
        <v>493.09500000000003</v>
      </c>
      <c r="AA10" s="72">
        <f t="shared" si="9"/>
        <v>228.11400000000003</v>
      </c>
      <c r="AB10" s="72">
        <f t="shared" si="10"/>
        <v>261.76900000000001</v>
      </c>
      <c r="AC10" s="72">
        <f t="shared" si="11"/>
        <v>230.185</v>
      </c>
      <c r="AE10" s="72">
        <f t="shared" si="12"/>
        <v>0.27277749610170954</v>
      </c>
      <c r="AF10" s="72">
        <f t="shared" si="13"/>
        <v>0.30824276108945753</v>
      </c>
      <c r="AG10" s="72">
        <f t="shared" si="14"/>
        <v>0.2751894890371327</v>
      </c>
      <c r="AI10" s="72">
        <f t="shared" si="15"/>
        <v>0.28540324874276662</v>
      </c>
      <c r="AJ10" s="72">
        <f t="shared" si="16"/>
        <v>1.9816329646432918E-2</v>
      </c>
      <c r="AK10" s="72">
        <f t="shared" si="17"/>
        <v>1.1441298872074433E-2</v>
      </c>
      <c r="AM10" s="72">
        <v>294.86700000000002</v>
      </c>
      <c r="AN10" s="72">
        <v>208.94300000000001</v>
      </c>
      <c r="AO10" s="72">
        <v>258.108</v>
      </c>
      <c r="AQ10" s="72">
        <f t="shared" si="18"/>
        <v>3.0550000000000068</v>
      </c>
      <c r="AR10" s="72">
        <f t="shared" si="19"/>
        <v>-77.33899999999997</v>
      </c>
      <c r="AS10" s="72">
        <f t="shared" si="20"/>
        <v>-0.74099999999998545</v>
      </c>
      <c r="AU10" s="72">
        <f t="shared" si="21"/>
        <v>2.9535485604955457E-3</v>
      </c>
      <c r="AV10" s="72">
        <f t="shared" si="22"/>
        <v>-7.4770701184996527E-2</v>
      </c>
      <c r="AW10" s="72">
        <f t="shared" si="23"/>
        <v>-7.1639262956698898E-4</v>
      </c>
      <c r="AY10" s="72">
        <f t="shared" si="24"/>
        <v>-2.417784841802266E-2</v>
      </c>
      <c r="AZ10" s="72">
        <f t="shared" si="25"/>
        <v>4.3853103429633701E-2</v>
      </c>
      <c r="BA10" s="72">
        <f t="shared" si="26"/>
        <v>2.5319343781543706E-2</v>
      </c>
    </row>
    <row r="11" spans="6:53">
      <c r="F11">
        <v>5</v>
      </c>
      <c r="G11" s="61">
        <v>928.15800000000002</v>
      </c>
      <c r="H11" s="62">
        <v>902.63</v>
      </c>
      <c r="I11" s="63">
        <v>975.16099999999994</v>
      </c>
      <c r="K11" s="72">
        <f t="shared" si="0"/>
        <v>667.37</v>
      </c>
      <c r="L11" s="72">
        <f t="shared" si="1"/>
        <v>651.99800000000005</v>
      </c>
      <c r="M11" s="72">
        <f t="shared" si="2"/>
        <v>725.65</v>
      </c>
      <c r="O11" s="72">
        <f t="shared" si="3"/>
        <v>0.81186391605090857</v>
      </c>
      <c r="P11" s="72">
        <f t="shared" si="4"/>
        <v>0.75763681661414328</v>
      </c>
      <c r="Q11" s="72">
        <f t="shared" si="5"/>
        <v>0.70155237738906306</v>
      </c>
      <c r="S11" s="72">
        <f t="shared" si="6"/>
        <v>0.75701770335137164</v>
      </c>
      <c r="T11" s="72">
        <f t="shared" si="7"/>
        <v>5.5158375306113262E-2</v>
      </c>
      <c r="U11" s="72">
        <f t="shared" si="8"/>
        <v>3.1846637012767472E-2</v>
      </c>
      <c r="W11" s="67">
        <v>656.00599999999997</v>
      </c>
      <c r="X11" s="68">
        <v>663.66800000000001</v>
      </c>
      <c r="Y11" s="69">
        <v>668.65800000000002</v>
      </c>
      <c r="AA11" s="72">
        <f t="shared" si="9"/>
        <v>394.19</v>
      </c>
      <c r="AB11" s="72">
        <f t="shared" si="10"/>
        <v>401.27800000000002</v>
      </c>
      <c r="AC11" s="72">
        <f t="shared" si="11"/>
        <v>405.74799999999999</v>
      </c>
      <c r="AE11" s="72">
        <f t="shared" si="12"/>
        <v>0.47137028498177608</v>
      </c>
      <c r="AF11" s="72">
        <f t="shared" si="13"/>
        <v>0.47251981206504717</v>
      </c>
      <c r="AG11" s="72">
        <f t="shared" si="14"/>
        <v>0.48507758888649782</v>
      </c>
      <c r="AI11" s="72">
        <f t="shared" si="15"/>
        <v>0.47632256197777373</v>
      </c>
      <c r="AJ11" s="72">
        <f t="shared" si="16"/>
        <v>7.6038296442093025E-3</v>
      </c>
      <c r="AK11" s="72">
        <f t="shared" si="17"/>
        <v>4.3902018731000591E-3</v>
      </c>
      <c r="AM11" s="72">
        <v>326.62299999999999</v>
      </c>
      <c r="AN11" s="72">
        <v>267.65899999999999</v>
      </c>
      <c r="AO11" s="72">
        <v>271.91899999999998</v>
      </c>
      <c r="AQ11" s="72">
        <f t="shared" si="18"/>
        <v>34.810999999999979</v>
      </c>
      <c r="AR11" s="72">
        <f t="shared" si="19"/>
        <v>-18.62299999999999</v>
      </c>
      <c r="AS11" s="72">
        <f t="shared" si="20"/>
        <v>13.069999999999993</v>
      </c>
      <c r="AU11" s="72">
        <f t="shared" si="21"/>
        <v>3.3654984922883845E-2</v>
      </c>
      <c r="AV11" s="72">
        <f t="shared" si="22"/>
        <v>-1.8004561323112404E-2</v>
      </c>
      <c r="AW11" s="72">
        <f t="shared" si="23"/>
        <v>1.2635967163887618E-2</v>
      </c>
      <c r="AY11" s="72">
        <f t="shared" si="24"/>
        <v>9.428796921219687E-3</v>
      </c>
      <c r="AZ11" s="72">
        <f t="shared" si="25"/>
        <v>2.5978676550387384E-2</v>
      </c>
      <c r="BA11" s="72">
        <f t="shared" si="26"/>
        <v>1.4999235883595488E-2</v>
      </c>
    </row>
    <row r="12" spans="6:53">
      <c r="F12">
        <v>6</v>
      </c>
      <c r="G12" s="72">
        <v>1008.81</v>
      </c>
      <c r="H12" s="72">
        <v>1100.5</v>
      </c>
      <c r="I12" s="72">
        <v>992.93799999999999</v>
      </c>
      <c r="K12" s="72">
        <f t="shared" si="0"/>
        <v>748.02199999999993</v>
      </c>
      <c r="L12" s="72">
        <f t="shared" si="1"/>
        <v>849.86799999999994</v>
      </c>
      <c r="M12" s="72">
        <f t="shared" si="2"/>
        <v>743.42700000000002</v>
      </c>
      <c r="O12" s="72">
        <f t="shared" si="3"/>
        <v>0.90997807844558887</v>
      </c>
      <c r="P12" s="72">
        <f t="shared" si="4"/>
        <v>0.98756635152596883</v>
      </c>
      <c r="Q12" s="72">
        <f t="shared" si="5"/>
        <v>0.7187390329569614</v>
      </c>
      <c r="S12" s="72">
        <f t="shared" si="6"/>
        <v>0.8720944876428397</v>
      </c>
      <c r="T12" s="72">
        <f t="shared" si="7"/>
        <v>0.13835970020686283</v>
      </c>
      <c r="U12" s="72">
        <f t="shared" si="8"/>
        <v>7.9884353468165609E-2</v>
      </c>
      <c r="W12" s="72">
        <v>831.31600000000003</v>
      </c>
      <c r="X12" s="72">
        <v>861.85199999999998</v>
      </c>
      <c r="Y12" s="72">
        <v>843.82299999999998</v>
      </c>
      <c r="AA12" s="72">
        <f t="shared" si="9"/>
        <v>569.5</v>
      </c>
      <c r="AB12" s="72">
        <f t="shared" si="10"/>
        <v>599.46199999999999</v>
      </c>
      <c r="AC12" s="72">
        <f t="shared" si="11"/>
        <v>580.91300000000001</v>
      </c>
      <c r="AE12" s="72">
        <f t="shared" si="12"/>
        <v>0.68100504147015772</v>
      </c>
      <c r="AF12" s="72">
        <f t="shared" si="13"/>
        <v>0.70588886402976814</v>
      </c>
      <c r="AG12" s="72">
        <f t="shared" si="14"/>
        <v>0.69448987399277906</v>
      </c>
      <c r="AI12" s="72">
        <f t="shared" si="15"/>
        <v>0.69379459316423497</v>
      </c>
      <c r="AJ12" s="72">
        <f t="shared" si="16"/>
        <v>1.2456472930466703E-2</v>
      </c>
      <c r="AK12" s="72">
        <f t="shared" si="17"/>
        <v>7.1919589667821613E-3</v>
      </c>
      <c r="AM12" s="72">
        <v>315.49400000000003</v>
      </c>
      <c r="AN12" s="72">
        <v>282.79500000000002</v>
      </c>
      <c r="AO12" s="72">
        <v>211.797</v>
      </c>
      <c r="AQ12" s="72">
        <f t="shared" si="18"/>
        <v>23.682000000000016</v>
      </c>
      <c r="AR12" s="72">
        <f t="shared" si="19"/>
        <v>-3.4869999999999663</v>
      </c>
      <c r="AS12" s="72">
        <f t="shared" si="20"/>
        <v>-47.051999999999992</v>
      </c>
      <c r="AU12" s="72">
        <f t="shared" si="21"/>
        <v>2.2895560395959216E-2</v>
      </c>
      <c r="AV12" s="72">
        <f t="shared" si="22"/>
        <v>-3.3712025631580508E-3</v>
      </c>
      <c r="AW12" s="72">
        <f t="shared" si="23"/>
        <v>-4.5489481789995442E-2</v>
      </c>
      <c r="AY12" s="72">
        <f t="shared" si="24"/>
        <v>-8.6550413190647595E-3</v>
      </c>
      <c r="AZ12" s="72">
        <f t="shared" si="25"/>
        <v>3.4497358053806319E-2</v>
      </c>
      <c r="BA12" s="72">
        <f t="shared" si="26"/>
        <v>1.9917643218132979E-2</v>
      </c>
    </row>
    <row r="13" spans="6:53">
      <c r="F13">
        <v>7</v>
      </c>
      <c r="G13" s="72">
        <v>1034.23</v>
      </c>
      <c r="H13" s="72">
        <v>1068.4000000000001</v>
      </c>
      <c r="I13" s="72">
        <v>1101.99</v>
      </c>
      <c r="K13" s="72">
        <f t="shared" si="0"/>
        <v>773.44200000000001</v>
      </c>
      <c r="L13" s="72">
        <f t="shared" si="1"/>
        <v>817.76800000000003</v>
      </c>
      <c r="M13" s="72">
        <f t="shared" si="2"/>
        <v>852.47900000000004</v>
      </c>
      <c r="O13" s="72">
        <f t="shared" si="3"/>
        <v>0.94090182501198261</v>
      </c>
      <c r="P13" s="72">
        <f t="shared" si="4"/>
        <v>0.95026540610387566</v>
      </c>
      <c r="Q13" s="72">
        <f t="shared" si="5"/>
        <v>0.82416959846241467</v>
      </c>
      <c r="S13" s="72">
        <f t="shared" si="6"/>
        <v>0.90511227652609094</v>
      </c>
      <c r="T13" s="72">
        <f t="shared" si="7"/>
        <v>7.0254587122878479E-2</v>
      </c>
      <c r="U13" s="72">
        <f t="shared" si="8"/>
        <v>4.0562694643694275E-2</v>
      </c>
      <c r="W13" s="72">
        <v>923.97699999999998</v>
      </c>
      <c r="X13" s="72">
        <v>942.54600000000005</v>
      </c>
      <c r="Y13" s="72">
        <v>990.93299999999999</v>
      </c>
      <c r="AA13" s="72">
        <f t="shared" si="9"/>
        <v>662.16100000000006</v>
      </c>
      <c r="AB13" s="72">
        <f t="shared" si="10"/>
        <v>680.15600000000006</v>
      </c>
      <c r="AC13" s="72">
        <f t="shared" si="11"/>
        <v>728.02299999999991</v>
      </c>
      <c r="AE13" s="72">
        <f t="shared" si="12"/>
        <v>0.79180856762936114</v>
      </c>
      <c r="AF13" s="72">
        <f t="shared" si="13"/>
        <v>0.80090905879443741</v>
      </c>
      <c r="AG13" s="72">
        <f t="shared" si="14"/>
        <v>0.87036200176936118</v>
      </c>
      <c r="AI13" s="72">
        <f t="shared" si="15"/>
        <v>0.82102654273105324</v>
      </c>
      <c r="AJ13" s="72">
        <f t="shared" si="16"/>
        <v>4.2967375690770991E-2</v>
      </c>
      <c r="AK13" s="72">
        <f t="shared" si="17"/>
        <v>2.4807953632084868E-2</v>
      </c>
      <c r="AM13" s="72">
        <v>331.22199999999998</v>
      </c>
      <c r="AN13" s="72">
        <v>258.11</v>
      </c>
      <c r="AO13" s="72">
        <v>220.559</v>
      </c>
      <c r="AQ13" s="72">
        <f t="shared" si="18"/>
        <v>39.409999999999968</v>
      </c>
      <c r="AR13" s="72">
        <f t="shared" si="19"/>
        <v>-28.171999999999969</v>
      </c>
      <c r="AS13" s="72">
        <f t="shared" si="20"/>
        <v>-38.289999999999992</v>
      </c>
      <c r="AU13" s="72">
        <f t="shared" si="21"/>
        <v>3.8101259826228834E-2</v>
      </c>
      <c r="AV13" s="72">
        <f t="shared" si="22"/>
        <v>-2.7236455006965705E-2</v>
      </c>
      <c r="AW13" s="72">
        <f t="shared" si="23"/>
        <v>-3.7018453152659302E-2</v>
      </c>
      <c r="AY13" s="72">
        <f t="shared" si="24"/>
        <v>-8.7178827777987244E-3</v>
      </c>
      <c r="AZ13" s="72">
        <f t="shared" si="25"/>
        <v>4.0840494090581096E-2</v>
      </c>
      <c r="BA13" s="72">
        <f t="shared" si="26"/>
        <v>2.3579961946062988E-2</v>
      </c>
    </row>
    <row r="14" spans="6:53">
      <c r="F14">
        <v>8</v>
      </c>
      <c r="G14" s="72">
        <v>1183.8</v>
      </c>
      <c r="H14" s="72">
        <v>1208.97</v>
      </c>
      <c r="I14" s="72">
        <v>1202.18</v>
      </c>
      <c r="K14" s="72">
        <f t="shared" si="0"/>
        <v>923.01199999999994</v>
      </c>
      <c r="L14" s="72">
        <f t="shared" si="1"/>
        <v>958.33799999999997</v>
      </c>
      <c r="M14" s="72">
        <f t="shared" si="2"/>
        <v>952.6690000000001</v>
      </c>
      <c r="O14" s="72">
        <f t="shared" si="3"/>
        <v>1.122855592672702</v>
      </c>
      <c r="P14" s="72">
        <f t="shared" si="4"/>
        <v>1.1136110104024319</v>
      </c>
      <c r="Q14" s="72">
        <f t="shared" si="5"/>
        <v>0.92103245616324869</v>
      </c>
      <c r="S14" s="72">
        <f t="shared" si="6"/>
        <v>1.0524996864127942</v>
      </c>
      <c r="T14" s="72">
        <f t="shared" si="7"/>
        <v>0.11394775139270162</v>
      </c>
      <c r="U14" s="72">
        <f t="shared" si="8"/>
        <v>6.578969479948131E-2</v>
      </c>
      <c r="W14" s="72">
        <v>1014.57</v>
      </c>
      <c r="X14" s="72">
        <v>1284.79</v>
      </c>
      <c r="Y14" s="72">
        <v>1130.1099999999999</v>
      </c>
      <c r="AA14" s="72">
        <f t="shared" si="9"/>
        <v>752.75400000000013</v>
      </c>
      <c r="AB14" s="72">
        <f t="shared" si="10"/>
        <v>1022.4</v>
      </c>
      <c r="AC14" s="72">
        <f t="shared" si="11"/>
        <v>867.19999999999982</v>
      </c>
      <c r="AE14" s="72">
        <f t="shared" si="12"/>
        <v>0.90013919049486779</v>
      </c>
      <c r="AF14" s="72">
        <f t="shared" si="13"/>
        <v>1.2039141339801938</v>
      </c>
      <c r="AG14" s="72">
        <f t="shared" si="14"/>
        <v>1.0367501135738706</v>
      </c>
      <c r="AI14" s="72">
        <f t="shared" si="15"/>
        <v>1.046934479349644</v>
      </c>
      <c r="AJ14" s="72">
        <f t="shared" si="16"/>
        <v>0.1521433371924949</v>
      </c>
      <c r="AK14" s="72">
        <f t="shared" si="17"/>
        <v>8.7842573436775345E-2</v>
      </c>
      <c r="AM14" s="72">
        <v>268.85199999999998</v>
      </c>
      <c r="AN14" s="72">
        <v>318.77600000000001</v>
      </c>
      <c r="AO14" s="72">
        <v>263.76900000000001</v>
      </c>
      <c r="AQ14" s="72">
        <f t="shared" si="18"/>
        <v>-22.960000000000036</v>
      </c>
      <c r="AR14" s="72">
        <f t="shared" si="19"/>
        <v>32.494000000000028</v>
      </c>
      <c r="AS14" s="72">
        <f t="shared" si="20"/>
        <v>4.9200000000000159</v>
      </c>
      <c r="AU14" s="72">
        <f t="shared" si="21"/>
        <v>-2.2197536808176002E-2</v>
      </c>
      <c r="AV14" s="72">
        <f t="shared" si="22"/>
        <v>3.1414928616936864E-2</v>
      </c>
      <c r="AW14" s="72">
        <f t="shared" si="23"/>
        <v>4.7566150303234361E-3</v>
      </c>
      <c r="AY14" s="72">
        <f t="shared" si="24"/>
        <v>4.6580022796947661E-3</v>
      </c>
      <c r="AZ14" s="72">
        <f t="shared" si="25"/>
        <v>2.6806368750647121E-2</v>
      </c>
      <c r="BA14" s="72">
        <f t="shared" si="26"/>
        <v>1.5477118216308962E-2</v>
      </c>
    </row>
    <row r="15" spans="6:53">
      <c r="F15">
        <v>9</v>
      </c>
      <c r="G15" s="72">
        <v>1191.4000000000001</v>
      </c>
      <c r="H15" s="72">
        <v>1060.5</v>
      </c>
      <c r="I15" s="72">
        <v>1061.51</v>
      </c>
      <c r="K15" s="72">
        <f t="shared" si="0"/>
        <v>930.61200000000008</v>
      </c>
      <c r="L15" s="72">
        <f t="shared" si="1"/>
        <v>809.86799999999994</v>
      </c>
      <c r="M15" s="72">
        <f t="shared" si="2"/>
        <v>811.99900000000002</v>
      </c>
      <c r="O15" s="72">
        <f t="shared" si="3"/>
        <v>1.1321010873188309</v>
      </c>
      <c r="P15" s="72">
        <f t="shared" si="4"/>
        <v>0.94108542265108619</v>
      </c>
      <c r="Q15" s="72">
        <f t="shared" si="5"/>
        <v>0.7850338715462577</v>
      </c>
      <c r="S15" s="72">
        <f t="shared" si="6"/>
        <v>0.95274012717205825</v>
      </c>
      <c r="T15" s="72">
        <f t="shared" si="7"/>
        <v>0.17382688851019243</v>
      </c>
      <c r="U15" s="72">
        <f t="shared" si="8"/>
        <v>0.10036194486731664</v>
      </c>
      <c r="W15" s="72">
        <v>1159.3699999999999</v>
      </c>
      <c r="X15" s="72">
        <v>1153.1500000000001</v>
      </c>
      <c r="Y15" s="72">
        <v>1152.5899999999999</v>
      </c>
      <c r="AA15" s="72">
        <f t="shared" si="9"/>
        <v>897.55399999999986</v>
      </c>
      <c r="AB15" s="72">
        <f t="shared" si="10"/>
        <v>890.7600000000001</v>
      </c>
      <c r="AC15" s="72">
        <f t="shared" si="11"/>
        <v>889.67999999999984</v>
      </c>
      <c r="AE15" s="72">
        <f t="shared" si="12"/>
        <v>1.0732902528388162</v>
      </c>
      <c r="AF15" s="72">
        <f t="shared" si="13"/>
        <v>1.048903124006453</v>
      </c>
      <c r="AG15" s="72">
        <f t="shared" si="14"/>
        <v>1.0636252779571047</v>
      </c>
      <c r="AI15" s="72">
        <f t="shared" si="15"/>
        <v>1.0619395516007912</v>
      </c>
      <c r="AJ15" s="72">
        <f t="shared" si="16"/>
        <v>1.2280646081654127E-2</v>
      </c>
      <c r="AK15" s="72">
        <f t="shared" si="17"/>
        <v>7.0904423104238608E-3</v>
      </c>
      <c r="AM15" s="72">
        <v>298.09500000000003</v>
      </c>
      <c r="AN15" s="72">
        <v>353.767</v>
      </c>
      <c r="AO15" s="72">
        <v>298.56400000000002</v>
      </c>
      <c r="AQ15" s="72">
        <f t="shared" si="18"/>
        <v>6.2830000000000155</v>
      </c>
      <c r="AR15" s="72">
        <f t="shared" si="19"/>
        <v>67.485000000000014</v>
      </c>
      <c r="AS15" s="72">
        <f t="shared" si="20"/>
        <v>39.715000000000032</v>
      </c>
      <c r="AU15" s="72">
        <f t="shared" si="21"/>
        <v>6.0743520803906766E-3</v>
      </c>
      <c r="AV15" s="72">
        <f t="shared" si="22"/>
        <v>6.5243936040930109E-2</v>
      </c>
      <c r="AW15" s="72">
        <f t="shared" si="23"/>
        <v>3.8396131286442037E-2</v>
      </c>
      <c r="AY15" s="72">
        <f t="shared" si="24"/>
        <v>3.6571473135920941E-2</v>
      </c>
      <c r="AZ15" s="72">
        <f t="shared" si="25"/>
        <v>2.9626963218334225E-2</v>
      </c>
      <c r="BA15" s="72">
        <f t="shared" si="26"/>
        <v>1.7105636962086734E-2</v>
      </c>
    </row>
    <row r="16" spans="6:53">
      <c r="F16">
        <v>10</v>
      </c>
      <c r="G16" s="72">
        <v>1082.81</v>
      </c>
      <c r="H16" s="72">
        <v>1111.2</v>
      </c>
      <c r="I16" s="72">
        <v>1283.8599999999999</v>
      </c>
      <c r="K16" s="72">
        <f t="shared" si="0"/>
        <v>822.02199999999993</v>
      </c>
      <c r="L16" s="72">
        <f t="shared" si="1"/>
        <v>860.56799999999998</v>
      </c>
      <c r="M16" s="72">
        <f t="shared" si="2"/>
        <v>1034.3489999999999</v>
      </c>
      <c r="O16" s="72">
        <f t="shared" si="3"/>
        <v>0.99999999999999989</v>
      </c>
      <c r="P16" s="72">
        <f t="shared" si="4"/>
        <v>1</v>
      </c>
      <c r="Q16" s="72">
        <f t="shared" si="5"/>
        <v>1</v>
      </c>
      <c r="S16" s="72">
        <f t="shared" si="6"/>
        <v>1</v>
      </c>
      <c r="T16" s="72">
        <f t="shared" si="7"/>
        <v>7.8504622934188758E-17</v>
      </c>
      <c r="U16" s="72">
        <f t="shared" si="8"/>
        <v>4.5325994765697897E-17</v>
      </c>
      <c r="W16" s="72">
        <v>1098.08</v>
      </c>
      <c r="X16" s="72">
        <v>1111.6199999999999</v>
      </c>
      <c r="Y16" s="72">
        <v>1099.3699999999999</v>
      </c>
      <c r="AA16" s="72">
        <f t="shared" si="9"/>
        <v>836.2639999999999</v>
      </c>
      <c r="AB16" s="72">
        <f t="shared" si="10"/>
        <v>849.2299999999999</v>
      </c>
      <c r="AC16" s="72">
        <f t="shared" si="11"/>
        <v>836.45999999999981</v>
      </c>
      <c r="AE16" s="72">
        <f t="shared" si="12"/>
        <v>0.99999999999999989</v>
      </c>
      <c r="AF16" s="72">
        <f t="shared" si="13"/>
        <v>0.99999999999999989</v>
      </c>
      <c r="AG16" s="72">
        <f t="shared" si="14"/>
        <v>0.99999999999999978</v>
      </c>
      <c r="AI16" s="72">
        <f t="shared" si="15"/>
        <v>0.99999999999999989</v>
      </c>
      <c r="AJ16" s="72">
        <f t="shared" si="16"/>
        <v>7.8504622934188758E-17</v>
      </c>
      <c r="AK16" s="72">
        <f t="shared" si="17"/>
        <v>4.5325994765697897E-17</v>
      </c>
      <c r="AM16" s="72">
        <v>341.87299999999999</v>
      </c>
      <c r="AN16" s="72">
        <v>289.404</v>
      </c>
      <c r="AO16" s="72">
        <v>350.947</v>
      </c>
      <c r="AQ16" s="72">
        <f t="shared" si="18"/>
        <v>50.060999999999979</v>
      </c>
      <c r="AR16" s="72">
        <f t="shared" si="19"/>
        <v>3.1220000000000141</v>
      </c>
      <c r="AS16" s="72">
        <f t="shared" si="20"/>
        <v>92.098000000000013</v>
      </c>
      <c r="AU16" s="72">
        <f t="shared" si="21"/>
        <v>4.8398557933540788E-2</v>
      </c>
      <c r="AV16" s="72">
        <f t="shared" si="22"/>
        <v>3.0183236025751602E-3</v>
      </c>
      <c r="AW16" s="72">
        <f t="shared" si="23"/>
        <v>8.9039579484294001E-2</v>
      </c>
      <c r="AY16" s="72">
        <f t="shared" si="24"/>
        <v>4.6818820340136652E-2</v>
      </c>
      <c r="AZ16" s="72">
        <f t="shared" si="25"/>
        <v>4.3032380761643292E-2</v>
      </c>
      <c r="BA16" s="72">
        <f t="shared" si="26"/>
        <v>2.4845485428200514E-2</v>
      </c>
    </row>
    <row r="17" spans="6:64">
      <c r="BL17" s="72"/>
    </row>
    <row r="18" spans="6:64">
      <c r="G18" s="72"/>
    </row>
    <row r="20" spans="6:64">
      <c r="G20" s="72" t="s">
        <v>6</v>
      </c>
      <c r="W20" s="72" t="s">
        <v>14</v>
      </c>
      <c r="AM20" s="72"/>
    </row>
    <row r="22" spans="6:64">
      <c r="G22" s="72" t="s">
        <v>0</v>
      </c>
      <c r="H22" s="72" t="s">
        <v>1</v>
      </c>
      <c r="I22" s="72" t="s">
        <v>2</v>
      </c>
      <c r="S22" s="72" t="s">
        <v>3</v>
      </c>
      <c r="T22" s="72" t="s">
        <v>4</v>
      </c>
      <c r="U22" s="72" t="s">
        <v>5</v>
      </c>
      <c r="W22" s="72" t="s">
        <v>0</v>
      </c>
      <c r="X22" s="72" t="s">
        <v>1</v>
      </c>
      <c r="Y22" s="72" t="s">
        <v>2</v>
      </c>
      <c r="AI22" s="72" t="s">
        <v>3</v>
      </c>
      <c r="AJ22" s="72" t="s">
        <v>4</v>
      </c>
      <c r="AK22" s="72" t="s">
        <v>5</v>
      </c>
      <c r="AM22" s="72"/>
      <c r="AN22" s="72"/>
      <c r="AO22" s="72"/>
    </row>
    <row r="23" spans="6:64">
      <c r="F23" s="72">
        <v>0</v>
      </c>
      <c r="G23" s="72">
        <v>230.32900000000001</v>
      </c>
      <c r="H23" s="72">
        <v>266.75700000000001</v>
      </c>
      <c r="I23" s="72">
        <v>297.62400000000002</v>
      </c>
      <c r="K23" s="72">
        <f>G23-230.329</f>
        <v>0</v>
      </c>
      <c r="L23" s="72">
        <f>H23-266.757</f>
        <v>0</v>
      </c>
      <c r="M23">
        <f>I23-297.624</f>
        <v>0</v>
      </c>
      <c r="O23" s="72">
        <f>K23/1034.349</f>
        <v>0</v>
      </c>
      <c r="P23" s="72">
        <f>L23/1034.349</f>
        <v>0</v>
      </c>
      <c r="Q23" s="72">
        <f>M23/1034.349</f>
        <v>0</v>
      </c>
      <c r="S23" s="72">
        <f>AVERAGE(O23:Q23)</f>
        <v>0</v>
      </c>
      <c r="T23" s="72">
        <f>STDEV(O23:Q23)</f>
        <v>0</v>
      </c>
      <c r="U23" s="72">
        <f>T23/1.732</f>
        <v>0</v>
      </c>
      <c r="W23" s="72">
        <v>285.96699999999998</v>
      </c>
      <c r="X23" s="72">
        <v>299.548</v>
      </c>
      <c r="Y23" s="72">
        <v>267.79399999999998</v>
      </c>
      <c r="AA23" s="72">
        <f>W23-285.967</f>
        <v>0</v>
      </c>
      <c r="AB23" s="72">
        <f>X23-299.548</f>
        <v>0</v>
      </c>
      <c r="AC23" s="72">
        <f>Y23-267.794</f>
        <v>0</v>
      </c>
      <c r="AE23" s="72">
        <f>AA23/1034.349</f>
        <v>0</v>
      </c>
      <c r="AF23" s="72">
        <f>AB23/1034.349</f>
        <v>0</v>
      </c>
      <c r="AG23" s="72">
        <f>AC23/1034.349</f>
        <v>0</v>
      </c>
      <c r="AI23" s="72">
        <f>AVERAGE(AE23:AG23)</f>
        <v>0</v>
      </c>
      <c r="AJ23" s="72">
        <f>STDEV(AE23:AG23)</f>
        <v>0</v>
      </c>
      <c r="AK23" s="72">
        <f>AJ23/1.732</f>
        <v>0</v>
      </c>
      <c r="AM23" s="72"/>
      <c r="AN23" s="72"/>
      <c r="AO23" s="72"/>
    </row>
    <row r="24" spans="6:64">
      <c r="F24" s="72">
        <v>1</v>
      </c>
      <c r="G24" s="72">
        <v>255.96299999999999</v>
      </c>
      <c r="H24" s="72">
        <v>365.529</v>
      </c>
      <c r="I24" s="72">
        <v>306.29700000000003</v>
      </c>
      <c r="K24" s="72">
        <f t="shared" ref="K24:K33" si="27">G24-230.329</f>
        <v>25.633999999999986</v>
      </c>
      <c r="L24" s="72">
        <f t="shared" ref="L24:L33" si="28">H24-266.757</f>
        <v>98.771999999999991</v>
      </c>
      <c r="M24" s="72">
        <f t="shared" ref="M24:M33" si="29">I24-297.624</f>
        <v>8.6730000000000018</v>
      </c>
      <c r="O24" s="72">
        <f t="shared" ref="O24:O33" si="30">K24/1034.349</f>
        <v>2.4782737741323276E-2</v>
      </c>
      <c r="P24" s="72">
        <f t="shared" ref="P24:P33" si="31">L24/1034.349</f>
        <v>9.549194710876116E-2</v>
      </c>
      <c r="Q24" s="72">
        <f t="shared" ref="Q24:Q33" si="32">M24/1034.349</f>
        <v>8.3849841784542772E-3</v>
      </c>
      <c r="S24" s="72">
        <f t="shared" ref="S24:S33" si="33">AVERAGE(O24:Q24)</f>
        <v>4.2886556342846237E-2</v>
      </c>
      <c r="T24" s="72">
        <f t="shared" ref="T24:T33" si="34">STDEV(O24:Q24)</f>
        <v>4.6289490531902601E-2</v>
      </c>
      <c r="U24" s="72">
        <f t="shared" ref="U24:U33" si="35">T24/1.732</f>
        <v>2.6726033794401041E-2</v>
      </c>
      <c r="W24" s="72">
        <v>210.30600000000001</v>
      </c>
      <c r="X24" s="72">
        <v>314.71600000000001</v>
      </c>
      <c r="Y24" s="72">
        <v>298.488</v>
      </c>
      <c r="AA24" s="72">
        <f t="shared" ref="AA24:AA33" si="36">W24-285.967</f>
        <v>-75.660999999999973</v>
      </c>
      <c r="AB24" s="72">
        <f t="shared" ref="AB24:AB33" si="37">X24-299.548</f>
        <v>15.168000000000006</v>
      </c>
      <c r="AC24" s="72">
        <f t="shared" ref="AC24:AC33" si="38">Y24-267.794</f>
        <v>30.694000000000017</v>
      </c>
      <c r="AE24" s="72">
        <f t="shared" ref="AE24:AE33" si="39">AA24/1034.349</f>
        <v>-7.3148424757987857E-2</v>
      </c>
      <c r="AF24" s="72">
        <f t="shared" ref="AF24:AF33" si="40">AB24/1034.349</f>
        <v>1.4664296093484895E-2</v>
      </c>
      <c r="AG24" s="72">
        <f t="shared" ref="AG24:AG33" si="41">AC24/1034.349</f>
        <v>2.9674703605842921E-2</v>
      </c>
      <c r="AI24" s="72">
        <f t="shared" ref="AI24:AI33" si="42">AVERAGE(AE24:AG24)</f>
        <v>-9.6031416862200139E-3</v>
      </c>
      <c r="AJ24" s="72">
        <f t="shared" ref="AJ24:AJ33" si="43">STDEV(AE24:AG24)</f>
        <v>5.5541248940990627E-2</v>
      </c>
      <c r="AK24" s="72">
        <f t="shared" ref="AK24:AK33" si="44">AJ24/1.732</f>
        <v>3.2067695693412605E-2</v>
      </c>
      <c r="AM24" s="72"/>
      <c r="AN24" s="72"/>
      <c r="AO24" s="72"/>
    </row>
    <row r="25" spans="6:64">
      <c r="F25" s="72">
        <v>2</v>
      </c>
      <c r="G25" s="72">
        <v>312.02300000000002</v>
      </c>
      <c r="H25" s="72">
        <v>280.35399999999998</v>
      </c>
      <c r="I25" s="72">
        <v>316.83300000000003</v>
      </c>
      <c r="K25" s="72">
        <f t="shared" si="27"/>
        <v>81.694000000000017</v>
      </c>
      <c r="L25" s="72">
        <f t="shared" si="28"/>
        <v>13.59699999999998</v>
      </c>
      <c r="M25" s="72">
        <f t="shared" si="29"/>
        <v>19.209000000000003</v>
      </c>
      <c r="O25" s="72">
        <f t="shared" si="30"/>
        <v>7.8981078920171061E-2</v>
      </c>
      <c r="P25" s="72">
        <f t="shared" si="31"/>
        <v>1.3145466375468996E-2</v>
      </c>
      <c r="Q25" s="72">
        <f t="shared" si="32"/>
        <v>1.8571101243390776E-2</v>
      </c>
      <c r="S25" s="72">
        <f t="shared" si="33"/>
        <v>3.6899215513010279E-2</v>
      </c>
      <c r="T25" s="72">
        <f t="shared" si="34"/>
        <v>3.6544791684920107E-2</v>
      </c>
      <c r="U25" s="72">
        <f t="shared" si="35"/>
        <v>2.1099764252263342E-2</v>
      </c>
      <c r="W25" s="72">
        <v>268.839</v>
      </c>
      <c r="X25" s="72">
        <v>284.91000000000003</v>
      </c>
      <c r="Y25" s="72">
        <v>335.55900000000003</v>
      </c>
      <c r="AA25" s="72">
        <f t="shared" si="36"/>
        <v>-17.127999999999986</v>
      </c>
      <c r="AB25" s="72">
        <f t="shared" si="37"/>
        <v>-14.637999999999977</v>
      </c>
      <c r="AC25" s="72">
        <f t="shared" si="38"/>
        <v>67.765000000000043</v>
      </c>
      <c r="AE25" s="72">
        <f t="shared" si="39"/>
        <v>-1.6559207772231604E-2</v>
      </c>
      <c r="AF25" s="72">
        <f t="shared" si="40"/>
        <v>-1.4151896506884986E-2</v>
      </c>
      <c r="AG25" s="72">
        <f t="shared" si="41"/>
        <v>6.5514637709322532E-2</v>
      </c>
      <c r="AI25" s="72">
        <f t="shared" si="42"/>
        <v>1.1601177810068647E-2</v>
      </c>
      <c r="AJ25" s="72">
        <f t="shared" si="43"/>
        <v>4.6705938119401998E-2</v>
      </c>
      <c r="AK25" s="72">
        <f t="shared" si="44"/>
        <v>2.6966476974250576E-2</v>
      </c>
      <c r="AM25" s="72"/>
      <c r="AN25" s="72"/>
      <c r="AO25" s="72"/>
    </row>
    <row r="26" spans="6:64">
      <c r="F26" s="72">
        <v>3</v>
      </c>
      <c r="G26" s="72">
        <v>327.17700000000002</v>
      </c>
      <c r="H26" s="72">
        <v>308.24099999999999</v>
      </c>
      <c r="I26" s="72">
        <v>226.30099999999999</v>
      </c>
      <c r="K26" s="72">
        <f t="shared" si="27"/>
        <v>96.848000000000013</v>
      </c>
      <c r="L26" s="72">
        <f t="shared" si="28"/>
        <v>41.48399999999998</v>
      </c>
      <c r="M26" s="72">
        <f t="shared" si="29"/>
        <v>-71.323000000000036</v>
      </c>
      <c r="O26" s="72">
        <f t="shared" si="30"/>
        <v>9.3631839930236327E-2</v>
      </c>
      <c r="P26" s="72">
        <f t="shared" si="31"/>
        <v>4.0106385755678195E-2</v>
      </c>
      <c r="Q26" s="72">
        <f t="shared" si="32"/>
        <v>-6.8954482481251536E-2</v>
      </c>
      <c r="S26" s="72">
        <f t="shared" si="33"/>
        <v>2.1594581068221E-2</v>
      </c>
      <c r="T26" s="72">
        <f t="shared" si="34"/>
        <v>8.285887546553472E-2</v>
      </c>
      <c r="U26" s="72">
        <f t="shared" si="35"/>
        <v>4.7839997381948454E-2</v>
      </c>
      <c r="W26" s="72">
        <v>224.92599999999999</v>
      </c>
      <c r="X26" s="72">
        <v>260.19600000000003</v>
      </c>
      <c r="Y26" s="72">
        <v>307.30700000000002</v>
      </c>
      <c r="AA26" s="72">
        <f t="shared" si="36"/>
        <v>-61.040999999999997</v>
      </c>
      <c r="AB26" s="72">
        <f t="shared" si="37"/>
        <v>-39.351999999999975</v>
      </c>
      <c r="AC26" s="72">
        <f t="shared" si="38"/>
        <v>39.513000000000034</v>
      </c>
      <c r="AE26" s="72">
        <f t="shared" si="39"/>
        <v>-5.9013930501213806E-2</v>
      </c>
      <c r="AF26" s="72">
        <f t="shared" si="40"/>
        <v>-3.8045185909204707E-2</v>
      </c>
      <c r="AG26" s="72">
        <f t="shared" si="41"/>
        <v>3.8200839368530387E-2</v>
      </c>
      <c r="AI26" s="72">
        <f t="shared" si="42"/>
        <v>-1.9619425680629372E-2</v>
      </c>
      <c r="AJ26" s="72">
        <f t="shared" si="43"/>
        <v>5.1159645720113646E-2</v>
      </c>
      <c r="AK26" s="72">
        <f t="shared" si="44"/>
        <v>2.9537901685977856E-2</v>
      </c>
      <c r="AM26" s="72"/>
      <c r="AN26" s="72"/>
      <c r="AO26" s="72"/>
    </row>
    <row r="27" spans="6:64">
      <c r="F27" s="72">
        <v>4</v>
      </c>
      <c r="G27" s="72">
        <v>283.31700000000001</v>
      </c>
      <c r="H27" s="72">
        <v>269.68</v>
      </c>
      <c r="I27" s="72">
        <v>299.52100000000002</v>
      </c>
      <c r="K27" s="72">
        <f t="shared" si="27"/>
        <v>52.988</v>
      </c>
      <c r="L27" s="72">
        <f t="shared" si="28"/>
        <v>2.9230000000000018</v>
      </c>
      <c r="M27" s="72">
        <f t="shared" si="29"/>
        <v>1.8969999999999914</v>
      </c>
      <c r="O27" s="72">
        <f t="shared" si="30"/>
        <v>5.1228357159914112E-2</v>
      </c>
      <c r="P27" s="72">
        <f t="shared" si="31"/>
        <v>2.8259320596819857E-3</v>
      </c>
      <c r="Q27" s="72">
        <f t="shared" si="32"/>
        <v>1.8340038033584326E-3</v>
      </c>
      <c r="S27" s="72">
        <f t="shared" si="33"/>
        <v>1.862943100765151E-2</v>
      </c>
      <c r="T27" s="72">
        <f t="shared" si="34"/>
        <v>2.82358543367635E-2</v>
      </c>
      <c r="U27" s="72">
        <f t="shared" si="35"/>
        <v>1.630245631452858E-2</v>
      </c>
      <c r="W27" s="72">
        <v>260.64999999999998</v>
      </c>
      <c r="X27" s="72">
        <v>275.90199999999999</v>
      </c>
      <c r="Y27" s="72">
        <v>250.26599999999999</v>
      </c>
      <c r="AA27" s="72">
        <f t="shared" si="36"/>
        <v>-25.317000000000007</v>
      </c>
      <c r="AB27" s="72">
        <f t="shared" si="37"/>
        <v>-23.646000000000015</v>
      </c>
      <c r="AC27" s="72">
        <f t="shared" si="38"/>
        <v>-17.527999999999992</v>
      </c>
      <c r="AE27" s="72">
        <f t="shared" si="39"/>
        <v>-2.4476264781036195E-2</v>
      </c>
      <c r="AF27" s="72">
        <f t="shared" si="40"/>
        <v>-2.2860755895737335E-2</v>
      </c>
      <c r="AG27" s="72">
        <f t="shared" si="41"/>
        <v>-1.6945924441363596E-2</v>
      </c>
      <c r="AI27" s="72">
        <f t="shared" si="42"/>
        <v>-2.1427648372712379E-2</v>
      </c>
      <c r="AJ27" s="72">
        <f t="shared" si="43"/>
        <v>3.9644487999264365E-3</v>
      </c>
      <c r="AK27" s="72">
        <f t="shared" si="44"/>
        <v>2.2889427251307371E-3</v>
      </c>
      <c r="AM27" s="72"/>
      <c r="AN27" s="72"/>
      <c r="AO27" s="72"/>
    </row>
    <row r="28" spans="6:64">
      <c r="F28" s="72">
        <v>5</v>
      </c>
      <c r="G28" s="72">
        <v>237.63399999999999</v>
      </c>
      <c r="H28" s="72">
        <v>245.92699999999999</v>
      </c>
      <c r="I28" s="72">
        <v>280.24200000000002</v>
      </c>
      <c r="K28" s="72">
        <f t="shared" si="27"/>
        <v>7.3049999999999784</v>
      </c>
      <c r="L28" s="72">
        <f t="shared" si="28"/>
        <v>-20.830000000000013</v>
      </c>
      <c r="M28" s="72">
        <f t="shared" si="29"/>
        <v>-17.382000000000005</v>
      </c>
      <c r="O28" s="72">
        <f t="shared" si="30"/>
        <v>7.0624131700228639E-3</v>
      </c>
      <c r="P28" s="72">
        <f t="shared" si="31"/>
        <v>-2.0138270545048156E-2</v>
      </c>
      <c r="Q28" s="72">
        <f t="shared" si="32"/>
        <v>-1.6804772857130432E-2</v>
      </c>
      <c r="S28" s="72">
        <f t="shared" si="33"/>
        <v>-9.9602100773852412E-3</v>
      </c>
      <c r="T28" s="72">
        <f t="shared" si="34"/>
        <v>1.4835947168153348E-2</v>
      </c>
      <c r="U28" s="72">
        <f t="shared" si="35"/>
        <v>8.5657893580562052E-3</v>
      </c>
      <c r="W28" s="72">
        <v>300.66300000000001</v>
      </c>
      <c r="X28" s="72">
        <v>223.26599999999999</v>
      </c>
      <c r="Y28" s="72">
        <v>317.10000000000002</v>
      </c>
      <c r="AA28" s="72">
        <f t="shared" si="36"/>
        <v>14.696000000000026</v>
      </c>
      <c r="AB28" s="72">
        <f t="shared" si="37"/>
        <v>-76.282000000000011</v>
      </c>
      <c r="AC28" s="72">
        <f t="shared" si="38"/>
        <v>49.30600000000004</v>
      </c>
      <c r="AE28" s="72">
        <f t="shared" si="39"/>
        <v>1.4207970423909172E-2</v>
      </c>
      <c r="AF28" s="72">
        <f t="shared" si="40"/>
        <v>-7.374880238681529E-2</v>
      </c>
      <c r="AG28" s="72">
        <f t="shared" si="41"/>
        <v>4.7668630220554224E-2</v>
      </c>
      <c r="AI28" s="72">
        <f t="shared" si="42"/>
        <v>-3.957400580783965E-3</v>
      </c>
      <c r="AJ28" s="72">
        <f t="shared" si="43"/>
        <v>6.271390406476772E-2</v>
      </c>
      <c r="AK28" s="72">
        <f t="shared" si="44"/>
        <v>3.6208951538549493E-2</v>
      </c>
      <c r="AM28" s="72"/>
      <c r="AN28" s="72"/>
      <c r="AO28" s="72"/>
    </row>
    <row r="29" spans="6:64">
      <c r="F29" s="72">
        <v>6</v>
      </c>
      <c r="G29" s="72">
        <v>234.96199999999999</v>
      </c>
      <c r="H29" s="72">
        <v>232.751</v>
      </c>
      <c r="I29" s="72">
        <v>323.40199999999999</v>
      </c>
      <c r="K29" s="72">
        <f t="shared" si="27"/>
        <v>4.6329999999999814</v>
      </c>
      <c r="L29" s="72">
        <f t="shared" si="28"/>
        <v>-34.006</v>
      </c>
      <c r="M29" s="72">
        <f t="shared" si="29"/>
        <v>25.777999999999963</v>
      </c>
      <c r="O29" s="72">
        <f t="shared" si="30"/>
        <v>4.4791458202212038E-3</v>
      </c>
      <c r="P29" s="72">
        <f t="shared" si="31"/>
        <v>-3.2876717626255741E-2</v>
      </c>
      <c r="Q29" s="72">
        <f t="shared" si="32"/>
        <v>2.4921955742210768E-2</v>
      </c>
      <c r="S29" s="72">
        <f t="shared" si="33"/>
        <v>-1.1585386879412567E-3</v>
      </c>
      <c r="T29" s="72">
        <f t="shared" si="34"/>
        <v>2.9308860021311837E-2</v>
      </c>
      <c r="U29" s="72">
        <f t="shared" si="35"/>
        <v>1.6921974608147712E-2</v>
      </c>
      <c r="W29" s="72">
        <v>247.46799999999999</v>
      </c>
      <c r="X29" s="72">
        <v>275.29000000000002</v>
      </c>
      <c r="Y29" s="72">
        <v>292.65199999999999</v>
      </c>
      <c r="AA29" s="72">
        <f t="shared" si="36"/>
        <v>-38.498999999999995</v>
      </c>
      <c r="AB29" s="72">
        <f t="shared" si="37"/>
        <v>-24.257999999999981</v>
      </c>
      <c r="AC29" s="72">
        <f t="shared" si="38"/>
        <v>24.858000000000004</v>
      </c>
      <c r="AE29" s="72">
        <f t="shared" si="39"/>
        <v>-3.7220512612280765E-2</v>
      </c>
      <c r="AF29" s="72">
        <f t="shared" si="40"/>
        <v>-2.345243239950924E-2</v>
      </c>
      <c r="AG29" s="72">
        <f t="shared" si="41"/>
        <v>2.403250740320724E-2</v>
      </c>
      <c r="AI29" s="72">
        <f t="shared" si="42"/>
        <v>-1.2213479202860922E-2</v>
      </c>
      <c r="AJ29" s="72">
        <f t="shared" si="43"/>
        <v>3.2135940424574197E-2</v>
      </c>
      <c r="AK29" s="72">
        <f t="shared" si="44"/>
        <v>1.8554238120423901E-2</v>
      </c>
      <c r="AM29" s="72"/>
      <c r="AN29" s="72"/>
      <c r="AO29" s="72"/>
    </row>
    <row r="30" spans="6:64">
      <c r="F30" s="72">
        <v>7</v>
      </c>
      <c r="G30" s="72">
        <v>280.61900000000003</v>
      </c>
      <c r="H30" s="72">
        <v>213.541</v>
      </c>
      <c r="I30" s="72">
        <v>233.96600000000001</v>
      </c>
      <c r="K30" s="72">
        <f t="shared" si="27"/>
        <v>50.29000000000002</v>
      </c>
      <c r="L30" s="72">
        <f t="shared" si="28"/>
        <v>-53.216000000000008</v>
      </c>
      <c r="M30" s="72">
        <f t="shared" si="29"/>
        <v>-63.658000000000015</v>
      </c>
      <c r="O30" s="72">
        <f t="shared" si="30"/>
        <v>4.8619953226618891E-2</v>
      </c>
      <c r="P30" s="72">
        <f t="shared" si="31"/>
        <v>-5.144878566131935E-2</v>
      </c>
      <c r="Q30" s="72">
        <f t="shared" si="32"/>
        <v>-6.1544024309009841E-2</v>
      </c>
      <c r="S30" s="72">
        <f t="shared" si="33"/>
        <v>-2.1457618914570098E-2</v>
      </c>
      <c r="T30" s="72">
        <f t="shared" si="34"/>
        <v>6.0898506128977549E-2</v>
      </c>
      <c r="U30" s="72">
        <f t="shared" si="35"/>
        <v>3.516080030541429E-2</v>
      </c>
      <c r="W30" s="72">
        <v>271.43799999999999</v>
      </c>
      <c r="X30" s="72">
        <v>263.38499999999999</v>
      </c>
      <c r="Y30" s="72">
        <v>218.108</v>
      </c>
      <c r="AA30" s="72">
        <f t="shared" si="36"/>
        <v>-14.528999999999996</v>
      </c>
      <c r="AB30" s="72">
        <f t="shared" si="37"/>
        <v>-36.163000000000011</v>
      </c>
      <c r="AC30" s="72">
        <f t="shared" si="38"/>
        <v>-49.685999999999979</v>
      </c>
      <c r="AE30" s="72">
        <f t="shared" si="39"/>
        <v>-1.4046516214546539E-2</v>
      </c>
      <c r="AF30" s="72">
        <f t="shared" si="40"/>
        <v>-3.4962087264549989E-2</v>
      </c>
      <c r="AG30" s="72">
        <f t="shared" si="41"/>
        <v>-4.8036011056229552E-2</v>
      </c>
      <c r="AI30" s="72">
        <f t="shared" si="42"/>
        <v>-3.234820484510869E-2</v>
      </c>
      <c r="AJ30" s="72">
        <f t="shared" si="43"/>
        <v>1.7144845460814091E-2</v>
      </c>
      <c r="AK30" s="72">
        <f t="shared" si="44"/>
        <v>9.8988715131721073E-3</v>
      </c>
      <c r="AM30" s="72"/>
      <c r="AN30" s="72"/>
      <c r="AO30" s="72"/>
    </row>
    <row r="31" spans="6:64">
      <c r="F31" s="72">
        <v>8</v>
      </c>
      <c r="G31" s="72">
        <v>235.874</v>
      </c>
      <c r="H31" s="72">
        <v>330.92700000000002</v>
      </c>
      <c r="I31" s="72">
        <v>247.03100000000001</v>
      </c>
      <c r="K31" s="72">
        <f t="shared" si="27"/>
        <v>5.5449999999999875</v>
      </c>
      <c r="L31" s="72">
        <f t="shared" si="28"/>
        <v>64.170000000000016</v>
      </c>
      <c r="M31" s="72">
        <f t="shared" si="29"/>
        <v>-50.593000000000018</v>
      </c>
      <c r="O31" s="72">
        <f t="shared" si="30"/>
        <v>5.3608598258421359E-3</v>
      </c>
      <c r="P31" s="72">
        <f t="shared" si="31"/>
        <v>6.2039021645498779E-2</v>
      </c>
      <c r="Q31" s="72">
        <f t="shared" si="32"/>
        <v>-4.8912891103486365E-2</v>
      </c>
      <c r="S31" s="72">
        <f t="shared" si="33"/>
        <v>6.1623301226181844E-3</v>
      </c>
      <c r="T31" s="72">
        <f t="shared" si="34"/>
        <v>5.5480298319692409E-2</v>
      </c>
      <c r="U31" s="72">
        <f t="shared" si="35"/>
        <v>3.2032504803517554E-2</v>
      </c>
      <c r="W31" s="72">
        <v>294.71800000000002</v>
      </c>
      <c r="X31" s="72">
        <v>271.65800000000002</v>
      </c>
      <c r="Y31" s="72">
        <v>212.934</v>
      </c>
      <c r="AA31" s="72">
        <f t="shared" si="36"/>
        <v>8.7510000000000332</v>
      </c>
      <c r="AB31" s="72">
        <f t="shared" si="37"/>
        <v>-27.889999999999986</v>
      </c>
      <c r="AC31" s="72">
        <f t="shared" si="38"/>
        <v>-54.859999999999985</v>
      </c>
      <c r="AE31" s="72">
        <f t="shared" si="39"/>
        <v>8.4603939289350436E-3</v>
      </c>
      <c r="AF31" s="72">
        <f t="shared" si="40"/>
        <v>-2.6963819755227672E-2</v>
      </c>
      <c r="AG31" s="72">
        <f t="shared" si="41"/>
        <v>-5.3038191171451789E-2</v>
      </c>
      <c r="AI31" s="72">
        <f t="shared" si="42"/>
        <v>-2.3847205665914806E-2</v>
      </c>
      <c r="AJ31" s="72">
        <f t="shared" si="43"/>
        <v>3.0867522655270832E-2</v>
      </c>
      <c r="AK31" s="72">
        <f t="shared" si="44"/>
        <v>1.782189529750048E-2</v>
      </c>
      <c r="AM31" s="72"/>
      <c r="AN31" s="72"/>
      <c r="AO31" s="72"/>
    </row>
    <row r="32" spans="6:64">
      <c r="F32" s="72">
        <v>9</v>
      </c>
      <c r="G32" s="72">
        <v>280.61900000000003</v>
      </c>
      <c r="H32" s="72">
        <v>247.46799999999999</v>
      </c>
      <c r="I32" s="72">
        <v>340.815</v>
      </c>
      <c r="K32" s="72">
        <f t="shared" si="27"/>
        <v>50.29000000000002</v>
      </c>
      <c r="L32" s="72">
        <f t="shared" si="28"/>
        <v>-19.289000000000016</v>
      </c>
      <c r="M32" s="72">
        <f t="shared" si="29"/>
        <v>43.190999999999974</v>
      </c>
      <c r="O32" s="72">
        <f t="shared" si="30"/>
        <v>4.8619953226618891E-2</v>
      </c>
      <c r="P32" s="72">
        <f t="shared" si="31"/>
        <v>-1.8648444577217184E-2</v>
      </c>
      <c r="Q32" s="72">
        <f t="shared" si="32"/>
        <v>4.1756699141198936E-2</v>
      </c>
      <c r="S32" s="72">
        <f t="shared" si="33"/>
        <v>2.3909402596866882E-2</v>
      </c>
      <c r="T32" s="72">
        <f t="shared" si="34"/>
        <v>3.7015589029890904E-2</v>
      </c>
      <c r="U32" s="72">
        <f t="shared" si="35"/>
        <v>2.1371587199706065E-2</v>
      </c>
      <c r="W32" s="72">
        <v>322.62299999999999</v>
      </c>
      <c r="X32" s="72">
        <v>246.42699999999999</v>
      </c>
      <c r="Y32" s="72">
        <v>294.678</v>
      </c>
      <c r="AA32" s="72">
        <f t="shared" si="36"/>
        <v>36.656000000000006</v>
      </c>
      <c r="AB32" s="72">
        <f t="shared" si="37"/>
        <v>-53.121000000000009</v>
      </c>
      <c r="AC32" s="72">
        <f t="shared" si="38"/>
        <v>26.884000000000015</v>
      </c>
      <c r="AE32" s="72">
        <f t="shared" si="39"/>
        <v>3.5438715559255152E-2</v>
      </c>
      <c r="AF32" s="72">
        <f t="shared" si="40"/>
        <v>-5.135694045240051E-2</v>
      </c>
      <c r="AG32" s="72">
        <f t="shared" si="41"/>
        <v>2.5991227332360756E-2</v>
      </c>
      <c r="AI32" s="72">
        <f t="shared" si="42"/>
        <v>3.3576674797384659E-3</v>
      </c>
      <c r="AJ32" s="72">
        <f t="shared" si="43"/>
        <v>4.7619113802391276E-2</v>
      </c>
      <c r="AK32" s="72">
        <f t="shared" si="44"/>
        <v>2.7493714666507664E-2</v>
      </c>
      <c r="AM32" s="72"/>
      <c r="AN32" s="72"/>
      <c r="AO32" s="72"/>
    </row>
    <row r="33" spans="6:41">
      <c r="F33" s="72">
        <v>10</v>
      </c>
      <c r="G33" s="72">
        <v>287.01</v>
      </c>
      <c r="H33" s="72">
        <v>278.11500000000001</v>
      </c>
      <c r="I33" s="72">
        <v>243.55</v>
      </c>
      <c r="K33" s="72">
        <f t="shared" si="27"/>
        <v>56.680999999999983</v>
      </c>
      <c r="L33" s="72">
        <f t="shared" si="28"/>
        <v>11.358000000000004</v>
      </c>
      <c r="M33" s="72">
        <f t="shared" si="29"/>
        <v>-54.074000000000012</v>
      </c>
      <c r="O33" s="72">
        <f t="shared" si="30"/>
        <v>5.4798718807675152E-2</v>
      </c>
      <c r="P33" s="72">
        <f t="shared" si="31"/>
        <v>1.0980819820002732E-2</v>
      </c>
      <c r="Q33" s="72">
        <f t="shared" si="32"/>
        <v>-5.2278292916607468E-2</v>
      </c>
      <c r="S33" s="72">
        <f t="shared" si="33"/>
        <v>4.500415237023471E-3</v>
      </c>
      <c r="T33" s="72">
        <f t="shared" si="34"/>
        <v>5.3831852491065764E-2</v>
      </c>
      <c r="U33" s="72">
        <f t="shared" si="35"/>
        <v>3.1080746241954831E-2</v>
      </c>
      <c r="W33" s="72">
        <v>241.42400000000001</v>
      </c>
      <c r="X33" s="72">
        <v>238.81899999999999</v>
      </c>
      <c r="Y33" s="72">
        <v>316.46899999999999</v>
      </c>
      <c r="AA33" s="72">
        <f t="shared" si="36"/>
        <v>-44.542999999999978</v>
      </c>
      <c r="AB33" s="72">
        <f t="shared" si="37"/>
        <v>-60.729000000000013</v>
      </c>
      <c r="AC33" s="72">
        <f t="shared" si="38"/>
        <v>48.675000000000011</v>
      </c>
      <c r="AE33" s="72">
        <f t="shared" si="39"/>
        <v>-4.3063801482865052E-2</v>
      </c>
      <c r="AF33" s="72">
        <f t="shared" si="40"/>
        <v>-5.8712291499290872E-2</v>
      </c>
      <c r="AG33" s="72">
        <f t="shared" si="41"/>
        <v>4.7058584674998488E-2</v>
      </c>
      <c r="AI33" s="72">
        <f t="shared" si="42"/>
        <v>-1.8239169435719144E-2</v>
      </c>
      <c r="AJ33" s="72">
        <f t="shared" si="43"/>
        <v>5.708823284072078E-2</v>
      </c>
      <c r="AK33" s="72">
        <f t="shared" si="44"/>
        <v>3.2960873464619386E-2</v>
      </c>
      <c r="AM33" s="72"/>
      <c r="AN33" s="72"/>
      <c r="AO33" s="72"/>
    </row>
    <row r="35" spans="6:41">
      <c r="G35" s="72"/>
      <c r="W35" s="72"/>
    </row>
    <row r="36" spans="6:41">
      <c r="G36" s="72"/>
      <c r="W36" s="72"/>
    </row>
    <row r="37" spans="6:41">
      <c r="M37" s="72"/>
    </row>
    <row r="38" spans="6:41">
      <c r="H38" s="72"/>
      <c r="I38" s="72"/>
      <c r="V38" s="72"/>
    </row>
    <row r="39" spans="6:41">
      <c r="G39" s="72"/>
      <c r="M39" s="72"/>
      <c r="V39" s="72"/>
    </row>
    <row r="40" spans="6:41">
      <c r="G40" s="72"/>
      <c r="H40" s="72"/>
      <c r="I40" s="72"/>
      <c r="M40" s="72"/>
    </row>
    <row r="41" spans="6:41">
      <c r="G41" s="72"/>
      <c r="H41" s="72"/>
      <c r="I41" s="72"/>
      <c r="M41" s="72"/>
      <c r="W41" s="72"/>
    </row>
    <row r="42" spans="6:41">
      <c r="F42" s="72"/>
      <c r="G42" s="72"/>
      <c r="H42" s="72"/>
      <c r="I42" s="72"/>
      <c r="M42" s="72"/>
      <c r="V42" s="72"/>
    </row>
    <row r="43" spans="6:41">
      <c r="F43" s="72"/>
      <c r="G43" s="72"/>
      <c r="H43" s="72"/>
      <c r="I43" s="72"/>
      <c r="M43" s="72"/>
      <c r="V43" s="72"/>
    </row>
    <row r="44" spans="6:41">
      <c r="G44" s="72"/>
      <c r="H44" s="72"/>
      <c r="I44" s="72"/>
      <c r="M44" s="72"/>
    </row>
    <row r="45" spans="6:41">
      <c r="G45" s="72"/>
      <c r="H45" s="72"/>
      <c r="I45" s="72"/>
      <c r="M45" s="72"/>
    </row>
    <row r="46" spans="6:41">
      <c r="G46" s="72"/>
      <c r="H46" s="72"/>
      <c r="I46" s="72"/>
      <c r="M46" s="72"/>
    </row>
    <row r="47" spans="6:41">
      <c r="G47" s="72"/>
      <c r="H47" s="72"/>
      <c r="I47" s="72"/>
      <c r="M47" s="72"/>
    </row>
    <row r="48" spans="6:41">
      <c r="M48" s="72"/>
    </row>
    <row r="51" spans="6:13">
      <c r="F51" s="72"/>
      <c r="G51" s="72"/>
      <c r="H51" s="72"/>
      <c r="I51" s="72"/>
    </row>
    <row r="52" spans="6:13">
      <c r="F52" s="72"/>
      <c r="G52" s="72"/>
      <c r="H52" s="72"/>
      <c r="I52" s="72"/>
    </row>
    <row r="53" spans="6:13">
      <c r="F53" s="72"/>
      <c r="G53" s="72"/>
      <c r="H53" s="72"/>
      <c r="I53" s="72"/>
      <c r="M53" s="72"/>
    </row>
    <row r="54" spans="6:13">
      <c r="F54" s="72">
        <v>0</v>
      </c>
      <c r="G54" s="72"/>
      <c r="H54" s="72"/>
      <c r="I54" s="72"/>
    </row>
    <row r="55" spans="6:13">
      <c r="F55" s="72">
        <v>1</v>
      </c>
      <c r="G55" s="72"/>
      <c r="H55" s="72"/>
      <c r="I55" s="72"/>
      <c r="M55" s="72"/>
    </row>
    <row r="56" spans="6:13">
      <c r="F56" s="72">
        <v>2</v>
      </c>
      <c r="G56" s="72"/>
      <c r="H56" s="72"/>
      <c r="I56" s="72"/>
      <c r="M56" s="72"/>
    </row>
    <row r="57" spans="6:13">
      <c r="F57" s="72">
        <v>3</v>
      </c>
      <c r="G57" s="72"/>
      <c r="H57" s="72"/>
      <c r="I57" s="72"/>
      <c r="M57" s="72"/>
    </row>
    <row r="58" spans="6:13">
      <c r="F58" s="72">
        <v>4</v>
      </c>
      <c r="G58" s="72"/>
      <c r="H58" s="72"/>
      <c r="I58" s="72"/>
      <c r="M58" s="72"/>
    </row>
    <row r="59" spans="6:13">
      <c r="F59" s="72">
        <v>5</v>
      </c>
      <c r="G59" s="72"/>
      <c r="H59" s="72"/>
      <c r="I59" s="72"/>
      <c r="M59" s="72"/>
    </row>
    <row r="60" spans="6:13">
      <c r="F60" s="72">
        <v>6</v>
      </c>
      <c r="G60" s="72"/>
      <c r="H60" s="72"/>
      <c r="I60" s="72"/>
      <c r="M60" s="72"/>
    </row>
    <row r="61" spans="6:13">
      <c r="F61" s="72">
        <v>7</v>
      </c>
      <c r="G61" s="72"/>
      <c r="H61" s="72"/>
      <c r="I61" s="72"/>
      <c r="M61" s="72"/>
    </row>
    <row r="62" spans="6:13">
      <c r="F62" s="72">
        <v>8</v>
      </c>
      <c r="G62" s="72"/>
      <c r="H62" s="72"/>
      <c r="I62" s="72"/>
      <c r="M62" s="72"/>
    </row>
    <row r="63" spans="6:13">
      <c r="F63" s="72">
        <v>9</v>
      </c>
      <c r="G63" s="72"/>
      <c r="H63" s="72"/>
      <c r="I63" s="72"/>
      <c r="M63" s="72"/>
    </row>
    <row r="64" spans="6:13">
      <c r="F64" s="72">
        <v>10</v>
      </c>
      <c r="G64" s="72"/>
      <c r="H64" s="72"/>
      <c r="I64" s="72"/>
      <c r="M64" s="72"/>
    </row>
    <row r="66" spans="6:13">
      <c r="G66" s="72"/>
    </row>
    <row r="67" spans="6:13">
      <c r="H67" s="72"/>
      <c r="I67" s="72"/>
    </row>
    <row r="68" spans="6:13">
      <c r="G68" s="72"/>
      <c r="H68" s="72"/>
      <c r="I68" s="72"/>
      <c r="M68" s="72"/>
    </row>
    <row r="69" spans="6:13">
      <c r="F69" s="72">
        <v>0</v>
      </c>
      <c r="G69" s="72"/>
      <c r="H69" s="72"/>
      <c r="I69" s="72"/>
    </row>
    <row r="70" spans="6:13">
      <c r="F70" s="72">
        <v>1</v>
      </c>
      <c r="G70" s="72"/>
      <c r="H70" s="72"/>
      <c r="I70" s="72"/>
      <c r="M70" s="72"/>
    </row>
    <row r="71" spans="6:13">
      <c r="F71" s="72">
        <v>2</v>
      </c>
      <c r="G71" s="72"/>
      <c r="H71" s="72"/>
      <c r="I71" s="72"/>
      <c r="M71" s="72"/>
    </row>
    <row r="72" spans="6:13">
      <c r="F72" s="72">
        <v>3</v>
      </c>
      <c r="G72" s="72"/>
      <c r="H72" s="72"/>
      <c r="I72" s="72"/>
      <c r="M72" s="72"/>
    </row>
    <row r="73" spans="6:13">
      <c r="F73" s="72">
        <v>4</v>
      </c>
      <c r="G73" s="72"/>
      <c r="H73" s="72"/>
      <c r="I73" s="72"/>
      <c r="M73" s="72"/>
    </row>
    <row r="74" spans="6:13">
      <c r="F74" s="72">
        <v>5</v>
      </c>
      <c r="G74" s="72"/>
      <c r="H74" s="72"/>
      <c r="I74" s="72"/>
      <c r="M74" s="72"/>
    </row>
    <row r="75" spans="6:13">
      <c r="F75" s="72">
        <v>6</v>
      </c>
      <c r="G75" s="72"/>
      <c r="H75" s="72"/>
      <c r="I75" s="72"/>
      <c r="M75" s="72"/>
    </row>
    <row r="76" spans="6:13">
      <c r="F76" s="72">
        <v>7</v>
      </c>
      <c r="G76" s="72"/>
      <c r="H76" s="72"/>
      <c r="I76" s="72"/>
      <c r="M76" s="72"/>
    </row>
    <row r="77" spans="6:13">
      <c r="F77" s="72">
        <v>8</v>
      </c>
      <c r="G77" s="72"/>
      <c r="H77" s="72"/>
      <c r="I77" s="72"/>
      <c r="M77" s="72"/>
    </row>
    <row r="78" spans="6:13">
      <c r="F78" s="72">
        <v>9</v>
      </c>
      <c r="G78" s="72"/>
      <c r="H78" s="72"/>
      <c r="I78" s="72"/>
      <c r="M78" s="72"/>
    </row>
    <row r="79" spans="6:13">
      <c r="F79" s="72">
        <v>10</v>
      </c>
      <c r="G79" s="72"/>
      <c r="H79" s="72"/>
      <c r="I79" s="72"/>
      <c r="M79" s="72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6:AZ36"/>
  <sheetViews>
    <sheetView topLeftCell="C7" workbookViewId="0">
      <selection activeCell="V23" sqref="V23"/>
    </sheetView>
  </sheetViews>
  <sheetFormatPr defaultRowHeight="14.4"/>
  <sheetData>
    <row r="6" spans="6:52">
      <c r="F6" s="72" t="s">
        <v>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V6" s="72" t="s">
        <v>11</v>
      </c>
      <c r="AL6" s="72" t="s">
        <v>13</v>
      </c>
    </row>
    <row r="7" spans="6:52"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6:52">
      <c r="F8" s="72" t="s">
        <v>0</v>
      </c>
      <c r="G8" s="72" t="s">
        <v>1</v>
      </c>
      <c r="H8" s="72" t="s">
        <v>2</v>
      </c>
      <c r="I8" s="72"/>
      <c r="J8" s="72"/>
      <c r="K8" s="72"/>
      <c r="L8" s="72"/>
      <c r="M8" s="72"/>
      <c r="N8" s="72"/>
      <c r="O8" s="72"/>
      <c r="P8" s="72"/>
      <c r="Q8" s="72"/>
      <c r="R8" s="72" t="s">
        <v>3</v>
      </c>
      <c r="S8" s="72" t="s">
        <v>4</v>
      </c>
      <c r="T8" s="72" t="s">
        <v>5</v>
      </c>
      <c r="V8" s="72" t="s">
        <v>0</v>
      </c>
      <c r="W8" s="72" t="s">
        <v>1</v>
      </c>
      <c r="X8" s="72" t="s">
        <v>2</v>
      </c>
      <c r="AH8" s="72" t="s">
        <v>3</v>
      </c>
      <c r="AI8" s="72" t="s">
        <v>4</v>
      </c>
      <c r="AJ8" s="72" t="s">
        <v>5</v>
      </c>
      <c r="AL8" s="72" t="s">
        <v>0</v>
      </c>
      <c r="AM8" s="72" t="s">
        <v>1</v>
      </c>
      <c r="AN8" s="72" t="s">
        <v>2</v>
      </c>
      <c r="AX8" s="72" t="s">
        <v>3</v>
      </c>
      <c r="AY8" s="72" t="s">
        <v>4</v>
      </c>
      <c r="AZ8" s="72" t="s">
        <v>5</v>
      </c>
    </row>
    <row r="9" spans="6:52">
      <c r="F9" s="4">
        <v>258.93099999999998</v>
      </c>
      <c r="G9" s="5">
        <v>260.11500000000001</v>
      </c>
      <c r="H9" s="6">
        <v>261.28199999999998</v>
      </c>
      <c r="I9" s="72"/>
      <c r="J9" s="72">
        <f t="shared" ref="J9:J19" si="0">F9-258.931</f>
        <v>0</v>
      </c>
      <c r="K9" s="72">
        <f t="shared" ref="K9:K19" si="1">G9-260.115</f>
        <v>0</v>
      </c>
      <c r="L9" s="72">
        <f t="shared" ref="L9:L19" si="2">H9-261.282</f>
        <v>0</v>
      </c>
      <c r="M9" s="72"/>
      <c r="N9" s="72">
        <f t="shared" ref="N9:N19" si="3">J9/834.639</f>
        <v>0</v>
      </c>
      <c r="O9" s="72">
        <f t="shared" ref="O9:O19" si="4">K9/927.795</f>
        <v>0</v>
      </c>
      <c r="P9" s="72">
        <f t="shared" ref="P9:P19" si="5">L9/802.878</f>
        <v>0</v>
      </c>
      <c r="Q9" s="72"/>
      <c r="R9" s="72">
        <f t="shared" ref="R9:R19" si="6">AVERAGE(N9:P9)</f>
        <v>0</v>
      </c>
      <c r="S9" s="72">
        <f t="shared" ref="S9:S19" si="7">STDEV(N9:P9)</f>
        <v>0</v>
      </c>
      <c r="T9" s="72">
        <f t="shared" ref="T9:T19" si="8">S9/1.732</f>
        <v>0</v>
      </c>
      <c r="V9" s="10">
        <v>262.87799999999999</v>
      </c>
      <c r="W9" s="11">
        <v>263.38799999999998</v>
      </c>
      <c r="X9" s="12">
        <v>263.69600000000003</v>
      </c>
      <c r="Z9">
        <f t="shared" ref="Z9:Z19" si="9">V9-262.878</f>
        <v>0</v>
      </c>
      <c r="AA9">
        <f t="shared" ref="AA9:AA19" si="10">W9-263.388</f>
        <v>0</v>
      </c>
      <c r="AB9">
        <f t="shared" ref="AB9:AB19" si="11">X9-263.696</f>
        <v>0</v>
      </c>
      <c r="AD9">
        <f t="shared" ref="AD9:AD19" si="12">Z9/877.742</f>
        <v>0</v>
      </c>
      <c r="AE9">
        <f t="shared" ref="AE9:AE19" si="13">AA9/916.142</f>
        <v>0</v>
      </c>
      <c r="AF9">
        <f t="shared" ref="AF9:AF19" si="14">AB9/941.084</f>
        <v>0</v>
      </c>
      <c r="AH9">
        <f t="shared" ref="AH9:AH19" si="15">AVERAGE(AD9:AF9)</f>
        <v>0</v>
      </c>
      <c r="AI9">
        <f t="shared" ref="AI9:AI19" si="16">STDEV(AD9:AF9)</f>
        <v>0</v>
      </c>
      <c r="AJ9">
        <f t="shared" ref="AJ9:AJ19" si="17">AI9/1.732</f>
        <v>0</v>
      </c>
      <c r="AL9" s="72">
        <v>219.709</v>
      </c>
      <c r="AM9" s="72">
        <v>221.59299999999999</v>
      </c>
      <c r="AN9" s="72">
        <v>248.07300000000001</v>
      </c>
      <c r="AP9">
        <f t="shared" ref="AP9:AP19" si="18">AL9-219.709</f>
        <v>0</v>
      </c>
      <c r="AQ9">
        <f t="shared" ref="AQ9:AQ19" si="19">AM9-221.593</f>
        <v>0</v>
      </c>
      <c r="AR9">
        <f t="shared" ref="AR9:AR19" si="20">AN9-248.073</f>
        <v>0</v>
      </c>
      <c r="AT9">
        <f t="shared" ref="AT9:AT19" si="21">AP9/1034.349</f>
        <v>0</v>
      </c>
      <c r="AU9">
        <f t="shared" ref="AU9:AU19" si="22">AQ9/1034.349</f>
        <v>0</v>
      </c>
      <c r="AV9">
        <f t="shared" ref="AV9:AV19" si="23">AR9/1034.349</f>
        <v>0</v>
      </c>
      <c r="AX9">
        <f t="shared" ref="AX9:AX19" si="24">AVERAGE(AT9:AV9)</f>
        <v>0</v>
      </c>
      <c r="AY9">
        <f t="shared" ref="AY9:AY19" si="25">STDEV(AT9:AV9)</f>
        <v>0</v>
      </c>
      <c r="AZ9">
        <f t="shared" ref="AZ9:AZ19" si="26">AY9/1.732</f>
        <v>0</v>
      </c>
    </row>
    <row r="10" spans="6:52">
      <c r="F10" s="16">
        <v>530.08500000000004</v>
      </c>
      <c r="G10" s="17">
        <v>450.15699999999998</v>
      </c>
      <c r="H10" s="18">
        <v>486.72500000000002</v>
      </c>
      <c r="I10" s="72"/>
      <c r="J10" s="72">
        <f t="shared" si="0"/>
        <v>271.15400000000005</v>
      </c>
      <c r="K10" s="72">
        <f t="shared" si="1"/>
        <v>190.04199999999997</v>
      </c>
      <c r="L10" s="72">
        <f t="shared" si="2"/>
        <v>225.44300000000004</v>
      </c>
      <c r="M10" s="72"/>
      <c r="N10" s="72">
        <f t="shared" si="3"/>
        <v>0.32487578462065642</v>
      </c>
      <c r="O10" s="72">
        <f t="shared" si="4"/>
        <v>0.20483188635420538</v>
      </c>
      <c r="P10" s="72">
        <f t="shared" si="5"/>
        <v>0.28079359504183704</v>
      </c>
      <c r="Q10" s="72"/>
      <c r="R10" s="72">
        <f t="shared" si="6"/>
        <v>0.27016708867223294</v>
      </c>
      <c r="S10" s="72">
        <f t="shared" si="7"/>
        <v>6.0723359228298128E-2</v>
      </c>
      <c r="T10" s="72">
        <f t="shared" si="8"/>
        <v>3.5059676228809546E-2</v>
      </c>
      <c r="V10" s="22">
        <v>264.101</v>
      </c>
      <c r="W10" s="23">
        <v>264.46300000000002</v>
      </c>
      <c r="X10" s="24">
        <v>264.66000000000003</v>
      </c>
      <c r="Z10" s="72">
        <f t="shared" si="9"/>
        <v>1.2230000000000132</v>
      </c>
      <c r="AA10" s="72">
        <f t="shared" si="10"/>
        <v>1.0750000000000455</v>
      </c>
      <c r="AB10" s="72">
        <f t="shared" si="11"/>
        <v>0.96399999999999864</v>
      </c>
      <c r="AD10" s="72">
        <f t="shared" si="12"/>
        <v>1.3933479313967124E-3</v>
      </c>
      <c r="AE10" s="72">
        <f t="shared" si="13"/>
        <v>1.1733988835792328E-3</v>
      </c>
      <c r="AF10" s="72">
        <f t="shared" si="14"/>
        <v>1.0243506424506194E-3</v>
      </c>
      <c r="AH10" s="72">
        <f t="shared" si="15"/>
        <v>1.197032485808855E-3</v>
      </c>
      <c r="AI10" s="72">
        <f t="shared" si="16"/>
        <v>1.8563043979410437E-4</v>
      </c>
      <c r="AJ10" s="72">
        <f t="shared" si="17"/>
        <v>1.0717692828758912E-4</v>
      </c>
      <c r="AL10" s="72">
        <v>270.58300000000003</v>
      </c>
      <c r="AM10" s="72">
        <v>267.399</v>
      </c>
      <c r="AN10" s="72">
        <v>208.75</v>
      </c>
      <c r="AP10" s="72">
        <f t="shared" si="18"/>
        <v>50.874000000000024</v>
      </c>
      <c r="AQ10" s="72">
        <f t="shared" si="19"/>
        <v>45.806000000000012</v>
      </c>
      <c r="AR10" s="72">
        <f t="shared" si="20"/>
        <v>-39.323000000000008</v>
      </c>
      <c r="AT10" s="72">
        <f t="shared" si="21"/>
        <v>4.918455956355159E-2</v>
      </c>
      <c r="AU10" s="72">
        <f t="shared" si="22"/>
        <v>4.4284859365649326E-2</v>
      </c>
      <c r="AV10" s="72">
        <f t="shared" si="23"/>
        <v>-3.8017148950692671E-2</v>
      </c>
      <c r="AX10" s="72">
        <f t="shared" si="24"/>
        <v>1.8484089992836079E-2</v>
      </c>
      <c r="AY10" s="72">
        <f t="shared" si="25"/>
        <v>4.8992798114851827E-2</v>
      </c>
      <c r="AZ10" s="72">
        <f t="shared" si="26"/>
        <v>2.8286834939290892E-2</v>
      </c>
    </row>
    <row r="11" spans="6:52">
      <c r="F11" s="28">
        <v>625.81200000000001</v>
      </c>
      <c r="G11" s="29">
        <v>789.28099999999995</v>
      </c>
      <c r="H11" s="30">
        <v>735.98199999999997</v>
      </c>
      <c r="I11" s="72"/>
      <c r="J11" s="72">
        <f t="shared" si="0"/>
        <v>366.88100000000003</v>
      </c>
      <c r="K11" s="72">
        <f t="shared" si="1"/>
        <v>529.16599999999994</v>
      </c>
      <c r="L11" s="72">
        <f t="shared" si="2"/>
        <v>474.7</v>
      </c>
      <c r="M11" s="72"/>
      <c r="N11" s="72">
        <f t="shared" si="3"/>
        <v>0.43956848409911353</v>
      </c>
      <c r="O11" s="72">
        <f t="shared" si="4"/>
        <v>0.57034797557650119</v>
      </c>
      <c r="P11" s="72">
        <f t="shared" si="5"/>
        <v>0.59124798537262191</v>
      </c>
      <c r="Q11" s="72"/>
      <c r="R11" s="72">
        <f t="shared" si="6"/>
        <v>0.53372148168274558</v>
      </c>
      <c r="S11" s="72">
        <f t="shared" si="7"/>
        <v>8.2205795524749894E-2</v>
      </c>
      <c r="T11" s="72">
        <f t="shared" si="8"/>
        <v>4.7462930441541512E-2</v>
      </c>
      <c r="V11" s="34">
        <v>433.447</v>
      </c>
      <c r="W11" s="35">
        <v>383.45800000000003</v>
      </c>
      <c r="X11" s="36">
        <v>423.74099999999999</v>
      </c>
      <c r="Z11" s="72">
        <f t="shared" si="9"/>
        <v>170.56900000000002</v>
      </c>
      <c r="AA11" s="72">
        <f t="shared" si="10"/>
        <v>120.07000000000005</v>
      </c>
      <c r="AB11" s="72">
        <f t="shared" si="11"/>
        <v>160.04499999999996</v>
      </c>
      <c r="AD11" s="72">
        <f t="shared" si="12"/>
        <v>0.19432703459558734</v>
      </c>
      <c r="AE11" s="72">
        <f t="shared" si="13"/>
        <v>0.13106046879195588</v>
      </c>
      <c r="AF11" s="72">
        <f t="shared" si="14"/>
        <v>0.17006452133922154</v>
      </c>
      <c r="AH11" s="72">
        <f t="shared" si="15"/>
        <v>0.16515067490892157</v>
      </c>
      <c r="AI11" s="72">
        <f t="shared" si="16"/>
        <v>3.1918239334301303E-2</v>
      </c>
      <c r="AJ11" s="72">
        <f t="shared" si="17"/>
        <v>1.8428544650289435E-2</v>
      </c>
      <c r="AL11" s="72">
        <v>310.01900000000001</v>
      </c>
      <c r="AM11" s="72">
        <v>292.97000000000003</v>
      </c>
      <c r="AN11" s="72">
        <v>214.797</v>
      </c>
      <c r="AP11" s="72">
        <f t="shared" si="18"/>
        <v>90.31</v>
      </c>
      <c r="AQ11" s="72">
        <f t="shared" si="19"/>
        <v>71.377000000000038</v>
      </c>
      <c r="AR11" s="72">
        <f t="shared" si="20"/>
        <v>-33.27600000000001</v>
      </c>
      <c r="AT11" s="72">
        <f t="shared" si="21"/>
        <v>8.7310955973274013E-2</v>
      </c>
      <c r="AU11" s="72">
        <f t="shared" si="22"/>
        <v>6.9006689231584345E-2</v>
      </c>
      <c r="AV11" s="72">
        <f t="shared" si="23"/>
        <v>-3.2170959705089881E-2</v>
      </c>
      <c r="AX11" s="72">
        <f t="shared" si="24"/>
        <v>4.1382228499922825E-2</v>
      </c>
      <c r="AY11" s="72">
        <f t="shared" si="25"/>
        <v>6.4353050950046231E-2</v>
      </c>
      <c r="AZ11" s="72">
        <f t="shared" si="26"/>
        <v>3.7155341195176807E-2</v>
      </c>
    </row>
    <row r="12" spans="6:52">
      <c r="F12" s="40">
        <v>819.98800000000006</v>
      </c>
      <c r="G12" s="41">
        <v>750.83500000000004</v>
      </c>
      <c r="H12" s="42">
        <v>865.10699999999997</v>
      </c>
      <c r="I12" s="72"/>
      <c r="J12" s="72">
        <f t="shared" si="0"/>
        <v>561.05700000000002</v>
      </c>
      <c r="K12" s="72">
        <f t="shared" si="1"/>
        <v>490.72</v>
      </c>
      <c r="L12" s="72">
        <f t="shared" si="2"/>
        <v>603.82500000000005</v>
      </c>
      <c r="M12" s="72"/>
      <c r="N12" s="72">
        <f t="shared" si="3"/>
        <v>0.67221517326652602</v>
      </c>
      <c r="O12" s="72">
        <f t="shared" si="4"/>
        <v>0.52890994239029099</v>
      </c>
      <c r="P12" s="72">
        <f t="shared" si="5"/>
        <v>0.75207565782098906</v>
      </c>
      <c r="Q12" s="72"/>
      <c r="R12" s="72">
        <f t="shared" si="6"/>
        <v>0.65106692449260206</v>
      </c>
      <c r="S12" s="72">
        <f t="shared" si="7"/>
        <v>0.11307594994328643</v>
      </c>
      <c r="T12" s="72">
        <f t="shared" si="8"/>
        <v>6.5286345232844364E-2</v>
      </c>
      <c r="V12" s="46">
        <v>623.00400000000002</v>
      </c>
      <c r="W12" s="47">
        <v>614.72699999999998</v>
      </c>
      <c r="X12" s="48">
        <v>500.76299999999998</v>
      </c>
      <c r="Z12" s="72">
        <f t="shared" si="9"/>
        <v>360.12600000000003</v>
      </c>
      <c r="AA12" s="72">
        <f t="shared" si="10"/>
        <v>351.339</v>
      </c>
      <c r="AB12" s="72">
        <f t="shared" si="11"/>
        <v>237.06699999999995</v>
      </c>
      <c r="AD12" s="72">
        <f t="shared" si="12"/>
        <v>0.41028684966653078</v>
      </c>
      <c r="AE12" s="72">
        <f t="shared" si="13"/>
        <v>0.38349840963518755</v>
      </c>
      <c r="AF12" s="72">
        <f t="shared" si="14"/>
        <v>0.25190843750398473</v>
      </c>
      <c r="AH12" s="72">
        <f t="shared" si="15"/>
        <v>0.34856456560190097</v>
      </c>
      <c r="AI12" s="72">
        <f t="shared" si="16"/>
        <v>8.4771519120450306E-2</v>
      </c>
      <c r="AJ12" s="72">
        <f t="shared" si="17"/>
        <v>4.8944295104186089E-2</v>
      </c>
      <c r="AL12" s="72">
        <v>296.851</v>
      </c>
      <c r="AM12" s="72">
        <v>238.01400000000001</v>
      </c>
      <c r="AN12" s="72">
        <v>273.57499999999999</v>
      </c>
      <c r="AP12" s="72">
        <f t="shared" si="18"/>
        <v>77.141999999999996</v>
      </c>
      <c r="AQ12" s="72">
        <f t="shared" si="19"/>
        <v>16.421000000000021</v>
      </c>
      <c r="AR12" s="72">
        <f t="shared" si="20"/>
        <v>25.501999999999981</v>
      </c>
      <c r="AT12" s="72">
        <f t="shared" si="21"/>
        <v>7.4580243225449053E-2</v>
      </c>
      <c r="AU12" s="72">
        <f t="shared" si="22"/>
        <v>1.5875686059540851E-2</v>
      </c>
      <c r="AV12" s="72">
        <f t="shared" si="23"/>
        <v>2.4655121240509715E-2</v>
      </c>
      <c r="AX12" s="72">
        <f t="shared" si="24"/>
        <v>3.8370350175166539E-2</v>
      </c>
      <c r="AY12" s="72">
        <f t="shared" si="25"/>
        <v>3.166444199032855E-2</v>
      </c>
      <c r="AZ12" s="72">
        <f t="shared" si="26"/>
        <v>1.8282010387025722E-2</v>
      </c>
    </row>
    <row r="13" spans="6:52">
      <c r="F13" s="52">
        <v>985.43</v>
      </c>
      <c r="G13" s="53">
        <v>801.76800000000003</v>
      </c>
      <c r="H13" s="54">
        <v>937.15</v>
      </c>
      <c r="I13" s="72"/>
      <c r="J13" s="72">
        <f t="shared" si="0"/>
        <v>726.49900000000002</v>
      </c>
      <c r="K13" s="72">
        <f t="shared" si="1"/>
        <v>541.65300000000002</v>
      </c>
      <c r="L13" s="72">
        <f t="shared" si="2"/>
        <v>675.86799999999994</v>
      </c>
      <c r="M13" s="72"/>
      <c r="N13" s="72">
        <f t="shared" si="3"/>
        <v>0.87043500243817984</v>
      </c>
      <c r="O13" s="72">
        <f t="shared" si="4"/>
        <v>0.58380676765880402</v>
      </c>
      <c r="P13" s="72">
        <f t="shared" si="5"/>
        <v>0.8418066007537881</v>
      </c>
      <c r="Q13" s="72"/>
      <c r="R13" s="72">
        <f t="shared" si="6"/>
        <v>0.76534945695025736</v>
      </c>
      <c r="S13" s="72">
        <f t="shared" si="7"/>
        <v>0.15787085662696107</v>
      </c>
      <c r="T13" s="72">
        <f t="shared" si="8"/>
        <v>9.1149455327344725E-2</v>
      </c>
      <c r="V13" s="58">
        <v>811.48099999999999</v>
      </c>
      <c r="W13" s="59">
        <v>779.76700000000005</v>
      </c>
      <c r="X13" s="60">
        <v>743.56100000000004</v>
      </c>
      <c r="Z13" s="72">
        <f t="shared" si="9"/>
        <v>548.60300000000007</v>
      </c>
      <c r="AA13" s="72">
        <f t="shared" si="10"/>
        <v>516.37900000000013</v>
      </c>
      <c r="AB13" s="72">
        <f t="shared" si="11"/>
        <v>479.86500000000001</v>
      </c>
      <c r="AD13" s="72">
        <f t="shared" si="12"/>
        <v>0.62501623483893909</v>
      </c>
      <c r="AE13" s="72">
        <f t="shared" si="13"/>
        <v>0.563645155445335</v>
      </c>
      <c r="AF13" s="72">
        <f t="shared" si="14"/>
        <v>0.50990666082942648</v>
      </c>
      <c r="AH13" s="72">
        <f t="shared" si="15"/>
        <v>0.56618935037123352</v>
      </c>
      <c r="AI13" s="72">
        <f t="shared" si="16"/>
        <v>5.7596946125889482E-2</v>
      </c>
      <c r="AJ13" s="72">
        <f t="shared" si="17"/>
        <v>3.3254587832499703E-2</v>
      </c>
      <c r="AL13" s="72">
        <v>273.08</v>
      </c>
      <c r="AM13" s="72">
        <v>320.81700000000001</v>
      </c>
      <c r="AN13" s="72">
        <v>232.179</v>
      </c>
      <c r="AP13" s="72">
        <f t="shared" si="18"/>
        <v>53.370999999999981</v>
      </c>
      <c r="AQ13" s="72">
        <f t="shared" si="19"/>
        <v>99.224000000000018</v>
      </c>
      <c r="AR13" s="72">
        <f t="shared" si="20"/>
        <v>-15.894000000000005</v>
      </c>
      <c r="AT13" s="72">
        <f t="shared" si="21"/>
        <v>5.159863837060797E-2</v>
      </c>
      <c r="AU13" s="72">
        <f t="shared" si="22"/>
        <v>9.5928936944880333E-2</v>
      </c>
      <c r="AV13" s="72">
        <f t="shared" si="23"/>
        <v>-1.5366186847959448E-2</v>
      </c>
      <c r="AX13" s="72">
        <f t="shared" si="24"/>
        <v>4.4053796155842949E-2</v>
      </c>
      <c r="AY13" s="72">
        <f t="shared" si="25"/>
        <v>5.6029854792335125E-2</v>
      </c>
      <c r="AZ13" s="72">
        <f t="shared" si="26"/>
        <v>3.2349800688415198E-2</v>
      </c>
    </row>
    <row r="14" spans="6:52">
      <c r="F14" s="64">
        <v>1101.29</v>
      </c>
      <c r="G14" s="65">
        <v>1133.81</v>
      </c>
      <c r="H14" s="66">
        <v>972.40099999999995</v>
      </c>
      <c r="I14" s="72"/>
      <c r="J14" s="72">
        <f t="shared" si="0"/>
        <v>842.35899999999992</v>
      </c>
      <c r="K14" s="72">
        <f t="shared" si="1"/>
        <v>873.69499999999994</v>
      </c>
      <c r="L14" s="72">
        <f t="shared" si="2"/>
        <v>711.11899999999991</v>
      </c>
      <c r="M14" s="72"/>
      <c r="N14" s="72">
        <f t="shared" si="3"/>
        <v>1.0092495078710675</v>
      </c>
      <c r="O14" s="72">
        <f t="shared" si="4"/>
        <v>0.94168970516116168</v>
      </c>
      <c r="P14" s="72">
        <f t="shared" si="5"/>
        <v>0.88571239964228676</v>
      </c>
      <c r="Q14" s="72"/>
      <c r="R14" s="72">
        <f t="shared" si="6"/>
        <v>0.94555053755817198</v>
      </c>
      <c r="S14" s="72">
        <f t="shared" si="7"/>
        <v>6.1858983159125649E-2</v>
      </c>
      <c r="T14" s="72">
        <f t="shared" si="8"/>
        <v>3.5715348244298874E-2</v>
      </c>
      <c r="V14" s="70">
        <v>930.601</v>
      </c>
      <c r="W14" s="71">
        <v>927.91399999999999</v>
      </c>
      <c r="X14" s="72">
        <v>940.23699999999997</v>
      </c>
      <c r="Z14" s="72">
        <f t="shared" si="9"/>
        <v>667.72299999999996</v>
      </c>
      <c r="AA14" s="72">
        <f t="shared" si="10"/>
        <v>664.52600000000007</v>
      </c>
      <c r="AB14" s="72">
        <f t="shared" si="11"/>
        <v>676.54099999999994</v>
      </c>
      <c r="AD14" s="72">
        <f t="shared" si="12"/>
        <v>0.76072809549958875</v>
      </c>
      <c r="AE14" s="72">
        <f t="shared" si="13"/>
        <v>0.72535262000868861</v>
      </c>
      <c r="AF14" s="72">
        <f t="shared" si="14"/>
        <v>0.71889544397737071</v>
      </c>
      <c r="AH14" s="72">
        <f t="shared" si="15"/>
        <v>0.73499205316188265</v>
      </c>
      <c r="AI14" s="72">
        <f t="shared" si="16"/>
        <v>2.2520694638065802E-2</v>
      </c>
      <c r="AJ14" s="72">
        <f t="shared" si="17"/>
        <v>1.3002710530061088E-2</v>
      </c>
      <c r="AL14" s="72">
        <v>220.37</v>
      </c>
      <c r="AM14" s="72">
        <v>295.92399999999998</v>
      </c>
      <c r="AN14" s="72">
        <v>208.16200000000001</v>
      </c>
      <c r="AP14" s="72">
        <f t="shared" si="18"/>
        <v>0.66100000000000136</v>
      </c>
      <c r="AQ14" s="72">
        <f t="shared" si="19"/>
        <v>74.330999999999989</v>
      </c>
      <c r="AR14" s="72">
        <f t="shared" si="20"/>
        <v>-39.911000000000001</v>
      </c>
      <c r="AT14" s="72">
        <f t="shared" si="21"/>
        <v>6.3904929574060728E-4</v>
      </c>
      <c r="AU14" s="72">
        <f t="shared" si="22"/>
        <v>7.1862591833124018E-2</v>
      </c>
      <c r="AV14" s="72">
        <f t="shared" si="23"/>
        <v>-3.8585622454316681E-2</v>
      </c>
      <c r="AX14" s="72">
        <f t="shared" si="24"/>
        <v>1.1305339558182645E-2</v>
      </c>
      <c r="AY14" s="72">
        <f t="shared" si="25"/>
        <v>5.5991332550610944E-2</v>
      </c>
      <c r="AZ14" s="72">
        <f t="shared" si="26"/>
        <v>3.2327559209359667E-2</v>
      </c>
    </row>
    <row r="15" spans="6:52">
      <c r="F15" s="72">
        <v>1173.96</v>
      </c>
      <c r="G15" s="72">
        <v>1188.76</v>
      </c>
      <c r="H15" s="72">
        <v>993.71699999999998</v>
      </c>
      <c r="I15" s="72"/>
      <c r="J15" s="72">
        <f t="shared" si="0"/>
        <v>915.029</v>
      </c>
      <c r="K15" s="72">
        <f t="shared" si="1"/>
        <v>928.64499999999998</v>
      </c>
      <c r="L15" s="72">
        <f t="shared" si="2"/>
        <v>732.43499999999995</v>
      </c>
      <c r="M15" s="72"/>
      <c r="N15" s="72">
        <f t="shared" si="3"/>
        <v>1.0963170903827881</v>
      </c>
      <c r="O15" s="72">
        <f t="shared" si="4"/>
        <v>1.0009161506582813</v>
      </c>
      <c r="P15" s="72">
        <f t="shared" si="5"/>
        <v>0.91226188785842921</v>
      </c>
      <c r="Q15" s="72"/>
      <c r="R15" s="72">
        <f t="shared" si="6"/>
        <v>1.0031650429664996</v>
      </c>
      <c r="S15" s="72">
        <f t="shared" si="7"/>
        <v>9.2048207649748859E-2</v>
      </c>
      <c r="T15" s="72">
        <f t="shared" si="8"/>
        <v>5.3145616425951996E-2</v>
      </c>
      <c r="V15" s="72">
        <v>1203.92</v>
      </c>
      <c r="W15" s="72">
        <v>999.226</v>
      </c>
      <c r="X15" s="72">
        <v>1187.8800000000001</v>
      </c>
      <c r="Z15" s="72">
        <f t="shared" si="9"/>
        <v>941.04200000000014</v>
      </c>
      <c r="AA15" s="72">
        <f t="shared" si="10"/>
        <v>735.83799999999997</v>
      </c>
      <c r="AB15" s="72">
        <f t="shared" si="11"/>
        <v>924.18400000000008</v>
      </c>
      <c r="AD15" s="72">
        <f t="shared" si="12"/>
        <v>1.0721168634974745</v>
      </c>
      <c r="AE15" s="72">
        <f t="shared" si="13"/>
        <v>0.80319208157687338</v>
      </c>
      <c r="AF15" s="72">
        <f t="shared" si="14"/>
        <v>0.98204198562508782</v>
      </c>
      <c r="AH15" s="72">
        <f t="shared" si="15"/>
        <v>0.95245031023314519</v>
      </c>
      <c r="AI15" s="72">
        <f t="shared" si="16"/>
        <v>0.13688274187105423</v>
      </c>
      <c r="AJ15" s="72">
        <f t="shared" si="17"/>
        <v>7.9031606161116763E-2</v>
      </c>
      <c r="AL15" s="72">
        <v>227.904</v>
      </c>
      <c r="AM15" s="72">
        <v>280.57</v>
      </c>
      <c r="AN15" s="72">
        <v>190.40199999999999</v>
      </c>
      <c r="AP15" s="72">
        <f t="shared" si="18"/>
        <v>8.1949999999999932</v>
      </c>
      <c r="AQ15" s="72">
        <f t="shared" si="19"/>
        <v>58.977000000000004</v>
      </c>
      <c r="AR15" s="72">
        <f t="shared" si="20"/>
        <v>-57.671000000000021</v>
      </c>
      <c r="AT15" s="72">
        <f t="shared" si="21"/>
        <v>7.9228577588415453E-3</v>
      </c>
      <c r="AU15" s="72">
        <f t="shared" si="22"/>
        <v>5.7018472488492768E-2</v>
      </c>
      <c r="AV15" s="72">
        <f t="shared" si="23"/>
        <v>-5.5755842563776851E-2</v>
      </c>
      <c r="AX15" s="72">
        <f t="shared" si="24"/>
        <v>3.0618292278524867E-3</v>
      </c>
      <c r="AY15" s="72">
        <f t="shared" si="25"/>
        <v>5.6544086628589722E-2</v>
      </c>
      <c r="AZ15" s="72">
        <f t="shared" si="26"/>
        <v>3.2646701286714618E-2</v>
      </c>
    </row>
    <row r="16" spans="6:52">
      <c r="F16" s="72">
        <v>1009.97</v>
      </c>
      <c r="G16" s="72">
        <v>1197.04</v>
      </c>
      <c r="H16" s="72">
        <v>1186.79</v>
      </c>
      <c r="I16" s="72"/>
      <c r="J16" s="72">
        <f t="shared" si="0"/>
        <v>751.03899999999999</v>
      </c>
      <c r="K16" s="72">
        <f t="shared" si="1"/>
        <v>936.92499999999995</v>
      </c>
      <c r="L16" s="72">
        <f t="shared" si="2"/>
        <v>925.50800000000004</v>
      </c>
      <c r="M16" s="72"/>
      <c r="N16" s="72">
        <f t="shared" si="3"/>
        <v>0.89983693548947508</v>
      </c>
      <c r="O16" s="72">
        <f t="shared" si="4"/>
        <v>1.0098405358942439</v>
      </c>
      <c r="P16" s="72">
        <f t="shared" si="5"/>
        <v>1.1527380249552235</v>
      </c>
      <c r="Q16" s="72"/>
      <c r="R16" s="72">
        <f t="shared" si="6"/>
        <v>1.0208051654463142</v>
      </c>
      <c r="S16" s="72">
        <f t="shared" si="7"/>
        <v>0.12680657549650792</v>
      </c>
      <c r="T16" s="72">
        <f t="shared" si="8"/>
        <v>7.321395813886139E-2</v>
      </c>
      <c r="V16" s="72">
        <v>1195.8</v>
      </c>
      <c r="W16" s="72">
        <v>1019.76</v>
      </c>
      <c r="X16" s="72">
        <v>1022.95</v>
      </c>
      <c r="Z16" s="72">
        <f t="shared" si="9"/>
        <v>932.92200000000003</v>
      </c>
      <c r="AA16" s="72">
        <f t="shared" si="10"/>
        <v>756.37200000000007</v>
      </c>
      <c r="AB16" s="72">
        <f t="shared" si="11"/>
        <v>759.25400000000002</v>
      </c>
      <c r="AD16" s="72">
        <f t="shared" si="12"/>
        <v>1.0628658535195992</v>
      </c>
      <c r="AE16" s="72">
        <f t="shared" si="13"/>
        <v>0.82560563755400362</v>
      </c>
      <c r="AF16" s="72">
        <f t="shared" si="14"/>
        <v>0.80678664178755566</v>
      </c>
      <c r="AH16" s="72">
        <f t="shared" si="15"/>
        <v>0.89841937762038615</v>
      </c>
      <c r="AI16" s="72">
        <f t="shared" si="16"/>
        <v>0.14272533491699083</v>
      </c>
      <c r="AJ16" s="72">
        <f t="shared" si="17"/>
        <v>8.2404927781172532E-2</v>
      </c>
      <c r="AL16" s="72">
        <v>209.107</v>
      </c>
      <c r="AM16" s="72">
        <v>299.786</v>
      </c>
      <c r="AN16" s="72">
        <v>245.15100000000001</v>
      </c>
      <c r="AP16" s="72">
        <f t="shared" si="18"/>
        <v>-10.602000000000004</v>
      </c>
      <c r="AQ16" s="72">
        <f t="shared" si="19"/>
        <v>78.193000000000012</v>
      </c>
      <c r="AR16" s="72">
        <f t="shared" si="20"/>
        <v>-2.921999999999997</v>
      </c>
      <c r="AT16" s="72">
        <f t="shared" si="21"/>
        <v>-1.0249925315343278E-2</v>
      </c>
      <c r="AU16" s="72">
        <f t="shared" si="22"/>
        <v>7.5596341273593354E-2</v>
      </c>
      <c r="AV16" s="72">
        <f t="shared" si="23"/>
        <v>-2.8249652680091509E-3</v>
      </c>
      <c r="AX16" s="72">
        <f t="shared" si="24"/>
        <v>2.0840483563413642E-2</v>
      </c>
      <c r="AY16" s="72">
        <f t="shared" si="25"/>
        <v>4.7565065679647835E-2</v>
      </c>
      <c r="AZ16" s="72">
        <f t="shared" si="26"/>
        <v>2.7462509052914454E-2</v>
      </c>
    </row>
    <row r="17" spans="6:52">
      <c r="F17" s="72">
        <v>1249.52</v>
      </c>
      <c r="G17" s="72">
        <v>994.55799999999999</v>
      </c>
      <c r="H17" s="72">
        <v>1030.44</v>
      </c>
      <c r="I17" s="72"/>
      <c r="J17" s="72">
        <f t="shared" si="0"/>
        <v>990.58899999999994</v>
      </c>
      <c r="K17" s="72">
        <f t="shared" si="1"/>
        <v>734.44299999999998</v>
      </c>
      <c r="L17" s="72">
        <f t="shared" si="2"/>
        <v>769.15800000000013</v>
      </c>
      <c r="M17" s="72"/>
      <c r="N17" s="72">
        <f t="shared" si="3"/>
        <v>1.1868472477322529</v>
      </c>
      <c r="O17" s="72">
        <f t="shared" si="4"/>
        <v>0.79160051520001729</v>
      </c>
      <c r="P17" s="72">
        <f t="shared" si="5"/>
        <v>0.95800109107485831</v>
      </c>
      <c r="Q17" s="72"/>
      <c r="R17" s="72">
        <f t="shared" si="6"/>
        <v>0.9788162846690428</v>
      </c>
      <c r="S17" s="72">
        <f t="shared" si="7"/>
        <v>0.1984438185170416</v>
      </c>
      <c r="T17" s="72">
        <f t="shared" si="8"/>
        <v>0.11457495295441202</v>
      </c>
      <c r="V17" s="72">
        <v>935.86300000000006</v>
      </c>
      <c r="W17" s="72">
        <v>1009.29</v>
      </c>
      <c r="X17" s="72">
        <v>1232.68</v>
      </c>
      <c r="Z17" s="72">
        <f t="shared" si="9"/>
        <v>672.98500000000013</v>
      </c>
      <c r="AA17" s="72">
        <f t="shared" si="10"/>
        <v>745.90200000000004</v>
      </c>
      <c r="AB17" s="72">
        <f t="shared" si="11"/>
        <v>968.98400000000004</v>
      </c>
      <c r="AD17" s="72">
        <f t="shared" si="12"/>
        <v>0.76672302339411824</v>
      </c>
      <c r="AE17" s="72">
        <f t="shared" si="13"/>
        <v>0.81417727819486496</v>
      </c>
      <c r="AF17" s="72">
        <f t="shared" si="14"/>
        <v>1.0296466627846186</v>
      </c>
      <c r="AH17" s="72">
        <f t="shared" si="15"/>
        <v>0.87018232145786722</v>
      </c>
      <c r="AI17" s="72">
        <f t="shared" si="16"/>
        <v>0.14012363715931259</v>
      </c>
      <c r="AJ17" s="72">
        <f t="shared" si="17"/>
        <v>8.0902792817155067E-2</v>
      </c>
      <c r="AL17" s="72">
        <v>246.03800000000001</v>
      </c>
      <c r="AM17" s="72">
        <v>335.95499999999998</v>
      </c>
      <c r="AN17" s="72">
        <v>323.512</v>
      </c>
      <c r="AP17" s="72">
        <f t="shared" si="18"/>
        <v>26.329000000000008</v>
      </c>
      <c r="AQ17" s="72">
        <f t="shared" si="19"/>
        <v>114.36199999999999</v>
      </c>
      <c r="AR17" s="72">
        <f t="shared" si="20"/>
        <v>75.438999999999993</v>
      </c>
      <c r="AT17" s="72">
        <f t="shared" si="21"/>
        <v>2.545465795394012E-2</v>
      </c>
      <c r="AU17" s="72">
        <f t="shared" si="22"/>
        <v>0.1105642292881803</v>
      </c>
      <c r="AV17" s="72">
        <f t="shared" si="23"/>
        <v>7.2933797006619616E-2</v>
      </c>
      <c r="AX17" s="72">
        <f t="shared" si="24"/>
        <v>6.9650894749580014E-2</v>
      </c>
      <c r="AY17" s="72">
        <f t="shared" si="25"/>
        <v>4.2649652619880594E-2</v>
      </c>
      <c r="AZ17" s="72">
        <f t="shared" si="26"/>
        <v>2.4624510750508425E-2</v>
      </c>
    </row>
    <row r="18" spans="6:52">
      <c r="F18" s="72">
        <v>1097.08</v>
      </c>
      <c r="G18" s="72">
        <v>1076.8</v>
      </c>
      <c r="H18" s="72">
        <v>1177.23</v>
      </c>
      <c r="I18" s="72"/>
      <c r="J18" s="72">
        <f t="shared" si="0"/>
        <v>838.14899999999989</v>
      </c>
      <c r="K18" s="72">
        <f t="shared" si="1"/>
        <v>816.68499999999995</v>
      </c>
      <c r="L18" s="72">
        <f t="shared" si="2"/>
        <v>915.94800000000009</v>
      </c>
      <c r="M18" s="72"/>
      <c r="N18" s="72">
        <f t="shared" si="3"/>
        <v>1.0042054109621044</v>
      </c>
      <c r="O18" s="72">
        <f t="shared" si="4"/>
        <v>0.88024294159809002</v>
      </c>
      <c r="P18" s="72">
        <f t="shared" si="5"/>
        <v>1.140830860977633</v>
      </c>
      <c r="Q18" s="72"/>
      <c r="R18" s="72">
        <f t="shared" si="6"/>
        <v>1.008426404512609</v>
      </c>
      <c r="S18" s="72">
        <f t="shared" si="7"/>
        <v>0.13034522822702402</v>
      </c>
      <c r="T18" s="72">
        <f t="shared" si="8"/>
        <v>7.5257060177265606E-2</v>
      </c>
      <c r="V18" s="72">
        <v>1185.73</v>
      </c>
      <c r="W18" s="72">
        <v>1069.67</v>
      </c>
      <c r="X18" s="72">
        <v>1084.6099999999999</v>
      </c>
      <c r="Z18" s="72">
        <f t="shared" si="9"/>
        <v>922.85200000000009</v>
      </c>
      <c r="AA18" s="72">
        <f t="shared" si="10"/>
        <v>806.28200000000015</v>
      </c>
      <c r="AB18" s="72">
        <f t="shared" si="11"/>
        <v>820.91399999999987</v>
      </c>
      <c r="AD18" s="72">
        <f t="shared" si="12"/>
        <v>1.0513932340027026</v>
      </c>
      <c r="AE18" s="72">
        <f t="shared" si="13"/>
        <v>0.88008409176743352</v>
      </c>
      <c r="AF18" s="72">
        <f t="shared" si="14"/>
        <v>0.87230682914596347</v>
      </c>
      <c r="AH18" s="72">
        <f t="shared" si="15"/>
        <v>0.93459471830536656</v>
      </c>
      <c r="AI18" s="72">
        <f t="shared" si="16"/>
        <v>0.10122520143371586</v>
      </c>
      <c r="AJ18" s="72">
        <f t="shared" si="17"/>
        <v>5.8444111682283979E-2</v>
      </c>
      <c r="AL18" s="72">
        <v>264.62099999999998</v>
      </c>
      <c r="AM18" s="72">
        <v>292.56799999999998</v>
      </c>
      <c r="AN18" s="72">
        <v>314.73200000000003</v>
      </c>
      <c r="AP18" s="72">
        <f t="shared" si="18"/>
        <v>44.911999999999978</v>
      </c>
      <c r="AQ18" s="72">
        <f t="shared" si="19"/>
        <v>70.974999999999994</v>
      </c>
      <c r="AR18" s="72">
        <f t="shared" si="20"/>
        <v>66.65900000000002</v>
      </c>
      <c r="AT18" s="72">
        <f t="shared" si="21"/>
        <v>4.3420547610139304E-2</v>
      </c>
      <c r="AU18" s="72">
        <f t="shared" si="22"/>
        <v>6.8618038979106663E-2</v>
      </c>
      <c r="AV18" s="72">
        <f t="shared" si="23"/>
        <v>6.4445366119172565E-2</v>
      </c>
      <c r="AX18" s="72">
        <f t="shared" si="24"/>
        <v>5.8827984236139517E-2</v>
      </c>
      <c r="AY18" s="72">
        <f t="shared" si="25"/>
        <v>1.3505355502065306E-2</v>
      </c>
      <c r="AZ18" s="72">
        <f t="shared" si="26"/>
        <v>7.7975493660885136E-3</v>
      </c>
    </row>
    <row r="19" spans="6:52">
      <c r="F19" s="72">
        <v>1093.57</v>
      </c>
      <c r="G19" s="72">
        <v>1187.9100000000001</v>
      </c>
      <c r="H19" s="72">
        <v>1064.1600000000001</v>
      </c>
      <c r="I19" s="72"/>
      <c r="J19" s="72">
        <f t="shared" si="0"/>
        <v>834.6389999999999</v>
      </c>
      <c r="K19" s="72">
        <f t="shared" si="1"/>
        <v>927.79500000000007</v>
      </c>
      <c r="L19" s="72">
        <f t="shared" si="2"/>
        <v>802.87800000000016</v>
      </c>
      <c r="M19" s="72"/>
      <c r="N19" s="72">
        <f t="shared" si="3"/>
        <v>0.99999999999999989</v>
      </c>
      <c r="O19" s="72">
        <f t="shared" si="4"/>
        <v>1.0000000000000002</v>
      </c>
      <c r="P19" s="72">
        <f t="shared" si="5"/>
        <v>1.0000000000000002</v>
      </c>
      <c r="Q19" s="72"/>
      <c r="R19" s="72">
        <f t="shared" si="6"/>
        <v>1</v>
      </c>
      <c r="S19" s="72">
        <f t="shared" si="7"/>
        <v>2.3551386880256624E-16</v>
      </c>
      <c r="T19" s="72">
        <f t="shared" si="8"/>
        <v>1.3597798429709366E-16</v>
      </c>
      <c r="V19" s="72">
        <v>1140.6199999999999</v>
      </c>
      <c r="W19" s="72">
        <v>1179.53</v>
      </c>
      <c r="X19" s="72">
        <v>1204.78</v>
      </c>
      <c r="Z19" s="72">
        <f t="shared" si="9"/>
        <v>877.74199999999996</v>
      </c>
      <c r="AA19" s="72">
        <f t="shared" si="10"/>
        <v>916.14200000000005</v>
      </c>
      <c r="AB19" s="72">
        <f t="shared" si="11"/>
        <v>941.08399999999995</v>
      </c>
      <c r="AD19" s="72">
        <f t="shared" si="12"/>
        <v>1</v>
      </c>
      <c r="AE19" s="72">
        <f t="shared" si="13"/>
        <v>1</v>
      </c>
      <c r="AF19" s="72">
        <f t="shared" si="14"/>
        <v>1</v>
      </c>
      <c r="AH19" s="72">
        <f t="shared" si="15"/>
        <v>1</v>
      </c>
      <c r="AI19" s="72">
        <f t="shared" si="16"/>
        <v>0</v>
      </c>
      <c r="AJ19" s="72">
        <f t="shared" si="17"/>
        <v>0</v>
      </c>
      <c r="AL19" s="72">
        <v>274.65699999999998</v>
      </c>
      <c r="AM19" s="72">
        <v>286.774</v>
      </c>
      <c r="AN19" s="72">
        <v>265.22500000000002</v>
      </c>
      <c r="AP19" s="72">
        <f t="shared" si="18"/>
        <v>54.947999999999979</v>
      </c>
      <c r="AQ19" s="72">
        <f t="shared" si="19"/>
        <v>65.181000000000012</v>
      </c>
      <c r="AR19" s="72">
        <f t="shared" si="20"/>
        <v>17.152000000000015</v>
      </c>
      <c r="AT19" s="72">
        <f t="shared" si="21"/>
        <v>5.3123268838660823E-2</v>
      </c>
      <c r="AU19" s="72">
        <f t="shared" si="22"/>
        <v>6.3016448026729871E-2</v>
      </c>
      <c r="AV19" s="72">
        <f t="shared" si="23"/>
        <v>1.6582410772379551E-2</v>
      </c>
      <c r="AX19" s="72">
        <f t="shared" si="24"/>
        <v>4.4240709212590081E-2</v>
      </c>
      <c r="AY19" s="72">
        <f t="shared" si="25"/>
        <v>2.445822669507388E-2</v>
      </c>
      <c r="AZ19" s="72">
        <f t="shared" si="26"/>
        <v>1.4121377999465289E-2</v>
      </c>
    </row>
    <row r="20" spans="6:52"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6:52"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6:52"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6:52">
      <c r="F23" s="72" t="s">
        <v>7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V23" s="72" t="s">
        <v>15</v>
      </c>
    </row>
    <row r="24" spans="6:52"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6:52">
      <c r="F25" s="72" t="s">
        <v>0</v>
      </c>
      <c r="G25" s="72" t="s">
        <v>1</v>
      </c>
      <c r="H25" s="72" t="s">
        <v>2</v>
      </c>
      <c r="I25" s="72"/>
      <c r="J25" s="72"/>
      <c r="K25" s="72"/>
      <c r="L25" s="72"/>
      <c r="M25" s="72"/>
      <c r="N25" s="72"/>
      <c r="O25" s="72"/>
      <c r="P25" s="72"/>
      <c r="Q25" s="72"/>
      <c r="R25" s="72" t="s">
        <v>3</v>
      </c>
      <c r="S25" s="72" t="s">
        <v>4</v>
      </c>
      <c r="T25" s="72" t="s">
        <v>5</v>
      </c>
      <c r="V25" s="72" t="s">
        <v>0</v>
      </c>
      <c r="W25" s="72" t="s">
        <v>1</v>
      </c>
      <c r="X25" s="72" t="s">
        <v>2</v>
      </c>
      <c r="AH25" s="72" t="s">
        <v>3</v>
      </c>
      <c r="AI25" s="72" t="s">
        <v>4</v>
      </c>
      <c r="AJ25" s="72" t="s">
        <v>5</v>
      </c>
    </row>
    <row r="26" spans="6:52">
      <c r="F26" s="72">
        <v>263.262</v>
      </c>
      <c r="G26" s="72">
        <v>229.73500000000001</v>
      </c>
      <c r="H26" s="72">
        <v>260.44</v>
      </c>
      <c r="I26" s="72"/>
      <c r="J26" s="72">
        <f t="shared" ref="J26:J36" si="27">F26-263.262</f>
        <v>0</v>
      </c>
      <c r="K26" s="72">
        <f t="shared" ref="K26:K36" si="28">G26-229.735</f>
        <v>0</v>
      </c>
      <c r="L26" s="72">
        <f t="shared" ref="L26:L36" si="29">H26-260.44</f>
        <v>0</v>
      </c>
      <c r="M26" s="72"/>
      <c r="N26" s="72">
        <f t="shared" ref="N26:N36" si="30">J26/1034.349</f>
        <v>0</v>
      </c>
      <c r="O26" s="72">
        <f t="shared" ref="O26:O36" si="31">K26/1034.349</f>
        <v>0</v>
      </c>
      <c r="P26" s="72">
        <f t="shared" ref="P26:P36" si="32">L26/1034.349</f>
        <v>0</v>
      </c>
      <c r="Q26" s="72"/>
      <c r="R26" s="72">
        <f t="shared" ref="R26:R36" si="33">AVERAGE(N26:P26)</f>
        <v>0</v>
      </c>
      <c r="S26" s="72">
        <f t="shared" ref="S26:S36" si="34">STDEV(N26:P26)</f>
        <v>0</v>
      </c>
      <c r="T26" s="72">
        <f t="shared" ref="T26:T36" si="35">S26/1.732</f>
        <v>0</v>
      </c>
      <c r="V26" s="72">
        <v>224.24700000000001</v>
      </c>
      <c r="W26" s="72">
        <v>247.11</v>
      </c>
      <c r="X26" s="72">
        <v>258.346</v>
      </c>
      <c r="Z26">
        <f t="shared" ref="Z26:Z36" si="36">V26-224.247</f>
        <v>0</v>
      </c>
      <c r="AA26">
        <f t="shared" ref="AA26:AA36" si="37">W26-247.11</f>
        <v>0</v>
      </c>
      <c r="AB26">
        <f t="shared" ref="AB26:AB36" si="38">X26-258.346</f>
        <v>0</v>
      </c>
      <c r="AD26">
        <f t="shared" ref="AD26:AD36" si="39">Z26/1034.349</f>
        <v>0</v>
      </c>
      <c r="AE26">
        <f t="shared" ref="AE26:AE36" si="40">AA26/1034.349</f>
        <v>0</v>
      </c>
      <c r="AF26">
        <f t="shared" ref="AF26:AF36" si="41">AB26/1034.349</f>
        <v>0</v>
      </c>
      <c r="AH26">
        <f t="shared" ref="AH26:AH36" si="42">AVERAGE(AD26:AF26)</f>
        <v>0</v>
      </c>
      <c r="AI26">
        <f t="shared" ref="AI26:AI36" si="43">STDEV(AD26:AF26)</f>
        <v>0</v>
      </c>
      <c r="AJ26">
        <f t="shared" ref="AJ26:AJ36" si="44">AI26/1.732</f>
        <v>0</v>
      </c>
    </row>
    <row r="27" spans="6:52">
      <c r="F27" s="72">
        <v>282.33</v>
      </c>
      <c r="G27" s="72">
        <v>297.113</v>
      </c>
      <c r="H27" s="72">
        <v>270.14</v>
      </c>
      <c r="I27" s="72"/>
      <c r="J27" s="72">
        <f t="shared" si="27"/>
        <v>19.067999999999984</v>
      </c>
      <c r="K27" s="72">
        <f t="shared" si="28"/>
        <v>67.377999999999986</v>
      </c>
      <c r="L27" s="72">
        <f t="shared" si="29"/>
        <v>9.6999999999999886</v>
      </c>
      <c r="M27" s="72"/>
      <c r="N27" s="72">
        <f t="shared" si="30"/>
        <v>1.8434783617521731E-2</v>
      </c>
      <c r="O27" s="72">
        <f t="shared" si="31"/>
        <v>6.5140489331937279E-2</v>
      </c>
      <c r="P27" s="72">
        <f t="shared" si="32"/>
        <v>9.3778792264506364E-3</v>
      </c>
      <c r="Q27" s="72"/>
      <c r="R27" s="72">
        <f t="shared" si="33"/>
        <v>3.0984384058636554E-2</v>
      </c>
      <c r="S27" s="72">
        <f t="shared" si="34"/>
        <v>2.9924680864929071E-2</v>
      </c>
      <c r="T27" s="72">
        <f t="shared" si="35"/>
        <v>1.7277529367741958E-2</v>
      </c>
      <c r="V27" s="72">
        <v>326.04599999999999</v>
      </c>
      <c r="W27" s="72">
        <v>314.13900000000001</v>
      </c>
      <c r="X27" s="72">
        <v>246.923</v>
      </c>
      <c r="Z27" s="72">
        <f t="shared" si="36"/>
        <v>101.79899999999998</v>
      </c>
      <c r="AA27" s="72">
        <f t="shared" si="37"/>
        <v>67.028999999999996</v>
      </c>
      <c r="AB27" s="72">
        <f t="shared" si="38"/>
        <v>-11.423000000000002</v>
      </c>
      <c r="AD27" s="72">
        <f t="shared" si="39"/>
        <v>9.8418425502417445E-2</v>
      </c>
      <c r="AE27" s="72">
        <f t="shared" si="40"/>
        <v>6.4803079038119632E-2</v>
      </c>
      <c r="AF27" s="72">
        <f t="shared" si="41"/>
        <v>-1.1043661278736676E-2</v>
      </c>
      <c r="AH27" s="72">
        <f t="shared" si="42"/>
        <v>5.0725947753933465E-2</v>
      </c>
      <c r="AI27" s="72">
        <f t="shared" si="43"/>
        <v>5.6072375814793053E-2</v>
      </c>
      <c r="AJ27" s="72">
        <f t="shared" si="44"/>
        <v>3.2374350932328551E-2</v>
      </c>
    </row>
    <row r="28" spans="6:52">
      <c r="F28" s="72">
        <v>262.06700000000001</v>
      </c>
      <c r="G28" s="72">
        <v>283.54500000000002</v>
      </c>
      <c r="H28" s="72">
        <v>242.98400000000001</v>
      </c>
      <c r="I28" s="72"/>
      <c r="J28" s="72">
        <f t="shared" si="27"/>
        <v>-1.1949999999999932</v>
      </c>
      <c r="K28" s="72">
        <f t="shared" si="28"/>
        <v>53.81</v>
      </c>
      <c r="L28" s="72">
        <f t="shared" si="29"/>
        <v>-17.455999999999989</v>
      </c>
      <c r="M28" s="72"/>
      <c r="N28" s="72">
        <f t="shared" si="30"/>
        <v>-1.1553160490317999E-3</v>
      </c>
      <c r="O28" s="72">
        <f t="shared" si="31"/>
        <v>5.2023059914980345E-2</v>
      </c>
      <c r="P28" s="72">
        <f t="shared" si="32"/>
        <v>-1.6876315440919835E-2</v>
      </c>
      <c r="Q28" s="72"/>
      <c r="R28" s="72">
        <f t="shared" si="33"/>
        <v>1.1330476141676237E-2</v>
      </c>
      <c r="S28" s="72">
        <f t="shared" si="34"/>
        <v>3.6106817030589468E-2</v>
      </c>
      <c r="T28" s="72">
        <f t="shared" si="35"/>
        <v>2.0846892049993918E-2</v>
      </c>
      <c r="V28" s="72">
        <v>289.21100000000001</v>
      </c>
      <c r="W28" s="72">
        <v>279.125</v>
      </c>
      <c r="X28" s="72">
        <v>311.13099999999997</v>
      </c>
      <c r="Z28" s="72">
        <f t="shared" si="36"/>
        <v>64.963999999999999</v>
      </c>
      <c r="AA28" s="72">
        <f t="shared" si="37"/>
        <v>32.014999999999986</v>
      </c>
      <c r="AB28" s="72">
        <f t="shared" si="38"/>
        <v>52.784999999999968</v>
      </c>
      <c r="AD28" s="72">
        <f t="shared" si="39"/>
        <v>6.2806654233725751E-2</v>
      </c>
      <c r="AE28" s="72">
        <f t="shared" si="40"/>
        <v>3.0951835405651273E-2</v>
      </c>
      <c r="AF28" s="72">
        <f t="shared" si="41"/>
        <v>5.1032098450329598E-2</v>
      </c>
      <c r="AH28" s="72">
        <f t="shared" si="42"/>
        <v>4.8263529363235545E-2</v>
      </c>
      <c r="AI28" s="72">
        <f t="shared" si="43"/>
        <v>1.6106865049874575E-2</v>
      </c>
      <c r="AJ28" s="72">
        <f t="shared" si="44"/>
        <v>9.29957566389987E-3</v>
      </c>
    </row>
    <row r="29" spans="6:52">
      <c r="F29" s="72">
        <v>262.99700000000001</v>
      </c>
      <c r="G29" s="72">
        <v>260.55</v>
      </c>
      <c r="H29" s="72">
        <v>232.875</v>
      </c>
      <c r="I29" s="72"/>
      <c r="J29" s="72">
        <f t="shared" si="27"/>
        <v>-0.26499999999998636</v>
      </c>
      <c r="K29" s="72">
        <f t="shared" si="28"/>
        <v>30.814999999999998</v>
      </c>
      <c r="L29" s="72">
        <f t="shared" si="29"/>
        <v>-27.564999999999998</v>
      </c>
      <c r="M29" s="72"/>
      <c r="N29" s="72">
        <f t="shared" si="30"/>
        <v>-2.5619979329992719E-4</v>
      </c>
      <c r="O29" s="72">
        <f t="shared" si="31"/>
        <v>2.9791685398255326E-2</v>
      </c>
      <c r="P29" s="72">
        <f t="shared" si="32"/>
        <v>-2.6649612461557944E-2</v>
      </c>
      <c r="Q29" s="72"/>
      <c r="R29" s="72">
        <f t="shared" si="33"/>
        <v>9.6195771446581804E-4</v>
      </c>
      <c r="S29" s="72">
        <f t="shared" si="34"/>
        <v>2.8240360422812156E-2</v>
      </c>
      <c r="T29" s="72">
        <f t="shared" si="35"/>
        <v>1.6305057980838426E-2</v>
      </c>
      <c r="V29" s="72">
        <v>252.18700000000001</v>
      </c>
      <c r="W29" s="72">
        <v>422.54199999999997</v>
      </c>
      <c r="X29" s="72">
        <v>303.24400000000003</v>
      </c>
      <c r="Z29" s="72">
        <f t="shared" si="36"/>
        <v>27.939999999999998</v>
      </c>
      <c r="AA29" s="72">
        <f t="shared" si="37"/>
        <v>175.43199999999996</v>
      </c>
      <c r="AB29" s="72">
        <f t="shared" si="38"/>
        <v>44.898000000000025</v>
      </c>
      <c r="AD29" s="72">
        <f t="shared" si="39"/>
        <v>2.7012159338869184E-2</v>
      </c>
      <c r="AE29" s="72">
        <f t="shared" si="40"/>
        <v>0.16960619674790614</v>
      </c>
      <c r="AF29" s="72">
        <f t="shared" si="41"/>
        <v>4.3407012526719732E-2</v>
      </c>
      <c r="AH29" s="72">
        <f t="shared" si="42"/>
        <v>8.0008456204498354E-2</v>
      </c>
      <c r="AI29" s="72">
        <f t="shared" si="43"/>
        <v>7.8025727395684419E-2</v>
      </c>
      <c r="AJ29" s="72">
        <f t="shared" si="44"/>
        <v>4.5049496186884766E-2</v>
      </c>
    </row>
    <row r="30" spans="6:52">
      <c r="F30" s="72">
        <v>211.03899999999999</v>
      </c>
      <c r="G30" s="72">
        <v>249.20699999999999</v>
      </c>
      <c r="H30" s="72">
        <v>248.03399999999999</v>
      </c>
      <c r="I30" s="72"/>
      <c r="J30" s="72">
        <f t="shared" si="27"/>
        <v>-52.223000000000013</v>
      </c>
      <c r="K30" s="72">
        <f t="shared" si="28"/>
        <v>19.47199999999998</v>
      </c>
      <c r="L30" s="72">
        <f t="shared" si="29"/>
        <v>-12.406000000000006</v>
      </c>
      <c r="M30" s="72"/>
      <c r="N30" s="72">
        <f t="shared" si="30"/>
        <v>-5.0488761530199204E-2</v>
      </c>
      <c r="O30" s="72">
        <f t="shared" si="31"/>
        <v>1.8825367453345034E-2</v>
      </c>
      <c r="P30" s="72">
        <f t="shared" si="32"/>
        <v>-1.1994017493128535E-2</v>
      </c>
      <c r="Q30" s="72"/>
      <c r="R30" s="72">
        <f t="shared" si="33"/>
        <v>-1.4552470523327568E-2</v>
      </c>
      <c r="S30" s="72">
        <f t="shared" si="34"/>
        <v>3.4727818541014824E-2</v>
      </c>
      <c r="T30" s="72">
        <f t="shared" si="35"/>
        <v>2.0050703545620569E-2</v>
      </c>
      <c r="V30" s="72">
        <v>211.83600000000001</v>
      </c>
      <c r="W30" s="72">
        <v>276.77999999999997</v>
      </c>
      <c r="X30" s="72">
        <v>264.755</v>
      </c>
      <c r="Z30" s="72">
        <f t="shared" si="36"/>
        <v>-12.411000000000001</v>
      </c>
      <c r="AA30" s="72">
        <f t="shared" si="37"/>
        <v>29.669999999999959</v>
      </c>
      <c r="AB30" s="72">
        <f t="shared" si="38"/>
        <v>6.4089999999999918</v>
      </c>
      <c r="AD30" s="72">
        <f t="shared" si="39"/>
        <v>-1.199885145149268E-2</v>
      </c>
      <c r="AE30" s="72">
        <f t="shared" si="40"/>
        <v>2.8684708932864983E-2</v>
      </c>
      <c r="AF30" s="72">
        <f t="shared" si="41"/>
        <v>6.1961678311672295E-3</v>
      </c>
      <c r="AH30" s="72">
        <f t="shared" si="42"/>
        <v>7.62734177084651E-3</v>
      </c>
      <c r="AI30" s="72">
        <f t="shared" si="43"/>
        <v>2.0379504790870948E-2</v>
      </c>
      <c r="AJ30" s="72">
        <f t="shared" si="44"/>
        <v>1.1766457731449739E-2</v>
      </c>
    </row>
    <row r="31" spans="6:52">
      <c r="F31" s="72">
        <v>285.733</v>
      </c>
      <c r="G31" s="72">
        <v>300.54399999999998</v>
      </c>
      <c r="H31" s="72">
        <v>281.30500000000001</v>
      </c>
      <c r="I31" s="72"/>
      <c r="J31" s="72">
        <f t="shared" si="27"/>
        <v>22.471000000000004</v>
      </c>
      <c r="K31" s="72">
        <f t="shared" si="28"/>
        <v>70.808999999999969</v>
      </c>
      <c r="L31" s="72">
        <f t="shared" si="29"/>
        <v>20.865000000000009</v>
      </c>
      <c r="M31" s="72"/>
      <c r="N31" s="72">
        <f t="shared" si="30"/>
        <v>2.1724775680162116E-2</v>
      </c>
      <c r="O31" s="72">
        <f t="shared" si="31"/>
        <v>6.8457551561416863E-2</v>
      </c>
      <c r="P31" s="72">
        <f t="shared" si="32"/>
        <v>2.01721082535972E-2</v>
      </c>
      <c r="Q31" s="72"/>
      <c r="R31" s="72">
        <f t="shared" si="33"/>
        <v>3.6784811831725391E-2</v>
      </c>
      <c r="S31" s="72">
        <f t="shared" si="34"/>
        <v>2.7440381293323195E-2</v>
      </c>
      <c r="T31" s="72">
        <f t="shared" si="35"/>
        <v>1.5843176266352885E-2</v>
      </c>
      <c r="V31" s="72">
        <v>306.37</v>
      </c>
      <c r="W31" s="72">
        <v>267.649</v>
      </c>
      <c r="X31" s="72">
        <v>242.184</v>
      </c>
      <c r="Z31" s="72">
        <f t="shared" si="36"/>
        <v>82.12299999999999</v>
      </c>
      <c r="AA31" s="72">
        <f t="shared" si="37"/>
        <v>20.538999999999987</v>
      </c>
      <c r="AB31" s="72">
        <f t="shared" si="38"/>
        <v>-16.162000000000006</v>
      </c>
      <c r="AD31" s="72">
        <f t="shared" si="39"/>
        <v>7.9395832547815098E-2</v>
      </c>
      <c r="AE31" s="72">
        <f t="shared" si="40"/>
        <v>1.9856934168254611E-2</v>
      </c>
      <c r="AF31" s="72">
        <f t="shared" si="41"/>
        <v>-1.562528701627788E-2</v>
      </c>
      <c r="AH31" s="72">
        <f t="shared" si="42"/>
        <v>2.7875826566597275E-2</v>
      </c>
      <c r="AI31" s="72">
        <f t="shared" si="43"/>
        <v>4.8015416974921316E-2</v>
      </c>
      <c r="AJ31" s="72">
        <f t="shared" si="44"/>
        <v>2.7722527121779052E-2</v>
      </c>
    </row>
    <row r="32" spans="6:52">
      <c r="F32" s="72">
        <v>262.74099999999999</v>
      </c>
      <c r="G32" s="72">
        <v>302.38099999999997</v>
      </c>
      <c r="H32" s="72">
        <v>216.97499999999999</v>
      </c>
      <c r="I32" s="72"/>
      <c r="J32" s="72">
        <f t="shared" si="27"/>
        <v>-0.52100000000001501</v>
      </c>
      <c r="K32" s="72">
        <f t="shared" si="28"/>
        <v>72.645999999999958</v>
      </c>
      <c r="L32" s="72">
        <f t="shared" si="29"/>
        <v>-43.465000000000003</v>
      </c>
      <c r="M32" s="72"/>
      <c r="N32" s="72">
        <f t="shared" si="30"/>
        <v>-5.0369846154442552E-4</v>
      </c>
      <c r="O32" s="72">
        <f t="shared" si="31"/>
        <v>7.0233547864405499E-2</v>
      </c>
      <c r="P32" s="72">
        <f t="shared" si="32"/>
        <v>-4.2021600059554375E-2</v>
      </c>
      <c r="Q32" s="72"/>
      <c r="R32" s="72">
        <f t="shared" si="33"/>
        <v>9.236083114435566E-3</v>
      </c>
      <c r="S32" s="72">
        <f t="shared" si="34"/>
        <v>5.6757837059901936E-2</v>
      </c>
      <c r="T32" s="72">
        <f t="shared" si="35"/>
        <v>3.2770113775924904E-2</v>
      </c>
      <c r="V32" s="72">
        <v>247.947</v>
      </c>
      <c r="W32" s="72">
        <v>241.291</v>
      </c>
      <c r="X32" s="72">
        <v>248.572</v>
      </c>
      <c r="Z32" s="72">
        <f t="shared" si="36"/>
        <v>23.699999999999989</v>
      </c>
      <c r="AA32" s="72">
        <f t="shared" si="37"/>
        <v>-5.8190000000000168</v>
      </c>
      <c r="AB32" s="72">
        <f t="shared" si="38"/>
        <v>-9.7740000000000009</v>
      </c>
      <c r="AD32" s="72">
        <f t="shared" si="39"/>
        <v>2.2912962646070126E-2</v>
      </c>
      <c r="AE32" s="72">
        <f t="shared" si="40"/>
        <v>-5.6257607441975747E-3</v>
      </c>
      <c r="AF32" s="72">
        <f t="shared" si="41"/>
        <v>-9.4494218102400655E-3</v>
      </c>
      <c r="AH32" s="72">
        <f t="shared" si="42"/>
        <v>2.6125933638774953E-3</v>
      </c>
      <c r="AI32" s="72">
        <f t="shared" si="43"/>
        <v>1.7684282307519152E-2</v>
      </c>
      <c r="AJ32" s="72">
        <f t="shared" si="44"/>
        <v>1.0210324657920988E-2</v>
      </c>
    </row>
    <row r="33" spans="6:36">
      <c r="F33" s="72">
        <v>214.14699999999999</v>
      </c>
      <c r="G33" s="72">
        <v>269.928</v>
      </c>
      <c r="H33" s="72">
        <v>236.387</v>
      </c>
      <c r="I33" s="72"/>
      <c r="J33" s="72">
        <f t="shared" si="27"/>
        <v>-49.115000000000009</v>
      </c>
      <c r="K33" s="72">
        <f t="shared" si="28"/>
        <v>40.192999999999984</v>
      </c>
      <c r="L33" s="72">
        <f t="shared" si="29"/>
        <v>-24.052999999999997</v>
      </c>
      <c r="M33" s="72"/>
      <c r="N33" s="72">
        <f t="shared" si="30"/>
        <v>-4.7483973011043672E-2</v>
      </c>
      <c r="O33" s="72">
        <f t="shared" si="31"/>
        <v>3.8858257706054715E-2</v>
      </c>
      <c r="P33" s="72">
        <f t="shared" si="32"/>
        <v>-2.3254240106579113E-2</v>
      </c>
      <c r="Q33" s="72"/>
      <c r="R33" s="72">
        <f t="shared" si="33"/>
        <v>-1.0626651803856024E-2</v>
      </c>
      <c r="S33" s="72">
        <f t="shared" si="34"/>
        <v>4.4534674031123926E-2</v>
      </c>
      <c r="T33" s="72">
        <f t="shared" si="35"/>
        <v>2.5712860295106194E-2</v>
      </c>
      <c r="V33" s="72">
        <v>211.06100000000001</v>
      </c>
      <c r="W33" s="72">
        <v>299.08499999999998</v>
      </c>
      <c r="X33" s="72">
        <v>237.619</v>
      </c>
      <c r="Z33" s="72">
        <f t="shared" si="36"/>
        <v>-13.186000000000007</v>
      </c>
      <c r="AA33" s="72">
        <f t="shared" si="37"/>
        <v>51.974999999999966</v>
      </c>
      <c r="AB33" s="72">
        <f t="shared" si="38"/>
        <v>-20.727000000000004</v>
      </c>
      <c r="AD33" s="72">
        <f t="shared" si="39"/>
        <v>-1.2748114997935907E-2</v>
      </c>
      <c r="AE33" s="72">
        <f t="shared" si="40"/>
        <v>5.0248997195337326E-2</v>
      </c>
      <c r="AF33" s="72">
        <f t="shared" si="41"/>
        <v>-2.0038691002746661E-2</v>
      </c>
      <c r="AH33" s="72">
        <f t="shared" si="42"/>
        <v>5.8207303982182532E-3</v>
      </c>
      <c r="AI33" s="72">
        <f t="shared" si="43"/>
        <v>3.8648302583263287E-2</v>
      </c>
      <c r="AJ33" s="72">
        <f t="shared" si="44"/>
        <v>2.231426246146841E-2</v>
      </c>
    </row>
    <row r="34" spans="6:36">
      <c r="F34" s="72">
        <v>291.55599999999998</v>
      </c>
      <c r="G34" s="72">
        <v>283.91199999999998</v>
      </c>
      <c r="H34" s="72">
        <v>305.22800000000001</v>
      </c>
      <c r="I34" s="72"/>
      <c r="J34" s="72">
        <f t="shared" si="27"/>
        <v>28.293999999999983</v>
      </c>
      <c r="K34" s="72">
        <f t="shared" si="28"/>
        <v>54.176999999999964</v>
      </c>
      <c r="L34" s="72">
        <f t="shared" si="29"/>
        <v>44.788000000000011</v>
      </c>
      <c r="M34" s="72"/>
      <c r="N34" s="72">
        <f t="shared" si="30"/>
        <v>2.7354403591050975E-2</v>
      </c>
      <c r="O34" s="72">
        <f t="shared" si="31"/>
        <v>5.2377872458908903E-2</v>
      </c>
      <c r="P34" s="72">
        <f t="shared" si="32"/>
        <v>4.3300665442708421E-2</v>
      </c>
      <c r="Q34" s="72"/>
      <c r="R34" s="72">
        <f t="shared" si="33"/>
        <v>4.1010980497556103E-2</v>
      </c>
      <c r="S34" s="72">
        <f t="shared" si="34"/>
        <v>1.266789214534945E-2</v>
      </c>
      <c r="T34" s="72">
        <f t="shared" si="35"/>
        <v>7.3140254880770493E-3</v>
      </c>
      <c r="V34" s="72">
        <v>218.20699999999999</v>
      </c>
      <c r="W34" s="72">
        <v>248.61099999999999</v>
      </c>
      <c r="X34" s="72">
        <v>272.57299999999998</v>
      </c>
      <c r="Z34" s="72">
        <f t="shared" si="36"/>
        <v>-6.0400000000000205</v>
      </c>
      <c r="AA34" s="72">
        <f t="shared" si="37"/>
        <v>1.5009999999999764</v>
      </c>
      <c r="AB34" s="72">
        <f t="shared" si="38"/>
        <v>14.226999999999975</v>
      </c>
      <c r="AD34" s="72">
        <f t="shared" si="39"/>
        <v>-5.8394217038930003E-3</v>
      </c>
      <c r="AE34" s="72">
        <f t="shared" si="40"/>
        <v>1.4511543009177526E-3</v>
      </c>
      <c r="AF34" s="72">
        <f t="shared" si="41"/>
        <v>1.3754545129351869E-2</v>
      </c>
      <c r="AH34" s="72">
        <f t="shared" si="42"/>
        <v>3.1220925754588736E-3</v>
      </c>
      <c r="AI34" s="72">
        <f t="shared" si="43"/>
        <v>9.9032777454522523E-3</v>
      </c>
      <c r="AJ34" s="72">
        <f t="shared" si="44"/>
        <v>5.7178277976052266E-3</v>
      </c>
    </row>
    <row r="35" spans="6:36">
      <c r="F35" s="72">
        <v>319.44799999999998</v>
      </c>
      <c r="G35" s="72">
        <v>313.78100000000001</v>
      </c>
      <c r="H35" s="72">
        <v>323.41000000000003</v>
      </c>
      <c r="I35" s="72"/>
      <c r="J35" s="72">
        <f t="shared" si="27"/>
        <v>56.185999999999979</v>
      </c>
      <c r="K35" s="72">
        <f t="shared" si="28"/>
        <v>84.045999999999992</v>
      </c>
      <c r="L35" s="72">
        <f t="shared" si="29"/>
        <v>62.970000000000027</v>
      </c>
      <c r="M35" s="72"/>
      <c r="N35" s="72">
        <f t="shared" si="30"/>
        <v>5.4320156929624316E-2</v>
      </c>
      <c r="O35" s="72">
        <f t="shared" si="31"/>
        <v>8.1254972934667116E-2</v>
      </c>
      <c r="P35" s="72">
        <f t="shared" si="32"/>
        <v>6.0878871638102836E-2</v>
      </c>
      <c r="Q35" s="72"/>
      <c r="R35" s="72">
        <f t="shared" si="33"/>
        <v>6.5484667167464761E-2</v>
      </c>
      <c r="S35" s="72">
        <f t="shared" si="34"/>
        <v>1.4045678789225344E-2</v>
      </c>
      <c r="T35" s="72">
        <f t="shared" si="35"/>
        <v>8.1095143124857647E-3</v>
      </c>
      <c r="V35" s="72">
        <v>263.85700000000003</v>
      </c>
      <c r="W35" s="72">
        <v>334.45400000000001</v>
      </c>
      <c r="X35" s="72">
        <v>303.68400000000003</v>
      </c>
      <c r="Z35" s="72">
        <f t="shared" si="36"/>
        <v>39.610000000000014</v>
      </c>
      <c r="AA35" s="72">
        <f t="shared" si="37"/>
        <v>87.343999999999994</v>
      </c>
      <c r="AB35" s="72">
        <f t="shared" si="38"/>
        <v>45.338000000000022</v>
      </c>
      <c r="AD35" s="72">
        <f t="shared" si="39"/>
        <v>3.8294618160794873E-2</v>
      </c>
      <c r="AE35" s="72">
        <f t="shared" si="40"/>
        <v>8.4443451871660344E-2</v>
      </c>
      <c r="AF35" s="72">
        <f t="shared" si="41"/>
        <v>4.3832400862764916E-2</v>
      </c>
      <c r="AH35" s="72">
        <f t="shared" si="42"/>
        <v>5.5523490298406704E-2</v>
      </c>
      <c r="AI35" s="72">
        <f t="shared" si="43"/>
        <v>2.519801365906469E-2</v>
      </c>
      <c r="AJ35" s="72">
        <f t="shared" si="44"/>
        <v>1.4548506731561599E-2</v>
      </c>
    </row>
    <row r="36" spans="6:36">
      <c r="F36" s="72">
        <v>237.80500000000001</v>
      </c>
      <c r="G36" s="72">
        <v>382.416</v>
      </c>
      <c r="H36" s="72">
        <v>324.70800000000003</v>
      </c>
      <c r="I36" s="72"/>
      <c r="J36" s="72">
        <f t="shared" si="27"/>
        <v>-25.456999999999994</v>
      </c>
      <c r="K36" s="72">
        <f t="shared" si="28"/>
        <v>152.68099999999998</v>
      </c>
      <c r="L36" s="72">
        <f t="shared" si="29"/>
        <v>64.268000000000029</v>
      </c>
      <c r="M36" s="72"/>
      <c r="N36" s="72">
        <f t="shared" si="30"/>
        <v>-2.4611615615232379E-2</v>
      </c>
      <c r="O36" s="72">
        <f t="shared" si="31"/>
        <v>0.14761071939935166</v>
      </c>
      <c r="P36" s="72">
        <f t="shared" si="32"/>
        <v>6.2133767229436129E-2</v>
      </c>
      <c r="Q36" s="72"/>
      <c r="R36" s="72">
        <f t="shared" si="33"/>
        <v>6.1710957004518473E-2</v>
      </c>
      <c r="S36" s="72">
        <f t="shared" si="34"/>
        <v>8.6111946011187254E-2</v>
      </c>
      <c r="T36" s="72">
        <f t="shared" si="35"/>
        <v>4.9718213632325203E-2</v>
      </c>
      <c r="V36" s="72">
        <v>296.93700000000001</v>
      </c>
      <c r="W36" s="72">
        <v>326.52699999999999</v>
      </c>
      <c r="X36" s="72">
        <v>305.47399999999999</v>
      </c>
      <c r="Z36" s="72">
        <f t="shared" si="36"/>
        <v>72.69</v>
      </c>
      <c r="AA36" s="72">
        <f t="shared" si="37"/>
        <v>79.416999999999973</v>
      </c>
      <c r="AB36" s="72">
        <f t="shared" si="38"/>
        <v>47.127999999999986</v>
      </c>
      <c r="AD36" s="72">
        <f t="shared" si="39"/>
        <v>7.0276086698010054E-2</v>
      </c>
      <c r="AE36" s="72">
        <f t="shared" si="40"/>
        <v>7.6779694281137192E-2</v>
      </c>
      <c r="AF36" s="72">
        <f t="shared" si="41"/>
        <v>4.5562957957130515E-2</v>
      </c>
      <c r="AH36" s="72">
        <f t="shared" si="42"/>
        <v>6.4206246312092582E-2</v>
      </c>
      <c r="AI36" s="72">
        <f t="shared" si="43"/>
        <v>1.6469771656386953E-2</v>
      </c>
      <c r="AJ36" s="72">
        <f t="shared" si="44"/>
        <v>9.5091060371749157E-3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E6:EM28"/>
  <sheetViews>
    <sheetView topLeftCell="DN1" workbookViewId="0">
      <selection activeCell="CR26" sqref="CR26"/>
    </sheetView>
  </sheetViews>
  <sheetFormatPr defaultRowHeight="14.4"/>
  <sheetData>
    <row r="6" spans="57:143">
      <c r="BE6" s="73"/>
      <c r="BF6" s="73"/>
      <c r="BG6" s="73" t="s">
        <v>19</v>
      </c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 t="s">
        <v>19</v>
      </c>
      <c r="BU6" s="73"/>
      <c r="BV6" s="73"/>
      <c r="BW6" s="73"/>
      <c r="BX6" s="73"/>
      <c r="BY6" s="73" t="s">
        <v>20</v>
      </c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 t="s">
        <v>21</v>
      </c>
      <c r="CL6" s="73"/>
      <c r="CM6" s="73"/>
      <c r="CN6" s="73"/>
      <c r="CO6" s="73"/>
      <c r="CP6" s="73" t="s">
        <v>22</v>
      </c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 t="s">
        <v>22</v>
      </c>
      <c r="DC6" s="73"/>
      <c r="DD6" s="73"/>
      <c r="DE6" s="73"/>
      <c r="DF6" s="73"/>
      <c r="DG6" s="73" t="s">
        <v>23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 t="s">
        <v>23</v>
      </c>
      <c r="DT6" s="73"/>
      <c r="DU6" s="73"/>
      <c r="DV6" s="73"/>
      <c r="DW6" s="73"/>
      <c r="DX6" s="73"/>
      <c r="DY6" s="73" t="s">
        <v>7</v>
      </c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 t="s">
        <v>7</v>
      </c>
      <c r="EL6" s="73"/>
      <c r="EM6" s="73"/>
    </row>
    <row r="7" spans="57:143">
      <c r="BE7" s="73"/>
      <c r="BF7" s="73" t="s">
        <v>30</v>
      </c>
      <c r="BG7" s="73"/>
      <c r="BH7" s="73"/>
      <c r="BI7" s="73"/>
      <c r="BJ7" s="73"/>
      <c r="BK7" s="73"/>
      <c r="BL7" s="73" t="s">
        <v>25</v>
      </c>
      <c r="BM7" s="73"/>
      <c r="BN7" s="73"/>
      <c r="BO7" s="73"/>
      <c r="BP7" s="73" t="s">
        <v>26</v>
      </c>
      <c r="BQ7" s="73"/>
      <c r="BR7" s="73"/>
      <c r="BS7" s="73"/>
      <c r="BT7" s="73" t="s">
        <v>27</v>
      </c>
      <c r="BU7" s="73" t="s">
        <v>28</v>
      </c>
      <c r="BV7" s="73" t="s">
        <v>29</v>
      </c>
      <c r="BW7" s="73"/>
      <c r="BX7" s="73" t="s">
        <v>30</v>
      </c>
      <c r="BY7" s="73"/>
      <c r="BZ7" s="73"/>
      <c r="CA7" s="73"/>
      <c r="CB7" s="73"/>
      <c r="CC7" s="73" t="s">
        <v>25</v>
      </c>
      <c r="CD7" s="73"/>
      <c r="CE7" s="73"/>
      <c r="CF7" s="73"/>
      <c r="CG7" s="73" t="s">
        <v>26</v>
      </c>
      <c r="CH7" s="73"/>
      <c r="CI7" s="73"/>
      <c r="CJ7" s="73"/>
      <c r="CK7" s="73" t="s">
        <v>27</v>
      </c>
      <c r="CL7" s="73" t="s">
        <v>28</v>
      </c>
      <c r="CM7" s="73" t="s">
        <v>29</v>
      </c>
      <c r="CN7" s="73"/>
      <c r="CO7" s="73" t="s">
        <v>30</v>
      </c>
      <c r="CP7" s="73"/>
      <c r="CQ7" s="73"/>
      <c r="CR7" s="73"/>
      <c r="CS7" s="73"/>
      <c r="CT7" s="73" t="s">
        <v>25</v>
      </c>
      <c r="CU7" s="73"/>
      <c r="CV7" s="73"/>
      <c r="CW7" s="73"/>
      <c r="CX7" s="73" t="s">
        <v>26</v>
      </c>
      <c r="CY7" s="73"/>
      <c r="CZ7" s="73"/>
      <c r="DA7" s="73"/>
      <c r="DB7" s="73" t="s">
        <v>27</v>
      </c>
      <c r="DC7" s="73" t="s">
        <v>28</v>
      </c>
      <c r="DD7" s="73" t="s">
        <v>29</v>
      </c>
      <c r="DE7" s="73"/>
      <c r="DF7" s="73" t="s">
        <v>30</v>
      </c>
      <c r="DG7" s="73"/>
      <c r="DH7" s="73"/>
      <c r="DI7" s="73"/>
      <c r="DJ7" s="73"/>
      <c r="DK7" s="73" t="s">
        <v>25</v>
      </c>
      <c r="DL7" s="73"/>
      <c r="DM7" s="73"/>
      <c r="DN7" s="73"/>
      <c r="DO7" s="73" t="s">
        <v>26</v>
      </c>
      <c r="DP7" s="73"/>
      <c r="DQ7" s="73"/>
      <c r="DR7" s="73"/>
      <c r="DS7" s="73" t="s">
        <v>27</v>
      </c>
      <c r="DT7" s="73" t="s">
        <v>28</v>
      </c>
      <c r="DU7" s="73" t="s">
        <v>29</v>
      </c>
      <c r="DV7" s="73"/>
      <c r="DW7" s="73" t="s">
        <v>30</v>
      </c>
      <c r="DX7" s="73"/>
      <c r="DY7" s="73"/>
      <c r="DZ7" s="73"/>
      <c r="EA7" s="73"/>
      <c r="EB7" s="73"/>
      <c r="EC7" s="73" t="s">
        <v>25</v>
      </c>
      <c r="ED7" s="73"/>
      <c r="EE7" s="73"/>
      <c r="EF7" s="73"/>
      <c r="EG7" s="73" t="s">
        <v>26</v>
      </c>
      <c r="EH7" s="73"/>
      <c r="EI7" s="73"/>
      <c r="EJ7" s="73"/>
      <c r="EK7" s="73" t="s">
        <v>27</v>
      </c>
      <c r="EL7" s="73" t="s">
        <v>28</v>
      </c>
      <c r="EM7" s="73" t="s">
        <v>29</v>
      </c>
    </row>
    <row r="8" spans="57:143">
      <c r="BE8" s="73"/>
      <c r="BF8" s="73">
        <v>0</v>
      </c>
      <c r="BG8" s="73">
        <v>204.53299999999999</v>
      </c>
      <c r="BH8" s="73">
        <v>218.797</v>
      </c>
      <c r="BI8" s="73">
        <v>211.68600000000001</v>
      </c>
      <c r="BJ8" s="73"/>
      <c r="BK8" s="73"/>
      <c r="BL8" s="73">
        <f>BG8-204.533</f>
        <v>0</v>
      </c>
      <c r="BM8" s="73">
        <f>BH8-218.797</f>
        <v>0</v>
      </c>
      <c r="BN8" s="73">
        <f>BI8-211.686</f>
        <v>0</v>
      </c>
      <c r="BO8" s="73"/>
      <c r="BP8" s="73">
        <f>BL8/1011.297</f>
        <v>0</v>
      </c>
      <c r="BQ8" s="73">
        <f>BM8/831.723</f>
        <v>0</v>
      </c>
      <c r="BR8" s="73">
        <f>BN8/902.774</f>
        <v>0</v>
      </c>
      <c r="BS8" s="73"/>
      <c r="BT8" s="73">
        <f>AVERAGE(BP8:BR8)</f>
        <v>0</v>
      </c>
      <c r="BU8" s="73">
        <f>STDEV(BP8:BR8)</f>
        <v>0</v>
      </c>
      <c r="BV8" s="73">
        <f>BU8/1.732</f>
        <v>0</v>
      </c>
      <c r="BW8" s="73"/>
      <c r="BX8" s="73">
        <v>0</v>
      </c>
      <c r="BY8" s="73">
        <v>304.22000000000003</v>
      </c>
      <c r="BZ8" s="73">
        <v>280.91699999999997</v>
      </c>
      <c r="CA8" s="73">
        <v>278.04399999999998</v>
      </c>
      <c r="CB8" s="73"/>
      <c r="CC8" s="73">
        <f>BY8-304.22</f>
        <v>0</v>
      </c>
      <c r="CD8" s="73">
        <f>BZ8-280.917</f>
        <v>0</v>
      </c>
      <c r="CE8" s="73">
        <f>CA8-278.044</f>
        <v>0</v>
      </c>
      <c r="CF8" s="73"/>
      <c r="CG8" s="73">
        <f>CC8/980.57</f>
        <v>0</v>
      </c>
      <c r="CH8" s="73">
        <f>CD8/960.673</f>
        <v>0</v>
      </c>
      <c r="CI8" s="73">
        <f>CE8/999.966</f>
        <v>0</v>
      </c>
      <c r="CJ8" s="73"/>
      <c r="CK8" s="73">
        <f>AVERAGE(CG8:CI8)</f>
        <v>0</v>
      </c>
      <c r="CL8" s="73">
        <f>STDEV(CG8:CI8)</f>
        <v>0</v>
      </c>
      <c r="CM8" s="73">
        <f>CL8/1.732</f>
        <v>0</v>
      </c>
      <c r="CN8" s="73"/>
      <c r="CO8" s="73">
        <v>0</v>
      </c>
      <c r="CP8" s="73">
        <v>238.3</v>
      </c>
      <c r="CQ8" s="73">
        <v>271.94</v>
      </c>
      <c r="CR8" s="73">
        <v>275.29199999999997</v>
      </c>
      <c r="CS8" s="73"/>
      <c r="CT8" s="73">
        <f>CP8-238.3</f>
        <v>0</v>
      </c>
      <c r="CU8" s="73">
        <f>CQ8-271.94</f>
        <v>0</v>
      </c>
      <c r="CV8" s="73">
        <f>CR8-275.292</f>
        <v>0</v>
      </c>
      <c r="CW8" s="73"/>
      <c r="CX8" s="73">
        <f>CT8/874.25</f>
        <v>0</v>
      </c>
      <c r="CY8" s="73">
        <f>CU8/859.46</f>
        <v>0</v>
      </c>
      <c r="CZ8" s="73">
        <f>CV8/862.968</f>
        <v>0</v>
      </c>
      <c r="DA8" s="73"/>
      <c r="DB8" s="73">
        <f>AVERAGE(CX8:CZ8)</f>
        <v>0</v>
      </c>
      <c r="DC8" s="73">
        <f>STDEV(CX8:CZ8)</f>
        <v>0</v>
      </c>
      <c r="DD8" s="73">
        <f>DC8/1.732</f>
        <v>0</v>
      </c>
      <c r="DE8" s="73"/>
      <c r="DF8" s="73">
        <v>0</v>
      </c>
      <c r="DG8" s="73">
        <v>412.97699999999998</v>
      </c>
      <c r="DH8" s="73">
        <v>364.774</v>
      </c>
      <c r="DI8" s="73">
        <v>409.54399999999998</v>
      </c>
      <c r="DJ8" s="73"/>
      <c r="DK8" s="73">
        <f>DG8-412.977</f>
        <v>0</v>
      </c>
      <c r="DL8" s="73">
        <f>DH8-364.774</f>
        <v>0</v>
      </c>
      <c r="DM8" s="73">
        <f>DI8-409.544</f>
        <v>0</v>
      </c>
      <c r="DN8" s="73"/>
      <c r="DO8" s="73">
        <f>DK8/1322.21</f>
        <v>0</v>
      </c>
      <c r="DP8" s="73">
        <f>DL8/1322.21</f>
        <v>0</v>
      </c>
      <c r="DQ8" s="73">
        <f>DM8/1322.21</f>
        <v>0</v>
      </c>
      <c r="DR8" s="73"/>
      <c r="DS8" s="73">
        <f>AVERAGE(DO8:DQ8)</f>
        <v>0</v>
      </c>
      <c r="DT8" s="73">
        <f>STDEV(DO8:DQ8)</f>
        <v>0</v>
      </c>
      <c r="DU8" s="73">
        <f>DT8/1.732</f>
        <v>0</v>
      </c>
      <c r="DV8" s="73"/>
      <c r="DW8" s="73">
        <v>0</v>
      </c>
      <c r="DX8" s="73"/>
      <c r="DY8" s="73">
        <v>225.62700000000001</v>
      </c>
      <c r="DZ8" s="73">
        <v>244.46700000000001</v>
      </c>
      <c r="EA8" s="73">
        <v>222.43100000000001</v>
      </c>
      <c r="EB8" s="73"/>
      <c r="EC8" s="73">
        <f>DY8-225.627</f>
        <v>0</v>
      </c>
      <c r="ED8" s="73">
        <f>DZ8-244.467</f>
        <v>0</v>
      </c>
      <c r="EE8" s="73">
        <f>EA8-222.431</f>
        <v>0</v>
      </c>
      <c r="EF8" s="73"/>
      <c r="EG8" s="73">
        <f>EC8/1284.79</f>
        <v>0</v>
      </c>
      <c r="EH8" s="73">
        <f>ED8/1284.79</f>
        <v>0</v>
      </c>
      <c r="EI8" s="73">
        <f>EE8/1284.79</f>
        <v>0</v>
      </c>
      <c r="EJ8" s="73"/>
      <c r="EK8" s="73">
        <f>AVERAGE(EG8:EI8)</f>
        <v>0</v>
      </c>
      <c r="EL8" s="73">
        <f>STDEV(EG8:EI8)</f>
        <v>0</v>
      </c>
      <c r="EM8" s="73">
        <f>EL8/1.732</f>
        <v>0</v>
      </c>
    </row>
    <row r="9" spans="57:143">
      <c r="BE9" s="73"/>
      <c r="BF9" s="73">
        <v>3</v>
      </c>
      <c r="BG9" s="73">
        <v>236.893</v>
      </c>
      <c r="BH9" s="73">
        <v>222.721</v>
      </c>
      <c r="BI9" s="73">
        <v>231.12899999999999</v>
      </c>
      <c r="BJ9" s="73"/>
      <c r="BK9" s="73"/>
      <c r="BL9" s="73">
        <f t="shared" ref="BL9:BL28" si="0">BG9-204.533</f>
        <v>32.360000000000014</v>
      </c>
      <c r="BM9" s="73">
        <f t="shared" ref="BM9:BM28" si="1">BH9-218.797</f>
        <v>3.9240000000000066</v>
      </c>
      <c r="BN9" s="73">
        <f t="shared" ref="BN9:BN28" si="2">BI9-211.686</f>
        <v>19.442999999999984</v>
      </c>
      <c r="BO9" s="73"/>
      <c r="BP9" s="73">
        <f t="shared" ref="BP9:BP28" si="3">BL9/1011.297</f>
        <v>3.1998512800888376E-2</v>
      </c>
      <c r="BQ9" s="73">
        <f t="shared" ref="BQ9:BQ28" si="4">BM9/831.723</f>
        <v>4.7179169026226363E-3</v>
      </c>
      <c r="BR9" s="73">
        <f t="shared" ref="BR9:BR28" si="5">BN9/902.774</f>
        <v>2.1536951662320784E-2</v>
      </c>
      <c r="BS9" s="73"/>
      <c r="BT9" s="73">
        <f t="shared" ref="BT9:BT28" si="6">AVERAGE(BP9:BR9)</f>
        <v>1.94177937886106E-2</v>
      </c>
      <c r="BU9" s="73">
        <f t="shared" ref="BU9:BU28" si="7">STDEV(BP9:BR9)</f>
        <v>1.3763206410985749E-2</v>
      </c>
      <c r="BV9" s="73">
        <f t="shared" ref="BV9:BV28" si="8">BU9/1.732</f>
        <v>7.9464240248185627E-3</v>
      </c>
      <c r="BW9" s="73"/>
      <c r="BX9" s="73">
        <v>3</v>
      </c>
      <c r="BY9" s="73">
        <v>366.70299999999997</v>
      </c>
      <c r="BZ9" s="73">
        <v>323.67399999999998</v>
      </c>
      <c r="CA9" s="73">
        <v>321.56400000000002</v>
      </c>
      <c r="CB9" s="73"/>
      <c r="CC9" s="73">
        <f t="shared" ref="CC9:CC24" si="9">BY9-304.22</f>
        <v>62.482999999999947</v>
      </c>
      <c r="CD9" s="73">
        <f t="shared" ref="CD9:CD24" si="10">BZ9-280.917</f>
        <v>42.757000000000005</v>
      </c>
      <c r="CE9" s="73">
        <f t="shared" ref="CE9:CE24" si="11">CA9-278.044</f>
        <v>43.520000000000039</v>
      </c>
      <c r="CF9" s="73"/>
      <c r="CG9" s="73">
        <f t="shared" ref="CG9:CG24" si="12">CC9/980.57</f>
        <v>6.3721100992279942E-2</v>
      </c>
      <c r="CH9" s="73">
        <f t="shared" ref="CH9:CH24" si="13">CD9/960.673</f>
        <v>4.4507340166737283E-2</v>
      </c>
      <c r="CI9" s="73">
        <f t="shared" ref="CI9:CI24" si="14">CE9/999.966</f>
        <v>4.3521479730310869E-2</v>
      </c>
      <c r="CJ9" s="73"/>
      <c r="CK9" s="73">
        <f t="shared" ref="CK9:CK24" si="15">AVERAGE(CG9:CI9)</f>
        <v>5.0583306963109365E-2</v>
      </c>
      <c r="CL9" s="73">
        <f t="shared" ref="CL9:CL23" si="16">STDEV(CG9:CI9)</f>
        <v>1.1388336321197684E-2</v>
      </c>
      <c r="CM9" s="73">
        <f t="shared" ref="CM9:CM23" si="17">CL9/1.732</f>
        <v>6.5752519175506256E-3</v>
      </c>
      <c r="CN9" s="73"/>
      <c r="CO9" s="73">
        <v>3</v>
      </c>
      <c r="CP9" s="73">
        <v>335.12</v>
      </c>
      <c r="CQ9" s="73">
        <v>364.30399999999997</v>
      </c>
      <c r="CR9" s="73">
        <v>381.77100000000002</v>
      </c>
      <c r="CS9" s="73"/>
      <c r="CT9" s="73">
        <f t="shared" ref="CT9:CT24" si="18">CP9-238.3</f>
        <v>96.82</v>
      </c>
      <c r="CU9" s="73">
        <f t="shared" ref="CU9:CU24" si="19">CQ9-271.94</f>
        <v>92.363999999999976</v>
      </c>
      <c r="CV9" s="73">
        <f t="shared" ref="CV9:CV24" si="20">CR9-275.292</f>
        <v>106.47900000000004</v>
      </c>
      <c r="CW9" s="73"/>
      <c r="CX9" s="73">
        <f t="shared" ref="CX9:CX24" si="21">CT9/874.25</f>
        <v>0.11074635401772948</v>
      </c>
      <c r="CY9" s="73">
        <f t="shared" ref="CY9:CY24" si="22">CU9/859.46</f>
        <v>0.10746747958020149</v>
      </c>
      <c r="CZ9" s="73">
        <f t="shared" ref="CZ9:CZ24" si="23">CV9/862.968</f>
        <v>0.12338696220485586</v>
      </c>
      <c r="DA9" s="73"/>
      <c r="DB9" s="73">
        <f t="shared" ref="DB9:DB24" si="24">AVERAGE(CX9:CZ9)</f>
        <v>0.11386693193426227</v>
      </c>
      <c r="DC9" s="73">
        <f t="shared" ref="DC9:DC24" si="25">STDEV(CX9:CZ9)</f>
        <v>8.406008961393761E-3</v>
      </c>
      <c r="DD9" s="73">
        <f t="shared" ref="DD9:DD24" si="26">DC9/1.732</f>
        <v>4.8533539038070218E-3</v>
      </c>
      <c r="DE9" s="73"/>
      <c r="DF9" s="73">
        <v>3</v>
      </c>
      <c r="DG9" s="73">
        <v>417.06400000000002</v>
      </c>
      <c r="DH9" s="73">
        <v>451.101</v>
      </c>
      <c r="DI9" s="73">
        <v>422.80200000000002</v>
      </c>
      <c r="DJ9" s="73"/>
      <c r="DK9" s="73">
        <f t="shared" ref="DK9:DK24" si="27">DG9-412.977</f>
        <v>4.0870000000000459</v>
      </c>
      <c r="DL9" s="73">
        <f t="shared" ref="DL9:DL24" si="28">DH9-364.774</f>
        <v>86.326999999999998</v>
      </c>
      <c r="DM9" s="73">
        <f t="shared" ref="DM9:DM24" si="29">DI9-409.544</f>
        <v>13.258000000000038</v>
      </c>
      <c r="DN9" s="73"/>
      <c r="DO9" s="73">
        <f>DK9/1322.21</f>
        <v>3.0910369759720815E-3</v>
      </c>
      <c r="DP9" s="73">
        <f t="shared" ref="DP9:DQ24" si="30">DL9/1322.21</f>
        <v>6.5289931251465344E-2</v>
      </c>
      <c r="DQ9" s="73">
        <f t="shared" si="30"/>
        <v>1.0027151511484589E-2</v>
      </c>
      <c r="DR9" s="73"/>
      <c r="DS9" s="73">
        <f t="shared" ref="DS9:DS24" si="31">AVERAGE(DO9:DQ9)</f>
        <v>2.6136039912974005E-2</v>
      </c>
      <c r="DT9" s="73">
        <f t="shared" ref="DT9:DT24" si="32">STDEV(DO9:DQ9)</f>
        <v>3.4085155514127073E-2</v>
      </c>
      <c r="DU9" s="73">
        <f t="shared" ref="DU9:DU24" si="33">DT9/1.732</f>
        <v>1.9679650989680757E-2</v>
      </c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</row>
    <row r="10" spans="57:143">
      <c r="BE10" s="73"/>
      <c r="BF10" s="73">
        <v>6</v>
      </c>
      <c r="BG10" s="73">
        <v>269.82900000000001</v>
      </c>
      <c r="BH10" s="73">
        <v>217.613</v>
      </c>
      <c r="BI10" s="73">
        <v>260.19299999999998</v>
      </c>
      <c r="BJ10" s="73"/>
      <c r="BK10" s="73"/>
      <c r="BL10" s="73">
        <f t="shared" si="0"/>
        <v>65.296000000000021</v>
      </c>
      <c r="BM10" s="73">
        <f t="shared" si="1"/>
        <v>-1.1839999999999975</v>
      </c>
      <c r="BN10" s="73">
        <f t="shared" si="2"/>
        <v>48.506999999999977</v>
      </c>
      <c r="BO10" s="73"/>
      <c r="BP10" s="73">
        <f t="shared" si="3"/>
        <v>6.4566591218998992E-2</v>
      </c>
      <c r="BQ10" s="73">
        <f t="shared" si="4"/>
        <v>-1.4235508697006064E-3</v>
      </c>
      <c r="BR10" s="73">
        <f t="shared" si="5"/>
        <v>5.3731055613032694E-2</v>
      </c>
      <c r="BS10" s="73"/>
      <c r="BT10" s="73">
        <f t="shared" si="6"/>
        <v>3.8958031987443693E-2</v>
      </c>
      <c r="BU10" s="73">
        <f t="shared" si="7"/>
        <v>3.5388647664234767E-2</v>
      </c>
      <c r="BV10" s="73">
        <f t="shared" si="8"/>
        <v>2.0432244609835316E-2</v>
      </c>
      <c r="BW10" s="73"/>
      <c r="BX10" s="73">
        <v>6</v>
      </c>
      <c r="BY10" s="73">
        <v>401.15600000000001</v>
      </c>
      <c r="BZ10" s="73">
        <v>325.30799999999999</v>
      </c>
      <c r="CA10" s="73">
        <v>373.06</v>
      </c>
      <c r="CB10" s="73"/>
      <c r="CC10" s="73">
        <f t="shared" si="9"/>
        <v>96.935999999999979</v>
      </c>
      <c r="CD10" s="73">
        <f t="shared" si="10"/>
        <v>44.39100000000002</v>
      </c>
      <c r="CE10" s="73">
        <f t="shared" si="11"/>
        <v>95.01600000000002</v>
      </c>
      <c r="CF10" s="73"/>
      <c r="CG10" s="73">
        <f t="shared" si="12"/>
        <v>9.8856787378769462E-2</v>
      </c>
      <c r="CH10" s="73">
        <f t="shared" si="13"/>
        <v>4.6208231104652699E-2</v>
      </c>
      <c r="CI10" s="73">
        <f t="shared" si="14"/>
        <v>9.5019230653842254E-2</v>
      </c>
      <c r="CJ10" s="73"/>
      <c r="CK10" s="73">
        <f t="shared" si="15"/>
        <v>8.0028083045754803E-2</v>
      </c>
      <c r="CL10" s="73">
        <f t="shared" si="16"/>
        <v>2.9351635378506803E-2</v>
      </c>
      <c r="CM10" s="73">
        <f t="shared" si="17"/>
        <v>1.694667169659746E-2</v>
      </c>
      <c r="CN10" s="73"/>
      <c r="CO10" s="73">
        <v>6</v>
      </c>
      <c r="CP10" s="73">
        <v>374.51100000000002</v>
      </c>
      <c r="CQ10" s="73">
        <v>396.584</v>
      </c>
      <c r="CR10" s="73">
        <v>418.04300000000001</v>
      </c>
      <c r="CS10" s="73"/>
      <c r="CT10" s="73">
        <f t="shared" si="18"/>
        <v>136.21100000000001</v>
      </c>
      <c r="CU10" s="73">
        <f t="shared" si="19"/>
        <v>124.64400000000001</v>
      </c>
      <c r="CV10" s="73">
        <f t="shared" si="20"/>
        <v>142.75100000000003</v>
      </c>
      <c r="CW10" s="73"/>
      <c r="CX10" s="73">
        <f t="shared" si="21"/>
        <v>0.15580325993708896</v>
      </c>
      <c r="CY10" s="73">
        <f t="shared" si="22"/>
        <v>0.14502594652456194</v>
      </c>
      <c r="CZ10" s="73">
        <f t="shared" si="23"/>
        <v>0.16541864820016505</v>
      </c>
      <c r="DA10" s="73"/>
      <c r="DB10" s="73">
        <f t="shared" si="24"/>
        <v>0.15541595155393864</v>
      </c>
      <c r="DC10" s="73">
        <f t="shared" si="25"/>
        <v>1.0201866311870608E-2</v>
      </c>
      <c r="DD10" s="73">
        <f t="shared" si="26"/>
        <v>5.8902230438052008E-3</v>
      </c>
      <c r="DE10" s="73"/>
      <c r="DF10" s="73">
        <v>6</v>
      </c>
      <c r="DG10" s="73">
        <v>470.78899999999999</v>
      </c>
      <c r="DH10" s="73">
        <v>329.59</v>
      </c>
      <c r="DI10" s="73">
        <v>359.51400000000001</v>
      </c>
      <c r="DJ10" s="73"/>
      <c r="DK10" s="73">
        <f t="shared" si="27"/>
        <v>57.812000000000012</v>
      </c>
      <c r="DL10" s="73">
        <f t="shared" si="28"/>
        <v>-35.184000000000026</v>
      </c>
      <c r="DM10" s="73">
        <f t="shared" si="29"/>
        <v>-50.029999999999973</v>
      </c>
      <c r="DN10" s="73"/>
      <c r="DO10" s="73">
        <f t="shared" ref="DO10:DO24" si="34">DK10/1322.21</f>
        <v>4.3723765513798876E-2</v>
      </c>
      <c r="DP10" s="73">
        <f t="shared" si="30"/>
        <v>-2.660999387389297E-2</v>
      </c>
      <c r="DQ10" s="73">
        <f t="shared" si="30"/>
        <v>-3.783816489059981E-2</v>
      </c>
      <c r="DR10" s="73"/>
      <c r="DS10" s="73">
        <f t="shared" si="31"/>
        <v>-6.9081310835646349E-3</v>
      </c>
      <c r="DT10" s="73">
        <f t="shared" si="32"/>
        <v>4.420644377101246E-2</v>
      </c>
      <c r="DU10" s="73">
        <f t="shared" si="33"/>
        <v>2.5523350907051073E-2</v>
      </c>
      <c r="DV10" s="73"/>
      <c r="DW10" s="73">
        <v>6</v>
      </c>
      <c r="DX10" s="73"/>
      <c r="DY10" s="73">
        <v>223.578</v>
      </c>
      <c r="DZ10" s="73">
        <v>227.87299999999999</v>
      </c>
      <c r="EA10" s="73">
        <v>237.636</v>
      </c>
      <c r="EB10" s="73"/>
      <c r="EC10" s="73">
        <f t="shared" ref="EC10:EC28" si="35">DY10-225.627</f>
        <v>-2.0490000000000066</v>
      </c>
      <c r="ED10" s="73">
        <f t="shared" ref="ED10:ED28" si="36">DZ10-244.467</f>
        <v>-16.594000000000023</v>
      </c>
      <c r="EE10" s="73">
        <f t="shared" ref="EE10:EE28" si="37">EA10-222.431</f>
        <v>15.204999999999984</v>
      </c>
      <c r="EF10" s="73"/>
      <c r="EG10" s="73">
        <f t="shared" ref="EG10:EI28" si="38">EC10/1284.79</f>
        <v>-1.5948131601273411E-3</v>
      </c>
      <c r="EH10" s="73">
        <f t="shared" si="38"/>
        <v>-1.2915729418815544E-2</v>
      </c>
      <c r="EI10" s="73">
        <f t="shared" si="38"/>
        <v>1.1834618887133294E-2</v>
      </c>
      <c r="EJ10" s="73"/>
      <c r="EK10" s="73">
        <f t="shared" ref="EK10:EK26" si="39">AVERAGE(EG10:EI10)</f>
        <v>-8.919745639365302E-4</v>
      </c>
      <c r="EL10" s="73">
        <f t="shared" ref="EL10:EL28" si="40">STDEV(EG10:EI10)</f>
        <v>1.2390134054386487E-2</v>
      </c>
      <c r="EM10" s="73">
        <f t="shared" ref="EM10:EM28" si="41">EL10/1.732</f>
        <v>7.1536570752808821E-3</v>
      </c>
    </row>
    <row r="11" spans="57:143">
      <c r="BE11" s="73"/>
      <c r="BF11" s="73">
        <v>9</v>
      </c>
      <c r="BG11" s="73">
        <v>269.51</v>
      </c>
      <c r="BH11" s="73">
        <v>309.45299999999997</v>
      </c>
      <c r="BI11" s="73">
        <v>281.52300000000002</v>
      </c>
      <c r="BJ11" s="73"/>
      <c r="BK11" s="73"/>
      <c r="BL11" s="73">
        <f t="shared" si="0"/>
        <v>64.977000000000004</v>
      </c>
      <c r="BM11" s="73">
        <f t="shared" si="1"/>
        <v>90.655999999999977</v>
      </c>
      <c r="BN11" s="73">
        <f t="shared" si="2"/>
        <v>69.837000000000018</v>
      </c>
      <c r="BO11" s="73"/>
      <c r="BP11" s="73">
        <f t="shared" si="3"/>
        <v>6.4251154705294286E-2</v>
      </c>
      <c r="BQ11" s="73">
        <f t="shared" si="4"/>
        <v>0.10899782740167097</v>
      </c>
      <c r="BR11" s="73">
        <f t="shared" si="5"/>
        <v>7.7358231406752978E-2</v>
      </c>
      <c r="BS11" s="73"/>
      <c r="BT11" s="73">
        <f t="shared" si="6"/>
        <v>8.3535737837906077E-2</v>
      </c>
      <c r="BU11" s="73">
        <f t="shared" si="7"/>
        <v>2.3004072870458626E-2</v>
      </c>
      <c r="BV11" s="73">
        <f t="shared" si="8"/>
        <v>1.3281797269317913E-2</v>
      </c>
      <c r="BW11" s="73"/>
      <c r="BX11" s="73">
        <v>9</v>
      </c>
      <c r="BY11" s="73">
        <v>372.53</v>
      </c>
      <c r="BZ11" s="73">
        <v>334.11599999999999</v>
      </c>
      <c r="CA11" s="73">
        <v>325.77499999999998</v>
      </c>
      <c r="CB11" s="73"/>
      <c r="CC11" s="73">
        <f t="shared" si="9"/>
        <v>68.309999999999945</v>
      </c>
      <c r="CD11" s="73">
        <f t="shared" si="10"/>
        <v>53.199000000000012</v>
      </c>
      <c r="CE11" s="73">
        <f t="shared" si="11"/>
        <v>47.730999999999995</v>
      </c>
      <c r="CF11" s="73"/>
      <c r="CG11" s="73">
        <f t="shared" si="12"/>
        <v>6.9663563029666364E-2</v>
      </c>
      <c r="CH11" s="73">
        <f t="shared" si="13"/>
        <v>5.5376803553342305E-2</v>
      </c>
      <c r="CI11" s="73">
        <f t="shared" si="14"/>
        <v>4.7732622909178908E-2</v>
      </c>
      <c r="CJ11" s="73"/>
      <c r="CK11" s="73">
        <f t="shared" si="15"/>
        <v>5.7590996497395852E-2</v>
      </c>
      <c r="CL11" s="73">
        <f t="shared" si="16"/>
        <v>1.1131869629007772E-2</v>
      </c>
      <c r="CM11" s="73">
        <f t="shared" si="17"/>
        <v>6.4271764601661506E-3</v>
      </c>
      <c r="CN11" s="73"/>
      <c r="CO11" s="73">
        <v>9</v>
      </c>
      <c r="CP11" s="73">
        <v>414.83600000000001</v>
      </c>
      <c r="CQ11" s="73">
        <v>433.19200000000001</v>
      </c>
      <c r="CR11" s="73">
        <v>445.01600000000002</v>
      </c>
      <c r="CS11" s="73"/>
      <c r="CT11" s="73">
        <f t="shared" si="18"/>
        <v>176.536</v>
      </c>
      <c r="CU11" s="73">
        <f t="shared" si="19"/>
        <v>161.25200000000001</v>
      </c>
      <c r="CV11" s="73">
        <f t="shared" si="20"/>
        <v>169.72400000000005</v>
      </c>
      <c r="CW11" s="73"/>
      <c r="CX11" s="73">
        <f t="shared" si="21"/>
        <v>0.20192851015155849</v>
      </c>
      <c r="CY11" s="73">
        <f t="shared" si="22"/>
        <v>0.18762013357224305</v>
      </c>
      <c r="CZ11" s="73">
        <f t="shared" si="23"/>
        <v>0.19667473185564244</v>
      </c>
      <c r="DA11" s="73"/>
      <c r="DB11" s="73">
        <f t="shared" si="24"/>
        <v>0.19540779185981463</v>
      </c>
      <c r="DC11" s="73">
        <f t="shared" si="25"/>
        <v>7.2378355050834583E-3</v>
      </c>
      <c r="DD11" s="73">
        <f t="shared" si="26"/>
        <v>4.1788888597479555E-3</v>
      </c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</row>
    <row r="12" spans="57:143">
      <c r="BE12" s="73"/>
      <c r="BF12" s="73">
        <v>12</v>
      </c>
      <c r="BG12" s="73">
        <v>255.506</v>
      </c>
      <c r="BH12" s="73">
        <v>278.88900000000001</v>
      </c>
      <c r="BI12" s="73">
        <v>274.06099999999998</v>
      </c>
      <c r="BJ12" s="73"/>
      <c r="BK12" s="73"/>
      <c r="BL12" s="73">
        <f t="shared" si="0"/>
        <v>50.973000000000013</v>
      </c>
      <c r="BM12" s="73">
        <f t="shared" si="1"/>
        <v>60.092000000000013</v>
      </c>
      <c r="BN12" s="73">
        <f t="shared" si="2"/>
        <v>62.374999999999972</v>
      </c>
      <c r="BO12" s="73"/>
      <c r="BP12" s="73">
        <f t="shared" si="3"/>
        <v>5.0403590636578587E-2</v>
      </c>
      <c r="BQ12" s="73">
        <f t="shared" si="4"/>
        <v>7.2250015930784672E-2</v>
      </c>
      <c r="BR12" s="73">
        <f t="shared" si="5"/>
        <v>6.9092596818251265E-2</v>
      </c>
      <c r="BS12" s="73"/>
      <c r="BT12" s="73">
        <f t="shared" si="6"/>
        <v>6.3915401128538177E-2</v>
      </c>
      <c r="BU12" s="73">
        <f t="shared" si="7"/>
        <v>1.1807586160643445E-2</v>
      </c>
      <c r="BV12" s="73">
        <f t="shared" si="8"/>
        <v>6.8173130257756613E-3</v>
      </c>
      <c r="BW12" s="73"/>
      <c r="BX12" s="73">
        <v>12</v>
      </c>
      <c r="BY12" s="73">
        <v>478.346</v>
      </c>
      <c r="BZ12" s="73">
        <v>376.02100000000002</v>
      </c>
      <c r="CA12" s="73">
        <v>504.238</v>
      </c>
      <c r="CB12" s="73"/>
      <c r="CC12" s="73">
        <f t="shared" si="9"/>
        <v>174.12599999999998</v>
      </c>
      <c r="CD12" s="73">
        <f t="shared" si="10"/>
        <v>95.104000000000042</v>
      </c>
      <c r="CE12" s="73">
        <f t="shared" si="11"/>
        <v>226.19400000000002</v>
      </c>
      <c r="CF12" s="73"/>
      <c r="CG12" s="73">
        <f t="shared" si="12"/>
        <v>0.17757630765779084</v>
      </c>
      <c r="CH12" s="73">
        <f t="shared" si="13"/>
        <v>9.8997265458694111E-2</v>
      </c>
      <c r="CI12" s="73">
        <f t="shared" si="14"/>
        <v>0.22620169085748917</v>
      </c>
      <c r="CJ12" s="73"/>
      <c r="CK12" s="73">
        <f t="shared" si="15"/>
        <v>0.16759175465799137</v>
      </c>
      <c r="CL12" s="73">
        <f t="shared" si="16"/>
        <v>6.4187303528141476E-2</v>
      </c>
      <c r="CM12" s="73">
        <f t="shared" si="17"/>
        <v>3.7059644069365752E-2</v>
      </c>
      <c r="CN12" s="73"/>
      <c r="CO12" s="73">
        <v>12</v>
      </c>
      <c r="CP12" s="73">
        <v>547.37099999999998</v>
      </c>
      <c r="CQ12" s="73">
        <v>564.80899999999997</v>
      </c>
      <c r="CR12" s="73">
        <v>624.56600000000003</v>
      </c>
      <c r="CS12" s="73"/>
      <c r="CT12" s="73">
        <f t="shared" si="18"/>
        <v>309.07099999999997</v>
      </c>
      <c r="CU12" s="73">
        <f t="shared" si="19"/>
        <v>292.86899999999997</v>
      </c>
      <c r="CV12" s="73">
        <f t="shared" si="20"/>
        <v>349.27400000000006</v>
      </c>
      <c r="CW12" s="73"/>
      <c r="CX12" s="73">
        <f t="shared" si="21"/>
        <v>0.35352702316271084</v>
      </c>
      <c r="CY12" s="73">
        <f t="shared" si="22"/>
        <v>0.34075931398785281</v>
      </c>
      <c r="CZ12" s="73">
        <f t="shared" si="23"/>
        <v>0.40473574918189326</v>
      </c>
      <c r="DA12" s="73"/>
      <c r="DB12" s="73">
        <f t="shared" si="24"/>
        <v>0.36634069544415232</v>
      </c>
      <c r="DC12" s="73">
        <f t="shared" si="25"/>
        <v>3.3858362527394339E-2</v>
      </c>
      <c r="DD12" s="73">
        <f t="shared" si="26"/>
        <v>1.954870815669419E-2</v>
      </c>
      <c r="DE12" s="73"/>
      <c r="DF12" s="73">
        <v>12</v>
      </c>
      <c r="DG12" s="73">
        <v>445.54700000000003</v>
      </c>
      <c r="DH12" s="73">
        <v>470.37099999999998</v>
      </c>
      <c r="DI12" s="73">
        <v>328.35199999999998</v>
      </c>
      <c r="DJ12" s="73"/>
      <c r="DK12" s="73">
        <f t="shared" si="27"/>
        <v>32.57000000000005</v>
      </c>
      <c r="DL12" s="73">
        <f t="shared" si="28"/>
        <v>105.59699999999998</v>
      </c>
      <c r="DM12" s="73">
        <f t="shared" si="29"/>
        <v>-81.192000000000007</v>
      </c>
      <c r="DN12" s="73"/>
      <c r="DO12" s="73">
        <f t="shared" si="34"/>
        <v>2.4633000809251217E-2</v>
      </c>
      <c r="DP12" s="73">
        <f t="shared" si="30"/>
        <v>7.9864015549723555E-2</v>
      </c>
      <c r="DQ12" s="73">
        <f t="shared" si="30"/>
        <v>-6.1406281906807546E-2</v>
      </c>
      <c r="DR12" s="73"/>
      <c r="DS12" s="73">
        <f t="shared" si="31"/>
        <v>1.4363578150722407E-2</v>
      </c>
      <c r="DT12" s="73">
        <f t="shared" si="32"/>
        <v>7.1192836838890078E-2</v>
      </c>
      <c r="DU12" s="73">
        <f t="shared" si="33"/>
        <v>4.1104409260329142E-2</v>
      </c>
      <c r="DV12" s="73"/>
      <c r="DW12" s="73">
        <v>12</v>
      </c>
      <c r="DX12" s="73"/>
      <c r="DY12" s="73">
        <v>215.56700000000001</v>
      </c>
      <c r="DZ12" s="73">
        <v>244.785</v>
      </c>
      <c r="EA12" s="73">
        <v>254.666</v>
      </c>
      <c r="EB12" s="73"/>
      <c r="EC12" s="73">
        <f t="shared" si="35"/>
        <v>-10.060000000000002</v>
      </c>
      <c r="ED12" s="73">
        <f t="shared" si="36"/>
        <v>0.31799999999998363</v>
      </c>
      <c r="EE12" s="73">
        <f t="shared" si="37"/>
        <v>32.234999999999985</v>
      </c>
      <c r="EF12" s="73"/>
      <c r="EG12" s="73">
        <f t="shared" si="38"/>
        <v>-7.8300733972088837E-3</v>
      </c>
      <c r="EH12" s="73">
        <f t="shared" si="38"/>
        <v>2.4751126643263383E-4</v>
      </c>
      <c r="EI12" s="73">
        <f t="shared" si="38"/>
        <v>2.5089703375648927E-2</v>
      </c>
      <c r="EJ12" s="73"/>
      <c r="EK12" s="73">
        <f t="shared" si="39"/>
        <v>5.8357137482908912E-3</v>
      </c>
      <c r="EL12" s="73">
        <f t="shared" si="40"/>
        <v>1.7156600214709855E-2</v>
      </c>
      <c r="EM12" s="73">
        <f t="shared" si="41"/>
        <v>9.905658322580748E-3</v>
      </c>
    </row>
    <row r="13" spans="57:143">
      <c r="BE13" s="73"/>
      <c r="BF13" s="73">
        <v>15</v>
      </c>
      <c r="BG13" s="73">
        <v>274.08999999999997</v>
      </c>
      <c r="BH13" s="73">
        <v>285.54399999999998</v>
      </c>
      <c r="BI13" s="73">
        <v>278.26799999999997</v>
      </c>
      <c r="BJ13" s="73"/>
      <c r="BK13" s="73"/>
      <c r="BL13" s="73">
        <f t="shared" si="0"/>
        <v>69.556999999999988</v>
      </c>
      <c r="BM13" s="73">
        <f t="shared" si="1"/>
        <v>66.746999999999986</v>
      </c>
      <c r="BN13" s="73">
        <f t="shared" si="2"/>
        <v>66.581999999999965</v>
      </c>
      <c r="BO13" s="73"/>
      <c r="BP13" s="73">
        <f t="shared" si="3"/>
        <v>6.8779992425568343E-2</v>
      </c>
      <c r="BQ13" s="73">
        <f t="shared" si="4"/>
        <v>8.0251477956002168E-2</v>
      </c>
      <c r="BR13" s="73">
        <f t="shared" si="5"/>
        <v>7.3752677857359616E-2</v>
      </c>
      <c r="BS13" s="73"/>
      <c r="BT13" s="73">
        <f t="shared" si="6"/>
        <v>7.4261382746310042E-2</v>
      </c>
      <c r="BU13" s="73">
        <f t="shared" si="7"/>
        <v>5.7526368359883196E-3</v>
      </c>
      <c r="BV13" s="73">
        <f t="shared" si="8"/>
        <v>3.3213838544967201E-3</v>
      </c>
      <c r="BW13" s="73"/>
      <c r="BX13" s="73">
        <v>15</v>
      </c>
      <c r="BY13" s="73">
        <v>453.51600000000002</v>
      </c>
      <c r="BZ13" s="73">
        <v>507.83</v>
      </c>
      <c r="CA13" s="73">
        <v>441.07900000000001</v>
      </c>
      <c r="CB13" s="73"/>
      <c r="CC13" s="73">
        <f t="shared" si="9"/>
        <v>149.29599999999999</v>
      </c>
      <c r="CD13" s="73">
        <f t="shared" si="10"/>
        <v>226.91300000000001</v>
      </c>
      <c r="CE13" s="73">
        <f t="shared" si="11"/>
        <v>163.03500000000003</v>
      </c>
      <c r="CF13" s="73"/>
      <c r="CG13" s="73">
        <f t="shared" si="12"/>
        <v>0.15225430106978594</v>
      </c>
      <c r="CH13" s="73">
        <f t="shared" si="13"/>
        <v>0.23620212080489408</v>
      </c>
      <c r="CI13" s="73">
        <f t="shared" si="14"/>
        <v>0.1630405433784749</v>
      </c>
      <c r="CJ13" s="73"/>
      <c r="CK13" s="73">
        <f t="shared" si="15"/>
        <v>0.18383232175105166</v>
      </c>
      <c r="CL13" s="73">
        <f t="shared" si="16"/>
        <v>4.5673106370054527E-2</v>
      </c>
      <c r="CM13" s="73">
        <f t="shared" si="17"/>
        <v>2.6370153793334024E-2</v>
      </c>
      <c r="CN13" s="73"/>
      <c r="CO13" s="73">
        <v>15</v>
      </c>
      <c r="CP13" s="73">
        <v>607.76</v>
      </c>
      <c r="CQ13" s="73">
        <v>609.81500000000005</v>
      </c>
      <c r="CR13" s="73">
        <v>670.65599999999995</v>
      </c>
      <c r="CS13" s="73"/>
      <c r="CT13" s="73">
        <f t="shared" si="18"/>
        <v>369.46</v>
      </c>
      <c r="CU13" s="73">
        <f t="shared" si="19"/>
        <v>337.87500000000006</v>
      </c>
      <c r="CV13" s="73">
        <f t="shared" si="20"/>
        <v>395.36399999999998</v>
      </c>
      <c r="CW13" s="73"/>
      <c r="CX13" s="73">
        <f t="shared" si="21"/>
        <v>0.42260223048327133</v>
      </c>
      <c r="CY13" s="73">
        <f t="shared" si="22"/>
        <v>0.39312475275172787</v>
      </c>
      <c r="CZ13" s="73">
        <f t="shared" si="23"/>
        <v>0.45814445031565482</v>
      </c>
      <c r="DA13" s="73"/>
      <c r="DB13" s="73">
        <f t="shared" si="24"/>
        <v>0.42462381118355136</v>
      </c>
      <c r="DC13" s="73">
        <f t="shared" si="25"/>
        <v>3.2556955619682665E-2</v>
      </c>
      <c r="DD13" s="73">
        <f t="shared" si="26"/>
        <v>1.8797318487114703E-2</v>
      </c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</row>
    <row r="14" spans="57:143">
      <c r="BE14" s="73"/>
      <c r="BF14" s="73">
        <v>18</v>
      </c>
      <c r="BG14" s="73">
        <v>282.90699999999998</v>
      </c>
      <c r="BH14" s="73">
        <v>284.10199999999998</v>
      </c>
      <c r="BI14" s="73">
        <v>338.06400000000002</v>
      </c>
      <c r="BJ14" s="73"/>
      <c r="BK14" s="73"/>
      <c r="BL14" s="73">
        <f t="shared" si="0"/>
        <v>78.373999999999995</v>
      </c>
      <c r="BM14" s="73">
        <f t="shared" si="1"/>
        <v>65.304999999999978</v>
      </c>
      <c r="BN14" s="73">
        <f t="shared" si="2"/>
        <v>126.37800000000001</v>
      </c>
      <c r="BO14" s="73"/>
      <c r="BP14" s="73">
        <f t="shared" si="3"/>
        <v>7.7498499451694208E-2</v>
      </c>
      <c r="BQ14" s="73">
        <f t="shared" si="4"/>
        <v>7.8517727656924219E-2</v>
      </c>
      <c r="BR14" s="73">
        <f t="shared" si="5"/>
        <v>0.13998852425967076</v>
      </c>
      <c r="BS14" s="73"/>
      <c r="BT14" s="73">
        <f t="shared" si="6"/>
        <v>9.8668250456096396E-2</v>
      </c>
      <c r="BU14" s="73">
        <f t="shared" si="7"/>
        <v>3.5788035388036432E-2</v>
      </c>
      <c r="BV14" s="73">
        <f t="shared" si="8"/>
        <v>2.0662837983854754E-2</v>
      </c>
      <c r="BW14" s="73"/>
      <c r="BX14" s="73">
        <v>18</v>
      </c>
      <c r="BY14" s="73">
        <v>515.98699999999997</v>
      </c>
      <c r="BZ14" s="73">
        <v>464.03899999999999</v>
      </c>
      <c r="CA14" s="73">
        <v>486.267</v>
      </c>
      <c r="CB14" s="73"/>
      <c r="CC14" s="73">
        <f t="shared" si="9"/>
        <v>211.76699999999994</v>
      </c>
      <c r="CD14" s="73">
        <f t="shared" si="10"/>
        <v>183.12200000000001</v>
      </c>
      <c r="CE14" s="73">
        <f t="shared" si="11"/>
        <v>208.22300000000001</v>
      </c>
      <c r="CF14" s="73"/>
      <c r="CG14" s="73">
        <f t="shared" si="12"/>
        <v>0.21596316428199916</v>
      </c>
      <c r="CH14" s="73">
        <f t="shared" si="13"/>
        <v>0.1906184518561467</v>
      </c>
      <c r="CI14" s="73">
        <f t="shared" si="14"/>
        <v>0.20823007982271399</v>
      </c>
      <c r="CJ14" s="73"/>
      <c r="CK14" s="73">
        <f t="shared" si="15"/>
        <v>0.20493723198695327</v>
      </c>
      <c r="CL14" s="73">
        <f t="shared" si="16"/>
        <v>1.2989255064837068E-2</v>
      </c>
      <c r="CM14" s="73">
        <f t="shared" si="17"/>
        <v>7.4995698988666671E-3</v>
      </c>
      <c r="CN14" s="73"/>
      <c r="CO14" s="73">
        <v>18</v>
      </c>
      <c r="CP14" s="73">
        <v>785.13599999999997</v>
      </c>
      <c r="CQ14" s="73">
        <v>795.63499999999999</v>
      </c>
      <c r="CR14" s="73">
        <v>818.81299999999999</v>
      </c>
      <c r="CS14" s="73"/>
      <c r="CT14" s="73">
        <f t="shared" si="18"/>
        <v>546.83600000000001</v>
      </c>
      <c r="CU14" s="73">
        <f t="shared" si="19"/>
        <v>523.69499999999994</v>
      </c>
      <c r="CV14" s="73">
        <f t="shared" si="20"/>
        <v>543.52099999999996</v>
      </c>
      <c r="CW14" s="73"/>
      <c r="CX14" s="73">
        <f t="shared" si="21"/>
        <v>0.62549156419788388</v>
      </c>
      <c r="CY14" s="73">
        <f t="shared" si="22"/>
        <v>0.60933027715076904</v>
      </c>
      <c r="CZ14" s="73">
        <f t="shared" si="23"/>
        <v>0.62982752547023757</v>
      </c>
      <c r="DA14" s="73"/>
      <c r="DB14" s="73">
        <f t="shared" si="24"/>
        <v>0.62154978893963009</v>
      </c>
      <c r="DC14" s="73">
        <f t="shared" si="25"/>
        <v>1.080219844788202E-2</v>
      </c>
      <c r="DD14" s="73">
        <f t="shared" si="26"/>
        <v>6.2368351315716056E-3</v>
      </c>
      <c r="DE14" s="73"/>
      <c r="DF14" s="73">
        <v>18</v>
      </c>
      <c r="DG14" s="73">
        <v>327.32400000000001</v>
      </c>
      <c r="DH14" s="73">
        <v>298.50299999999999</v>
      </c>
      <c r="DI14" s="73">
        <v>417.81900000000002</v>
      </c>
      <c r="DJ14" s="73"/>
      <c r="DK14" s="73">
        <f t="shared" si="27"/>
        <v>-85.652999999999963</v>
      </c>
      <c r="DL14" s="73">
        <f t="shared" si="28"/>
        <v>-66.271000000000015</v>
      </c>
      <c r="DM14" s="73">
        <f t="shared" si="29"/>
        <v>8.2750000000000341</v>
      </c>
      <c r="DN14" s="73"/>
      <c r="DO14" s="73">
        <f t="shared" si="34"/>
        <v>-6.4780178640306732E-2</v>
      </c>
      <c r="DP14" s="73">
        <f t="shared" si="30"/>
        <v>-5.0121387676692823E-2</v>
      </c>
      <c r="DQ14" s="73">
        <f t="shared" si="30"/>
        <v>6.2584612126666975E-3</v>
      </c>
      <c r="DR14" s="73"/>
      <c r="DS14" s="73">
        <f t="shared" si="31"/>
        <v>-3.6214368368110948E-2</v>
      </c>
      <c r="DT14" s="73">
        <f t="shared" si="32"/>
        <v>3.7505679270972654E-2</v>
      </c>
      <c r="DU14" s="73">
        <f t="shared" si="33"/>
        <v>2.1654549232663196E-2</v>
      </c>
      <c r="DV14" s="73"/>
      <c r="DW14" s="73">
        <v>18</v>
      </c>
      <c r="DX14" s="73"/>
      <c r="DY14" s="73">
        <v>240.79599999999999</v>
      </c>
      <c r="DZ14" s="73">
        <v>265.85599999999999</v>
      </c>
      <c r="EA14" s="73">
        <v>238.00299999999999</v>
      </c>
      <c r="EB14" s="73"/>
      <c r="EC14" s="73">
        <f t="shared" si="35"/>
        <v>15.168999999999983</v>
      </c>
      <c r="ED14" s="73">
        <f t="shared" si="36"/>
        <v>21.388999999999982</v>
      </c>
      <c r="EE14" s="73">
        <f t="shared" si="37"/>
        <v>15.571999999999974</v>
      </c>
      <c r="EF14" s="73"/>
      <c r="EG14" s="73">
        <f t="shared" si="38"/>
        <v>1.1806598743763559E-2</v>
      </c>
      <c r="EH14" s="73">
        <f t="shared" si="38"/>
        <v>1.6647856848200859E-2</v>
      </c>
      <c r="EI14" s="73">
        <f t="shared" si="38"/>
        <v>1.2120268682041404E-2</v>
      </c>
      <c r="EJ14" s="73"/>
      <c r="EK14" s="73">
        <f t="shared" si="39"/>
        <v>1.3524908091335275E-2</v>
      </c>
      <c r="EL14" s="73">
        <f t="shared" si="40"/>
        <v>2.7090965119484088E-3</v>
      </c>
      <c r="EM14" s="73">
        <f t="shared" si="41"/>
        <v>1.5641434826491967E-3</v>
      </c>
    </row>
    <row r="15" spans="57:143">
      <c r="BE15" s="73"/>
      <c r="BF15" s="73">
        <v>21</v>
      </c>
      <c r="BG15" s="73">
        <v>310.09399999999999</v>
      </c>
      <c r="BH15" s="73">
        <v>330.71300000000002</v>
      </c>
      <c r="BI15" s="73">
        <v>337.54</v>
      </c>
      <c r="BJ15" s="73"/>
      <c r="BK15" s="73"/>
      <c r="BL15" s="73">
        <f t="shared" si="0"/>
        <v>105.56100000000001</v>
      </c>
      <c r="BM15" s="73">
        <f t="shared" si="1"/>
        <v>111.91600000000003</v>
      </c>
      <c r="BN15" s="73">
        <f t="shared" si="2"/>
        <v>125.85400000000001</v>
      </c>
      <c r="BO15" s="73"/>
      <c r="BP15" s="73">
        <f t="shared" si="3"/>
        <v>0.10438179881874464</v>
      </c>
      <c r="BQ15" s="73">
        <f t="shared" si="4"/>
        <v>0.13455922224105865</v>
      </c>
      <c r="BR15" s="73">
        <f t="shared" si="5"/>
        <v>0.1394080910615503</v>
      </c>
      <c r="BS15" s="73"/>
      <c r="BT15" s="73">
        <f t="shared" si="6"/>
        <v>0.12611637070711787</v>
      </c>
      <c r="BU15" s="73">
        <f t="shared" si="7"/>
        <v>1.8978187310376548E-2</v>
      </c>
      <c r="BV15" s="73">
        <f t="shared" si="8"/>
        <v>1.0957382973658515E-2</v>
      </c>
      <c r="BW15" s="73"/>
      <c r="BX15" s="73">
        <v>21</v>
      </c>
      <c r="BY15" s="73">
        <v>611.37300000000005</v>
      </c>
      <c r="BZ15" s="73">
        <v>664.94600000000003</v>
      </c>
      <c r="CA15" s="73">
        <v>618.29700000000003</v>
      </c>
      <c r="CB15" s="73"/>
      <c r="CC15" s="73">
        <f t="shared" si="9"/>
        <v>307.15300000000002</v>
      </c>
      <c r="CD15" s="73">
        <f t="shared" si="10"/>
        <v>384.02900000000005</v>
      </c>
      <c r="CE15" s="73">
        <f t="shared" si="11"/>
        <v>340.25300000000004</v>
      </c>
      <c r="CF15" s="73"/>
      <c r="CG15" s="73">
        <f t="shared" si="12"/>
        <v>0.31323923840215384</v>
      </c>
      <c r="CH15" s="73">
        <f t="shared" si="13"/>
        <v>0.39974996695025261</v>
      </c>
      <c r="CI15" s="73">
        <f t="shared" si="14"/>
        <v>0.34026456899534591</v>
      </c>
      <c r="CJ15" s="73"/>
      <c r="CK15" s="73">
        <f t="shared" si="15"/>
        <v>0.3510845914492508</v>
      </c>
      <c r="CL15" s="73">
        <f t="shared" si="16"/>
        <v>4.4258685056245882E-2</v>
      </c>
      <c r="CM15" s="73">
        <f t="shared" si="17"/>
        <v>2.5553513311920257E-2</v>
      </c>
      <c r="CN15" s="73"/>
      <c r="CO15" s="73">
        <v>21</v>
      </c>
      <c r="CP15" s="73">
        <v>855.39</v>
      </c>
      <c r="CQ15" s="73">
        <v>902.37300000000005</v>
      </c>
      <c r="CR15" s="73">
        <v>927.71400000000006</v>
      </c>
      <c r="CS15" s="73"/>
      <c r="CT15" s="73">
        <f t="shared" si="18"/>
        <v>617.08999999999992</v>
      </c>
      <c r="CU15" s="73">
        <f t="shared" si="19"/>
        <v>630.43299999999999</v>
      </c>
      <c r="CV15" s="73">
        <f t="shared" si="20"/>
        <v>652.42200000000003</v>
      </c>
      <c r="CW15" s="73"/>
      <c r="CX15" s="73">
        <f t="shared" si="21"/>
        <v>0.70585072919645397</v>
      </c>
      <c r="CY15" s="73">
        <f t="shared" si="22"/>
        <v>0.73352221162125053</v>
      </c>
      <c r="CZ15" s="73">
        <f t="shared" si="23"/>
        <v>0.75602108073532281</v>
      </c>
      <c r="DA15" s="73"/>
      <c r="DB15" s="73">
        <f t="shared" si="24"/>
        <v>0.7317980071843424</v>
      </c>
      <c r="DC15" s="73">
        <f t="shared" si="25"/>
        <v>2.5129578271204829E-2</v>
      </c>
      <c r="DD15" s="73">
        <f t="shared" si="26"/>
        <v>1.450899438291272E-2</v>
      </c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</row>
    <row r="16" spans="57:143">
      <c r="BE16" s="73"/>
      <c r="BF16" s="73">
        <v>24</v>
      </c>
      <c r="BG16" s="73">
        <v>375.81</v>
      </c>
      <c r="BH16" s="73">
        <v>414.62099999999998</v>
      </c>
      <c r="BI16" s="73">
        <v>350.42500000000001</v>
      </c>
      <c r="BJ16" s="73"/>
      <c r="BK16" s="73"/>
      <c r="BL16" s="73">
        <f t="shared" si="0"/>
        <v>171.27700000000002</v>
      </c>
      <c r="BM16" s="73">
        <f t="shared" si="1"/>
        <v>195.82399999999998</v>
      </c>
      <c r="BN16" s="73">
        <f t="shared" si="2"/>
        <v>138.739</v>
      </c>
      <c r="BO16" s="73"/>
      <c r="BP16" s="73">
        <f t="shared" si="3"/>
        <v>0.16936369830030151</v>
      </c>
      <c r="BQ16" s="73">
        <f t="shared" si="4"/>
        <v>0.23544377154413187</v>
      </c>
      <c r="BR16" s="73">
        <f t="shared" si="5"/>
        <v>0.15368076617182153</v>
      </c>
      <c r="BS16" s="73"/>
      <c r="BT16" s="73">
        <f t="shared" si="6"/>
        <v>0.18616274533875163</v>
      </c>
      <c r="BU16" s="73">
        <f t="shared" si="7"/>
        <v>4.3393009205725495E-2</v>
      </c>
      <c r="BV16" s="73">
        <f t="shared" si="8"/>
        <v>2.5053700465199478E-2</v>
      </c>
      <c r="BW16" s="73"/>
      <c r="BX16" s="73">
        <v>24</v>
      </c>
      <c r="BY16" s="73">
        <v>701.53599999999994</v>
      </c>
      <c r="BZ16" s="73">
        <v>771.03</v>
      </c>
      <c r="CA16" s="73">
        <v>723.41499999999996</v>
      </c>
      <c r="CB16" s="73"/>
      <c r="CC16" s="73">
        <f t="shared" si="9"/>
        <v>397.31599999999992</v>
      </c>
      <c r="CD16" s="73">
        <f t="shared" si="10"/>
        <v>490.113</v>
      </c>
      <c r="CE16" s="73">
        <f t="shared" si="11"/>
        <v>445.37099999999998</v>
      </c>
      <c r="CF16" s="73"/>
      <c r="CG16" s="73">
        <f t="shared" si="12"/>
        <v>0.40518881874827894</v>
      </c>
      <c r="CH16" s="73">
        <f t="shared" si="13"/>
        <v>0.51017671986201341</v>
      </c>
      <c r="CI16" s="73">
        <f t="shared" si="14"/>
        <v>0.44538614312886637</v>
      </c>
      <c r="CJ16" s="73"/>
      <c r="CK16" s="73">
        <f t="shared" si="15"/>
        <v>0.45358389391305293</v>
      </c>
      <c r="CL16" s="73">
        <f t="shared" si="16"/>
        <v>5.2971852747535582E-2</v>
      </c>
      <c r="CM16" s="73">
        <f t="shared" si="17"/>
        <v>3.0584210593265347E-2</v>
      </c>
      <c r="CN16" s="73"/>
      <c r="CO16" s="73">
        <v>24</v>
      </c>
      <c r="CP16" s="73">
        <v>940.18299999999999</v>
      </c>
      <c r="CQ16" s="73">
        <v>988.20399999999995</v>
      </c>
      <c r="CR16" s="73">
        <v>1029.69</v>
      </c>
      <c r="CS16" s="73"/>
      <c r="CT16" s="73">
        <f t="shared" si="18"/>
        <v>701.88300000000004</v>
      </c>
      <c r="CU16" s="73">
        <f t="shared" si="19"/>
        <v>716.2639999999999</v>
      </c>
      <c r="CV16" s="73">
        <f t="shared" si="20"/>
        <v>754.39800000000014</v>
      </c>
      <c r="CW16" s="73"/>
      <c r="CX16" s="73">
        <f t="shared" si="21"/>
        <v>0.80284014869888476</v>
      </c>
      <c r="CY16" s="73">
        <f t="shared" si="22"/>
        <v>0.83338840667395786</v>
      </c>
      <c r="CZ16" s="73">
        <f t="shared" si="23"/>
        <v>0.87419000472786956</v>
      </c>
      <c r="DA16" s="73"/>
      <c r="DB16" s="73">
        <f t="shared" si="24"/>
        <v>0.83680618670023732</v>
      </c>
      <c r="DC16" s="73">
        <f t="shared" si="25"/>
        <v>3.5797505556538045E-2</v>
      </c>
      <c r="DD16" s="73">
        <f t="shared" si="26"/>
        <v>2.0668305748578548E-2</v>
      </c>
      <c r="DE16" s="73"/>
      <c r="DF16" s="73">
        <v>24</v>
      </c>
      <c r="DG16" s="73">
        <v>438.85500000000002</v>
      </c>
      <c r="DH16" s="73">
        <v>411.03199999999998</v>
      </c>
      <c r="DI16" s="73">
        <v>511.50099999999998</v>
      </c>
      <c r="DJ16" s="73"/>
      <c r="DK16" s="73">
        <f t="shared" si="27"/>
        <v>25.878000000000043</v>
      </c>
      <c r="DL16" s="73">
        <f t="shared" si="28"/>
        <v>46.257999999999981</v>
      </c>
      <c r="DM16" s="73">
        <f t="shared" si="29"/>
        <v>101.95699999999999</v>
      </c>
      <c r="DN16" s="73"/>
      <c r="DO16" s="73">
        <f t="shared" si="34"/>
        <v>1.9571777554246331E-2</v>
      </c>
      <c r="DP16" s="73">
        <f t="shared" si="30"/>
        <v>3.4985365410940758E-2</v>
      </c>
      <c r="DQ16" s="73">
        <f t="shared" si="30"/>
        <v>7.7111048925662326E-2</v>
      </c>
      <c r="DR16" s="73"/>
      <c r="DS16" s="73">
        <f t="shared" si="31"/>
        <v>4.3889397296949802E-2</v>
      </c>
      <c r="DT16" s="73">
        <f t="shared" si="32"/>
        <v>2.9785118353947544E-2</v>
      </c>
      <c r="DU16" s="73">
        <f t="shared" si="33"/>
        <v>1.7196950550778026E-2</v>
      </c>
      <c r="DV16" s="73"/>
      <c r="DW16" s="73">
        <v>24</v>
      </c>
      <c r="DX16" s="73"/>
      <c r="DY16" s="73">
        <v>214.749</v>
      </c>
      <c r="DZ16" s="73">
        <v>250.80199999999999</v>
      </c>
      <c r="EA16" s="73">
        <v>254.10599999999999</v>
      </c>
      <c r="EB16" s="73"/>
      <c r="EC16" s="73">
        <f t="shared" si="35"/>
        <v>-10.878000000000014</v>
      </c>
      <c r="ED16" s="73">
        <f t="shared" si="36"/>
        <v>6.3349999999999795</v>
      </c>
      <c r="EE16" s="73">
        <f t="shared" si="37"/>
        <v>31.674999999999983</v>
      </c>
      <c r="EF16" s="73"/>
      <c r="EG16" s="73">
        <f t="shared" si="38"/>
        <v>-8.4667533215545075E-3</v>
      </c>
      <c r="EH16" s="73">
        <f t="shared" si="38"/>
        <v>4.9307668957572675E-3</v>
      </c>
      <c r="EI16" s="73">
        <f t="shared" si="38"/>
        <v>2.4653834478786402E-2</v>
      </c>
      <c r="EJ16" s="73"/>
      <c r="EK16" s="73">
        <f t="shared" si="39"/>
        <v>7.0392826843297214E-3</v>
      </c>
      <c r="EL16" s="73">
        <f t="shared" si="40"/>
        <v>1.6660663647736763E-2</v>
      </c>
      <c r="EM16" s="73">
        <f t="shared" si="41"/>
        <v>9.619320812781041E-3</v>
      </c>
    </row>
    <row r="17" spans="5:143">
      <c r="BE17" s="73"/>
      <c r="BF17" s="73">
        <v>27</v>
      </c>
      <c r="BG17" s="73">
        <v>384.92500000000001</v>
      </c>
      <c r="BH17" s="73">
        <v>471.51299999999998</v>
      </c>
      <c r="BI17" s="73">
        <v>468.99099999999999</v>
      </c>
      <c r="BJ17" s="73"/>
      <c r="BK17" s="73"/>
      <c r="BL17" s="73">
        <f t="shared" si="0"/>
        <v>180.39200000000002</v>
      </c>
      <c r="BM17" s="73">
        <f t="shared" si="1"/>
        <v>252.71599999999998</v>
      </c>
      <c r="BN17" s="73">
        <f t="shared" si="2"/>
        <v>257.30499999999995</v>
      </c>
      <c r="BO17" s="73"/>
      <c r="BP17" s="73">
        <f t="shared" si="3"/>
        <v>0.17837687642700414</v>
      </c>
      <c r="BQ17" s="73">
        <f t="shared" si="4"/>
        <v>0.30384635269194188</v>
      </c>
      <c r="BR17" s="73">
        <f t="shared" si="5"/>
        <v>0.28501596191294826</v>
      </c>
      <c r="BS17" s="73"/>
      <c r="BT17" s="73">
        <f t="shared" si="6"/>
        <v>0.25574639701063145</v>
      </c>
      <c r="BU17" s="73">
        <f t="shared" si="7"/>
        <v>6.7662234228021353E-2</v>
      </c>
      <c r="BV17" s="73">
        <f t="shared" si="8"/>
        <v>3.9065955097010018E-2</v>
      </c>
      <c r="BW17" s="73"/>
      <c r="BX17" s="73">
        <v>27</v>
      </c>
      <c r="BY17" s="73">
        <v>867.92600000000004</v>
      </c>
      <c r="BZ17" s="73">
        <v>894.70899999999995</v>
      </c>
      <c r="CA17" s="73">
        <v>887.48099999999999</v>
      </c>
      <c r="CB17" s="73"/>
      <c r="CC17" s="73">
        <f t="shared" si="9"/>
        <v>563.70600000000002</v>
      </c>
      <c r="CD17" s="73">
        <f t="shared" si="10"/>
        <v>613.79199999999992</v>
      </c>
      <c r="CE17" s="73">
        <f t="shared" si="11"/>
        <v>609.43700000000001</v>
      </c>
      <c r="CF17" s="73"/>
      <c r="CG17" s="73">
        <f t="shared" si="12"/>
        <v>0.57487583752307325</v>
      </c>
      <c r="CH17" s="73">
        <f t="shared" si="13"/>
        <v>0.63891875799569664</v>
      </c>
      <c r="CI17" s="73">
        <f t="shared" si="14"/>
        <v>0.60945772156253308</v>
      </c>
      <c r="CJ17" s="73"/>
      <c r="CK17" s="73">
        <f t="shared" si="15"/>
        <v>0.6077507723604344</v>
      </c>
      <c r="CL17" s="73">
        <f t="shared" si="16"/>
        <v>3.2055563828289384E-2</v>
      </c>
      <c r="CM17" s="73">
        <f t="shared" si="17"/>
        <v>1.8507831309635903E-2</v>
      </c>
      <c r="CN17" s="73"/>
      <c r="CO17" s="73">
        <v>27</v>
      </c>
      <c r="CP17" s="73">
        <v>968.476</v>
      </c>
      <c r="CQ17" s="73">
        <v>1016.07</v>
      </c>
      <c r="CR17" s="73">
        <v>1188.3900000000001</v>
      </c>
      <c r="CS17" s="73"/>
      <c r="CT17" s="73">
        <f t="shared" si="18"/>
        <v>730.17599999999993</v>
      </c>
      <c r="CU17" s="73">
        <f t="shared" si="19"/>
        <v>744.13000000000011</v>
      </c>
      <c r="CV17" s="73">
        <f t="shared" si="20"/>
        <v>913.09800000000018</v>
      </c>
      <c r="CW17" s="73"/>
      <c r="CX17" s="73">
        <f t="shared" si="21"/>
        <v>0.83520274521018012</v>
      </c>
      <c r="CY17" s="73">
        <f t="shared" si="22"/>
        <v>0.86581109068484874</v>
      </c>
      <c r="CZ17" s="73">
        <f t="shared" si="23"/>
        <v>1.0580902188725425</v>
      </c>
      <c r="DA17" s="73"/>
      <c r="DB17" s="73">
        <f t="shared" si="24"/>
        <v>0.91970135158919053</v>
      </c>
      <c r="DC17" s="73">
        <f t="shared" si="25"/>
        <v>0.12082146599073726</v>
      </c>
      <c r="DD17" s="73">
        <f t="shared" si="26"/>
        <v>6.9758352188647385E-2</v>
      </c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</row>
    <row r="18" spans="5:143">
      <c r="BE18" s="73"/>
      <c r="BF18" s="73">
        <v>30</v>
      </c>
      <c r="BG18" s="73">
        <v>515.57000000000005</v>
      </c>
      <c r="BH18" s="73">
        <v>624.43600000000004</v>
      </c>
      <c r="BI18" s="73">
        <v>531.96799999999996</v>
      </c>
      <c r="BJ18" s="73"/>
      <c r="BK18" s="73"/>
      <c r="BL18" s="73">
        <f t="shared" si="0"/>
        <v>311.03700000000003</v>
      </c>
      <c r="BM18" s="73">
        <f t="shared" si="1"/>
        <v>405.63900000000001</v>
      </c>
      <c r="BN18" s="73">
        <f t="shared" si="2"/>
        <v>320.28199999999993</v>
      </c>
      <c r="BO18" s="73"/>
      <c r="BP18" s="73">
        <f t="shared" si="3"/>
        <v>0.30756246681242011</v>
      </c>
      <c r="BQ18" s="73">
        <f t="shared" si="4"/>
        <v>0.48770924935345067</v>
      </c>
      <c r="BR18" s="73">
        <f t="shared" si="5"/>
        <v>0.35477539229087229</v>
      </c>
      <c r="BS18" s="73"/>
      <c r="BT18" s="73">
        <f t="shared" si="6"/>
        <v>0.38334903615224764</v>
      </c>
      <c r="BU18" s="73">
        <f t="shared" si="7"/>
        <v>9.3410682780980331E-2</v>
      </c>
      <c r="BV18" s="73">
        <f t="shared" si="8"/>
        <v>5.3932264885092569E-2</v>
      </c>
      <c r="BW18" s="73"/>
      <c r="BX18" s="73">
        <v>30</v>
      </c>
      <c r="BY18" s="73">
        <v>964.63400000000001</v>
      </c>
      <c r="BZ18" s="73">
        <v>992.81299999999999</v>
      </c>
      <c r="CA18" s="73">
        <v>864.98800000000006</v>
      </c>
      <c r="CB18" s="73"/>
      <c r="CC18" s="73">
        <f t="shared" si="9"/>
        <v>660.41399999999999</v>
      </c>
      <c r="CD18" s="73">
        <f t="shared" si="10"/>
        <v>711.89599999999996</v>
      </c>
      <c r="CE18" s="73">
        <f t="shared" si="11"/>
        <v>586.94400000000007</v>
      </c>
      <c r="CF18" s="73"/>
      <c r="CG18" s="73">
        <f t="shared" si="12"/>
        <v>0.67350010708057551</v>
      </c>
      <c r="CH18" s="73">
        <f t="shared" si="13"/>
        <v>0.74103883423391725</v>
      </c>
      <c r="CI18" s="73">
        <f t="shared" si="14"/>
        <v>0.58696395677453039</v>
      </c>
      <c r="CJ18" s="73"/>
      <c r="CK18" s="73">
        <f t="shared" si="15"/>
        <v>0.66716763269634105</v>
      </c>
      <c r="CL18" s="73">
        <f t="shared" si="16"/>
        <v>7.7232390484185273E-2</v>
      </c>
      <c r="CM18" s="73">
        <f t="shared" si="17"/>
        <v>4.4591449471238609E-2</v>
      </c>
      <c r="CN18" s="73"/>
      <c r="CO18" s="73">
        <v>30</v>
      </c>
      <c r="CP18" s="73">
        <v>1202.77</v>
      </c>
      <c r="CQ18" s="73">
        <v>1138.27</v>
      </c>
      <c r="CR18" s="73">
        <v>1024.74</v>
      </c>
      <c r="CS18" s="73"/>
      <c r="CT18" s="73">
        <f t="shared" si="18"/>
        <v>964.47</v>
      </c>
      <c r="CU18" s="73">
        <f t="shared" si="19"/>
        <v>866.32999999999993</v>
      </c>
      <c r="CV18" s="73">
        <f t="shared" si="20"/>
        <v>749.44800000000009</v>
      </c>
      <c r="CW18" s="73"/>
      <c r="CX18" s="73">
        <f t="shared" si="21"/>
        <v>1.103197026022305</v>
      </c>
      <c r="CY18" s="73">
        <f t="shared" si="22"/>
        <v>1.007993391199125</v>
      </c>
      <c r="CZ18" s="73">
        <f t="shared" si="23"/>
        <v>0.86845398670634388</v>
      </c>
      <c r="DA18" s="73"/>
      <c r="DB18" s="73">
        <f t="shared" si="24"/>
        <v>0.99321480130925799</v>
      </c>
      <c r="DC18" s="73">
        <f t="shared" si="25"/>
        <v>0.11806726331279682</v>
      </c>
      <c r="DD18" s="73">
        <f t="shared" si="26"/>
        <v>6.8168165884986615E-2</v>
      </c>
      <c r="DE18" s="73"/>
      <c r="DF18" s="73">
        <v>30</v>
      </c>
      <c r="DG18" s="73">
        <v>408.37599999999998</v>
      </c>
      <c r="DH18" s="73">
        <v>495.57600000000002</v>
      </c>
      <c r="DI18" s="73">
        <v>492.149</v>
      </c>
      <c r="DJ18" s="73"/>
      <c r="DK18" s="73">
        <f t="shared" si="27"/>
        <v>-4.6009999999999991</v>
      </c>
      <c r="DL18" s="73">
        <f t="shared" si="28"/>
        <v>130.80200000000002</v>
      </c>
      <c r="DM18" s="73">
        <f t="shared" si="29"/>
        <v>82.605000000000018</v>
      </c>
      <c r="DN18" s="73"/>
      <c r="DO18" s="73">
        <f t="shared" si="34"/>
        <v>-3.479780065193879E-3</v>
      </c>
      <c r="DP18" s="73">
        <f t="shared" si="30"/>
        <v>9.89267968023234E-2</v>
      </c>
      <c r="DQ18" s="73">
        <f t="shared" si="30"/>
        <v>6.2474947247411546E-2</v>
      </c>
      <c r="DR18" s="73"/>
      <c r="DS18" s="73">
        <f t="shared" si="31"/>
        <v>5.2640654661513686E-2</v>
      </c>
      <c r="DT18" s="73">
        <f t="shared" si="32"/>
        <v>5.1906759958886529E-2</v>
      </c>
      <c r="DU18" s="73">
        <f t="shared" si="33"/>
        <v>2.9969260946239334E-2</v>
      </c>
      <c r="DV18" s="73"/>
      <c r="DW18" s="73">
        <v>30</v>
      </c>
      <c r="DX18" s="73"/>
      <c r="DY18" s="73">
        <v>267.42</v>
      </c>
      <c r="DZ18" s="73">
        <v>157.33199999999999</v>
      </c>
      <c r="EA18" s="73">
        <v>247.113</v>
      </c>
      <c r="EB18" s="73"/>
      <c r="EC18" s="73">
        <f t="shared" si="35"/>
        <v>41.793000000000006</v>
      </c>
      <c r="ED18" s="73">
        <f t="shared" si="36"/>
        <v>-87.135000000000019</v>
      </c>
      <c r="EE18" s="73">
        <f t="shared" si="37"/>
        <v>24.681999999999988</v>
      </c>
      <c r="EF18" s="73"/>
      <c r="EG18" s="73">
        <f t="shared" si="38"/>
        <v>3.2529051440313206E-2</v>
      </c>
      <c r="EH18" s="73">
        <f t="shared" si="38"/>
        <v>-6.7820422014492662E-2</v>
      </c>
      <c r="EI18" s="73">
        <f t="shared" si="38"/>
        <v>1.9210921629215661E-2</v>
      </c>
      <c r="EJ18" s="73"/>
      <c r="EK18" s="73">
        <f t="shared" si="39"/>
        <v>-5.3601496483212654E-3</v>
      </c>
      <c r="EL18" s="73">
        <f t="shared" si="40"/>
        <v>5.4500526267721006E-2</v>
      </c>
      <c r="EM18" s="73">
        <f t="shared" si="41"/>
        <v>3.1466816551801967E-2</v>
      </c>
    </row>
    <row r="19" spans="5:143"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>
        <v>33</v>
      </c>
      <c r="BG19" s="73">
        <v>627.94000000000005</v>
      </c>
      <c r="BH19" s="73">
        <v>672.93399999999997</v>
      </c>
      <c r="BI19" s="73">
        <v>665.13800000000003</v>
      </c>
      <c r="BJ19" s="73"/>
      <c r="BK19" s="73"/>
      <c r="BL19" s="73">
        <f t="shared" si="0"/>
        <v>423.40700000000004</v>
      </c>
      <c r="BM19" s="73">
        <f t="shared" si="1"/>
        <v>454.13699999999994</v>
      </c>
      <c r="BN19" s="73">
        <f t="shared" si="2"/>
        <v>453.452</v>
      </c>
      <c r="BO19" s="73"/>
      <c r="BP19" s="73">
        <f t="shared" si="3"/>
        <v>0.4186772036305853</v>
      </c>
      <c r="BQ19" s="73">
        <f t="shared" si="4"/>
        <v>0.54601952813617027</v>
      </c>
      <c r="BR19" s="73">
        <f t="shared" si="5"/>
        <v>0.50228739418724955</v>
      </c>
      <c r="BS19" s="73"/>
      <c r="BT19" s="73">
        <f t="shared" si="6"/>
        <v>0.48899470865133504</v>
      </c>
      <c r="BU19" s="73">
        <f t="shared" si="7"/>
        <v>6.4703466052360645E-2</v>
      </c>
      <c r="BV19" s="73">
        <f t="shared" si="8"/>
        <v>3.7357659383580051E-2</v>
      </c>
      <c r="BW19" s="73"/>
      <c r="BX19" s="73">
        <v>33</v>
      </c>
      <c r="BY19" s="73">
        <v>1149.5899999999999</v>
      </c>
      <c r="BZ19" s="73">
        <v>1055.6500000000001</v>
      </c>
      <c r="CA19" s="73">
        <v>1081.32</v>
      </c>
      <c r="CB19" s="73"/>
      <c r="CC19" s="73">
        <f t="shared" si="9"/>
        <v>845.36999999999989</v>
      </c>
      <c r="CD19" s="73">
        <f t="shared" si="10"/>
        <v>774.73300000000017</v>
      </c>
      <c r="CE19" s="73">
        <f t="shared" si="11"/>
        <v>803.27599999999995</v>
      </c>
      <c r="CF19" s="73"/>
      <c r="CG19" s="73">
        <f t="shared" si="12"/>
        <v>0.86212101124855933</v>
      </c>
      <c r="CH19" s="73">
        <f t="shared" si="13"/>
        <v>0.80644818788495165</v>
      </c>
      <c r="CI19" s="73">
        <f t="shared" si="14"/>
        <v>0.80330331231261853</v>
      </c>
      <c r="CJ19" s="73"/>
      <c r="CK19" s="73">
        <f t="shared" si="15"/>
        <v>0.82395750381537647</v>
      </c>
      <c r="CL19" s="73">
        <f t="shared" si="16"/>
        <v>3.3087951512494683E-2</v>
      </c>
      <c r="CM19" s="73">
        <f t="shared" si="17"/>
        <v>1.9103898101902241E-2</v>
      </c>
      <c r="CN19" s="73"/>
      <c r="CO19" s="73">
        <v>33</v>
      </c>
      <c r="CP19" s="73">
        <v>1113.7</v>
      </c>
      <c r="CQ19" s="73">
        <v>1086.7</v>
      </c>
      <c r="CR19" s="73">
        <v>1200.98</v>
      </c>
      <c r="CS19" s="73"/>
      <c r="CT19" s="73">
        <f t="shared" si="18"/>
        <v>875.40000000000009</v>
      </c>
      <c r="CU19" s="73">
        <f t="shared" si="19"/>
        <v>814.76</v>
      </c>
      <c r="CV19" s="73">
        <f t="shared" si="20"/>
        <v>925.6880000000001</v>
      </c>
      <c r="CW19" s="73"/>
      <c r="CX19" s="73">
        <f t="shared" si="21"/>
        <v>1.001315413211324</v>
      </c>
      <c r="CY19" s="73">
        <f t="shared" si="22"/>
        <v>0.94799059874805103</v>
      </c>
      <c r="CZ19" s="73">
        <f t="shared" si="23"/>
        <v>1.0726794041030492</v>
      </c>
      <c r="DA19" s="73"/>
      <c r="DB19" s="73">
        <f t="shared" si="24"/>
        <v>1.0073284720208082</v>
      </c>
      <c r="DC19" s="73">
        <f t="shared" si="25"/>
        <v>6.2561507353952092E-2</v>
      </c>
      <c r="DD19" s="73">
        <f t="shared" si="26"/>
        <v>3.6120962675491967E-2</v>
      </c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</row>
    <row r="20" spans="5:143"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>
        <v>36</v>
      </c>
      <c r="BG20" s="73">
        <v>675.322</v>
      </c>
      <c r="BH20" s="73">
        <v>730.09500000000003</v>
      </c>
      <c r="BI20" s="73">
        <v>603.02599999999995</v>
      </c>
      <c r="BJ20" s="73"/>
      <c r="BK20" s="73"/>
      <c r="BL20" s="73">
        <f t="shared" si="0"/>
        <v>470.78899999999999</v>
      </c>
      <c r="BM20" s="73">
        <f t="shared" si="1"/>
        <v>511.298</v>
      </c>
      <c r="BN20" s="73">
        <f t="shared" si="2"/>
        <v>391.33999999999992</v>
      </c>
      <c r="BO20" s="73"/>
      <c r="BP20" s="73">
        <f t="shared" si="3"/>
        <v>0.46552990862229393</v>
      </c>
      <c r="BQ20" s="73">
        <f t="shared" si="4"/>
        <v>0.61474553427042422</v>
      </c>
      <c r="BR20" s="73">
        <f t="shared" si="5"/>
        <v>0.43348612166500133</v>
      </c>
      <c r="BS20" s="73"/>
      <c r="BT20" s="73">
        <f t="shared" si="6"/>
        <v>0.50458718818590642</v>
      </c>
      <c r="BU20" s="73">
        <f t="shared" si="7"/>
        <v>9.6735965285401668E-2</v>
      </c>
      <c r="BV20" s="73">
        <f t="shared" si="8"/>
        <v>5.585217395231043E-2</v>
      </c>
      <c r="BW20" s="73"/>
      <c r="BX20" s="73">
        <v>36</v>
      </c>
      <c r="BY20" s="73">
        <v>1270.24</v>
      </c>
      <c r="BZ20" s="73">
        <v>1186.29</v>
      </c>
      <c r="CA20" s="73">
        <v>1175.82</v>
      </c>
      <c r="CB20" s="73"/>
      <c r="CC20" s="73">
        <f t="shared" si="9"/>
        <v>966.02</v>
      </c>
      <c r="CD20" s="73">
        <f t="shared" si="10"/>
        <v>905.37300000000005</v>
      </c>
      <c r="CE20" s="73">
        <f t="shared" si="11"/>
        <v>897.77599999999995</v>
      </c>
      <c r="CF20" s="73"/>
      <c r="CG20" s="73">
        <f t="shared" si="12"/>
        <v>0.98516169166913115</v>
      </c>
      <c r="CH20" s="73">
        <f t="shared" si="13"/>
        <v>0.9424361879640627</v>
      </c>
      <c r="CI20" s="73">
        <f t="shared" si="14"/>
        <v>0.89780652542186434</v>
      </c>
      <c r="CJ20" s="73"/>
      <c r="CK20" s="73">
        <f t="shared" si="15"/>
        <v>0.9418014683516861</v>
      </c>
      <c r="CL20" s="73">
        <f t="shared" si="16"/>
        <v>4.3681041874726399E-2</v>
      </c>
      <c r="CM20" s="73">
        <f t="shared" si="17"/>
        <v>2.5220001082405543E-2</v>
      </c>
      <c r="CN20" s="73"/>
      <c r="CO20" s="73">
        <v>36</v>
      </c>
      <c r="CP20" s="73">
        <v>1199.6600000000001</v>
      </c>
      <c r="CQ20" s="73">
        <v>1036.83</v>
      </c>
      <c r="CR20" s="73">
        <v>1179.7</v>
      </c>
      <c r="CS20" s="73"/>
      <c r="CT20" s="73">
        <f t="shared" si="18"/>
        <v>961.36000000000013</v>
      </c>
      <c r="CU20" s="73">
        <f t="shared" si="19"/>
        <v>764.88999999999987</v>
      </c>
      <c r="CV20" s="73">
        <f t="shared" si="20"/>
        <v>904.40800000000013</v>
      </c>
      <c r="CW20" s="73"/>
      <c r="CX20" s="73">
        <f t="shared" si="21"/>
        <v>1.0996396911638548</v>
      </c>
      <c r="CY20" s="73">
        <f t="shared" si="22"/>
        <v>0.88996579247434415</v>
      </c>
      <c r="CZ20" s="73">
        <f t="shared" si="23"/>
        <v>1.0480203205680862</v>
      </c>
      <c r="DA20" s="73"/>
      <c r="DB20" s="73">
        <f t="shared" si="24"/>
        <v>1.0125419347354283</v>
      </c>
      <c r="DC20" s="73">
        <f t="shared" si="25"/>
        <v>0.10924661479370032</v>
      </c>
      <c r="DD20" s="73">
        <f t="shared" si="26"/>
        <v>6.3075412698441288E-2</v>
      </c>
      <c r="DE20" s="73"/>
      <c r="DF20" s="73">
        <v>36</v>
      </c>
      <c r="DG20" s="73">
        <v>490.786</v>
      </c>
      <c r="DH20" s="73">
        <v>294.06</v>
      </c>
      <c r="DI20" s="73">
        <v>521.71</v>
      </c>
      <c r="DJ20" s="73"/>
      <c r="DK20" s="73">
        <f t="shared" si="27"/>
        <v>77.809000000000026</v>
      </c>
      <c r="DL20" s="73">
        <f t="shared" si="28"/>
        <v>-70.713999999999999</v>
      </c>
      <c r="DM20" s="73">
        <f t="shared" si="29"/>
        <v>112.16600000000005</v>
      </c>
      <c r="DN20" s="73"/>
      <c r="DO20" s="73">
        <f t="shared" si="34"/>
        <v>5.8847686827357248E-2</v>
      </c>
      <c r="DP20" s="73">
        <f t="shared" si="30"/>
        <v>-5.3481670838974142E-2</v>
      </c>
      <c r="DQ20" s="73">
        <f t="shared" si="30"/>
        <v>8.4832212734739607E-2</v>
      </c>
      <c r="DR20" s="73"/>
      <c r="DS20" s="73">
        <f t="shared" si="31"/>
        <v>3.0066076241040907E-2</v>
      </c>
      <c r="DT20" s="73">
        <f t="shared" si="32"/>
        <v>7.3511689058730512E-2</v>
      </c>
      <c r="DU20" s="73">
        <f t="shared" si="33"/>
        <v>4.2443238486564963E-2</v>
      </c>
      <c r="DV20" s="73"/>
      <c r="DW20" s="73">
        <v>36</v>
      </c>
      <c r="DX20" s="73"/>
      <c r="DY20" s="73">
        <v>243.505</v>
      </c>
      <c r="DZ20" s="73">
        <v>192.03800000000001</v>
      </c>
      <c r="EA20" s="73">
        <v>199.916</v>
      </c>
      <c r="EB20" s="73"/>
      <c r="EC20" s="73">
        <f t="shared" si="35"/>
        <v>17.877999999999986</v>
      </c>
      <c r="ED20" s="73">
        <f t="shared" si="36"/>
        <v>-52.429000000000002</v>
      </c>
      <c r="EE20" s="73">
        <f t="shared" si="37"/>
        <v>-22.515000000000015</v>
      </c>
      <c r="EF20" s="73"/>
      <c r="EG20" s="73">
        <f t="shared" si="38"/>
        <v>1.3915114532336013E-2</v>
      </c>
      <c r="EH20" s="73">
        <f t="shared" si="38"/>
        <v>-4.0807447131437823E-2</v>
      </c>
      <c r="EI20" s="73">
        <f t="shared" si="38"/>
        <v>-1.7524264665820886E-2</v>
      </c>
      <c r="EJ20" s="73"/>
      <c r="EK20" s="73">
        <f t="shared" si="39"/>
        <v>-1.4805532421640899E-2</v>
      </c>
      <c r="EL20" s="73">
        <f t="shared" si="40"/>
        <v>2.7462398247841361E-2</v>
      </c>
      <c r="EM20" s="73">
        <f t="shared" si="41"/>
        <v>1.5855888133857597E-2</v>
      </c>
    </row>
    <row r="21" spans="5:143"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>
        <v>39</v>
      </c>
      <c r="BG21" s="73">
        <v>736.9</v>
      </c>
      <c r="BH21" s="73">
        <v>802.76199999999994</v>
      </c>
      <c r="BI21" s="73">
        <v>741.03399999999999</v>
      </c>
      <c r="BJ21" s="73"/>
      <c r="BK21" s="73"/>
      <c r="BL21" s="73">
        <f t="shared" si="0"/>
        <v>532.36699999999996</v>
      </c>
      <c r="BM21" s="73">
        <f t="shared" si="1"/>
        <v>583.96499999999992</v>
      </c>
      <c r="BN21" s="73">
        <f t="shared" si="2"/>
        <v>529.34799999999996</v>
      </c>
      <c r="BO21" s="73"/>
      <c r="BP21" s="73">
        <f t="shared" si="3"/>
        <v>0.52642003288845907</v>
      </c>
      <c r="BQ21" s="73">
        <f t="shared" si="4"/>
        <v>0.70211476657492933</v>
      </c>
      <c r="BR21" s="73">
        <f t="shared" si="5"/>
        <v>0.58635716137150595</v>
      </c>
      <c r="BS21" s="73"/>
      <c r="BT21" s="73">
        <f t="shared" si="6"/>
        <v>0.60496398694496478</v>
      </c>
      <c r="BU21" s="73">
        <f t="shared" si="7"/>
        <v>8.9313046805776328E-2</v>
      </c>
      <c r="BV21" s="73">
        <f t="shared" si="8"/>
        <v>5.1566424252757696E-2</v>
      </c>
      <c r="BW21" s="73"/>
      <c r="BX21" s="73">
        <v>39</v>
      </c>
      <c r="BY21" s="73">
        <v>1172.1400000000001</v>
      </c>
      <c r="BZ21" s="73">
        <v>1216.3800000000001</v>
      </c>
      <c r="CA21" s="73">
        <v>1170.1600000000001</v>
      </c>
      <c r="CB21" s="73"/>
      <c r="CC21" s="73">
        <f t="shared" si="9"/>
        <v>867.92000000000007</v>
      </c>
      <c r="CD21" s="73">
        <f t="shared" si="10"/>
        <v>935.46300000000019</v>
      </c>
      <c r="CE21" s="73">
        <f t="shared" si="11"/>
        <v>892.1160000000001</v>
      </c>
      <c r="CF21" s="73"/>
      <c r="CG21" s="73">
        <f t="shared" si="12"/>
        <v>0.88511783962389223</v>
      </c>
      <c r="CH21" s="73">
        <f t="shared" si="13"/>
        <v>0.97375798008271308</v>
      </c>
      <c r="CI21" s="73">
        <f t="shared" si="14"/>
        <v>0.8921463329753212</v>
      </c>
      <c r="CJ21" s="73"/>
      <c r="CK21" s="73">
        <f t="shared" si="15"/>
        <v>0.91700738422730887</v>
      </c>
      <c r="CL21" s="73">
        <f t="shared" si="16"/>
        <v>4.9272939095972898E-2</v>
      </c>
      <c r="CM21" s="73">
        <f t="shared" si="17"/>
        <v>2.8448579154718764E-2</v>
      </c>
      <c r="CN21" s="73"/>
      <c r="CO21" s="73">
        <v>39</v>
      </c>
      <c r="CP21" s="73">
        <v>1127.8399999999999</v>
      </c>
      <c r="CQ21" s="73">
        <v>1121.75</v>
      </c>
      <c r="CR21" s="73">
        <v>1167.03</v>
      </c>
      <c r="CS21" s="73"/>
      <c r="CT21" s="73">
        <f t="shared" si="18"/>
        <v>889.54</v>
      </c>
      <c r="CU21" s="73">
        <f t="shared" si="19"/>
        <v>849.81</v>
      </c>
      <c r="CV21" s="73">
        <f t="shared" si="20"/>
        <v>891.73800000000006</v>
      </c>
      <c r="CW21" s="73"/>
      <c r="CX21" s="73">
        <f t="shared" si="21"/>
        <v>1.0174892765227337</v>
      </c>
      <c r="CY21" s="73">
        <f t="shared" si="22"/>
        <v>0.98877201964023909</v>
      </c>
      <c r="CZ21" s="73">
        <f t="shared" si="23"/>
        <v>1.0333384320160193</v>
      </c>
      <c r="DA21" s="73"/>
      <c r="DB21" s="73">
        <f t="shared" si="24"/>
        <v>1.0131999093929973</v>
      </c>
      <c r="DC21" s="73">
        <f t="shared" si="25"/>
        <v>2.2590712268369721E-2</v>
      </c>
      <c r="DD21" s="73">
        <f t="shared" si="26"/>
        <v>1.3043136413608384E-2</v>
      </c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</row>
    <row r="22" spans="5:143"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>
        <v>42</v>
      </c>
      <c r="BG22" s="73">
        <v>799.92899999999997</v>
      </c>
      <c r="BH22" s="73">
        <v>882.08500000000004</v>
      </c>
      <c r="BI22" s="73">
        <v>864.95100000000002</v>
      </c>
      <c r="BJ22" s="73"/>
      <c r="BK22" s="73"/>
      <c r="BL22" s="73">
        <f t="shared" si="0"/>
        <v>595.39599999999996</v>
      </c>
      <c r="BM22" s="73">
        <f t="shared" si="1"/>
        <v>663.28800000000001</v>
      </c>
      <c r="BN22" s="73">
        <f t="shared" si="2"/>
        <v>653.26499999999999</v>
      </c>
      <c r="BO22" s="73"/>
      <c r="BP22" s="73">
        <f t="shared" si="3"/>
        <v>0.58874494831884194</v>
      </c>
      <c r="BQ22" s="73">
        <f t="shared" si="4"/>
        <v>0.79748666322802186</v>
      </c>
      <c r="BR22" s="73">
        <f t="shared" si="5"/>
        <v>0.72361964345450802</v>
      </c>
      <c r="BS22" s="73"/>
      <c r="BT22" s="73">
        <f t="shared" si="6"/>
        <v>0.70328375166712398</v>
      </c>
      <c r="BU22" s="73">
        <f t="shared" si="7"/>
        <v>0.10584629070920502</v>
      </c>
      <c r="BV22" s="73">
        <f t="shared" si="8"/>
        <v>6.1112177083836622E-2</v>
      </c>
      <c r="BW22" s="73"/>
      <c r="BX22" s="73">
        <v>42</v>
      </c>
      <c r="BY22" s="73">
        <v>1221.8499999999999</v>
      </c>
      <c r="BZ22" s="73">
        <v>1022.77</v>
      </c>
      <c r="CA22" s="73">
        <v>1204.01</v>
      </c>
      <c r="CB22" s="73"/>
      <c r="CC22" s="73">
        <f t="shared" si="9"/>
        <v>917.62999999999988</v>
      </c>
      <c r="CD22" s="73">
        <f t="shared" si="10"/>
        <v>741.85300000000007</v>
      </c>
      <c r="CE22" s="73">
        <f t="shared" si="11"/>
        <v>925.96600000000001</v>
      </c>
      <c r="CF22" s="73"/>
      <c r="CG22" s="73">
        <f t="shared" si="12"/>
        <v>0.9358128435501798</v>
      </c>
      <c r="CH22" s="73">
        <f t="shared" si="13"/>
        <v>0.77222218174134183</v>
      </c>
      <c r="CI22" s="73">
        <f t="shared" si="14"/>
        <v>0.92599748391445313</v>
      </c>
      <c r="CJ22" s="73"/>
      <c r="CK22" s="73">
        <f t="shared" si="15"/>
        <v>0.87801083640199151</v>
      </c>
      <c r="CL22" s="73">
        <f t="shared" si="16"/>
        <v>9.1747015822735617E-2</v>
      </c>
      <c r="CM22" s="73">
        <f t="shared" si="17"/>
        <v>5.2971718142457054E-2</v>
      </c>
      <c r="CN22" s="73"/>
      <c r="CO22" s="73">
        <v>42</v>
      </c>
      <c r="CP22" s="73">
        <v>1012.86</v>
      </c>
      <c r="CQ22" s="73">
        <v>1216.18</v>
      </c>
      <c r="CR22" s="73">
        <v>1210.03</v>
      </c>
      <c r="CS22" s="73"/>
      <c r="CT22" s="73">
        <f t="shared" si="18"/>
        <v>774.56</v>
      </c>
      <c r="CU22" s="73">
        <f t="shared" si="19"/>
        <v>944.24</v>
      </c>
      <c r="CV22" s="73">
        <f t="shared" si="20"/>
        <v>934.73800000000006</v>
      </c>
      <c r="CW22" s="73"/>
      <c r="CX22" s="73">
        <f t="shared" si="21"/>
        <v>0.88597083214183581</v>
      </c>
      <c r="CY22" s="73">
        <f t="shared" si="22"/>
        <v>1.0986433341865822</v>
      </c>
      <c r="CZ22" s="73">
        <f t="shared" si="23"/>
        <v>1.0831664673545254</v>
      </c>
      <c r="DA22" s="73"/>
      <c r="DB22" s="73">
        <f t="shared" si="24"/>
        <v>1.0225935445609811</v>
      </c>
      <c r="DC22" s="73">
        <f t="shared" si="25"/>
        <v>0.11857152910082552</v>
      </c>
      <c r="DD22" s="73">
        <f t="shared" si="26"/>
        <v>6.8459312413871556E-2</v>
      </c>
      <c r="DE22" s="73"/>
      <c r="DF22" s="73">
        <v>42</v>
      </c>
      <c r="DG22" s="73">
        <v>291.82499999999999</v>
      </c>
      <c r="DH22" s="73">
        <v>364.70499999999998</v>
      </c>
      <c r="DI22" s="73">
        <v>414.87799999999999</v>
      </c>
      <c r="DJ22" s="73"/>
      <c r="DK22" s="73">
        <f t="shared" si="27"/>
        <v>-121.15199999999999</v>
      </c>
      <c r="DL22" s="73">
        <f t="shared" si="28"/>
        <v>-6.9000000000016826E-2</v>
      </c>
      <c r="DM22" s="73">
        <f t="shared" si="29"/>
        <v>5.3340000000000032</v>
      </c>
      <c r="DN22" s="73"/>
      <c r="DO22" s="73">
        <f t="shared" si="34"/>
        <v>-9.1628410010512695E-2</v>
      </c>
      <c r="DP22" s="73">
        <f t="shared" si="30"/>
        <v>-5.2185356335239354E-5</v>
      </c>
      <c r="DQ22" s="73">
        <f t="shared" si="30"/>
        <v>4.0341549375666518E-3</v>
      </c>
      <c r="DR22" s="73"/>
      <c r="DS22" s="73">
        <f t="shared" si="31"/>
        <v>-2.9215480143093761E-2</v>
      </c>
      <c r="DT22" s="73">
        <f t="shared" si="32"/>
        <v>5.4089785590496729E-2</v>
      </c>
      <c r="DU22" s="73">
        <f t="shared" si="33"/>
        <v>3.1229668354790258E-2</v>
      </c>
      <c r="DV22" s="73"/>
      <c r="DW22" s="73">
        <v>42</v>
      </c>
      <c r="DX22" s="73"/>
      <c r="DY22" s="73">
        <v>177.751</v>
      </c>
      <c r="DZ22" s="73">
        <v>209.59899999999999</v>
      </c>
      <c r="EA22" s="73">
        <v>187.4</v>
      </c>
      <c r="EB22" s="73"/>
      <c r="EC22" s="73">
        <f t="shared" si="35"/>
        <v>-47.876000000000005</v>
      </c>
      <c r="ED22" s="73">
        <f t="shared" si="36"/>
        <v>-34.868000000000023</v>
      </c>
      <c r="EE22" s="73">
        <f t="shared" si="37"/>
        <v>-35.031000000000006</v>
      </c>
      <c r="EF22" s="73"/>
      <c r="EG22" s="73">
        <f t="shared" si="38"/>
        <v>-3.7263677332482356E-2</v>
      </c>
      <c r="EH22" s="73">
        <f t="shared" si="38"/>
        <v>-2.7139065528218639E-2</v>
      </c>
      <c r="EI22" s="73">
        <f t="shared" si="38"/>
        <v>-2.7265934510698253E-2</v>
      </c>
      <c r="EJ22" s="73"/>
      <c r="EK22" s="73">
        <f t="shared" si="39"/>
        <v>-3.0556225790466417E-2</v>
      </c>
      <c r="EL22" s="73">
        <f t="shared" si="40"/>
        <v>5.8091697837167845E-3</v>
      </c>
      <c r="EM22" s="73">
        <f t="shared" si="41"/>
        <v>3.3540241245477971E-3</v>
      </c>
    </row>
    <row r="23" spans="5:143"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>
        <v>45</v>
      </c>
      <c r="BG23" s="73">
        <v>880.00400000000002</v>
      </c>
      <c r="BH23" s="73">
        <v>900.83399999999995</v>
      </c>
      <c r="BI23" s="73">
        <v>875.85400000000004</v>
      </c>
      <c r="BJ23" s="73"/>
      <c r="BK23" s="73"/>
      <c r="BL23" s="73">
        <f t="shared" si="0"/>
        <v>675.471</v>
      </c>
      <c r="BM23" s="73">
        <f t="shared" si="1"/>
        <v>682.03699999999992</v>
      </c>
      <c r="BN23" s="73">
        <f t="shared" si="2"/>
        <v>664.16800000000001</v>
      </c>
      <c r="BO23" s="73"/>
      <c r="BP23" s="73">
        <f t="shared" si="3"/>
        <v>0.66792544623389571</v>
      </c>
      <c r="BQ23" s="73">
        <f t="shared" si="4"/>
        <v>0.82002902408614398</v>
      </c>
      <c r="BR23" s="73">
        <f t="shared" si="5"/>
        <v>0.7356968632237969</v>
      </c>
      <c r="BS23" s="73"/>
      <c r="BT23" s="73">
        <f t="shared" si="6"/>
        <v>0.74121711118127875</v>
      </c>
      <c r="BU23" s="73">
        <f t="shared" si="7"/>
        <v>7.6201899267656081E-2</v>
      </c>
      <c r="BV23" s="73">
        <f t="shared" si="8"/>
        <v>4.3996477637214829E-2</v>
      </c>
      <c r="BW23" s="73"/>
      <c r="BX23" s="73">
        <v>45</v>
      </c>
      <c r="BY23" s="73">
        <v>1240.8599999999999</v>
      </c>
      <c r="BZ23" s="73">
        <v>1322.21</v>
      </c>
      <c r="CA23" s="73">
        <v>1267.2</v>
      </c>
      <c r="CB23" s="73"/>
      <c r="CC23" s="73">
        <f t="shared" si="9"/>
        <v>936.63999999999987</v>
      </c>
      <c r="CD23" s="73">
        <f t="shared" si="10"/>
        <v>1041.2930000000001</v>
      </c>
      <c r="CE23" s="73">
        <f t="shared" si="11"/>
        <v>989.15600000000006</v>
      </c>
      <c r="CF23" s="73"/>
      <c r="CG23" s="73">
        <f t="shared" si="12"/>
        <v>0.9551995268058372</v>
      </c>
      <c r="CH23" s="73">
        <f t="shared" si="13"/>
        <v>1.0839203350151405</v>
      </c>
      <c r="CI23" s="73">
        <f t="shared" si="14"/>
        <v>0.98918963244750324</v>
      </c>
      <c r="CJ23" s="73"/>
      <c r="CK23" s="73">
        <f t="shared" si="15"/>
        <v>1.0094364980894937</v>
      </c>
      <c r="CL23" s="73">
        <f t="shared" si="16"/>
        <v>6.6706171324381031E-2</v>
      </c>
      <c r="CM23" s="73">
        <f t="shared" si="17"/>
        <v>3.8513955730012144E-2</v>
      </c>
      <c r="CN23" s="73"/>
      <c r="CO23" s="73">
        <v>45</v>
      </c>
      <c r="CP23" s="73">
        <v>1116.1600000000001</v>
      </c>
      <c r="CQ23" s="73">
        <v>1110.6300000000001</v>
      </c>
      <c r="CR23" s="73">
        <v>1258.3900000000001</v>
      </c>
      <c r="CS23" s="73"/>
      <c r="CT23" s="73">
        <f t="shared" si="18"/>
        <v>877.86000000000013</v>
      </c>
      <c r="CU23" s="73">
        <f t="shared" si="19"/>
        <v>838.69</v>
      </c>
      <c r="CV23" s="73">
        <f t="shared" si="20"/>
        <v>983.09800000000018</v>
      </c>
      <c r="CW23" s="73"/>
      <c r="CX23" s="73">
        <f t="shared" si="21"/>
        <v>1.0041292536459825</v>
      </c>
      <c r="CY23" s="73">
        <f t="shared" si="22"/>
        <v>0.97583366299769625</v>
      </c>
      <c r="CZ23" s="73">
        <f t="shared" si="23"/>
        <v>1.1392056252375524</v>
      </c>
      <c r="DA23" s="73"/>
      <c r="DB23" s="73">
        <f t="shared" si="24"/>
        <v>1.0397228472937436</v>
      </c>
      <c r="DC23" s="73">
        <f t="shared" si="25"/>
        <v>8.7308518731545229E-2</v>
      </c>
      <c r="DD23" s="73">
        <f t="shared" si="26"/>
        <v>5.0409075480106945E-2</v>
      </c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</row>
    <row r="24" spans="5:143"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>
        <v>48</v>
      </c>
      <c r="BG24" s="73">
        <v>724.11300000000006</v>
      </c>
      <c r="BH24" s="73">
        <v>892.48099999999999</v>
      </c>
      <c r="BI24" s="73">
        <v>887.80200000000002</v>
      </c>
      <c r="BJ24" s="73"/>
      <c r="BK24" s="73"/>
      <c r="BL24" s="73">
        <f t="shared" si="0"/>
        <v>519.58000000000004</v>
      </c>
      <c r="BM24" s="73">
        <f t="shared" si="1"/>
        <v>673.68399999999997</v>
      </c>
      <c r="BN24" s="73">
        <f t="shared" si="2"/>
        <v>676.11599999999999</v>
      </c>
      <c r="BO24" s="73"/>
      <c r="BP24" s="73">
        <f t="shared" si="3"/>
        <v>0.51377587395196467</v>
      </c>
      <c r="BQ24" s="73">
        <f t="shared" si="4"/>
        <v>0.80998601697921058</v>
      </c>
      <c r="BR24" s="73">
        <f t="shared" si="5"/>
        <v>0.74893162629849774</v>
      </c>
      <c r="BS24" s="73"/>
      <c r="BT24" s="73">
        <f t="shared" si="6"/>
        <v>0.69089783907655766</v>
      </c>
      <c r="BU24" s="73">
        <f t="shared" si="7"/>
        <v>0.15640029588381979</v>
      </c>
      <c r="BV24" s="73">
        <f t="shared" si="8"/>
        <v>9.030040178049642E-2</v>
      </c>
      <c r="BW24" s="73"/>
      <c r="BX24" s="73">
        <v>48</v>
      </c>
      <c r="BY24" s="73">
        <v>1284.79</v>
      </c>
      <c r="BZ24" s="73">
        <v>1241.5899999999999</v>
      </c>
      <c r="CA24" s="73">
        <v>1278.01</v>
      </c>
      <c r="CB24" s="73"/>
      <c r="CC24" s="73">
        <f t="shared" si="9"/>
        <v>980.56999999999994</v>
      </c>
      <c r="CD24" s="73">
        <f t="shared" si="10"/>
        <v>960.673</v>
      </c>
      <c r="CE24" s="73">
        <f t="shared" si="11"/>
        <v>999.96600000000001</v>
      </c>
      <c r="CF24" s="73"/>
      <c r="CG24" s="73">
        <f t="shared" si="12"/>
        <v>0.99999999999999989</v>
      </c>
      <c r="CH24" s="73">
        <f t="shared" si="13"/>
        <v>1</v>
      </c>
      <c r="CI24" s="73">
        <f t="shared" si="14"/>
        <v>1</v>
      </c>
      <c r="CJ24" s="73"/>
      <c r="CK24" s="73">
        <f t="shared" si="15"/>
        <v>1</v>
      </c>
      <c r="CL24" s="73">
        <v>0</v>
      </c>
      <c r="CM24" s="73">
        <v>0</v>
      </c>
      <c r="CN24" s="73"/>
      <c r="CO24" s="73">
        <v>48</v>
      </c>
      <c r="CP24" s="73">
        <v>1112.55</v>
      </c>
      <c r="CQ24" s="73">
        <v>1131.4000000000001</v>
      </c>
      <c r="CR24" s="73">
        <v>1138.26</v>
      </c>
      <c r="CS24" s="73"/>
      <c r="CT24" s="73">
        <f t="shared" si="18"/>
        <v>874.25</v>
      </c>
      <c r="CU24" s="73">
        <f t="shared" si="19"/>
        <v>859.46</v>
      </c>
      <c r="CV24" s="73">
        <f t="shared" si="20"/>
        <v>862.96800000000007</v>
      </c>
      <c r="CW24" s="73"/>
      <c r="CX24" s="73">
        <f t="shared" si="21"/>
        <v>1</v>
      </c>
      <c r="CY24" s="73">
        <f t="shared" si="22"/>
        <v>1</v>
      </c>
      <c r="CZ24" s="73">
        <f t="shared" si="23"/>
        <v>1.0000000000000002</v>
      </c>
      <c r="DA24" s="73"/>
      <c r="DB24" s="73">
        <f t="shared" si="24"/>
        <v>1</v>
      </c>
      <c r="DC24" s="73">
        <f t="shared" si="25"/>
        <v>1.5700924586837752E-16</v>
      </c>
      <c r="DD24" s="73">
        <f t="shared" si="26"/>
        <v>9.0651989531395794E-17</v>
      </c>
      <c r="DE24" s="73"/>
      <c r="DF24" s="73">
        <v>48</v>
      </c>
      <c r="DG24" s="73">
        <v>423.96699999999998</v>
      </c>
      <c r="DH24" s="73">
        <v>325.62299999999999</v>
      </c>
      <c r="DI24" s="73">
        <v>379.90899999999999</v>
      </c>
      <c r="DJ24" s="73"/>
      <c r="DK24" s="73">
        <f t="shared" si="27"/>
        <v>10.990000000000009</v>
      </c>
      <c r="DL24" s="73">
        <f t="shared" si="28"/>
        <v>-39.15100000000001</v>
      </c>
      <c r="DM24" s="73">
        <f t="shared" si="29"/>
        <v>-29.634999999999991</v>
      </c>
      <c r="DN24" s="73"/>
      <c r="DO24" s="73">
        <f t="shared" si="34"/>
        <v>8.3118415380310298E-3</v>
      </c>
      <c r="DP24" s="73">
        <f t="shared" si="30"/>
        <v>-2.9610273708412439E-2</v>
      </c>
      <c r="DQ24" s="73">
        <f t="shared" si="30"/>
        <v>-2.2413232391223777E-2</v>
      </c>
      <c r="DR24" s="73"/>
      <c r="DS24" s="73">
        <f t="shared" si="31"/>
        <v>-1.4570554853868397E-2</v>
      </c>
      <c r="DT24" s="73">
        <f t="shared" si="32"/>
        <v>2.0140814268726551E-2</v>
      </c>
      <c r="DU24" s="73">
        <f t="shared" si="33"/>
        <v>1.1628645651689695E-2</v>
      </c>
      <c r="DV24" s="73"/>
      <c r="DW24" s="73">
        <v>48</v>
      </c>
      <c r="DX24" s="73"/>
      <c r="DY24" s="73">
        <v>295.57499999999999</v>
      </c>
      <c r="DZ24" s="73">
        <v>194.61799999999999</v>
      </c>
      <c r="EA24" s="73">
        <v>194.61799999999999</v>
      </c>
      <c r="EB24" s="73"/>
      <c r="EC24" s="73">
        <f t="shared" si="35"/>
        <v>69.947999999999979</v>
      </c>
      <c r="ED24" s="73">
        <f t="shared" si="36"/>
        <v>-49.849000000000018</v>
      </c>
      <c r="EE24" s="73">
        <f t="shared" si="37"/>
        <v>-27.813000000000017</v>
      </c>
      <c r="EF24" s="73"/>
      <c r="EG24" s="73">
        <f t="shared" si="38"/>
        <v>5.4443138567392323E-2</v>
      </c>
      <c r="EH24" s="73">
        <f t="shared" si="38"/>
        <v>-3.8799336856606928E-2</v>
      </c>
      <c r="EI24" s="73">
        <f t="shared" si="38"/>
        <v>-2.1647895765066677E-2</v>
      </c>
      <c r="EJ24" s="73"/>
      <c r="EK24" s="73">
        <f t="shared" si="39"/>
        <v>-2.0013646847604274E-3</v>
      </c>
      <c r="EL24" s="73">
        <f t="shared" si="40"/>
        <v>4.9628917411282059E-2</v>
      </c>
      <c r="EM24" s="73">
        <f t="shared" si="41"/>
        <v>2.8654109359862619E-2</v>
      </c>
    </row>
    <row r="25" spans="5:143"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>
        <v>51</v>
      </c>
      <c r="BG25" s="73">
        <v>1185.03</v>
      </c>
      <c r="BH25" s="73">
        <v>1063.9100000000001</v>
      </c>
      <c r="BI25" s="73">
        <v>1148.02</v>
      </c>
      <c r="BJ25" s="73"/>
      <c r="BK25" s="73"/>
      <c r="BL25" s="73">
        <f t="shared" si="0"/>
        <v>980.49699999999996</v>
      </c>
      <c r="BM25" s="73">
        <f t="shared" si="1"/>
        <v>845.11300000000006</v>
      </c>
      <c r="BN25" s="73">
        <f t="shared" si="2"/>
        <v>936.33399999999995</v>
      </c>
      <c r="BO25" s="73"/>
      <c r="BP25" s="73">
        <f t="shared" si="3"/>
        <v>0.96954406074575517</v>
      </c>
      <c r="BQ25" s="73">
        <f t="shared" si="4"/>
        <v>1.0160991099200096</v>
      </c>
      <c r="BR25" s="73">
        <f t="shared" si="5"/>
        <v>1.0371743094063408</v>
      </c>
      <c r="BS25" s="73"/>
      <c r="BT25" s="73">
        <f t="shared" si="6"/>
        <v>1.0076058266907018</v>
      </c>
      <c r="BU25" s="73">
        <f t="shared" si="7"/>
        <v>3.46058452935799E-2</v>
      </c>
      <c r="BV25" s="73">
        <f t="shared" si="8"/>
        <v>1.9980280192598093E-2</v>
      </c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</row>
    <row r="26" spans="5:143"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>
        <v>54</v>
      </c>
      <c r="BG26" s="73">
        <v>1066.46</v>
      </c>
      <c r="BH26" s="73">
        <v>1161.22</v>
      </c>
      <c r="BI26" s="73">
        <v>1152.2</v>
      </c>
      <c r="BJ26" s="73"/>
      <c r="BK26" s="73"/>
      <c r="BL26" s="73">
        <f t="shared" si="0"/>
        <v>861.92700000000002</v>
      </c>
      <c r="BM26" s="73">
        <f t="shared" si="1"/>
        <v>942.423</v>
      </c>
      <c r="BN26" s="73">
        <f t="shared" si="2"/>
        <v>940.51400000000001</v>
      </c>
      <c r="BO26" s="73"/>
      <c r="BP26" s="73">
        <f t="shared" si="3"/>
        <v>0.85229858290887839</v>
      </c>
      <c r="BQ26" s="73">
        <f t="shared" si="4"/>
        <v>1.1330971970235284</v>
      </c>
      <c r="BR26" s="73">
        <f t="shared" si="5"/>
        <v>1.0418044826279889</v>
      </c>
      <c r="BS26" s="73"/>
      <c r="BT26" s="73">
        <f t="shared" si="6"/>
        <v>1.0090667541867984</v>
      </c>
      <c r="BU26" s="73">
        <f t="shared" si="7"/>
        <v>0.14323332213487999</v>
      </c>
      <c r="BV26" s="73">
        <f t="shared" si="8"/>
        <v>8.269822294161662E-2</v>
      </c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>
        <v>54</v>
      </c>
      <c r="DX26" s="73"/>
      <c r="DY26" s="73">
        <v>211.42099999999999</v>
      </c>
      <c r="DZ26" s="73">
        <v>243.27500000000001</v>
      </c>
      <c r="EA26" s="73">
        <v>239.74299999999999</v>
      </c>
      <c r="EB26" s="73"/>
      <c r="EC26" s="73">
        <f t="shared" si="35"/>
        <v>-14.206000000000017</v>
      </c>
      <c r="ED26" s="73">
        <f t="shared" si="36"/>
        <v>-1.1920000000000073</v>
      </c>
      <c r="EE26" s="73">
        <f t="shared" si="37"/>
        <v>17.311999999999983</v>
      </c>
      <c r="EF26" s="73"/>
      <c r="EG26" s="73">
        <f t="shared" si="38"/>
        <v>-1.1057059908623212E-2</v>
      </c>
      <c r="EH26" s="73">
        <f t="shared" si="38"/>
        <v>-9.2777808046451741E-4</v>
      </c>
      <c r="EI26" s="73">
        <f t="shared" si="38"/>
        <v>1.3474575611578533E-2</v>
      </c>
      <c r="EJ26" s="73"/>
      <c r="EK26" s="73">
        <f t="shared" si="39"/>
        <v>4.9657920749693449E-4</v>
      </c>
      <c r="EL26" s="73">
        <f t="shared" si="40"/>
        <v>1.2327687560399666E-2</v>
      </c>
      <c r="EM26" s="73">
        <f t="shared" si="41"/>
        <v>7.1176025175517703E-3</v>
      </c>
    </row>
    <row r="27" spans="5:143"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>
        <v>57</v>
      </c>
      <c r="BG27" s="73">
        <v>1145.08</v>
      </c>
      <c r="BH27" s="73">
        <v>1272.73</v>
      </c>
      <c r="BI27" s="73">
        <v>1097.8599999999999</v>
      </c>
      <c r="BJ27" s="73"/>
      <c r="BK27" s="73"/>
      <c r="BL27" s="73">
        <f t="shared" si="0"/>
        <v>940.54699999999991</v>
      </c>
      <c r="BM27" s="73">
        <f t="shared" si="1"/>
        <v>1053.933</v>
      </c>
      <c r="BN27" s="73">
        <f t="shared" si="2"/>
        <v>886.17399999999986</v>
      </c>
      <c r="BO27" s="73"/>
      <c r="BP27" s="73">
        <f t="shared" si="3"/>
        <v>0.93004033434292788</v>
      </c>
      <c r="BQ27" s="73">
        <f t="shared" si="4"/>
        <v>1.2671682759764971</v>
      </c>
      <c r="BR27" s="73">
        <f t="shared" si="5"/>
        <v>0.98161223074656545</v>
      </c>
      <c r="BS27" s="73"/>
      <c r="BT27" s="73">
        <f t="shared" si="6"/>
        <v>1.0596069470219969</v>
      </c>
      <c r="BU27" s="73">
        <f t="shared" si="7"/>
        <v>0.18159348579364182</v>
      </c>
      <c r="BV27" s="73">
        <f t="shared" si="8"/>
        <v>0.10484612343743754</v>
      </c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</row>
    <row r="28" spans="5:143"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>
        <v>60</v>
      </c>
      <c r="BG28" s="73">
        <v>1215.83</v>
      </c>
      <c r="BH28" s="73">
        <v>1050.52</v>
      </c>
      <c r="BI28" s="73">
        <v>1114.46</v>
      </c>
      <c r="BJ28" s="73"/>
      <c r="BK28" s="73"/>
      <c r="BL28" s="73">
        <f t="shared" si="0"/>
        <v>1011.2969999999999</v>
      </c>
      <c r="BM28" s="73">
        <f t="shared" si="1"/>
        <v>831.72299999999996</v>
      </c>
      <c r="BN28" s="73">
        <f t="shared" si="2"/>
        <v>902.774</v>
      </c>
      <c r="BO28" s="73"/>
      <c r="BP28" s="73">
        <f t="shared" si="3"/>
        <v>0.99999999999999989</v>
      </c>
      <c r="BQ28" s="73">
        <f t="shared" si="4"/>
        <v>1</v>
      </c>
      <c r="BR28" s="73">
        <f t="shared" si="5"/>
        <v>1</v>
      </c>
      <c r="BS28" s="73"/>
      <c r="BT28" s="73">
        <f t="shared" si="6"/>
        <v>1</v>
      </c>
      <c r="BU28" s="73">
        <f t="shared" si="7"/>
        <v>7.8504622934188758E-17</v>
      </c>
      <c r="BV28" s="73">
        <f t="shared" si="8"/>
        <v>4.5325994765697897E-17</v>
      </c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>
        <v>60</v>
      </c>
      <c r="DX28" s="73"/>
      <c r="DY28" s="73">
        <v>231.905</v>
      </c>
      <c r="DZ28" s="73">
        <v>250.40100000000001</v>
      </c>
      <c r="EA28" s="73">
        <v>294.81299999999999</v>
      </c>
      <c r="EB28" s="73"/>
      <c r="EC28" s="73">
        <f t="shared" si="35"/>
        <v>6.2779999999999916</v>
      </c>
      <c r="ED28" s="73">
        <f t="shared" si="36"/>
        <v>5.9339999999999975</v>
      </c>
      <c r="EE28" s="73">
        <f t="shared" si="37"/>
        <v>72.381999999999977</v>
      </c>
      <c r="EF28" s="73"/>
      <c r="EG28" s="73">
        <f t="shared" si="38"/>
        <v>4.8864016687551991E-3</v>
      </c>
      <c r="EH28" s="73">
        <f t="shared" si="38"/>
        <v>4.6186536321110826E-3</v>
      </c>
      <c r="EI28" s="73">
        <f>EE28/1284.79</f>
        <v>5.6337611594112637E-2</v>
      </c>
      <c r="EJ28" s="73"/>
      <c r="EK28" s="73">
        <f>AVERAGE(EG28:EI28)</f>
        <v>2.1947555631659638E-2</v>
      </c>
      <c r="EL28" s="73">
        <f t="shared" si="40"/>
        <v>2.9782962983529164E-2</v>
      </c>
      <c r="EM28" s="73">
        <f t="shared" si="41"/>
        <v>1.7195706110582659E-2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7:CO29"/>
  <sheetViews>
    <sheetView topLeftCell="AA4" workbookViewId="0">
      <selection activeCell="G21" sqref="G21"/>
    </sheetView>
  </sheetViews>
  <sheetFormatPr defaultRowHeight="14.4"/>
  <sheetData>
    <row r="7" spans="7:93">
      <c r="G7" s="73" t="s">
        <v>16</v>
      </c>
      <c r="H7" s="73"/>
      <c r="I7" s="73"/>
      <c r="J7" s="73" t="s">
        <v>17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 t="s">
        <v>17</v>
      </c>
      <c r="W7" s="73"/>
      <c r="X7" s="73"/>
      <c r="Y7" s="73"/>
      <c r="Z7" s="73"/>
      <c r="AA7" s="73" t="s">
        <v>18</v>
      </c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 t="s">
        <v>18</v>
      </c>
      <c r="AN7" s="73"/>
      <c r="AO7" s="73"/>
      <c r="AP7" s="73"/>
      <c r="AQ7" s="73"/>
      <c r="AR7" s="73" t="s">
        <v>49</v>
      </c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 t="s">
        <v>49</v>
      </c>
      <c r="BE7" s="73"/>
      <c r="BF7" s="73"/>
      <c r="BH7" s="73"/>
      <c r="BI7" s="73" t="s">
        <v>15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 t="s">
        <v>15</v>
      </c>
      <c r="BV7" s="73"/>
      <c r="BW7" s="73"/>
      <c r="BX7" s="73"/>
      <c r="BY7" s="73"/>
      <c r="BZ7" s="73"/>
      <c r="CA7" s="73" t="s">
        <v>6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 t="s">
        <v>6</v>
      </c>
      <c r="CN7" s="73"/>
      <c r="CO7" s="73"/>
    </row>
    <row r="8" spans="7:93">
      <c r="G8" s="73"/>
      <c r="H8" s="73"/>
      <c r="I8" s="73" t="s">
        <v>24</v>
      </c>
      <c r="J8" s="73"/>
      <c r="K8" s="73"/>
      <c r="L8" s="73"/>
      <c r="M8" s="73"/>
      <c r="N8" s="73" t="s">
        <v>25</v>
      </c>
      <c r="O8" s="73"/>
      <c r="P8" s="73"/>
      <c r="Q8" s="73"/>
      <c r="R8" s="73" t="s">
        <v>26</v>
      </c>
      <c r="S8" s="73"/>
      <c r="T8" s="73"/>
      <c r="U8" s="73"/>
      <c r="V8" s="73" t="s">
        <v>27</v>
      </c>
      <c r="W8" s="73" t="s">
        <v>28</v>
      </c>
      <c r="X8" s="73" t="s">
        <v>29</v>
      </c>
      <c r="Y8" s="73"/>
      <c r="Z8" s="73" t="s">
        <v>24</v>
      </c>
      <c r="AA8" s="73"/>
      <c r="AB8" s="73"/>
      <c r="AC8" s="73"/>
      <c r="AD8" s="73"/>
      <c r="AE8" s="73" t="s">
        <v>25</v>
      </c>
      <c r="AF8" s="73"/>
      <c r="AG8" s="73"/>
      <c r="AH8" s="73"/>
      <c r="AI8" s="73" t="s">
        <v>26</v>
      </c>
      <c r="AJ8" s="73"/>
      <c r="AK8" s="73"/>
      <c r="AL8" s="73"/>
      <c r="AM8" s="73" t="s">
        <v>27</v>
      </c>
      <c r="AN8" s="73" t="s">
        <v>28</v>
      </c>
      <c r="AO8" s="73" t="s">
        <v>29</v>
      </c>
      <c r="AP8" s="73"/>
      <c r="AQ8" s="73" t="s">
        <v>24</v>
      </c>
      <c r="AR8" s="73"/>
      <c r="AS8" s="73"/>
      <c r="AT8" s="73"/>
      <c r="AU8" s="73"/>
      <c r="AV8" s="73" t="s">
        <v>25</v>
      </c>
      <c r="AW8" s="73"/>
      <c r="AX8" s="73"/>
      <c r="AY8" s="73"/>
      <c r="AZ8" s="73" t="s">
        <v>26</v>
      </c>
      <c r="BA8" s="73"/>
      <c r="BB8" s="73"/>
      <c r="BC8" s="73"/>
      <c r="BD8" s="73" t="s">
        <v>27</v>
      </c>
      <c r="BE8" s="73" t="s">
        <v>28</v>
      </c>
      <c r="BF8" s="73" t="s">
        <v>29</v>
      </c>
      <c r="BH8" s="73" t="s">
        <v>24</v>
      </c>
      <c r="BI8" s="73"/>
      <c r="BJ8" s="73"/>
      <c r="BK8" s="73"/>
      <c r="BL8" s="73"/>
      <c r="BM8" s="73" t="s">
        <v>25</v>
      </c>
      <c r="BN8" s="73"/>
      <c r="BO8" s="73"/>
      <c r="BP8" s="73"/>
      <c r="BQ8" s="73" t="s">
        <v>26</v>
      </c>
      <c r="BR8" s="73"/>
      <c r="BS8" s="73"/>
      <c r="BT8" s="73"/>
      <c r="BU8" s="73" t="s">
        <v>27</v>
      </c>
      <c r="BV8" s="73" t="s">
        <v>28</v>
      </c>
      <c r="BW8" s="73" t="s">
        <v>29</v>
      </c>
      <c r="BX8" s="73"/>
      <c r="BY8" s="73"/>
      <c r="BZ8" s="73"/>
      <c r="CA8" s="73"/>
      <c r="CB8" s="73"/>
      <c r="CC8" s="73"/>
      <c r="CD8" s="73"/>
      <c r="CE8" s="73" t="s">
        <v>25</v>
      </c>
      <c r="CF8" s="73"/>
      <c r="CG8" s="73"/>
      <c r="CH8" s="73"/>
      <c r="CI8" s="73" t="s">
        <v>26</v>
      </c>
      <c r="CJ8" s="73"/>
      <c r="CK8" s="73"/>
      <c r="CL8" s="73"/>
      <c r="CM8" s="73" t="s">
        <v>27</v>
      </c>
      <c r="CN8" s="73" t="s">
        <v>28</v>
      </c>
      <c r="CO8" s="73" t="s">
        <v>29</v>
      </c>
    </row>
    <row r="9" spans="7:93">
      <c r="G9" s="73"/>
      <c r="H9" s="73"/>
      <c r="I9" s="73">
        <v>0</v>
      </c>
      <c r="J9" s="73">
        <v>232.572</v>
      </c>
      <c r="K9" s="73">
        <v>283.14</v>
      </c>
      <c r="L9" s="73">
        <v>224.83699999999999</v>
      </c>
      <c r="M9" s="73"/>
      <c r="N9" s="73">
        <f t="shared" ref="N9:N19" si="0">J9-232.572</f>
        <v>0</v>
      </c>
      <c r="O9" s="73">
        <f t="shared" ref="O9:O19" si="1">K9-283.14</f>
        <v>0</v>
      </c>
      <c r="P9" s="73">
        <f t="shared" ref="P9:P19" si="2">L9-224.837</f>
        <v>0</v>
      </c>
      <c r="Q9" s="73"/>
      <c r="R9" s="73">
        <f t="shared" ref="R9:R19" si="3">N9/1284.79</f>
        <v>0</v>
      </c>
      <c r="S9" s="73">
        <f t="shared" ref="S9:S19" si="4">O9/1284.79</f>
        <v>0</v>
      </c>
      <c r="T9" s="73">
        <f t="shared" ref="T9:T19" si="5">P9/1284.79</f>
        <v>0</v>
      </c>
      <c r="U9" s="73"/>
      <c r="V9" s="73">
        <f t="shared" ref="V9:V19" si="6">AVERAGE(R9:T9)</f>
        <v>0</v>
      </c>
      <c r="W9" s="73">
        <f t="shared" ref="W9:W19" si="7">STDEV(R9:T9)</f>
        <v>0</v>
      </c>
      <c r="X9" s="73">
        <f t="shared" ref="X9:X19" si="8">W9/1.732</f>
        <v>0</v>
      </c>
      <c r="Y9" s="73"/>
      <c r="Z9" s="73">
        <v>0</v>
      </c>
      <c r="AA9" s="73">
        <v>219.583</v>
      </c>
      <c r="AB9" s="73">
        <v>273.86200000000002</v>
      </c>
      <c r="AC9" s="73">
        <v>270.01</v>
      </c>
      <c r="AD9" s="73"/>
      <c r="AE9" s="73">
        <f t="shared" ref="AE9:AE19" si="9">AA9-219.583</f>
        <v>0</v>
      </c>
      <c r="AF9" s="73">
        <f t="shared" ref="AF9:AF19" si="10">AB9-273.862</f>
        <v>0</v>
      </c>
      <c r="AG9" s="73">
        <f t="shared" ref="AG9:AG19" si="11">AC9-270.01</f>
        <v>0</v>
      </c>
      <c r="AH9" s="73"/>
      <c r="AI9" s="73">
        <f t="shared" ref="AI9:AI19" si="12">AE9/1284.79</f>
        <v>0</v>
      </c>
      <c r="AJ9" s="73">
        <f t="shared" ref="AJ9:AJ19" si="13">AF9/1284.79</f>
        <v>0</v>
      </c>
      <c r="AK9" s="73">
        <f t="shared" ref="AK9:AK19" si="14">AG9/1284.79</f>
        <v>0</v>
      </c>
      <c r="AL9" s="73"/>
      <c r="AM9" s="73">
        <f t="shared" ref="AM9:AM19" si="15">AVERAGE(AI9:AK9)</f>
        <v>0</v>
      </c>
      <c r="AN9" s="73">
        <f t="shared" ref="AN9:AN19" si="16">STDEV(AI9:AK9)</f>
        <v>0</v>
      </c>
      <c r="AO9" s="73">
        <f t="shared" ref="AO9:AO19" si="17">AN9/1.732</f>
        <v>0</v>
      </c>
      <c r="AP9" s="73"/>
      <c r="AQ9" s="73">
        <v>0</v>
      </c>
      <c r="AR9" s="73">
        <v>266.79899999999998</v>
      </c>
      <c r="AS9" s="73">
        <v>283.23399999999998</v>
      </c>
      <c r="AT9" s="73">
        <v>217.78100000000001</v>
      </c>
      <c r="AU9" s="73"/>
      <c r="AV9" s="73">
        <f>AR9-266.799</f>
        <v>0</v>
      </c>
      <c r="AW9" s="73">
        <f>AS9-283.234</f>
        <v>0</v>
      </c>
      <c r="AX9" s="73">
        <f>AT9-217.781</f>
        <v>0</v>
      </c>
      <c r="AY9" s="73"/>
      <c r="AZ9" s="73">
        <f t="shared" ref="AZ9:BB10" si="18">AV9/1284.79</f>
        <v>0</v>
      </c>
      <c r="BA9" s="73">
        <f t="shared" si="18"/>
        <v>0</v>
      </c>
      <c r="BB9" s="73">
        <f t="shared" si="18"/>
        <v>0</v>
      </c>
      <c r="BC9" s="73"/>
      <c r="BD9" s="73">
        <f>AVERAGE(AZ9:BB9)</f>
        <v>0</v>
      </c>
      <c r="BE9" s="73">
        <f>STDEV(AZ9:BB9)</f>
        <v>0</v>
      </c>
      <c r="BF9" s="73">
        <f>BE9/1.732</f>
        <v>0</v>
      </c>
      <c r="BH9" s="73">
        <v>0</v>
      </c>
      <c r="BI9" s="73">
        <v>375.81299999999999</v>
      </c>
      <c r="BJ9" s="73">
        <v>415.82600000000002</v>
      </c>
      <c r="BK9" s="73">
        <v>420.87700000000001</v>
      </c>
      <c r="BL9" s="73"/>
      <c r="BM9" s="73">
        <f>BI9-375.813</f>
        <v>0</v>
      </c>
      <c r="BN9" s="73">
        <f>BJ9-415.826</f>
        <v>0</v>
      </c>
      <c r="BO9" s="73">
        <f>BK9-420.877</f>
        <v>0</v>
      </c>
      <c r="BP9" s="73"/>
      <c r="BQ9" s="73">
        <f t="shared" ref="BQ9:BS11" si="19">BM9/1322.21</f>
        <v>0</v>
      </c>
      <c r="BR9" s="73">
        <f t="shared" si="19"/>
        <v>0</v>
      </c>
      <c r="BS9" s="73">
        <f t="shared" si="19"/>
        <v>0</v>
      </c>
      <c r="BT9" s="73"/>
      <c r="BU9" s="73">
        <f>AVERAGE(BQ9:BS9)</f>
        <v>0</v>
      </c>
      <c r="BV9" s="73">
        <f>STDEV(BQ9:BS9)</f>
        <v>0</v>
      </c>
      <c r="BW9" s="73">
        <f>BV9/1.732</f>
        <v>0</v>
      </c>
      <c r="BX9" s="73"/>
      <c r="BY9" s="73">
        <v>0</v>
      </c>
      <c r="BZ9" s="73"/>
      <c r="CA9" s="73">
        <v>229.80199999999999</v>
      </c>
      <c r="CB9" s="73">
        <v>236.785</v>
      </c>
      <c r="CC9" s="73">
        <v>227.12799999999999</v>
      </c>
      <c r="CD9" s="73"/>
      <c r="CE9" s="73">
        <f>CA9-229.802</f>
        <v>0</v>
      </c>
      <c r="CF9" s="73">
        <f>CB9-236.785</f>
        <v>0</v>
      </c>
      <c r="CG9" s="73">
        <f>CC9-227.128</f>
        <v>0</v>
      </c>
      <c r="CH9" s="73"/>
      <c r="CI9" s="73">
        <f>CE9/1284.79</f>
        <v>0</v>
      </c>
      <c r="CJ9" s="73">
        <f>CF9/1284.79</f>
        <v>0</v>
      </c>
      <c r="CK9" s="73">
        <f>CG9/1284.79</f>
        <v>0</v>
      </c>
      <c r="CL9" s="73"/>
      <c r="CM9" s="73">
        <f>AVERAGE(CI9:CK9)</f>
        <v>0</v>
      </c>
      <c r="CN9" s="73">
        <f>STDEV(CI9:CK9)</f>
        <v>0</v>
      </c>
      <c r="CO9" s="73">
        <f>CN9/1.732</f>
        <v>0</v>
      </c>
    </row>
    <row r="10" spans="7:93">
      <c r="G10" s="73"/>
      <c r="H10" s="73"/>
      <c r="I10" s="73">
        <v>1</v>
      </c>
      <c r="J10" s="73">
        <v>210.14500000000001</v>
      </c>
      <c r="K10" s="73">
        <v>228.673</v>
      </c>
      <c r="L10" s="73">
        <v>267.947</v>
      </c>
      <c r="M10" s="73"/>
      <c r="N10" s="73">
        <f t="shared" si="0"/>
        <v>-22.426999999999992</v>
      </c>
      <c r="O10" s="73">
        <f t="shared" si="1"/>
        <v>-54.466999999999985</v>
      </c>
      <c r="P10" s="73">
        <f t="shared" si="2"/>
        <v>43.110000000000014</v>
      </c>
      <c r="Q10" s="73"/>
      <c r="R10" s="73">
        <f t="shared" si="3"/>
        <v>-1.7455770982028187E-2</v>
      </c>
      <c r="S10" s="73">
        <f t="shared" si="4"/>
        <v>-4.2393698581091065E-2</v>
      </c>
      <c r="T10" s="73">
        <f t="shared" si="5"/>
        <v>3.3554121685255969E-2</v>
      </c>
      <c r="U10" s="73"/>
      <c r="V10" s="73">
        <f t="shared" si="6"/>
        <v>-8.765115959287759E-3</v>
      </c>
      <c r="W10" s="73">
        <f t="shared" si="7"/>
        <v>3.8712575015691621E-2</v>
      </c>
      <c r="X10" s="73">
        <f t="shared" si="8"/>
        <v>2.2351371256172991E-2</v>
      </c>
      <c r="Y10" s="73"/>
      <c r="Z10" s="73">
        <v>1</v>
      </c>
      <c r="AA10" s="73">
        <v>283.197</v>
      </c>
      <c r="AB10" s="73">
        <v>296.33300000000003</v>
      </c>
      <c r="AC10" s="73">
        <v>275.73500000000001</v>
      </c>
      <c r="AD10" s="73"/>
      <c r="AE10" s="73">
        <f t="shared" si="9"/>
        <v>63.614000000000004</v>
      </c>
      <c r="AF10" s="73">
        <f t="shared" si="10"/>
        <v>22.471000000000004</v>
      </c>
      <c r="AG10" s="73">
        <f t="shared" si="11"/>
        <v>5.7250000000000227</v>
      </c>
      <c r="AH10" s="73"/>
      <c r="AI10" s="73">
        <f t="shared" si="12"/>
        <v>4.9513150008950881E-2</v>
      </c>
      <c r="AJ10" s="73">
        <f t="shared" si="13"/>
        <v>1.7490017823924536E-2</v>
      </c>
      <c r="AK10" s="73">
        <f t="shared" si="14"/>
        <v>4.4559811331034826E-3</v>
      </c>
      <c r="AL10" s="73"/>
      <c r="AM10" s="73">
        <f t="shared" si="15"/>
        <v>2.3819716321992965E-2</v>
      </c>
      <c r="AN10" s="73">
        <f t="shared" si="16"/>
        <v>2.3185899358963744E-2</v>
      </c>
      <c r="AO10" s="73">
        <f t="shared" si="17"/>
        <v>1.338677792087976E-2</v>
      </c>
      <c r="AP10" s="73"/>
      <c r="AQ10" s="73">
        <v>1</v>
      </c>
      <c r="AR10" s="73">
        <v>273.10000000000002</v>
      </c>
      <c r="AS10" s="73">
        <v>286.16899999999998</v>
      </c>
      <c r="AT10" s="73">
        <v>384.73700000000002</v>
      </c>
      <c r="AU10" s="73"/>
      <c r="AV10" s="73">
        <f>AR10-266.799</f>
        <v>6.3010000000000446</v>
      </c>
      <c r="AW10" s="73">
        <f>AS10-283.234</f>
        <v>2.9350000000000023</v>
      </c>
      <c r="AX10" s="73">
        <f>AT10-217.781</f>
        <v>166.95600000000002</v>
      </c>
      <c r="AY10" s="73"/>
      <c r="AZ10" s="73">
        <f t="shared" si="18"/>
        <v>4.9043034270192364E-3</v>
      </c>
      <c r="BA10" s="73">
        <f t="shared" si="18"/>
        <v>2.2844200219491141E-3</v>
      </c>
      <c r="BB10" s="73">
        <f t="shared" si="18"/>
        <v>0.12994808490103443</v>
      </c>
      <c r="BC10" s="73"/>
      <c r="BD10" s="73">
        <f>AVERAGE(AZ10:BB10)</f>
        <v>4.5712269450000925E-2</v>
      </c>
      <c r="BE10" s="73">
        <f>STDEV(AZ10:BB10)</f>
        <v>7.2962116202790278E-2</v>
      </c>
      <c r="BF10" s="73">
        <f>BE10/1.732</f>
        <v>4.2125933142488615E-2</v>
      </c>
      <c r="BH10" s="73">
        <v>1</v>
      </c>
      <c r="BI10" s="73">
        <v>422.80200000000002</v>
      </c>
      <c r="BJ10" s="73">
        <v>427.524</v>
      </c>
      <c r="BK10" s="73">
        <v>416.48700000000002</v>
      </c>
      <c r="BL10" s="73"/>
      <c r="BM10" s="73">
        <f>BI10-375.813</f>
        <v>46.989000000000033</v>
      </c>
      <c r="BN10" s="73">
        <f>BJ10-415.826</f>
        <v>11.697999999999979</v>
      </c>
      <c r="BO10" s="73">
        <f>BK10-420.877</f>
        <v>-4.3899999999999864</v>
      </c>
      <c r="BP10" s="73"/>
      <c r="BQ10" s="73">
        <f t="shared" si="19"/>
        <v>3.5538227664289358E-2</v>
      </c>
      <c r="BR10" s="73">
        <f t="shared" si="19"/>
        <v>8.8473086726011587E-3</v>
      </c>
      <c r="BS10" s="73">
        <f t="shared" si="19"/>
        <v>-3.3201987581397709E-3</v>
      </c>
      <c r="BT10" s="73"/>
      <c r="BU10" s="73">
        <f>AVERAGE(BQ10:BS10)</f>
        <v>1.3688445859583584E-2</v>
      </c>
      <c r="BV10" s="73">
        <f>STDEV(BQ10:BS10)</f>
        <v>1.9876412728513732E-2</v>
      </c>
      <c r="BW10" s="73">
        <f>BV10/1.732</f>
        <v>1.1475988873275826E-2</v>
      </c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</row>
    <row r="11" spans="7:93">
      <c r="G11" s="73"/>
      <c r="H11" s="73"/>
      <c r="I11" s="73">
        <v>2</v>
      </c>
      <c r="J11" s="73">
        <v>199.42099999999999</v>
      </c>
      <c r="K11" s="73">
        <v>250.999</v>
      </c>
      <c r="L11" s="73">
        <v>301.07299999999998</v>
      </c>
      <c r="M11" s="73"/>
      <c r="N11" s="73">
        <f t="shared" si="0"/>
        <v>-33.15100000000001</v>
      </c>
      <c r="O11" s="73">
        <f t="shared" si="1"/>
        <v>-32.140999999999991</v>
      </c>
      <c r="P11" s="73">
        <f t="shared" si="2"/>
        <v>76.23599999999999</v>
      </c>
      <c r="Q11" s="73"/>
      <c r="R11" s="73">
        <f t="shared" si="3"/>
        <v>-2.5802660356945503E-2</v>
      </c>
      <c r="S11" s="73">
        <f t="shared" si="4"/>
        <v>-2.5016539667961295E-2</v>
      </c>
      <c r="T11" s="73">
        <f t="shared" si="5"/>
        <v>5.9337323609305798E-2</v>
      </c>
      <c r="U11" s="73"/>
      <c r="V11" s="73">
        <f t="shared" si="6"/>
        <v>2.8393745281330013E-3</v>
      </c>
      <c r="W11" s="73">
        <f t="shared" si="7"/>
        <v>4.8930237933393579E-2</v>
      </c>
      <c r="X11" s="73">
        <f t="shared" si="8"/>
        <v>2.8250714742144099E-2</v>
      </c>
      <c r="Y11" s="73"/>
      <c r="Z11" s="73">
        <v>2</v>
      </c>
      <c r="AA11" s="73">
        <v>291.51</v>
      </c>
      <c r="AB11" s="73">
        <v>284.30599999999998</v>
      </c>
      <c r="AC11" s="73">
        <v>292.541</v>
      </c>
      <c r="AD11" s="73"/>
      <c r="AE11" s="73">
        <f t="shared" si="9"/>
        <v>71.926999999999992</v>
      </c>
      <c r="AF11" s="73">
        <f t="shared" si="10"/>
        <v>10.44399999999996</v>
      </c>
      <c r="AG11" s="73">
        <f t="shared" si="11"/>
        <v>22.531000000000006</v>
      </c>
      <c r="AH11" s="73"/>
      <c r="AI11" s="73">
        <f t="shared" si="12"/>
        <v>5.5983468115411855E-2</v>
      </c>
      <c r="AJ11" s="73">
        <f t="shared" si="13"/>
        <v>8.1289549264860102E-3</v>
      </c>
      <c r="AK11" s="73">
        <f t="shared" si="14"/>
        <v>1.7536718062874095E-2</v>
      </c>
      <c r="AL11" s="73"/>
      <c r="AM11" s="73">
        <f t="shared" si="15"/>
        <v>2.7216380368257315E-2</v>
      </c>
      <c r="AN11" s="73">
        <f t="shared" si="16"/>
        <v>2.5353214882869634E-2</v>
      </c>
      <c r="AO11" s="73">
        <f t="shared" si="17"/>
        <v>1.4638114828446671E-2</v>
      </c>
      <c r="AP11" s="73"/>
      <c r="AQ11" s="73">
        <v>2</v>
      </c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H11" s="73">
        <v>2</v>
      </c>
      <c r="BI11" s="73">
        <v>324.47199999999998</v>
      </c>
      <c r="BJ11" s="73">
        <v>325.786</v>
      </c>
      <c r="BK11" s="73">
        <v>469.73899999999998</v>
      </c>
      <c r="BL11" s="73"/>
      <c r="BM11" s="73">
        <f>BI11-375.813</f>
        <v>-51.341000000000008</v>
      </c>
      <c r="BN11" s="73">
        <f>BJ11-415.826</f>
        <v>-90.04000000000002</v>
      </c>
      <c r="BO11" s="73">
        <f>BK11-420.877</f>
        <v>48.861999999999966</v>
      </c>
      <c r="BP11" s="73"/>
      <c r="BQ11" s="73">
        <f t="shared" si="19"/>
        <v>-3.8829686660969143E-2</v>
      </c>
      <c r="BR11" s="73">
        <f t="shared" si="19"/>
        <v>-6.809810846991024E-2</v>
      </c>
      <c r="BS11" s="73">
        <f t="shared" si="19"/>
        <v>3.6954795380461473E-2</v>
      </c>
      <c r="BT11" s="73"/>
      <c r="BU11" s="73">
        <f>AVERAGE(BQ11:BS11)</f>
        <v>-2.3324333250139301E-2</v>
      </c>
      <c r="BV11" s="73">
        <f>STDEV(BQ11:BS11)</f>
        <v>5.4215681681086612E-2</v>
      </c>
      <c r="BW11" s="73">
        <f>BV11/1.732</f>
        <v>3.1302356628802895E-2</v>
      </c>
      <c r="BX11" s="73"/>
      <c r="BY11" s="73">
        <v>1</v>
      </c>
      <c r="BZ11" s="73"/>
      <c r="CA11" s="73">
        <v>232.33099999999999</v>
      </c>
      <c r="CB11" s="73">
        <v>226.572</v>
      </c>
      <c r="CC11" s="73">
        <v>224.785</v>
      </c>
      <c r="CD11" s="73"/>
      <c r="CE11" s="73">
        <f>CA11-229.802</f>
        <v>2.5289999999999964</v>
      </c>
      <c r="CF11" s="73">
        <f>CB11-236.785</f>
        <v>-10.212999999999994</v>
      </c>
      <c r="CG11" s="73">
        <f>CC11-227.128</f>
        <v>-2.3429999999999893</v>
      </c>
      <c r="CH11" s="73"/>
      <c r="CI11" s="73">
        <f>CE11/1284.79</f>
        <v>1.9684150717237808E-3</v>
      </c>
      <c r="CJ11" s="73">
        <f>CF11/1284.79</f>
        <v>-7.9491590065302459E-3</v>
      </c>
      <c r="CK11" s="73">
        <f>CG11/1284.79</f>
        <v>-1.8236443309801518E-3</v>
      </c>
      <c r="CL11" s="73"/>
      <c r="CM11" s="73">
        <f>AVERAGE(CI11:CK11)</f>
        <v>-2.6014627552622058E-3</v>
      </c>
      <c r="CN11" s="73">
        <f>STDEV(CI11:CK11)</f>
        <v>5.0043301275274118E-3</v>
      </c>
      <c r="CO11" s="73">
        <f>CN11/1.732</f>
        <v>2.8893361013437712E-3</v>
      </c>
    </row>
    <row r="12" spans="7:93">
      <c r="G12" s="73"/>
      <c r="H12" s="73"/>
      <c r="I12" s="73">
        <v>3</v>
      </c>
      <c r="J12" s="73">
        <v>282.31900000000002</v>
      </c>
      <c r="K12" s="73">
        <v>297.45400000000001</v>
      </c>
      <c r="L12" s="73">
        <v>278.75400000000002</v>
      </c>
      <c r="M12" s="73"/>
      <c r="N12" s="73">
        <f t="shared" si="0"/>
        <v>49.747000000000014</v>
      </c>
      <c r="O12" s="73">
        <f t="shared" si="1"/>
        <v>14.314000000000021</v>
      </c>
      <c r="P12" s="73">
        <f t="shared" si="2"/>
        <v>53.91700000000003</v>
      </c>
      <c r="Q12" s="73"/>
      <c r="R12" s="73">
        <f t="shared" si="3"/>
        <v>3.8719946450392687E-2</v>
      </c>
      <c r="S12" s="73">
        <f t="shared" si="4"/>
        <v>1.1141120338732416E-2</v>
      </c>
      <c r="T12" s="73">
        <f t="shared" si="5"/>
        <v>4.1965613057386837E-2</v>
      </c>
      <c r="U12" s="73"/>
      <c r="V12" s="73">
        <f t="shared" si="6"/>
        <v>3.0608893282170646E-2</v>
      </c>
      <c r="W12" s="73">
        <f t="shared" si="7"/>
        <v>1.6937509423285608E-2</v>
      </c>
      <c r="X12" s="73">
        <f t="shared" si="8"/>
        <v>9.7791624845759862E-3</v>
      </c>
      <c r="Y12" s="73"/>
      <c r="Z12" s="73">
        <v>3</v>
      </c>
      <c r="AA12" s="73">
        <v>233.68299999999999</v>
      </c>
      <c r="AB12" s="73">
        <v>145.798</v>
      </c>
      <c r="AC12" s="73">
        <v>276.98599999999999</v>
      </c>
      <c r="AD12" s="73"/>
      <c r="AE12" s="73">
        <f t="shared" si="9"/>
        <v>14.099999999999994</v>
      </c>
      <c r="AF12" s="73">
        <f t="shared" si="10"/>
        <v>-128.06400000000002</v>
      </c>
      <c r="AG12" s="73">
        <f t="shared" si="11"/>
        <v>6.9759999999999991</v>
      </c>
      <c r="AH12" s="73"/>
      <c r="AI12" s="73">
        <f t="shared" si="12"/>
        <v>1.0974556153145645E-2</v>
      </c>
      <c r="AJ12" s="73">
        <f t="shared" si="13"/>
        <v>-9.9676990013932251E-2</v>
      </c>
      <c r="AK12" s="73">
        <f t="shared" si="14"/>
        <v>5.4296811152017054E-3</v>
      </c>
      <c r="AL12" s="73"/>
      <c r="AM12" s="73">
        <f t="shared" si="15"/>
        <v>-2.77575842485283E-2</v>
      </c>
      <c r="AN12" s="73">
        <f t="shared" si="16"/>
        <v>6.2345706380096594E-2</v>
      </c>
      <c r="AO12" s="73">
        <f t="shared" si="17"/>
        <v>3.5996366270263626E-2</v>
      </c>
      <c r="AP12" s="73"/>
      <c r="AQ12" s="73">
        <v>3</v>
      </c>
      <c r="AR12" s="73">
        <v>294.834</v>
      </c>
      <c r="AS12" s="73">
        <v>149.89699999999999</v>
      </c>
      <c r="AT12" s="73">
        <v>279.17899999999997</v>
      </c>
      <c r="AU12" s="73"/>
      <c r="AV12" s="73">
        <f t="shared" ref="AV12:AV19" si="20">AR12-266.799</f>
        <v>28.035000000000025</v>
      </c>
      <c r="AW12" s="73">
        <f t="shared" ref="AW12:AW19" si="21">AS12-283.234</f>
        <v>-133.33699999999999</v>
      </c>
      <c r="AX12" s="73">
        <f t="shared" ref="AX12:AX19" si="22">AT12-217.781</f>
        <v>61.397999999999968</v>
      </c>
      <c r="AY12" s="73"/>
      <c r="AZ12" s="73">
        <f t="shared" ref="AZ12:BB19" si="23">AV12/1284.79</f>
        <v>2.1820686649180042E-2</v>
      </c>
      <c r="BA12" s="73">
        <f t="shared" si="23"/>
        <v>-0.10378116268028237</v>
      </c>
      <c r="BB12" s="73">
        <f t="shared" si="23"/>
        <v>4.7788354517080592E-2</v>
      </c>
      <c r="BC12" s="73"/>
      <c r="BD12" s="73">
        <f t="shared" ref="BD12:BD19" si="24">AVERAGE(AZ12:BB12)</f>
        <v>-1.1390707171340575E-2</v>
      </c>
      <c r="BE12" s="73">
        <f t="shared" ref="BE12:BE19" si="25">STDEV(AZ12:BB12)</f>
        <v>8.1059096623924409E-2</v>
      </c>
      <c r="BF12" s="73">
        <f t="shared" ref="BF12:BF19" si="26">BE12/1.732</f>
        <v>4.6800864101572984E-2</v>
      </c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</row>
    <row r="13" spans="7:93">
      <c r="G13" s="73"/>
      <c r="H13" s="73"/>
      <c r="I13" s="73">
        <v>4</v>
      </c>
      <c r="J13" s="73">
        <v>274.93700000000001</v>
      </c>
      <c r="K13" s="73">
        <v>232.80199999999999</v>
      </c>
      <c r="L13" s="73">
        <v>144.49600000000001</v>
      </c>
      <c r="M13" s="73"/>
      <c r="N13" s="73">
        <f t="shared" si="0"/>
        <v>42.365000000000009</v>
      </c>
      <c r="O13" s="73">
        <f t="shared" si="1"/>
        <v>-50.337999999999994</v>
      </c>
      <c r="P13" s="73">
        <f t="shared" si="2"/>
        <v>-80.34099999999998</v>
      </c>
      <c r="Q13" s="73"/>
      <c r="R13" s="73">
        <f t="shared" si="3"/>
        <v>3.2974260384965641E-2</v>
      </c>
      <c r="S13" s="73">
        <f t="shared" si="4"/>
        <v>-3.9179943804045797E-2</v>
      </c>
      <c r="T13" s="73">
        <f t="shared" si="5"/>
        <v>-6.2532398290771243E-2</v>
      </c>
      <c r="U13" s="73"/>
      <c r="V13" s="73">
        <f t="shared" si="6"/>
        <v>-2.2912693903283803E-2</v>
      </c>
      <c r="W13" s="73">
        <f t="shared" si="7"/>
        <v>4.9788030964794221E-2</v>
      </c>
      <c r="X13" s="73">
        <f t="shared" si="8"/>
        <v>2.874597630761791E-2</v>
      </c>
      <c r="Y13" s="73"/>
      <c r="Z13" s="73">
        <v>4</v>
      </c>
      <c r="AA13" s="73">
        <v>280.33699999999999</v>
      </c>
      <c r="AB13" s="73">
        <v>272.41800000000001</v>
      </c>
      <c r="AC13" s="73">
        <v>298.32</v>
      </c>
      <c r="AD13" s="73"/>
      <c r="AE13" s="73">
        <f t="shared" si="9"/>
        <v>60.753999999999991</v>
      </c>
      <c r="AF13" s="73">
        <f t="shared" si="10"/>
        <v>-1.4440000000000168</v>
      </c>
      <c r="AG13" s="73">
        <f t="shared" si="11"/>
        <v>28.310000000000002</v>
      </c>
      <c r="AH13" s="73"/>
      <c r="AI13" s="73">
        <f t="shared" si="12"/>
        <v>4.7287105285688705E-2</v>
      </c>
      <c r="AJ13" s="73">
        <f t="shared" si="13"/>
        <v>-1.1239190840526599E-3</v>
      </c>
      <c r="AK13" s="73">
        <f t="shared" si="14"/>
        <v>2.2034729411032156E-2</v>
      </c>
      <c r="AL13" s="73"/>
      <c r="AM13" s="73">
        <f t="shared" si="15"/>
        <v>2.2732638537556065E-2</v>
      </c>
      <c r="AN13" s="73">
        <f t="shared" si="16"/>
        <v>2.4213056973327162E-2</v>
      </c>
      <c r="AO13" s="73">
        <f t="shared" si="17"/>
        <v>1.3979825042336698E-2</v>
      </c>
      <c r="AP13" s="73"/>
      <c r="AQ13" s="73">
        <v>4</v>
      </c>
      <c r="AR13" s="73">
        <v>128.499</v>
      </c>
      <c r="AS13" s="73">
        <v>296.447</v>
      </c>
      <c r="AT13" s="73">
        <v>275.72399999999999</v>
      </c>
      <c r="AU13" s="73"/>
      <c r="AV13" s="73">
        <f t="shared" si="20"/>
        <v>-138.29999999999998</v>
      </c>
      <c r="AW13" s="73">
        <f t="shared" si="21"/>
        <v>13.213000000000022</v>
      </c>
      <c r="AX13" s="73">
        <f t="shared" si="22"/>
        <v>57.942999999999984</v>
      </c>
      <c r="AY13" s="73"/>
      <c r="AZ13" s="73">
        <f t="shared" si="23"/>
        <v>-0.10764405077872648</v>
      </c>
      <c r="BA13" s="73">
        <f t="shared" si="23"/>
        <v>1.0284170954008066E-2</v>
      </c>
      <c r="BB13" s="73">
        <f t="shared" si="23"/>
        <v>4.5099199090902001E-2</v>
      </c>
      <c r="BC13" s="73"/>
      <c r="BD13" s="73">
        <f t="shared" si="24"/>
        <v>-1.7420226911272138E-2</v>
      </c>
      <c r="BE13" s="73">
        <f t="shared" si="25"/>
        <v>8.0051704172942176E-2</v>
      </c>
      <c r="BF13" s="73">
        <f t="shared" si="26"/>
        <v>4.6219228737264535E-2</v>
      </c>
      <c r="BH13" s="73">
        <v>4</v>
      </c>
      <c r="BI13" s="73">
        <v>360.33699999999999</v>
      </c>
      <c r="BJ13" s="73">
        <v>451.375</v>
      </c>
      <c r="BK13" s="73">
        <v>328.88499999999999</v>
      </c>
      <c r="BL13" s="73"/>
      <c r="BM13" s="73">
        <f>BI13-375.813</f>
        <v>-15.475999999999999</v>
      </c>
      <c r="BN13" s="73">
        <f>BJ13-415.826</f>
        <v>35.548999999999978</v>
      </c>
      <c r="BO13" s="73">
        <f>BK13-420.877</f>
        <v>-91.992000000000019</v>
      </c>
      <c r="BP13" s="73"/>
      <c r="BQ13" s="73">
        <f>BM13/1322.21</f>
        <v>-1.1704646009332858E-2</v>
      </c>
      <c r="BR13" s="73">
        <f>BN13/1322.21</f>
        <v>2.6886046845811161E-2</v>
      </c>
      <c r="BS13" s="73">
        <f>BO13/1322.21</f>
        <v>-6.9574424637538684E-2</v>
      </c>
      <c r="BT13" s="73"/>
      <c r="BU13" s="73">
        <f>AVERAGE(BQ13:BS13)</f>
        <v>-1.8131007933686796E-2</v>
      </c>
      <c r="BV13" s="73">
        <f>STDEV(BQ13:BS13)</f>
        <v>4.8550275337886882E-2</v>
      </c>
      <c r="BW13" s="73">
        <f>BV13/1.732</f>
        <v>2.8031336800165636E-2</v>
      </c>
      <c r="BX13" s="73"/>
      <c r="BY13" s="73">
        <v>2</v>
      </c>
      <c r="BZ13" s="73"/>
      <c r="CA13" s="73">
        <v>235.58699999999999</v>
      </c>
      <c r="CB13" s="73">
        <v>229.06</v>
      </c>
      <c r="CC13" s="73">
        <v>216.4</v>
      </c>
      <c r="CD13" s="73"/>
      <c r="CE13" s="73">
        <f>CA13-229.802</f>
        <v>5.7849999999999966</v>
      </c>
      <c r="CF13" s="73">
        <f>CB13-236.785</f>
        <v>-7.7249999999999943</v>
      </c>
      <c r="CG13" s="73">
        <f>CC13-227.128</f>
        <v>-10.72799999999998</v>
      </c>
      <c r="CH13" s="73"/>
      <c r="CI13" s="73">
        <f>CE13/1284.79</f>
        <v>4.5026813720530174E-3</v>
      </c>
      <c r="CJ13" s="73">
        <f>CF13/1284.79</f>
        <v>-6.0126557647553255E-3</v>
      </c>
      <c r="CK13" s="73">
        <f>CG13/1284.79</f>
        <v>-8.350002724180591E-3</v>
      </c>
      <c r="CL13" s="73"/>
      <c r="CM13" s="73">
        <f>AVERAGE(CI13:CK13)</f>
        <v>-3.2866590389609659E-3</v>
      </c>
      <c r="CN13" s="73">
        <f>STDEV(CI13:CK13)</f>
        <v>6.8462519476846073E-3</v>
      </c>
      <c r="CO13" s="73">
        <f>CN13/1.732</f>
        <v>3.9528013554761014E-3</v>
      </c>
    </row>
    <row r="14" spans="7:93">
      <c r="G14" s="73"/>
      <c r="H14" s="73"/>
      <c r="I14" s="73">
        <v>5</v>
      </c>
      <c r="J14" s="73">
        <v>229.53800000000001</v>
      </c>
      <c r="K14" s="73">
        <v>122.794</v>
      </c>
      <c r="L14" s="73">
        <v>273.51900000000001</v>
      </c>
      <c r="M14" s="73"/>
      <c r="N14" s="73">
        <f t="shared" si="0"/>
        <v>-3.0339999999999918</v>
      </c>
      <c r="O14" s="73">
        <f t="shared" si="1"/>
        <v>-160.346</v>
      </c>
      <c r="P14" s="73">
        <f t="shared" si="2"/>
        <v>48.682000000000016</v>
      </c>
      <c r="Q14" s="73"/>
      <c r="R14" s="73">
        <f t="shared" si="3"/>
        <v>-2.3614754162158734E-3</v>
      </c>
      <c r="S14" s="73">
        <f t="shared" si="4"/>
        <v>-0.12480327524342501</v>
      </c>
      <c r="T14" s="73">
        <f t="shared" si="5"/>
        <v>3.7891017209038064E-2</v>
      </c>
      <c r="U14" s="73"/>
      <c r="V14" s="73">
        <f t="shared" si="6"/>
        <v>-2.9757911150200943E-2</v>
      </c>
      <c r="W14" s="73">
        <f t="shared" si="7"/>
        <v>8.4736542986757937E-2</v>
      </c>
      <c r="X14" s="73">
        <f t="shared" si="8"/>
        <v>4.8924101031615437E-2</v>
      </c>
      <c r="Y14" s="73"/>
      <c r="Z14" s="73">
        <v>5</v>
      </c>
      <c r="AA14" s="73">
        <v>213.452</v>
      </c>
      <c r="AB14" s="73">
        <v>211.34100000000001</v>
      </c>
      <c r="AC14" s="73">
        <v>232.375</v>
      </c>
      <c r="AD14" s="73"/>
      <c r="AE14" s="73">
        <f t="shared" si="9"/>
        <v>-6.1310000000000002</v>
      </c>
      <c r="AF14" s="73">
        <f t="shared" si="10"/>
        <v>-62.521000000000015</v>
      </c>
      <c r="AG14" s="73">
        <f t="shared" si="11"/>
        <v>-37.634999999999991</v>
      </c>
      <c r="AH14" s="73"/>
      <c r="AI14" s="73">
        <f t="shared" si="12"/>
        <v>-4.7719860833287933E-3</v>
      </c>
      <c r="AJ14" s="73">
        <f t="shared" si="13"/>
        <v>-4.8662427322753145E-2</v>
      </c>
      <c r="AK14" s="73">
        <f t="shared" si="14"/>
        <v>-2.929272488110897E-2</v>
      </c>
      <c r="AL14" s="73"/>
      <c r="AM14" s="73">
        <f t="shared" si="15"/>
        <v>-2.7575712762396971E-2</v>
      </c>
      <c r="AN14" s="73">
        <f t="shared" si="16"/>
        <v>2.1995540593713378E-2</v>
      </c>
      <c r="AO14" s="73">
        <f t="shared" si="17"/>
        <v>1.2699503806993867E-2</v>
      </c>
      <c r="AP14" s="73"/>
      <c r="AQ14" s="73">
        <v>5</v>
      </c>
      <c r="AR14" s="73">
        <v>278.77499999999998</v>
      </c>
      <c r="AS14" s="73">
        <v>312.38299999999998</v>
      </c>
      <c r="AT14" s="73">
        <v>291.61200000000002</v>
      </c>
      <c r="AU14" s="73"/>
      <c r="AV14" s="73">
        <f t="shared" si="20"/>
        <v>11.975999999999999</v>
      </c>
      <c r="AW14" s="73">
        <f t="shared" si="21"/>
        <v>29.149000000000001</v>
      </c>
      <c r="AX14" s="73">
        <f t="shared" si="22"/>
        <v>73.831000000000017</v>
      </c>
      <c r="AY14" s="73"/>
      <c r="AZ14" s="73">
        <f t="shared" si="23"/>
        <v>9.321367694331369E-3</v>
      </c>
      <c r="BA14" s="73">
        <f t="shared" si="23"/>
        <v>2.2687754419010112E-2</v>
      </c>
      <c r="BB14" s="73">
        <f t="shared" si="23"/>
        <v>5.7465422364744445E-2</v>
      </c>
      <c r="BC14" s="73"/>
      <c r="BD14" s="73">
        <f t="shared" si="24"/>
        <v>2.9824848159361973E-2</v>
      </c>
      <c r="BE14" s="73">
        <f t="shared" si="25"/>
        <v>2.4852888772149979E-2</v>
      </c>
      <c r="BF14" s="73">
        <f t="shared" si="26"/>
        <v>1.4349242940040405E-2</v>
      </c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</row>
    <row r="15" spans="7:93">
      <c r="G15" s="73"/>
      <c r="H15" s="73"/>
      <c r="I15" s="73">
        <v>6</v>
      </c>
      <c r="J15" s="73">
        <v>289.61399999999998</v>
      </c>
      <c r="K15" s="73">
        <v>355.13499999999999</v>
      </c>
      <c r="L15" s="73">
        <v>379.024</v>
      </c>
      <c r="M15" s="73"/>
      <c r="N15" s="73">
        <f t="shared" si="0"/>
        <v>57.041999999999973</v>
      </c>
      <c r="O15" s="73">
        <f t="shared" si="1"/>
        <v>71.995000000000005</v>
      </c>
      <c r="P15" s="73">
        <f t="shared" si="2"/>
        <v>154.18700000000001</v>
      </c>
      <c r="Q15" s="73"/>
      <c r="R15" s="73">
        <f t="shared" si="3"/>
        <v>4.4397917169342833E-2</v>
      </c>
      <c r="S15" s="73">
        <f t="shared" si="4"/>
        <v>5.6036395052888023E-2</v>
      </c>
      <c r="T15" s="73">
        <f t="shared" si="5"/>
        <v>0.12000949571525309</v>
      </c>
      <c r="U15" s="73"/>
      <c r="V15" s="73">
        <f t="shared" si="6"/>
        <v>7.3481269312494643E-2</v>
      </c>
      <c r="W15" s="73">
        <f t="shared" si="7"/>
        <v>4.0712656889488344E-2</v>
      </c>
      <c r="X15" s="73">
        <f t="shared" si="8"/>
        <v>2.3506152938503663E-2</v>
      </c>
      <c r="Y15" s="73"/>
      <c r="Z15" s="73">
        <v>6</v>
      </c>
      <c r="AA15" s="73">
        <v>194.26</v>
      </c>
      <c r="AB15" s="73">
        <v>227.30500000000001</v>
      </c>
      <c r="AC15" s="73">
        <v>287.89699999999999</v>
      </c>
      <c r="AD15" s="73"/>
      <c r="AE15" s="73">
        <f t="shared" si="9"/>
        <v>-25.323000000000008</v>
      </c>
      <c r="AF15" s="73">
        <f t="shared" si="10"/>
        <v>-46.557000000000016</v>
      </c>
      <c r="AG15" s="73">
        <f t="shared" si="11"/>
        <v>17.887</v>
      </c>
      <c r="AH15" s="73"/>
      <c r="AI15" s="73">
        <f t="shared" si="12"/>
        <v>-1.9709835848660099E-2</v>
      </c>
      <c r="AJ15" s="73">
        <f t="shared" si="13"/>
        <v>-3.6237050412907958E-2</v>
      </c>
      <c r="AK15" s="73">
        <f t="shared" si="14"/>
        <v>1.3922119568178458E-2</v>
      </c>
      <c r="AL15" s="73"/>
      <c r="AM15" s="73">
        <f t="shared" si="15"/>
        <v>-1.4008255564463201E-2</v>
      </c>
      <c r="AN15" s="73">
        <f t="shared" si="16"/>
        <v>2.5561036688693538E-2</v>
      </c>
      <c r="AO15" s="73">
        <f t="shared" si="17"/>
        <v>1.4758104323726061E-2</v>
      </c>
      <c r="AP15" s="73"/>
      <c r="AQ15" s="73">
        <v>6</v>
      </c>
      <c r="AR15" s="73">
        <v>222.92400000000001</v>
      </c>
      <c r="AS15" s="73">
        <v>199.37</v>
      </c>
      <c r="AT15" s="73">
        <v>354.49099999999999</v>
      </c>
      <c r="AU15" s="73"/>
      <c r="AV15" s="73">
        <f t="shared" si="20"/>
        <v>-43.874999999999972</v>
      </c>
      <c r="AW15" s="73">
        <f t="shared" si="21"/>
        <v>-83.863999999999976</v>
      </c>
      <c r="AX15" s="73">
        <f t="shared" si="22"/>
        <v>136.70999999999998</v>
      </c>
      <c r="AY15" s="73"/>
      <c r="AZ15" s="73">
        <f t="shared" si="23"/>
        <v>-3.4149549731862773E-2</v>
      </c>
      <c r="BA15" s="73">
        <f t="shared" si="23"/>
        <v>-6.5274480654425995E-2</v>
      </c>
      <c r="BB15" s="73">
        <f t="shared" si="23"/>
        <v>0.10640649444656324</v>
      </c>
      <c r="BC15" s="73"/>
      <c r="BD15" s="73">
        <f t="shared" si="24"/>
        <v>2.3274880200914866E-3</v>
      </c>
      <c r="BE15" s="73">
        <f t="shared" si="25"/>
        <v>9.146868324882973E-2</v>
      </c>
      <c r="BF15" s="73">
        <f t="shared" si="26"/>
        <v>5.2811018042049497E-2</v>
      </c>
      <c r="BH15" s="73">
        <v>5</v>
      </c>
      <c r="BI15" s="73">
        <v>400.26</v>
      </c>
      <c r="BJ15" s="73">
        <v>392.18700000000001</v>
      </c>
      <c r="BK15" s="73">
        <v>294.33699999999999</v>
      </c>
      <c r="BL15" s="73"/>
      <c r="BM15" s="73">
        <f>BI15-375.813</f>
        <v>24.447000000000003</v>
      </c>
      <c r="BN15" s="73">
        <f>BJ15-415.826</f>
        <v>-23.63900000000001</v>
      </c>
      <c r="BO15" s="73">
        <f>BK15-420.877</f>
        <v>-126.54000000000002</v>
      </c>
      <c r="BP15" s="73"/>
      <c r="BQ15" s="73">
        <f>BM15/1322.21</f>
        <v>1.8489498642424426E-2</v>
      </c>
      <c r="BR15" s="73">
        <f>BN15/1322.21</f>
        <v>-1.7878400556643807E-2</v>
      </c>
      <c r="BS15" s="73">
        <f>BO15/1322.21</f>
        <v>-9.5703405661733021E-2</v>
      </c>
      <c r="BT15" s="73"/>
      <c r="BU15" s="73">
        <f>AVERAGE(BQ15:BS15)</f>
        <v>-3.1697435858650799E-2</v>
      </c>
      <c r="BV15" s="73">
        <f>STDEV(BQ15:BS15)</f>
        <v>5.8337202117201357E-2</v>
      </c>
      <c r="BW15" s="73">
        <f>BV15/1.732</f>
        <v>3.3681987365589701E-2</v>
      </c>
      <c r="BX15" s="73"/>
      <c r="BY15" s="73">
        <v>3</v>
      </c>
      <c r="BZ15" s="73"/>
      <c r="CA15" s="73">
        <v>251.392</v>
      </c>
      <c r="CB15" s="73">
        <v>250.28399999999999</v>
      </c>
      <c r="CC15" s="73">
        <v>243.065</v>
      </c>
      <c r="CD15" s="73"/>
      <c r="CE15" s="73">
        <f>CA15-229.802</f>
        <v>21.590000000000003</v>
      </c>
      <c r="CF15" s="73">
        <f>CB15-236.785</f>
        <v>13.498999999999995</v>
      </c>
      <c r="CG15" s="73">
        <f>CC15-227.128</f>
        <v>15.937000000000012</v>
      </c>
      <c r="CH15" s="73"/>
      <c r="CI15" s="73">
        <f>CE15/1284.79</f>
        <v>1.680430264868189E-2</v>
      </c>
      <c r="CJ15" s="73">
        <f>CF15/1284.79</f>
        <v>1.0506775426334261E-2</v>
      </c>
      <c r="CK15" s="73">
        <f>CG15/1284.79</f>
        <v>1.2404361802317899E-2</v>
      </c>
      <c r="CL15" s="73"/>
      <c r="CM15" s="73">
        <f>AVERAGE(CI15:CK15)</f>
        <v>1.3238479959111349E-2</v>
      </c>
      <c r="CN15" s="73">
        <f>STDEV(CI15:CK15)</f>
        <v>3.2305614223648092E-3</v>
      </c>
      <c r="CO15" s="73">
        <f>CN15/1.732</f>
        <v>1.8652202207649015E-3</v>
      </c>
    </row>
    <row r="16" spans="7:93">
      <c r="G16" s="73"/>
      <c r="H16" s="73"/>
      <c r="I16" s="73">
        <v>7</v>
      </c>
      <c r="J16" s="73">
        <v>246.994</v>
      </c>
      <c r="K16" s="73">
        <v>223.82300000000001</v>
      </c>
      <c r="L16" s="73">
        <v>262.52100000000002</v>
      </c>
      <c r="M16" s="73"/>
      <c r="N16" s="73">
        <f t="shared" si="0"/>
        <v>14.421999999999997</v>
      </c>
      <c r="O16" s="73">
        <f t="shared" si="1"/>
        <v>-59.316999999999979</v>
      </c>
      <c r="P16" s="73">
        <f t="shared" si="2"/>
        <v>37.684000000000026</v>
      </c>
      <c r="Q16" s="73"/>
      <c r="R16" s="73">
        <f t="shared" si="3"/>
        <v>1.1225180768841599E-2</v>
      </c>
      <c r="S16" s="73">
        <f t="shared" si="4"/>
        <v>-4.6168634562846832E-2</v>
      </c>
      <c r="T16" s="73">
        <f t="shared" si="5"/>
        <v>2.9330863409584466E-2</v>
      </c>
      <c r="U16" s="73"/>
      <c r="V16" s="73">
        <f t="shared" si="6"/>
        <v>-1.87086346147359E-3</v>
      </c>
      <c r="W16" s="73">
        <f t="shared" si="7"/>
        <v>3.9416663092961948E-2</v>
      </c>
      <c r="X16" s="73">
        <f t="shared" si="8"/>
        <v>2.2757888621802509E-2</v>
      </c>
      <c r="Y16" s="73"/>
      <c r="Z16" s="73">
        <v>7</v>
      </c>
      <c r="AA16" s="73">
        <v>275.01900000000001</v>
      </c>
      <c r="AB16" s="73">
        <v>290.18599999999998</v>
      </c>
      <c r="AC16" s="73">
        <v>246.684</v>
      </c>
      <c r="AD16" s="73"/>
      <c r="AE16" s="73">
        <f t="shared" si="9"/>
        <v>55.436000000000007</v>
      </c>
      <c r="AF16" s="73">
        <f t="shared" si="10"/>
        <v>16.323999999999955</v>
      </c>
      <c r="AG16" s="73">
        <f t="shared" si="11"/>
        <v>-23.325999999999993</v>
      </c>
      <c r="AH16" s="73"/>
      <c r="AI16" s="73">
        <f t="shared" si="12"/>
        <v>4.3147907440126407E-2</v>
      </c>
      <c r="AJ16" s="73">
        <f t="shared" si="13"/>
        <v>1.270557834354249E-2</v>
      </c>
      <c r="AK16" s="73">
        <f t="shared" si="14"/>
        <v>-1.8155496228955702E-2</v>
      </c>
      <c r="AL16" s="73"/>
      <c r="AM16" s="73">
        <f t="shared" si="15"/>
        <v>1.2565996518237732E-2</v>
      </c>
      <c r="AN16" s="73">
        <f t="shared" si="16"/>
        <v>3.0651940194187939E-2</v>
      </c>
      <c r="AO16" s="73">
        <f t="shared" si="17"/>
        <v>1.7697425054381027E-2</v>
      </c>
      <c r="AP16" s="73"/>
      <c r="AQ16" s="73">
        <v>7</v>
      </c>
      <c r="AR16" s="73">
        <v>287.28399999999999</v>
      </c>
      <c r="AS16" s="73">
        <v>343.94299999999998</v>
      </c>
      <c r="AT16" s="73">
        <v>291.09500000000003</v>
      </c>
      <c r="AU16" s="73"/>
      <c r="AV16" s="73">
        <f t="shared" si="20"/>
        <v>20.485000000000014</v>
      </c>
      <c r="AW16" s="73">
        <f t="shared" si="21"/>
        <v>60.709000000000003</v>
      </c>
      <c r="AX16" s="73">
        <f t="shared" si="22"/>
        <v>73.314000000000021</v>
      </c>
      <c r="AY16" s="73"/>
      <c r="AZ16" s="73">
        <f t="shared" si="23"/>
        <v>1.5944239914694243E-2</v>
      </c>
      <c r="BA16" s="73">
        <f t="shared" si="23"/>
        <v>4.7252080106476552E-2</v>
      </c>
      <c r="BB16" s="73">
        <f t="shared" si="23"/>
        <v>5.7063021972462442E-2</v>
      </c>
      <c r="BC16" s="73"/>
      <c r="BD16" s="73">
        <f t="shared" si="24"/>
        <v>4.0086447331211077E-2</v>
      </c>
      <c r="BE16" s="73">
        <f t="shared" si="25"/>
        <v>2.147552745058964E-2</v>
      </c>
      <c r="BF16" s="73">
        <f t="shared" si="26"/>
        <v>1.2399265271703026E-2</v>
      </c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</row>
    <row r="17" spans="7:93">
      <c r="G17" s="73"/>
      <c r="H17" s="73"/>
      <c r="I17" s="73">
        <v>8</v>
      </c>
      <c r="J17" s="73">
        <v>209.36</v>
      </c>
      <c r="K17" s="73">
        <v>348.11599999999999</v>
      </c>
      <c r="L17" s="73">
        <v>387.40100000000001</v>
      </c>
      <c r="M17" s="73"/>
      <c r="N17" s="73">
        <f t="shared" si="0"/>
        <v>-23.211999999999989</v>
      </c>
      <c r="O17" s="73">
        <f t="shared" si="1"/>
        <v>64.975999999999999</v>
      </c>
      <c r="P17" s="73">
        <f t="shared" si="2"/>
        <v>162.56400000000002</v>
      </c>
      <c r="Q17" s="73"/>
      <c r="R17" s="73">
        <f t="shared" si="3"/>
        <v>-1.8066765774951539E-2</v>
      </c>
      <c r="S17" s="73">
        <f t="shared" si="4"/>
        <v>5.0573245433105797E-2</v>
      </c>
      <c r="T17" s="73">
        <f t="shared" si="5"/>
        <v>0.12652962740992693</v>
      </c>
      <c r="U17" s="73"/>
      <c r="V17" s="73">
        <f t="shared" si="6"/>
        <v>5.3012035689360394E-2</v>
      </c>
      <c r="W17" s="73">
        <f t="shared" si="7"/>
        <v>7.2329039838466641E-2</v>
      </c>
      <c r="X17" s="73">
        <f t="shared" si="8"/>
        <v>4.1760415611123924E-2</v>
      </c>
      <c r="Y17" s="73"/>
      <c r="Z17" s="73">
        <v>8</v>
      </c>
      <c r="AA17" s="73">
        <v>346.28500000000003</v>
      </c>
      <c r="AB17" s="73">
        <v>207.292</v>
      </c>
      <c r="AC17" s="73">
        <v>336.77300000000002</v>
      </c>
      <c r="AD17" s="73"/>
      <c r="AE17" s="73">
        <f t="shared" si="9"/>
        <v>126.70200000000003</v>
      </c>
      <c r="AF17" s="73">
        <f t="shared" si="10"/>
        <v>-66.570000000000022</v>
      </c>
      <c r="AG17" s="73">
        <f t="shared" si="11"/>
        <v>66.763000000000034</v>
      </c>
      <c r="AH17" s="73"/>
      <c r="AI17" s="73">
        <f t="shared" si="12"/>
        <v>9.8616894589777335E-2</v>
      </c>
      <c r="AJ17" s="73">
        <f t="shared" si="13"/>
        <v>-5.1813915114532351E-2</v>
      </c>
      <c r="AK17" s="73">
        <f t="shared" si="14"/>
        <v>5.1964134216486768E-2</v>
      </c>
      <c r="AL17" s="73"/>
      <c r="AM17" s="73">
        <f t="shared" si="15"/>
        <v>3.2922371230577251E-2</v>
      </c>
      <c r="AN17" s="73">
        <f t="shared" si="16"/>
        <v>7.7001939457926799E-2</v>
      </c>
      <c r="AO17" s="73">
        <f t="shared" si="17"/>
        <v>4.4458394606193302E-2</v>
      </c>
      <c r="AP17" s="73"/>
      <c r="AQ17" s="73">
        <v>8</v>
      </c>
      <c r="AR17" s="73">
        <v>188.179</v>
      </c>
      <c r="AS17" s="73">
        <v>185.68299999999999</v>
      </c>
      <c r="AT17" s="73">
        <v>387.40100000000001</v>
      </c>
      <c r="AU17" s="73"/>
      <c r="AV17" s="73">
        <f t="shared" si="20"/>
        <v>-78.619999999999976</v>
      </c>
      <c r="AW17" s="73">
        <f t="shared" si="21"/>
        <v>-97.550999999999988</v>
      </c>
      <c r="AX17" s="73">
        <f t="shared" si="22"/>
        <v>169.62</v>
      </c>
      <c r="AY17" s="73"/>
      <c r="AZ17" s="73">
        <f t="shared" si="23"/>
        <v>-6.1192879770234805E-2</v>
      </c>
      <c r="BA17" s="73">
        <f t="shared" si="23"/>
        <v>-7.5927583496135542E-2</v>
      </c>
      <c r="BB17" s="73">
        <f t="shared" si="23"/>
        <v>0.1320215755103947</v>
      </c>
      <c r="BC17" s="73"/>
      <c r="BD17" s="73">
        <f t="shared" si="24"/>
        <v>-1.6996292519918799E-3</v>
      </c>
      <c r="BE17" s="73">
        <f t="shared" si="25"/>
        <v>0.11604007206909434</v>
      </c>
      <c r="BF17" s="73">
        <f t="shared" si="26"/>
        <v>6.6997732141509433E-2</v>
      </c>
      <c r="BH17" s="73">
        <v>6</v>
      </c>
      <c r="BI17" s="73">
        <v>408.17599999999999</v>
      </c>
      <c r="BJ17" s="73">
        <v>424.04399999999998</v>
      </c>
      <c r="BK17" s="73">
        <v>501.22800000000001</v>
      </c>
      <c r="BL17" s="73"/>
      <c r="BM17" s="73">
        <f>BI17-375.813</f>
        <v>32.363</v>
      </c>
      <c r="BN17" s="73">
        <f>BJ17-415.826</f>
        <v>8.2179999999999609</v>
      </c>
      <c r="BO17" s="73">
        <f>BK17-420.877</f>
        <v>80.350999999999999</v>
      </c>
      <c r="BP17" s="73"/>
      <c r="BQ17" s="73">
        <f>BM17/1322.21</f>
        <v>2.4476444740245497E-2</v>
      </c>
      <c r="BR17" s="73">
        <f>BN17/1322.21</f>
        <v>6.215351570476672E-3</v>
      </c>
      <c r="BS17" s="73">
        <f>BO17/1322.21</f>
        <v>6.0770225607127457E-2</v>
      </c>
      <c r="BT17" s="73"/>
      <c r="BU17" s="73">
        <f>AVERAGE(BQ17:BS17)</f>
        <v>3.0487340639283211E-2</v>
      </c>
      <c r="BV17" s="73">
        <f>STDEV(BQ17:BS17)</f>
        <v>2.7769708720483718E-2</v>
      </c>
      <c r="BW17" s="73">
        <f>BV17/1.732</f>
        <v>1.603331912268113E-2</v>
      </c>
      <c r="BX17" s="73"/>
      <c r="BY17" s="73">
        <v>4</v>
      </c>
      <c r="BZ17" s="73"/>
      <c r="CA17" s="73">
        <v>255.863</v>
      </c>
      <c r="CB17" s="73">
        <v>244.614</v>
      </c>
      <c r="CC17" s="73">
        <v>218.42</v>
      </c>
      <c r="CD17" s="73"/>
      <c r="CE17" s="73">
        <f>CA17-229.802</f>
        <v>26.061000000000007</v>
      </c>
      <c r="CF17" s="73">
        <f>CB17-236.785</f>
        <v>7.8290000000000077</v>
      </c>
      <c r="CG17" s="73">
        <f>CC17-227.128</f>
        <v>-8.7079999999999984</v>
      </c>
      <c r="CH17" s="73"/>
      <c r="CI17" s="73">
        <f>CE17/1284.79</f>
        <v>2.0284248787739635E-2</v>
      </c>
      <c r="CJ17" s="73">
        <f>CF17/1284.79</f>
        <v>6.0936028456012332E-3</v>
      </c>
      <c r="CK17" s="73">
        <f>CG17/1284.79</f>
        <v>-6.7777613462122206E-3</v>
      </c>
      <c r="CL17" s="73"/>
      <c r="CM17" s="73">
        <f>AVERAGE(CI17:CK17)</f>
        <v>6.5333634290428823E-3</v>
      </c>
      <c r="CN17" s="73">
        <f>STDEV(CI17:CK17)</f>
        <v>1.3536363623609923E-2</v>
      </c>
      <c r="CO17" s="73">
        <f>CN17/1.732</f>
        <v>7.8154524385738583E-3</v>
      </c>
    </row>
    <row r="18" spans="7:93">
      <c r="G18" s="73"/>
      <c r="H18" s="73"/>
      <c r="I18" s="73">
        <v>9</v>
      </c>
      <c r="J18" s="73">
        <v>206.309</v>
      </c>
      <c r="K18" s="73">
        <v>338.154</v>
      </c>
      <c r="L18" s="73">
        <v>364.22300000000001</v>
      </c>
      <c r="M18" s="73"/>
      <c r="N18" s="73">
        <f t="shared" si="0"/>
        <v>-26.263000000000005</v>
      </c>
      <c r="O18" s="73">
        <f t="shared" si="1"/>
        <v>55.01400000000001</v>
      </c>
      <c r="P18" s="73">
        <f t="shared" si="2"/>
        <v>139.38600000000002</v>
      </c>
      <c r="Q18" s="73"/>
      <c r="R18" s="73">
        <f t="shared" si="3"/>
        <v>-2.0441472925536473E-2</v>
      </c>
      <c r="S18" s="73">
        <f t="shared" si="4"/>
        <v>4.2819449092847871E-2</v>
      </c>
      <c r="T18" s="73">
        <f t="shared" si="5"/>
        <v>0.10848932510371347</v>
      </c>
      <c r="U18" s="73"/>
      <c r="V18" s="73">
        <f t="shared" si="6"/>
        <v>4.3622433757008285E-2</v>
      </c>
      <c r="W18" s="73">
        <f t="shared" si="7"/>
        <v>6.4469149663951425E-2</v>
      </c>
      <c r="X18" s="73">
        <f t="shared" si="8"/>
        <v>3.7222372785191353E-2</v>
      </c>
      <c r="Y18" s="73"/>
      <c r="Z18" s="73">
        <v>9</v>
      </c>
      <c r="AA18" s="73">
        <v>361.62799999999999</v>
      </c>
      <c r="AB18" s="73">
        <v>274.15100000000001</v>
      </c>
      <c r="AC18" s="73">
        <v>261.89800000000002</v>
      </c>
      <c r="AD18" s="73"/>
      <c r="AE18" s="73">
        <f t="shared" si="9"/>
        <v>142.04499999999999</v>
      </c>
      <c r="AF18" s="73">
        <f t="shared" si="10"/>
        <v>0.28899999999998727</v>
      </c>
      <c r="AG18" s="73">
        <f t="shared" si="11"/>
        <v>-8.1119999999999663</v>
      </c>
      <c r="AH18" s="73"/>
      <c r="AI18" s="73">
        <f t="shared" si="12"/>
        <v>0.1105589240264946</v>
      </c>
      <c r="AJ18" s="73">
        <f t="shared" si="13"/>
        <v>2.2493948427368464E-4</v>
      </c>
      <c r="AK18" s="73">
        <f t="shared" si="14"/>
        <v>-6.3138723059799392E-3</v>
      </c>
      <c r="AL18" s="73"/>
      <c r="AM18" s="73">
        <f t="shared" si="15"/>
        <v>3.4823330401596117E-2</v>
      </c>
      <c r="AN18" s="73">
        <f t="shared" si="16"/>
        <v>6.5670382374354366E-2</v>
      </c>
      <c r="AO18" s="73">
        <f t="shared" si="17"/>
        <v>3.7915925158403217E-2</v>
      </c>
      <c r="AP18" s="73"/>
      <c r="AQ18" s="73">
        <v>9</v>
      </c>
      <c r="AR18" s="73">
        <v>258.56099999999998</v>
      </c>
      <c r="AS18" s="73">
        <v>362.988</v>
      </c>
      <c r="AT18" s="73">
        <v>395.79399999999998</v>
      </c>
      <c r="AU18" s="73"/>
      <c r="AV18" s="73">
        <f t="shared" si="20"/>
        <v>-8.2379999999999995</v>
      </c>
      <c r="AW18" s="73">
        <f t="shared" si="21"/>
        <v>79.754000000000019</v>
      </c>
      <c r="AX18" s="73">
        <f t="shared" si="22"/>
        <v>178.01299999999998</v>
      </c>
      <c r="AY18" s="73"/>
      <c r="AZ18" s="73">
        <f t="shared" si="23"/>
        <v>-6.4119428077740329E-3</v>
      </c>
      <c r="BA18" s="73">
        <f t="shared" si="23"/>
        <v>6.2075514286381452E-2</v>
      </c>
      <c r="BB18" s="73">
        <f t="shared" si="23"/>
        <v>0.13855416060212172</v>
      </c>
      <c r="BC18" s="73"/>
      <c r="BD18" s="73">
        <f t="shared" si="24"/>
        <v>6.4739244026909712E-2</v>
      </c>
      <c r="BE18" s="73">
        <f t="shared" si="25"/>
        <v>7.2519751630573573E-2</v>
      </c>
      <c r="BF18" s="73">
        <f t="shared" si="26"/>
        <v>4.1870526345596751E-2</v>
      </c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</row>
    <row r="19" spans="7:93">
      <c r="G19" s="73"/>
      <c r="H19" s="73"/>
      <c r="I19" s="73">
        <v>10</v>
      </c>
      <c r="J19" s="73">
        <v>257.24099999999999</v>
      </c>
      <c r="K19" s="73">
        <v>212.06800000000001</v>
      </c>
      <c r="L19" s="73">
        <v>207.47</v>
      </c>
      <c r="M19" s="73"/>
      <c r="N19" s="73">
        <f t="shared" si="0"/>
        <v>24.668999999999983</v>
      </c>
      <c r="O19" s="73">
        <f t="shared" si="1"/>
        <v>-71.071999999999974</v>
      </c>
      <c r="P19" s="73">
        <f t="shared" si="2"/>
        <v>-17.36699999999999</v>
      </c>
      <c r="Q19" s="73"/>
      <c r="R19" s="73">
        <f t="shared" si="3"/>
        <v>1.9200803244109919E-2</v>
      </c>
      <c r="S19" s="73">
        <f t="shared" si="4"/>
        <v>-5.5317989710380669E-2</v>
      </c>
      <c r="T19" s="73">
        <f t="shared" si="5"/>
        <v>-1.3517384163948964E-2</v>
      </c>
      <c r="U19" s="73"/>
      <c r="V19" s="73">
        <f t="shared" si="6"/>
        <v>-1.6544856876739907E-2</v>
      </c>
      <c r="W19" s="73">
        <f t="shared" si="7"/>
        <v>3.7351530345068586E-2</v>
      </c>
      <c r="X19" s="73">
        <f t="shared" si="8"/>
        <v>2.1565548698076552E-2</v>
      </c>
      <c r="Y19" s="73"/>
      <c r="Z19" s="73">
        <v>10</v>
      </c>
      <c r="AA19" s="73">
        <v>288.49200000000002</v>
      </c>
      <c r="AB19" s="73">
        <v>394.53399999999999</v>
      </c>
      <c r="AC19" s="73">
        <v>332.07499999999999</v>
      </c>
      <c r="AD19" s="73"/>
      <c r="AE19" s="73">
        <f t="shared" si="9"/>
        <v>68.90900000000002</v>
      </c>
      <c r="AF19" s="73">
        <f t="shared" si="10"/>
        <v>120.67199999999997</v>
      </c>
      <c r="AG19" s="73">
        <f t="shared" si="11"/>
        <v>62.064999999999998</v>
      </c>
      <c r="AH19" s="73"/>
      <c r="AI19" s="73">
        <f t="shared" si="12"/>
        <v>5.3634446096249212E-2</v>
      </c>
      <c r="AJ19" s="73">
        <f t="shared" si="13"/>
        <v>9.3923520575346919E-2</v>
      </c>
      <c r="AK19" s="73">
        <f t="shared" si="14"/>
        <v>4.8307505506736508E-2</v>
      </c>
      <c r="AL19" s="73"/>
      <c r="AM19" s="73">
        <f t="shared" si="15"/>
        <v>6.5288490726110884E-2</v>
      </c>
      <c r="AN19" s="73">
        <f t="shared" si="16"/>
        <v>2.4941286551840688E-2</v>
      </c>
      <c r="AO19" s="73">
        <f t="shared" si="17"/>
        <v>1.440028091907661E-2</v>
      </c>
      <c r="AP19" s="73"/>
      <c r="AQ19" s="73">
        <v>10</v>
      </c>
      <c r="AR19" s="73">
        <v>322.21100000000001</v>
      </c>
      <c r="AS19" s="73">
        <v>255.67400000000001</v>
      </c>
      <c r="AT19" s="73">
        <v>214.60400000000001</v>
      </c>
      <c r="AU19" s="73"/>
      <c r="AV19" s="73">
        <f t="shared" si="20"/>
        <v>55.412000000000035</v>
      </c>
      <c r="AW19" s="73">
        <f t="shared" si="21"/>
        <v>-27.559999999999974</v>
      </c>
      <c r="AX19" s="73">
        <f t="shared" si="22"/>
        <v>-3.1769999999999925</v>
      </c>
      <c r="AY19" s="73"/>
      <c r="AZ19" s="73">
        <f t="shared" si="23"/>
        <v>4.3129227344546606E-2</v>
      </c>
      <c r="BA19" s="73">
        <f t="shared" si="23"/>
        <v>-2.1450976424162684E-2</v>
      </c>
      <c r="BB19" s="73">
        <f t="shared" si="23"/>
        <v>-2.4727776523789822E-3</v>
      </c>
      <c r="BC19" s="73"/>
      <c r="BD19" s="73">
        <f t="shared" si="24"/>
        <v>6.4018244226683131E-3</v>
      </c>
      <c r="BE19" s="73">
        <f t="shared" si="25"/>
        <v>3.3192161743321701E-2</v>
      </c>
      <c r="BF19" s="73">
        <f t="shared" si="26"/>
        <v>1.9164065671663798E-2</v>
      </c>
      <c r="BH19" s="73">
        <v>7</v>
      </c>
      <c r="BI19" s="73">
        <v>514.03700000000003</v>
      </c>
      <c r="BJ19" s="73">
        <v>493.16699999999997</v>
      </c>
      <c r="BK19" s="73">
        <v>302.298</v>
      </c>
      <c r="BL19" s="73"/>
      <c r="BM19" s="73">
        <f>BI19-375.813</f>
        <v>138.22400000000005</v>
      </c>
      <c r="BN19" s="73">
        <f>BJ19-415.826</f>
        <v>77.340999999999951</v>
      </c>
      <c r="BO19" s="73">
        <f>BK19-420.877</f>
        <v>-118.57900000000001</v>
      </c>
      <c r="BP19" s="73"/>
      <c r="BQ19" s="73">
        <f>BM19/1322.21</f>
        <v>0.10454012600116475</v>
      </c>
      <c r="BR19" s="73">
        <f>BN19/1322.21</f>
        <v>5.8493733975692172E-2</v>
      </c>
      <c r="BS19" s="73">
        <f>BO19/1322.21</f>
        <v>-8.968242563586723E-2</v>
      </c>
      <c r="BT19" s="73"/>
      <c r="BU19" s="73">
        <f>AVERAGE(BQ19:BS19)</f>
        <v>2.4450478113663233E-2</v>
      </c>
      <c r="BV19" s="73">
        <f>STDEV(BQ19:BS19)</f>
        <v>0.10148796649537109</v>
      </c>
      <c r="BW19" s="73">
        <f>BV19/1.732</f>
        <v>5.8595823611646128E-2</v>
      </c>
      <c r="BX19" s="73"/>
      <c r="BY19" s="73">
        <v>5</v>
      </c>
      <c r="BZ19" s="73"/>
      <c r="CA19" s="73">
        <v>248.07499999999999</v>
      </c>
      <c r="CB19" s="73">
        <v>269.78500000000003</v>
      </c>
      <c r="CC19" s="73">
        <v>271.99799999999999</v>
      </c>
      <c r="CD19" s="73"/>
      <c r="CE19" s="73">
        <f>CA19-229.802</f>
        <v>18.272999999999996</v>
      </c>
      <c r="CF19" s="73">
        <f>CB19-236.785</f>
        <v>33.000000000000028</v>
      </c>
      <c r="CG19" s="73">
        <f>CC19-227.128</f>
        <v>44.870000000000005</v>
      </c>
      <c r="CH19" s="73"/>
      <c r="CI19" s="73">
        <f>CE19/1284.79</f>
        <v>1.4222557772087264E-2</v>
      </c>
      <c r="CJ19" s="73">
        <f>CF19/1284.79</f>
        <v>2.56851314222558E-2</v>
      </c>
      <c r="CK19" s="73">
        <f>CG19/1284.79</f>
        <v>3.49239953611096E-2</v>
      </c>
      <c r="CL19" s="73"/>
      <c r="CM19" s="73">
        <f>AVERAGE(CI19:CK19)</f>
        <v>2.4943894851817555E-2</v>
      </c>
      <c r="CN19" s="73">
        <f>STDEV(CI19:CK19)</f>
        <v>1.0370605252494327E-2</v>
      </c>
      <c r="CO19" s="73">
        <f>CN19/1.732</f>
        <v>5.987647374419358E-3</v>
      </c>
    </row>
    <row r="20" spans="7:93"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</row>
    <row r="21" spans="7:93">
      <c r="BH21" s="73">
        <v>8</v>
      </c>
      <c r="BI21" s="73">
        <v>369.97199999999998</v>
      </c>
      <c r="BJ21" s="73">
        <v>567.62199999999996</v>
      </c>
      <c r="BK21" s="73">
        <v>425.41300000000001</v>
      </c>
      <c r="BL21" s="73"/>
      <c r="BM21" s="73">
        <f>BI21-375.813</f>
        <v>-5.8410000000000082</v>
      </c>
      <c r="BN21" s="73">
        <f>BJ21-415.826</f>
        <v>151.79599999999994</v>
      </c>
      <c r="BO21" s="73">
        <f>BK21-420.877</f>
        <v>4.5360000000000014</v>
      </c>
      <c r="BP21" s="73"/>
      <c r="BQ21" s="73">
        <f>BM21/1322.21</f>
        <v>-4.4176038602037554E-3</v>
      </c>
      <c r="BR21" s="73">
        <f>BN21/1322.21</f>
        <v>0.11480475869945012</v>
      </c>
      <c r="BS21" s="73">
        <f>BO21/1322.21</f>
        <v>3.4306199469070734E-3</v>
      </c>
      <c r="BT21" s="73"/>
      <c r="BU21" s="73">
        <f>AVERAGE(BQ21:BS21)</f>
        <v>3.7939258262051141E-2</v>
      </c>
      <c r="BV21" s="73">
        <f>STDEV(BQ21:BS21)</f>
        <v>6.6683037740871268E-2</v>
      </c>
      <c r="BW21" s="73">
        <f>BV21/1.732</f>
        <v>3.8500599157546923E-2</v>
      </c>
      <c r="BX21" s="73"/>
      <c r="BY21" s="73">
        <v>6</v>
      </c>
      <c r="BZ21" s="73"/>
      <c r="CA21" s="73">
        <v>186.16300000000001</v>
      </c>
      <c r="CB21" s="73">
        <v>347.94099999999997</v>
      </c>
      <c r="CC21" s="73">
        <v>215.05699999999999</v>
      </c>
      <c r="CD21" s="73"/>
      <c r="CE21" s="73">
        <f>CA21-229.802</f>
        <v>-43.638999999999982</v>
      </c>
      <c r="CF21" s="73">
        <f>CB21-236.785</f>
        <v>111.15599999999998</v>
      </c>
      <c r="CG21" s="73">
        <f>CC21-227.128</f>
        <v>-12.070999999999998</v>
      </c>
      <c r="CH21" s="73"/>
      <c r="CI21" s="73">
        <f>CE21/1284.79</f>
        <v>-3.3965862125327859E-2</v>
      </c>
      <c r="CJ21" s="73">
        <f>CF21/1284.79</f>
        <v>8.6516862677947351E-2</v>
      </c>
      <c r="CK21" s="73">
        <f>CG21/1284.79</f>
        <v>-9.3953097393348322E-3</v>
      </c>
      <c r="CL21" s="73"/>
      <c r="CM21" s="73">
        <f>AVERAGE(CI21:CK21)</f>
        <v>1.4385230271094887E-2</v>
      </c>
      <c r="CN21" s="73">
        <f>STDEV(CI21:CK21)</f>
        <v>6.3664411615879823E-2</v>
      </c>
      <c r="CO21" s="73">
        <f>CN21/1.732</f>
        <v>3.6757743427182347E-2</v>
      </c>
    </row>
    <row r="22" spans="7:93"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</row>
    <row r="23" spans="7:93">
      <c r="BH23" s="73">
        <v>9</v>
      </c>
      <c r="BI23" s="73">
        <v>409.88</v>
      </c>
      <c r="BJ23" s="73">
        <v>428.50799999999998</v>
      </c>
      <c r="BK23" s="73">
        <v>345.93799999999999</v>
      </c>
      <c r="BL23" s="73"/>
      <c r="BM23" s="73">
        <f>BI23-375.813</f>
        <v>34.067000000000007</v>
      </c>
      <c r="BN23" s="73">
        <f>BJ23-415.826</f>
        <v>12.68199999999996</v>
      </c>
      <c r="BO23" s="73">
        <f>BK23-420.877</f>
        <v>-74.939000000000021</v>
      </c>
      <c r="BP23" s="73"/>
      <c r="BQ23" s="73">
        <f>BM23/1322.21</f>
        <v>2.5765196148871967E-2</v>
      </c>
      <c r="BR23" s="73">
        <f>BN23/1322.21</f>
        <v>9.591517232512203E-3</v>
      </c>
      <c r="BS23" s="73">
        <f>BO23/1322.21</f>
        <v>-5.6677078527616657E-2</v>
      </c>
      <c r="BT23" s="73"/>
      <c r="BU23" s="73">
        <f>AVERAGE(BQ23:BS23)</f>
        <v>-7.1067883820774948E-3</v>
      </c>
      <c r="BV23" s="73">
        <f>STDEV(BQ23:BS23)</f>
        <v>4.3684175867893832E-2</v>
      </c>
      <c r="BW23" s="73">
        <f>BV23/1.732</f>
        <v>2.5221810547282814E-2</v>
      </c>
      <c r="BX23" s="73"/>
      <c r="BY23" s="73">
        <v>7</v>
      </c>
      <c r="BZ23" s="73"/>
      <c r="CA23" s="73">
        <v>198.94900000000001</v>
      </c>
      <c r="CB23" s="73">
        <v>209.85</v>
      </c>
      <c r="CC23" s="73">
        <v>291.59800000000001</v>
      </c>
      <c r="CD23" s="73"/>
      <c r="CE23" s="73">
        <f>CA23-229.802</f>
        <v>-30.85299999999998</v>
      </c>
      <c r="CF23" s="73">
        <f>CB23-236.785</f>
        <v>-26.935000000000002</v>
      </c>
      <c r="CG23" s="73">
        <f>CC23-227.128</f>
        <v>64.470000000000027</v>
      </c>
      <c r="CH23" s="73"/>
      <c r="CI23" s="73">
        <f>CE23/1284.79</f>
        <v>-2.4014041205177486E-2</v>
      </c>
      <c r="CJ23" s="73">
        <f>CF23/1284.79</f>
        <v>-2.0964515601771497E-2</v>
      </c>
      <c r="CK23" s="73">
        <f>CG23/1284.79</f>
        <v>5.0179406751297902E-2</v>
      </c>
      <c r="CL23" s="73"/>
      <c r="CM23" s="73">
        <f>AVERAGE(CI23:CK23)</f>
        <v>1.7336166481163064E-3</v>
      </c>
      <c r="CN23" s="73">
        <f>STDEV(CI23:CK23)</f>
        <v>4.1982982691116687E-2</v>
      </c>
      <c r="CO23" s="73">
        <f>CN23/1.732</f>
        <v>2.4239597396718642E-2</v>
      </c>
    </row>
    <row r="24" spans="7:93"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</row>
    <row r="25" spans="7:93">
      <c r="BH25" s="73">
        <v>10</v>
      </c>
      <c r="BI25" s="73">
        <v>431.77600000000001</v>
      </c>
      <c r="BJ25" s="73">
        <v>420.18900000000002</v>
      </c>
      <c r="BK25" s="73">
        <v>441.41300000000001</v>
      </c>
      <c r="BL25" s="73"/>
      <c r="BM25" s="73">
        <f>BI25-375.813</f>
        <v>55.963000000000022</v>
      </c>
      <c r="BN25" s="73">
        <f>BJ25-415.826</f>
        <v>4.3629999999999995</v>
      </c>
      <c r="BO25" s="73">
        <f>BK25-420.877</f>
        <v>20.536000000000001</v>
      </c>
      <c r="BP25" s="73"/>
      <c r="BQ25" s="73">
        <f>BM25/1322.21</f>
        <v>4.2325349225917228E-2</v>
      </c>
      <c r="BR25" s="73">
        <f>BN25/1322.21</f>
        <v>3.2997784013129531E-3</v>
      </c>
      <c r="BS25" s="73">
        <f>BO25/1322.21</f>
        <v>1.5531572140582813E-2</v>
      </c>
      <c r="BT25" s="73"/>
      <c r="BU25" s="73">
        <f>AVERAGE(BQ25:BS25)</f>
        <v>2.0385566589270997E-2</v>
      </c>
      <c r="BV25" s="73">
        <f>STDEV(BQ25:BS25)</f>
        <v>1.9960454431887896E-2</v>
      </c>
      <c r="BW25" s="73">
        <f>BV25/1.732</f>
        <v>1.1524511796702018E-2</v>
      </c>
      <c r="BX25" s="73"/>
      <c r="BY25" s="73">
        <v>8</v>
      </c>
      <c r="BZ25" s="73"/>
      <c r="CA25" s="73">
        <v>212.554</v>
      </c>
      <c r="CB25" s="73">
        <v>201.518</v>
      </c>
      <c r="CC25" s="73">
        <v>261.166</v>
      </c>
      <c r="CD25" s="73"/>
      <c r="CE25" s="73">
        <f>CA25-229.802</f>
        <v>-17.24799999999999</v>
      </c>
      <c r="CF25" s="73">
        <f>CB25-236.785</f>
        <v>-35.266999999999996</v>
      </c>
      <c r="CG25" s="73">
        <f>CC25-227.128</f>
        <v>34.038000000000011</v>
      </c>
      <c r="CH25" s="73"/>
      <c r="CI25" s="73">
        <f>CE25/1284.79</f>
        <v>-1.3424762023365679E-2</v>
      </c>
      <c r="CJ25" s="73">
        <f>CF25/1284.79</f>
        <v>-2.7449622117233164E-2</v>
      </c>
      <c r="CK25" s="73">
        <f>CG25/1284.79</f>
        <v>2.6493045556083103E-2</v>
      </c>
      <c r="CL25" s="73"/>
      <c r="CM25" s="73">
        <f>AVERAGE(CI25:CK25)</f>
        <v>-4.7937795281719139E-3</v>
      </c>
      <c r="CN25" s="73">
        <f>STDEV(CI25:CK25)</f>
        <v>2.7987912445423931E-2</v>
      </c>
      <c r="CO25" s="73">
        <f>CN25/1.732</f>
        <v>1.6159302797588874E-2</v>
      </c>
    </row>
    <row r="26" spans="7:93"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</row>
    <row r="27" spans="7:93"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>
        <v>9</v>
      </c>
      <c r="BZ27" s="73"/>
      <c r="CA27" s="73">
        <v>240.678</v>
      </c>
      <c r="CB27" s="73">
        <v>212.98400000000001</v>
      </c>
      <c r="CC27" s="73">
        <v>220.47</v>
      </c>
      <c r="CD27" s="73"/>
      <c r="CE27" s="73">
        <f>CA27-229.802</f>
        <v>10.876000000000005</v>
      </c>
      <c r="CF27" s="73">
        <f>CB27-236.785</f>
        <v>-23.800999999999988</v>
      </c>
      <c r="CG27" s="73">
        <f>CC27-227.128</f>
        <v>-6.657999999999987</v>
      </c>
      <c r="CH27" s="73"/>
      <c r="CI27" s="73">
        <f>CE27/1284.79</f>
        <v>8.4651966469228481E-3</v>
      </c>
      <c r="CJ27" s="73">
        <f>CF27/1284.79</f>
        <v>-1.8525206453973014E-2</v>
      </c>
      <c r="CK27" s="73">
        <f>CG27/1284.79</f>
        <v>-5.1821698487690493E-3</v>
      </c>
      <c r="CL27" s="73"/>
      <c r="CM27" s="73">
        <f>AVERAGE(CI27:CK27)</f>
        <v>-5.0807265519397385E-3</v>
      </c>
      <c r="CN27" s="73">
        <f>STDEV(CI27:CK27)</f>
        <v>1.3495487503016181E-2</v>
      </c>
      <c r="CO27" s="73">
        <f>CN27/1.732</f>
        <v>7.7918519070532223E-3</v>
      </c>
    </row>
    <row r="28" spans="7:93"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</row>
    <row r="29" spans="7:93"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>
        <v>10</v>
      </c>
      <c r="BZ29" s="73"/>
      <c r="CA29" s="73">
        <v>210.75899999999999</v>
      </c>
      <c r="CB29" s="73">
        <v>240.887</v>
      </c>
      <c r="CC29" s="73">
        <v>232.93</v>
      </c>
      <c r="CD29" s="73"/>
      <c r="CE29" s="73">
        <f>CA29-229.802</f>
        <v>-19.043000000000006</v>
      </c>
      <c r="CF29" s="73">
        <f>CB29-236.785</f>
        <v>4.1020000000000039</v>
      </c>
      <c r="CG29" s="73">
        <f>CC29-227.128</f>
        <v>5.8020000000000209</v>
      </c>
      <c r="CH29" s="73"/>
      <c r="CI29" s="73">
        <f>CE29/1284.79</f>
        <v>-1.4821877505273241E-2</v>
      </c>
      <c r="CJ29" s="73">
        <f>CF29/1284.79</f>
        <v>3.1927396695179788E-3</v>
      </c>
      <c r="CK29" s="73">
        <f>CG29/1284.79</f>
        <v>4.5159131064220776E-3</v>
      </c>
      <c r="CL29" s="73"/>
      <c r="CM29" s="73">
        <f>AVERAGE(CI29:CK29)</f>
        <v>-2.3710749097777279E-3</v>
      </c>
      <c r="CN29" s="73">
        <f>STDEV(CI29:CK29)</f>
        <v>1.0802988518925237E-2</v>
      </c>
      <c r="CO29" s="73">
        <f>CN29/1.732</f>
        <v>6.2372912926820078E-3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G7:Z29"/>
  <sheetViews>
    <sheetView topLeftCell="E4" workbookViewId="0">
      <selection activeCell="O30" sqref="O30"/>
    </sheetView>
  </sheetViews>
  <sheetFormatPr defaultRowHeight="14.4"/>
  <cols>
    <col min="7" max="7" width="13.5546875" customWidth="1"/>
  </cols>
  <sheetData>
    <row r="7" spans="7:26">
      <c r="G7" s="72" t="s">
        <v>31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7:26"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7:26">
      <c r="G9" s="72" t="s">
        <v>32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7:26">
      <c r="G10" s="72" t="s">
        <v>8</v>
      </c>
      <c r="H10" s="72"/>
      <c r="I10" s="72" t="s">
        <v>0</v>
      </c>
      <c r="J10" s="72" t="s">
        <v>1</v>
      </c>
      <c r="K10" s="72" t="s">
        <v>2</v>
      </c>
      <c r="L10" s="72"/>
      <c r="M10" s="72" t="s">
        <v>33</v>
      </c>
      <c r="N10" s="72" t="s">
        <v>34</v>
      </c>
      <c r="O10" s="72" t="s">
        <v>29</v>
      </c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7:26"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 t="s">
        <v>9</v>
      </c>
      <c r="T11" s="72"/>
      <c r="U11" s="72" t="s">
        <v>0</v>
      </c>
      <c r="V11" s="72" t="s">
        <v>1</v>
      </c>
      <c r="W11" s="72" t="s">
        <v>2</v>
      </c>
      <c r="X11" s="72"/>
      <c r="Y11" s="72" t="s">
        <v>35</v>
      </c>
      <c r="Z11" s="72"/>
    </row>
    <row r="12" spans="7:26">
      <c r="G12" s="72"/>
      <c r="H12" s="72"/>
      <c r="I12" s="72">
        <f>2.55*24</f>
        <v>61.199999999999996</v>
      </c>
      <c r="J12" s="72">
        <f>2.74*24</f>
        <v>65.760000000000005</v>
      </c>
      <c r="K12" s="72">
        <f>3.102*24</f>
        <v>74.447999999999993</v>
      </c>
      <c r="L12" s="72"/>
      <c r="M12" s="72">
        <f>AVERAGE(I12:K12)</f>
        <v>67.13600000000001</v>
      </c>
      <c r="N12" s="72">
        <f>STDEV(I12:K12)</f>
        <v>6.7303349099430809</v>
      </c>
      <c r="O12" s="72">
        <f>N12/1.732</f>
        <v>3.8858746593204856</v>
      </c>
      <c r="P12" s="72"/>
      <c r="Q12" s="72"/>
      <c r="R12" s="72"/>
      <c r="S12" s="72"/>
      <c r="T12" s="72"/>
      <c r="U12" s="72">
        <v>24.48</v>
      </c>
      <c r="V12" s="72">
        <v>27.6</v>
      </c>
      <c r="W12" s="72">
        <v>13.44</v>
      </c>
      <c r="X12" s="72"/>
      <c r="Y12" s="72"/>
      <c r="Z12" s="72"/>
    </row>
    <row r="13" spans="7:26"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>
        <v>0.02</v>
      </c>
      <c r="Z13" s="72" t="s">
        <v>36</v>
      </c>
    </row>
    <row r="14" spans="7:26">
      <c r="G14" s="72" t="s">
        <v>10</v>
      </c>
      <c r="H14" s="72"/>
      <c r="I14" s="72" t="s">
        <v>0</v>
      </c>
      <c r="J14" s="72" t="s">
        <v>1</v>
      </c>
      <c r="K14" s="72" t="s">
        <v>2</v>
      </c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7:26">
      <c r="G15" s="72"/>
      <c r="H15" s="72"/>
      <c r="I15" s="72"/>
      <c r="J15" s="72"/>
      <c r="K15" s="72"/>
      <c r="L15" s="72"/>
      <c r="M15" s="72" t="s">
        <v>33</v>
      </c>
      <c r="N15" s="72" t="s">
        <v>34</v>
      </c>
      <c r="O15" s="72" t="s">
        <v>29</v>
      </c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7:26">
      <c r="G16" s="72"/>
      <c r="H16" s="72"/>
      <c r="I16" s="72">
        <f>4.203*24</f>
        <v>100.87200000000001</v>
      </c>
      <c r="J16" s="72">
        <f>3.354*24</f>
        <v>80.496000000000009</v>
      </c>
      <c r="K16" s="72">
        <f>3.997*24</f>
        <v>95.927999999999997</v>
      </c>
      <c r="L16" s="72"/>
      <c r="M16" s="72">
        <f>AVERAGE(I16:K16)</f>
        <v>92.432000000000016</v>
      </c>
      <c r="N16" s="72">
        <f>STDEV(I16:K16)</f>
        <v>10.62835151846213</v>
      </c>
      <c r="O16" s="72">
        <f>N16/1.732</f>
        <v>6.1364616157402603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7:26"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 t="s">
        <v>22</v>
      </c>
      <c r="T17" s="72"/>
      <c r="U17" s="72" t="s">
        <v>0</v>
      </c>
      <c r="V17" s="72" t="s">
        <v>1</v>
      </c>
      <c r="W17" s="72" t="s">
        <v>2</v>
      </c>
      <c r="X17" s="72"/>
      <c r="Y17" s="72"/>
      <c r="Z17" s="72"/>
    </row>
    <row r="18" spans="7:26">
      <c r="G18" s="72" t="s">
        <v>9</v>
      </c>
      <c r="H18" s="72"/>
      <c r="I18" s="72" t="s">
        <v>0</v>
      </c>
      <c r="J18" s="72" t="s">
        <v>1</v>
      </c>
      <c r="K18" s="72" t="s">
        <v>2</v>
      </c>
      <c r="L18" s="72"/>
      <c r="M18" s="72"/>
      <c r="N18" s="72"/>
      <c r="O18" s="72"/>
      <c r="P18" s="72"/>
      <c r="Q18" s="72"/>
      <c r="R18" s="72"/>
      <c r="S18" s="72"/>
      <c r="T18" s="72"/>
      <c r="U18" s="72">
        <v>5.23</v>
      </c>
      <c r="V18" s="72">
        <v>6.35</v>
      </c>
      <c r="W18" s="72">
        <v>5.82</v>
      </c>
      <c r="X18" s="72"/>
      <c r="Y18" s="72"/>
      <c r="Z18" s="72"/>
    </row>
    <row r="19" spans="7:26">
      <c r="G19" s="72"/>
      <c r="H19" s="72"/>
      <c r="I19" s="72"/>
      <c r="J19" s="72"/>
      <c r="K19" s="72"/>
      <c r="L19" s="72"/>
      <c r="M19" s="72" t="s">
        <v>33</v>
      </c>
      <c r="N19" s="72" t="s">
        <v>34</v>
      </c>
      <c r="O19" s="72" t="s">
        <v>29</v>
      </c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7:26">
      <c r="G20" s="72"/>
      <c r="H20" s="72"/>
      <c r="I20" s="72">
        <v>24.48</v>
      </c>
      <c r="J20" s="72">
        <v>27.6</v>
      </c>
      <c r="K20" s="72">
        <v>13.44</v>
      </c>
      <c r="L20" s="72"/>
      <c r="M20" s="72">
        <f>AVERAGE(I20:K20)</f>
        <v>21.84</v>
      </c>
      <c r="N20" s="72">
        <f>STDEV(I20:K20)</f>
        <v>7.4400000000000022</v>
      </c>
      <c r="O20" s="72">
        <f>N20/1.732</f>
        <v>4.2956120092378764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7:26"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 t="s">
        <v>11</v>
      </c>
      <c r="T21" s="72"/>
      <c r="U21" s="72" t="s">
        <v>0</v>
      </c>
      <c r="V21" s="72" t="s">
        <v>1</v>
      </c>
      <c r="W21" s="72" t="s">
        <v>2</v>
      </c>
      <c r="X21" s="72"/>
      <c r="Y21" s="72"/>
      <c r="Z21" s="72"/>
    </row>
    <row r="22" spans="7:26">
      <c r="G22" s="72" t="s">
        <v>11</v>
      </c>
      <c r="H22" s="72"/>
      <c r="I22" s="72" t="s">
        <v>0</v>
      </c>
      <c r="J22" s="72" t="s">
        <v>1</v>
      </c>
      <c r="K22" s="72" t="s">
        <v>2</v>
      </c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7:26">
      <c r="G23" s="72"/>
      <c r="H23" s="72"/>
      <c r="I23" s="72"/>
      <c r="J23" s="72"/>
      <c r="K23" s="72"/>
      <c r="L23" s="72"/>
      <c r="M23" s="72" t="s">
        <v>33</v>
      </c>
      <c r="N23" s="72" t="s">
        <v>34</v>
      </c>
      <c r="O23" s="72" t="s">
        <v>29</v>
      </c>
      <c r="P23" s="72"/>
      <c r="Q23" s="72"/>
      <c r="R23" s="72"/>
      <c r="S23" s="72"/>
      <c r="T23" s="72"/>
      <c r="U23" s="72">
        <v>60.48</v>
      </c>
      <c r="V23" s="72">
        <v>41.76</v>
      </c>
      <c r="W23" s="72">
        <v>38.56</v>
      </c>
      <c r="X23" s="72"/>
      <c r="Y23" s="72">
        <v>6.7000000000000002E-3</v>
      </c>
      <c r="Z23" s="72" t="s">
        <v>37</v>
      </c>
    </row>
    <row r="24" spans="7:26">
      <c r="G24" s="72"/>
      <c r="H24" s="72"/>
      <c r="I24" s="72">
        <v>60.48</v>
      </c>
      <c r="J24" s="72">
        <v>41.76</v>
      </c>
      <c r="K24" s="72">
        <v>38.56</v>
      </c>
      <c r="L24" s="72"/>
      <c r="M24" s="72">
        <f>AVERAGE(I24:K24)</f>
        <v>46.933333333333337</v>
      </c>
      <c r="N24" s="72">
        <f>STDEV(I24:K24)</f>
        <v>11.840360354876557</v>
      </c>
      <c r="O24" s="72">
        <f>N24/1.732</f>
        <v>6.8362357707139472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7:26">
      <c r="G25" s="72" t="s">
        <v>38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 t="s">
        <v>0</v>
      </c>
      <c r="V25" s="72" t="s">
        <v>1</v>
      </c>
      <c r="W25" s="72" t="s">
        <v>2</v>
      </c>
      <c r="X25" s="72"/>
      <c r="Y25" s="72"/>
      <c r="Z25" s="72"/>
    </row>
    <row r="26" spans="7:26">
      <c r="G26" s="72"/>
      <c r="H26" s="72" t="s">
        <v>0</v>
      </c>
      <c r="I26" s="72" t="s">
        <v>1</v>
      </c>
      <c r="J26" s="72" t="s">
        <v>2</v>
      </c>
      <c r="K26" s="72"/>
      <c r="L26" s="72" t="s">
        <v>33</v>
      </c>
      <c r="M26" s="72" t="s">
        <v>34</v>
      </c>
      <c r="N26" s="72" t="s">
        <v>39</v>
      </c>
      <c r="O26" s="72"/>
      <c r="P26" s="72"/>
      <c r="Q26" s="72"/>
      <c r="R26" s="72"/>
      <c r="S26" s="72" t="s">
        <v>20</v>
      </c>
      <c r="T26" s="72"/>
      <c r="U26" s="72">
        <v>8.83</v>
      </c>
      <c r="V26" s="72">
        <v>13.23</v>
      </c>
      <c r="W26" s="72">
        <v>11.28</v>
      </c>
      <c r="X26" s="72"/>
      <c r="Y26" s="72"/>
      <c r="Z26" s="72"/>
    </row>
    <row r="27" spans="7:26">
      <c r="G27" s="72" t="s">
        <v>19</v>
      </c>
      <c r="H27" s="72">
        <v>21.58</v>
      </c>
      <c r="I27" s="72">
        <v>23.23</v>
      </c>
      <c r="J27" s="72">
        <v>16.96</v>
      </c>
      <c r="K27" s="72"/>
      <c r="L27" s="72">
        <f>AVERAGE(H27:J27)</f>
        <v>20.59</v>
      </c>
      <c r="M27" s="72">
        <f>STDEV(H27:J27)</f>
        <v>3.2501230745927012</v>
      </c>
      <c r="N27" s="72">
        <f>M27/1.732</f>
        <v>1.876514477247518</v>
      </c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7:26">
      <c r="G28" s="72" t="s">
        <v>20</v>
      </c>
      <c r="H28" s="72">
        <v>8.83</v>
      </c>
      <c r="I28" s="72">
        <v>13.23</v>
      </c>
      <c r="J28" s="72">
        <v>11.28</v>
      </c>
      <c r="K28" s="72"/>
      <c r="L28" s="72">
        <f>AVERAGE(H28:J28)</f>
        <v>11.113333333333335</v>
      </c>
      <c r="M28" s="72">
        <f>STDEV(H28:J28)</f>
        <v>2.2047297642417063</v>
      </c>
      <c r="N28" s="72">
        <f>M28/1.732</f>
        <v>1.2729386629571053</v>
      </c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7:26">
      <c r="G29" s="72" t="s">
        <v>22</v>
      </c>
      <c r="H29" s="72">
        <v>5.23</v>
      </c>
      <c r="I29" s="72">
        <v>6.35</v>
      </c>
      <c r="J29" s="72">
        <v>5.82</v>
      </c>
      <c r="K29" s="72"/>
      <c r="L29" s="72">
        <f>AVERAGE(H29:J29)</f>
        <v>5.8</v>
      </c>
      <c r="M29" s="72">
        <f>STDEV(H29:J29)</f>
        <v>0.56026779311326735</v>
      </c>
      <c r="N29" s="72">
        <f>M29/1.732</f>
        <v>0.32348025006539688</v>
      </c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G5:W200"/>
  <sheetViews>
    <sheetView topLeftCell="E4" workbookViewId="0">
      <selection activeCell="R29" sqref="R29"/>
    </sheetView>
  </sheetViews>
  <sheetFormatPr defaultRowHeight="14.4"/>
  <cols>
    <col min="7" max="7" width="13" customWidth="1"/>
    <col min="10" max="10" width="12.33203125" customWidth="1"/>
    <col min="13" max="13" width="16.5546875" customWidth="1"/>
    <col min="16" max="16" width="12.33203125" customWidth="1"/>
    <col min="17" max="17" width="11.6640625" customWidth="1"/>
    <col min="22" max="22" width="11.6640625" customWidth="1"/>
  </cols>
  <sheetData>
    <row r="5" spans="7:23">
      <c r="P5">
        <v>1</v>
      </c>
      <c r="S5">
        <v>2</v>
      </c>
      <c r="V5">
        <v>3</v>
      </c>
    </row>
    <row r="6" spans="7:23">
      <c r="G6" s="72" t="s">
        <v>46</v>
      </c>
      <c r="H6" s="72"/>
      <c r="I6" s="72"/>
      <c r="J6" s="72" t="s">
        <v>42</v>
      </c>
      <c r="K6" s="72"/>
      <c r="L6" s="72"/>
      <c r="M6" s="72" t="s">
        <v>22</v>
      </c>
      <c r="N6" s="72"/>
      <c r="P6" s="72" t="s">
        <v>9</v>
      </c>
      <c r="S6" s="72" t="s">
        <v>42</v>
      </c>
      <c r="V6" s="72" t="s">
        <v>22</v>
      </c>
    </row>
    <row r="7" spans="7:23">
      <c r="G7" s="72" t="s">
        <v>47</v>
      </c>
      <c r="H7" s="72" t="s">
        <v>40</v>
      </c>
      <c r="I7" s="72"/>
      <c r="J7" s="72" t="s">
        <v>47</v>
      </c>
      <c r="K7" s="72" t="s">
        <v>41</v>
      </c>
      <c r="L7" s="72"/>
      <c r="M7" s="72" t="s">
        <v>47</v>
      </c>
      <c r="N7" s="72" t="s">
        <v>41</v>
      </c>
      <c r="P7" s="72" t="s">
        <v>33</v>
      </c>
      <c r="Q7" s="72" t="s">
        <v>50</v>
      </c>
      <c r="S7" s="72" t="s">
        <v>33</v>
      </c>
      <c r="T7" s="72" t="s">
        <v>50</v>
      </c>
      <c r="V7" s="72" t="s">
        <v>33</v>
      </c>
      <c r="W7" s="72" t="s">
        <v>50</v>
      </c>
    </row>
    <row r="8" spans="7:23">
      <c r="G8" s="74">
        <v>0</v>
      </c>
      <c r="H8" s="75">
        <v>0</v>
      </c>
      <c r="I8" s="72"/>
      <c r="J8" s="74">
        <v>7.1</v>
      </c>
      <c r="K8" s="75">
        <v>1</v>
      </c>
      <c r="L8" s="72"/>
      <c r="M8" s="74">
        <v>1.4</v>
      </c>
      <c r="N8" s="75">
        <v>1</v>
      </c>
      <c r="P8" s="78">
        <v>12</v>
      </c>
      <c r="Q8" s="78">
        <v>3.1619999999999999</v>
      </c>
      <c r="R8" s="78"/>
      <c r="S8" s="78">
        <v>11.2</v>
      </c>
      <c r="T8" s="78">
        <v>1.1399999999999999</v>
      </c>
      <c r="U8" s="78"/>
      <c r="V8" s="78">
        <v>12.35</v>
      </c>
      <c r="W8" s="78">
        <v>4.806</v>
      </c>
    </row>
    <row r="9" spans="7:23">
      <c r="G9" s="74">
        <v>2</v>
      </c>
      <c r="H9" s="75">
        <v>2</v>
      </c>
      <c r="I9" s="72"/>
      <c r="J9" s="74">
        <v>7.2</v>
      </c>
      <c r="K9" s="75">
        <v>1</v>
      </c>
      <c r="L9" s="72"/>
      <c r="M9" s="74">
        <v>1.5</v>
      </c>
      <c r="N9" s="75">
        <v>0</v>
      </c>
    </row>
    <row r="10" spans="7:23">
      <c r="G10" s="74">
        <v>4</v>
      </c>
      <c r="H10" s="75">
        <v>11</v>
      </c>
      <c r="I10" s="72"/>
      <c r="J10" s="74">
        <v>7.3</v>
      </c>
      <c r="K10" s="75">
        <v>1</v>
      </c>
      <c r="L10" s="72"/>
      <c r="M10" s="74">
        <v>1.6</v>
      </c>
      <c r="N10" s="75">
        <v>0</v>
      </c>
    </row>
    <row r="11" spans="7:23">
      <c r="G11" s="74">
        <v>6</v>
      </c>
      <c r="H11" s="75">
        <v>19</v>
      </c>
      <c r="I11" s="72"/>
      <c r="J11" s="74">
        <v>7.4</v>
      </c>
      <c r="K11" s="75">
        <v>0</v>
      </c>
      <c r="L11" s="72"/>
      <c r="M11" s="74">
        <v>1.7</v>
      </c>
      <c r="N11" s="75">
        <v>0</v>
      </c>
    </row>
    <row r="12" spans="7:23">
      <c r="G12" s="74">
        <v>8</v>
      </c>
      <c r="H12" s="75">
        <v>18</v>
      </c>
      <c r="I12" s="72"/>
      <c r="J12" s="74">
        <v>7.5</v>
      </c>
      <c r="K12" s="75">
        <v>0</v>
      </c>
      <c r="L12" s="72"/>
      <c r="M12" s="74">
        <v>1.8</v>
      </c>
      <c r="N12" s="75">
        <v>0</v>
      </c>
    </row>
    <row r="13" spans="7:23">
      <c r="G13" s="74">
        <v>10</v>
      </c>
      <c r="H13" s="75">
        <v>25</v>
      </c>
      <c r="I13" s="72"/>
      <c r="J13" s="74">
        <v>7.6</v>
      </c>
      <c r="K13" s="75">
        <v>1</v>
      </c>
      <c r="L13" s="72"/>
      <c r="M13" s="74">
        <v>1.9</v>
      </c>
      <c r="N13" s="75">
        <v>0</v>
      </c>
      <c r="Q13" s="76" t="s">
        <v>43</v>
      </c>
      <c r="R13" s="72"/>
      <c r="S13" s="72" t="s">
        <v>44</v>
      </c>
    </row>
    <row r="14" spans="7:23">
      <c r="G14" s="74">
        <v>12</v>
      </c>
      <c r="H14" s="75">
        <v>25</v>
      </c>
      <c r="I14" s="72"/>
      <c r="J14" s="74">
        <v>7.7</v>
      </c>
      <c r="K14" s="75">
        <v>0</v>
      </c>
      <c r="L14" s="72"/>
      <c r="M14" s="74">
        <v>2</v>
      </c>
      <c r="N14" s="75">
        <v>0</v>
      </c>
      <c r="Q14" s="72"/>
      <c r="R14" s="72"/>
      <c r="S14" s="72"/>
    </row>
    <row r="15" spans="7:23">
      <c r="G15" s="74">
        <v>14</v>
      </c>
      <c r="H15" s="75">
        <v>25</v>
      </c>
      <c r="I15" s="72"/>
      <c r="J15" s="74">
        <v>7.8</v>
      </c>
      <c r="K15" s="75">
        <v>0</v>
      </c>
      <c r="L15" s="72"/>
      <c r="M15" s="74">
        <v>2.1</v>
      </c>
      <c r="N15" s="75">
        <v>0</v>
      </c>
      <c r="Q15" s="72" t="s">
        <v>45</v>
      </c>
      <c r="R15" s="72"/>
      <c r="S15" s="72" t="s">
        <v>45</v>
      </c>
    </row>
    <row r="16" spans="7:23">
      <c r="G16" s="74">
        <v>16</v>
      </c>
      <c r="H16" s="75">
        <v>15</v>
      </c>
      <c r="I16" s="72"/>
      <c r="J16" s="74">
        <v>7.9</v>
      </c>
      <c r="K16" s="75">
        <v>3</v>
      </c>
      <c r="L16" s="72"/>
      <c r="M16" s="74">
        <v>2.2000000000000002</v>
      </c>
      <c r="N16" s="75">
        <v>0</v>
      </c>
      <c r="Q16" s="72"/>
      <c r="R16" s="72"/>
      <c r="S16" s="72"/>
    </row>
    <row r="17" spans="7:19">
      <c r="G17" s="74">
        <v>18</v>
      </c>
      <c r="H17" s="75">
        <v>21</v>
      </c>
      <c r="I17" s="72"/>
      <c r="J17" s="74">
        <v>8</v>
      </c>
      <c r="K17" s="75">
        <v>1</v>
      </c>
      <c r="L17" s="72"/>
      <c r="M17" s="74">
        <v>2.2999999999999998</v>
      </c>
      <c r="N17" s="75">
        <v>0</v>
      </c>
      <c r="P17" s="72" t="s">
        <v>35</v>
      </c>
      <c r="Q17" s="75">
        <v>0.254</v>
      </c>
      <c r="R17" s="72"/>
      <c r="S17" s="72">
        <v>0.13900000000000001</v>
      </c>
    </row>
    <row r="18" spans="7:19">
      <c r="G18" s="74">
        <v>20</v>
      </c>
      <c r="H18" s="75">
        <v>14</v>
      </c>
      <c r="I18" s="72"/>
      <c r="J18" s="74">
        <v>8.1</v>
      </c>
      <c r="K18" s="75">
        <v>6</v>
      </c>
      <c r="L18" s="72"/>
      <c r="M18" s="74">
        <v>2.4</v>
      </c>
      <c r="N18" s="75">
        <v>0</v>
      </c>
    </row>
    <row r="19" spans="7:19">
      <c r="G19" s="74">
        <v>22</v>
      </c>
      <c r="H19" s="75">
        <v>2</v>
      </c>
      <c r="I19" s="72"/>
      <c r="J19" s="74">
        <v>8.1999999999999993</v>
      </c>
      <c r="K19" s="75">
        <v>3</v>
      </c>
      <c r="L19" s="72"/>
      <c r="M19" s="74">
        <v>2.5</v>
      </c>
      <c r="N19" s="75">
        <v>0</v>
      </c>
    </row>
    <row r="20" spans="7:19">
      <c r="G20" s="74">
        <v>24</v>
      </c>
      <c r="H20" s="75">
        <v>6</v>
      </c>
      <c r="I20" s="72"/>
      <c r="J20" s="74">
        <v>8.3000000000000007</v>
      </c>
      <c r="K20" s="75">
        <v>4</v>
      </c>
      <c r="L20" s="72"/>
      <c r="M20" s="74">
        <v>2.6</v>
      </c>
      <c r="N20" s="75">
        <v>0</v>
      </c>
    </row>
    <row r="21" spans="7:19">
      <c r="G21" s="74">
        <v>26</v>
      </c>
      <c r="H21" s="75">
        <v>1</v>
      </c>
      <c r="I21" s="72"/>
      <c r="J21" s="74">
        <v>8.4</v>
      </c>
      <c r="K21" s="75">
        <v>4</v>
      </c>
      <c r="L21" s="72"/>
      <c r="M21" s="74">
        <v>2.7</v>
      </c>
      <c r="N21" s="75">
        <v>0</v>
      </c>
    </row>
    <row r="22" spans="7:19">
      <c r="G22" s="74">
        <v>28</v>
      </c>
      <c r="H22" s="75">
        <v>1</v>
      </c>
      <c r="I22" s="72"/>
      <c r="J22" s="74">
        <v>8.5</v>
      </c>
      <c r="K22" s="75">
        <v>6</v>
      </c>
      <c r="L22" s="72"/>
      <c r="M22" s="74">
        <v>2.8</v>
      </c>
      <c r="N22" s="75">
        <v>0</v>
      </c>
    </row>
    <row r="23" spans="7:19">
      <c r="G23" s="74">
        <v>30</v>
      </c>
      <c r="H23" s="75">
        <v>1</v>
      </c>
      <c r="I23" s="72"/>
      <c r="J23" s="74">
        <v>8.6</v>
      </c>
      <c r="K23" s="75">
        <v>9</v>
      </c>
      <c r="L23" s="72"/>
      <c r="M23" s="74">
        <v>2.9</v>
      </c>
      <c r="N23" s="75">
        <v>0</v>
      </c>
    </row>
    <row r="24" spans="7:19">
      <c r="G24" s="74">
        <v>32</v>
      </c>
      <c r="H24" s="75">
        <v>1</v>
      </c>
      <c r="I24" s="72"/>
      <c r="J24" s="74">
        <v>8.6999999999999993</v>
      </c>
      <c r="K24" s="75">
        <v>8</v>
      </c>
      <c r="L24" s="72"/>
      <c r="M24" s="74">
        <v>3</v>
      </c>
      <c r="N24" s="75">
        <v>0</v>
      </c>
    </row>
    <row r="25" spans="7:19">
      <c r="G25" s="72"/>
      <c r="H25" s="72"/>
      <c r="I25" s="72"/>
      <c r="J25" s="74">
        <v>8.8000000000000007</v>
      </c>
      <c r="K25" s="75">
        <v>8</v>
      </c>
      <c r="L25" s="72"/>
      <c r="M25" s="74">
        <v>3.1</v>
      </c>
      <c r="N25" s="75">
        <v>0</v>
      </c>
    </row>
    <row r="26" spans="7:19">
      <c r="G26" s="72"/>
      <c r="H26" s="72"/>
      <c r="I26" s="72"/>
      <c r="J26" s="74">
        <v>8.9</v>
      </c>
      <c r="K26" s="75">
        <v>8</v>
      </c>
      <c r="L26" s="72"/>
      <c r="M26" s="74">
        <v>3.2</v>
      </c>
      <c r="N26" s="75">
        <v>0</v>
      </c>
    </row>
    <row r="27" spans="7:19">
      <c r="G27" s="72"/>
      <c r="H27" s="72"/>
      <c r="I27" s="72"/>
      <c r="J27" s="74">
        <v>9</v>
      </c>
      <c r="K27" s="75">
        <v>12</v>
      </c>
      <c r="L27" s="72"/>
      <c r="M27" s="74">
        <v>3.3</v>
      </c>
      <c r="N27" s="75">
        <v>0</v>
      </c>
    </row>
    <row r="28" spans="7:19">
      <c r="G28" s="72"/>
      <c r="H28" s="72"/>
      <c r="I28" s="72"/>
      <c r="J28" s="74">
        <v>9.1</v>
      </c>
      <c r="K28" s="75">
        <v>11</v>
      </c>
      <c r="L28" s="72"/>
      <c r="M28" s="74">
        <v>3.4</v>
      </c>
      <c r="N28" s="75">
        <v>0</v>
      </c>
    </row>
    <row r="29" spans="7:19">
      <c r="G29" s="72"/>
      <c r="H29" s="72"/>
      <c r="I29" s="72"/>
      <c r="J29" s="74">
        <v>9.1999999999999993</v>
      </c>
      <c r="K29" s="75">
        <v>18</v>
      </c>
      <c r="L29" s="72"/>
      <c r="M29" s="74">
        <v>3.5</v>
      </c>
      <c r="N29" s="75">
        <v>0</v>
      </c>
    </row>
    <row r="30" spans="7:19">
      <c r="G30" s="72"/>
      <c r="H30" s="72"/>
      <c r="I30" s="72"/>
      <c r="J30" s="74">
        <v>9.3000000000000007</v>
      </c>
      <c r="K30" s="75">
        <v>13</v>
      </c>
      <c r="L30" s="72"/>
      <c r="M30" s="74">
        <v>3.6</v>
      </c>
      <c r="N30" s="75">
        <v>0</v>
      </c>
    </row>
    <row r="31" spans="7:19">
      <c r="G31" s="72"/>
      <c r="H31" s="72"/>
      <c r="I31" s="72"/>
      <c r="J31" s="74">
        <v>9.4</v>
      </c>
      <c r="K31" s="75">
        <v>27</v>
      </c>
      <c r="L31" s="72"/>
      <c r="M31" s="74">
        <v>3.7</v>
      </c>
      <c r="N31" s="75">
        <v>0</v>
      </c>
    </row>
    <row r="32" spans="7:19">
      <c r="G32" s="72"/>
      <c r="H32" s="72"/>
      <c r="I32" s="72"/>
      <c r="J32" s="74">
        <v>9.5</v>
      </c>
      <c r="K32" s="75">
        <v>19</v>
      </c>
      <c r="L32" s="72"/>
      <c r="M32" s="74">
        <v>3.8</v>
      </c>
      <c r="N32" s="75">
        <v>0</v>
      </c>
    </row>
    <row r="33" spans="7:14">
      <c r="G33" s="72"/>
      <c r="H33" s="72"/>
      <c r="I33" s="72"/>
      <c r="J33" s="74">
        <v>9.6</v>
      </c>
      <c r="K33" s="75">
        <v>20</v>
      </c>
      <c r="L33" s="72"/>
      <c r="M33" s="74">
        <v>3.9</v>
      </c>
      <c r="N33" s="75">
        <v>0</v>
      </c>
    </row>
    <row r="34" spans="7:14">
      <c r="G34" s="72"/>
      <c r="H34" s="72"/>
      <c r="I34" s="72"/>
      <c r="J34" s="74">
        <v>9.6999999999999993</v>
      </c>
      <c r="K34" s="75">
        <v>23</v>
      </c>
      <c r="L34" s="72"/>
      <c r="M34" s="74">
        <v>4</v>
      </c>
      <c r="N34" s="75">
        <v>0</v>
      </c>
    </row>
    <row r="35" spans="7:14">
      <c r="G35" s="72"/>
      <c r="H35" s="72"/>
      <c r="I35" s="72"/>
      <c r="J35" s="74">
        <v>9.8000000000000007</v>
      </c>
      <c r="K35" s="75">
        <v>21</v>
      </c>
      <c r="L35" s="72"/>
      <c r="M35" s="74">
        <v>4.0999999999999996</v>
      </c>
      <c r="N35" s="75">
        <v>0</v>
      </c>
    </row>
    <row r="36" spans="7:14">
      <c r="G36" s="72"/>
      <c r="H36" s="72"/>
      <c r="I36" s="72"/>
      <c r="J36" s="74">
        <v>9.9</v>
      </c>
      <c r="K36" s="75">
        <v>23</v>
      </c>
      <c r="L36" s="72"/>
      <c r="M36" s="74">
        <v>4.2</v>
      </c>
      <c r="N36" s="75">
        <v>0</v>
      </c>
    </row>
    <row r="37" spans="7:14">
      <c r="G37" s="72"/>
      <c r="H37" s="72"/>
      <c r="I37" s="72"/>
      <c r="J37" s="74">
        <v>10</v>
      </c>
      <c r="K37" s="75">
        <v>23</v>
      </c>
      <c r="L37" s="72"/>
      <c r="M37" s="74">
        <v>4.3</v>
      </c>
      <c r="N37" s="75">
        <v>0</v>
      </c>
    </row>
    <row r="38" spans="7:14">
      <c r="G38" s="72"/>
      <c r="H38" s="72"/>
      <c r="I38" s="72"/>
      <c r="J38" s="74">
        <v>10.1</v>
      </c>
      <c r="K38" s="75">
        <v>18</v>
      </c>
      <c r="L38" s="72"/>
      <c r="M38" s="74">
        <v>4.4000000000000004</v>
      </c>
      <c r="N38" s="75">
        <v>0</v>
      </c>
    </row>
    <row r="39" spans="7:14">
      <c r="G39" s="72"/>
      <c r="H39" s="72"/>
      <c r="I39" s="72"/>
      <c r="J39" s="74">
        <v>10.199999999999999</v>
      </c>
      <c r="K39" s="75">
        <v>8</v>
      </c>
      <c r="L39" s="72"/>
      <c r="M39" s="74">
        <v>4.5</v>
      </c>
      <c r="N39" s="75">
        <v>0</v>
      </c>
    </row>
    <row r="40" spans="7:14">
      <c r="G40" s="72"/>
      <c r="H40" s="72"/>
      <c r="I40" s="72"/>
      <c r="J40" s="74">
        <v>10.3</v>
      </c>
      <c r="K40" s="75">
        <v>23</v>
      </c>
      <c r="L40" s="72"/>
      <c r="M40" s="74">
        <v>4.5999999999999996</v>
      </c>
      <c r="N40" s="75">
        <v>0</v>
      </c>
    </row>
    <row r="41" spans="7:14">
      <c r="G41" s="72"/>
      <c r="H41" s="72"/>
      <c r="I41" s="72"/>
      <c r="J41" s="74">
        <v>10.4</v>
      </c>
      <c r="K41" s="75">
        <v>13</v>
      </c>
      <c r="L41" s="72"/>
      <c r="M41" s="74">
        <v>4.7</v>
      </c>
      <c r="N41" s="75">
        <v>1</v>
      </c>
    </row>
    <row r="42" spans="7:14">
      <c r="G42" s="72"/>
      <c r="H42" s="72"/>
      <c r="I42" s="72"/>
      <c r="J42" s="74">
        <v>10.5</v>
      </c>
      <c r="K42" s="75">
        <v>17</v>
      </c>
      <c r="L42" s="72"/>
      <c r="M42" s="74">
        <v>4.8</v>
      </c>
      <c r="N42" s="75">
        <v>1</v>
      </c>
    </row>
    <row r="43" spans="7:14">
      <c r="G43" s="72"/>
      <c r="H43" s="72"/>
      <c r="I43" s="72"/>
      <c r="J43" s="74">
        <v>10.6</v>
      </c>
      <c r="K43" s="75">
        <v>11</v>
      </c>
      <c r="L43" s="72"/>
      <c r="M43" s="74">
        <v>4.9000000000000004</v>
      </c>
      <c r="N43" s="75">
        <v>1</v>
      </c>
    </row>
    <row r="44" spans="7:14">
      <c r="G44" s="72"/>
      <c r="H44" s="72"/>
      <c r="I44" s="72"/>
      <c r="J44" s="74">
        <v>10.7</v>
      </c>
      <c r="K44" s="75">
        <v>21</v>
      </c>
      <c r="L44" s="72"/>
      <c r="M44" s="74">
        <v>5</v>
      </c>
      <c r="N44" s="75">
        <v>1</v>
      </c>
    </row>
    <row r="45" spans="7:14">
      <c r="G45" s="72"/>
      <c r="H45" s="72"/>
      <c r="I45" s="72"/>
      <c r="J45" s="74">
        <v>10.8</v>
      </c>
      <c r="K45" s="75">
        <v>15</v>
      </c>
      <c r="L45" s="72"/>
      <c r="M45" s="74">
        <v>5.0999999999999996</v>
      </c>
      <c r="N45" s="75">
        <v>0</v>
      </c>
    </row>
    <row r="46" spans="7:14">
      <c r="G46" s="72"/>
      <c r="H46" s="72"/>
      <c r="I46" s="72"/>
      <c r="J46" s="74">
        <v>10.9</v>
      </c>
      <c r="K46" s="75">
        <v>8</v>
      </c>
      <c r="L46" s="72"/>
      <c r="M46" s="74">
        <v>5.2</v>
      </c>
      <c r="N46" s="75">
        <v>0</v>
      </c>
    </row>
    <row r="47" spans="7:14">
      <c r="G47" s="72"/>
      <c r="H47" s="72"/>
      <c r="I47" s="72"/>
      <c r="J47" s="74">
        <v>11</v>
      </c>
      <c r="K47" s="75">
        <v>15</v>
      </c>
      <c r="L47" s="72"/>
      <c r="M47" s="74">
        <v>5.3</v>
      </c>
      <c r="N47" s="75">
        <v>1</v>
      </c>
    </row>
    <row r="48" spans="7:14">
      <c r="G48" s="72"/>
      <c r="H48" s="72"/>
      <c r="I48" s="72"/>
      <c r="J48" s="74">
        <v>11.1</v>
      </c>
      <c r="K48" s="75">
        <v>14</v>
      </c>
      <c r="L48" s="72"/>
      <c r="M48" s="74">
        <v>5.4</v>
      </c>
      <c r="N48" s="75">
        <v>0</v>
      </c>
    </row>
    <row r="49" spans="7:14">
      <c r="G49" s="72"/>
      <c r="H49" s="72"/>
      <c r="I49" s="72"/>
      <c r="J49" s="74">
        <v>11.2</v>
      </c>
      <c r="K49" s="75">
        <v>3</v>
      </c>
      <c r="L49" s="72"/>
      <c r="M49" s="74">
        <v>5.5</v>
      </c>
      <c r="N49" s="75">
        <v>2</v>
      </c>
    </row>
    <row r="50" spans="7:14">
      <c r="G50" s="72"/>
      <c r="H50" s="72"/>
      <c r="I50" s="72"/>
      <c r="J50" s="74">
        <v>11.3</v>
      </c>
      <c r="K50" s="75">
        <v>7</v>
      </c>
      <c r="L50" s="72"/>
      <c r="M50" s="74">
        <v>5.6</v>
      </c>
      <c r="N50" s="75">
        <v>1</v>
      </c>
    </row>
    <row r="51" spans="7:14">
      <c r="G51" s="72"/>
      <c r="H51" s="72"/>
      <c r="I51" s="72"/>
      <c r="J51" s="74">
        <v>11.4</v>
      </c>
      <c r="K51" s="75">
        <v>7</v>
      </c>
      <c r="L51" s="72"/>
      <c r="M51" s="74">
        <v>5.7</v>
      </c>
      <c r="N51" s="75">
        <v>1</v>
      </c>
    </row>
    <row r="52" spans="7:14">
      <c r="G52" s="72"/>
      <c r="H52" s="72"/>
      <c r="I52" s="72"/>
      <c r="J52" s="74">
        <v>11.5</v>
      </c>
      <c r="K52" s="75">
        <v>8</v>
      </c>
      <c r="L52" s="72"/>
      <c r="M52" s="74">
        <v>5.8</v>
      </c>
      <c r="N52" s="75">
        <v>2</v>
      </c>
    </row>
    <row r="53" spans="7:14">
      <c r="G53" s="72"/>
      <c r="H53" s="72"/>
      <c r="I53" s="72"/>
      <c r="J53" s="74">
        <v>11.6</v>
      </c>
      <c r="K53" s="75">
        <v>9</v>
      </c>
      <c r="L53" s="72"/>
      <c r="M53" s="74">
        <v>5.9</v>
      </c>
      <c r="N53" s="75">
        <v>1</v>
      </c>
    </row>
    <row r="54" spans="7:14">
      <c r="G54" s="72"/>
      <c r="H54" s="72"/>
      <c r="I54" s="72"/>
      <c r="J54" s="74">
        <v>11.7</v>
      </c>
      <c r="K54" s="75">
        <v>5</v>
      </c>
      <c r="L54" s="72"/>
      <c r="M54" s="74">
        <v>6</v>
      </c>
      <c r="N54" s="75">
        <v>1</v>
      </c>
    </row>
    <row r="55" spans="7:14">
      <c r="G55" s="72"/>
      <c r="H55" s="72"/>
      <c r="I55" s="72"/>
      <c r="J55" s="74">
        <v>11.8</v>
      </c>
      <c r="K55" s="75">
        <v>7</v>
      </c>
      <c r="L55" s="72"/>
      <c r="M55" s="74">
        <v>6.1</v>
      </c>
      <c r="N55" s="75">
        <v>4</v>
      </c>
    </row>
    <row r="56" spans="7:14">
      <c r="G56" s="72"/>
      <c r="H56" s="72"/>
      <c r="I56" s="72"/>
      <c r="J56" s="74">
        <v>11.9</v>
      </c>
      <c r="K56" s="75">
        <v>4</v>
      </c>
      <c r="L56" s="72"/>
      <c r="M56" s="74">
        <v>6.2</v>
      </c>
      <c r="N56" s="75">
        <v>1</v>
      </c>
    </row>
    <row r="57" spans="7:14">
      <c r="G57" s="72"/>
      <c r="H57" s="72"/>
      <c r="I57" s="72"/>
      <c r="J57" s="74">
        <v>12</v>
      </c>
      <c r="K57" s="75">
        <v>3</v>
      </c>
      <c r="L57" s="72"/>
      <c r="M57" s="74">
        <v>6.3</v>
      </c>
      <c r="N57" s="75">
        <v>0</v>
      </c>
    </row>
    <row r="58" spans="7:14">
      <c r="G58" s="72"/>
      <c r="H58" s="72"/>
      <c r="I58" s="72"/>
      <c r="J58" s="74">
        <v>12.1</v>
      </c>
      <c r="K58" s="75">
        <v>3</v>
      </c>
      <c r="L58" s="72"/>
      <c r="M58" s="74">
        <v>6.4</v>
      </c>
      <c r="N58" s="75">
        <v>0</v>
      </c>
    </row>
    <row r="59" spans="7:14">
      <c r="G59" s="72"/>
      <c r="H59" s="72"/>
      <c r="I59" s="72"/>
      <c r="J59" s="74">
        <v>12.2</v>
      </c>
      <c r="K59" s="75">
        <v>3</v>
      </c>
      <c r="L59" s="72"/>
      <c r="M59" s="74">
        <v>6.5</v>
      </c>
      <c r="N59" s="75">
        <v>1</v>
      </c>
    </row>
    <row r="60" spans="7:14">
      <c r="G60" s="72"/>
      <c r="H60" s="72"/>
      <c r="I60" s="72"/>
      <c r="J60" s="74">
        <v>12.3</v>
      </c>
      <c r="K60" s="75">
        <v>2</v>
      </c>
      <c r="L60" s="72"/>
      <c r="M60" s="74">
        <v>6.6</v>
      </c>
      <c r="N60" s="75">
        <v>2</v>
      </c>
    </row>
    <row r="61" spans="7:14">
      <c r="G61" s="72"/>
      <c r="H61" s="72"/>
      <c r="I61" s="72"/>
      <c r="J61" s="74">
        <v>12.4</v>
      </c>
      <c r="K61" s="75">
        <v>0</v>
      </c>
      <c r="L61" s="72"/>
      <c r="M61" s="74">
        <v>6.7</v>
      </c>
      <c r="N61" s="75">
        <v>0</v>
      </c>
    </row>
    <row r="62" spans="7:14">
      <c r="G62" s="72"/>
      <c r="H62" s="72"/>
      <c r="I62" s="72"/>
      <c r="J62" s="74">
        <v>12.5</v>
      </c>
      <c r="K62" s="75">
        <v>0</v>
      </c>
      <c r="L62" s="72"/>
      <c r="M62" s="74">
        <v>6.8</v>
      </c>
      <c r="N62" s="75">
        <v>3</v>
      </c>
    </row>
    <row r="63" spans="7:14">
      <c r="G63" s="72"/>
      <c r="H63" s="72"/>
      <c r="I63" s="72"/>
      <c r="J63" s="74">
        <v>12.6</v>
      </c>
      <c r="K63" s="75">
        <v>1</v>
      </c>
      <c r="L63" s="72"/>
      <c r="M63" s="74">
        <v>6.9</v>
      </c>
      <c r="N63" s="75">
        <v>0</v>
      </c>
    </row>
    <row r="64" spans="7:14">
      <c r="G64" s="72"/>
      <c r="H64" s="72"/>
      <c r="I64" s="72"/>
      <c r="J64" s="74">
        <v>12.7</v>
      </c>
      <c r="K64" s="75">
        <v>0</v>
      </c>
      <c r="L64" s="72"/>
      <c r="M64" s="74">
        <v>7</v>
      </c>
      <c r="N64" s="75">
        <v>2</v>
      </c>
    </row>
    <row r="65" spans="7:14">
      <c r="G65" s="72"/>
      <c r="H65" s="72"/>
      <c r="I65" s="72"/>
      <c r="J65" s="74">
        <v>12.8</v>
      </c>
      <c r="K65" s="75">
        <v>0</v>
      </c>
      <c r="L65" s="72"/>
      <c r="M65" s="74">
        <v>7.1</v>
      </c>
      <c r="N65" s="75">
        <v>2</v>
      </c>
    </row>
    <row r="66" spans="7:14">
      <c r="G66" s="72"/>
      <c r="H66" s="72"/>
      <c r="I66" s="72"/>
      <c r="J66" s="74">
        <v>12.9</v>
      </c>
      <c r="K66" s="75">
        <v>0</v>
      </c>
      <c r="L66" s="72"/>
      <c r="M66" s="74">
        <v>7.2</v>
      </c>
      <c r="N66" s="75">
        <v>4</v>
      </c>
    </row>
    <row r="67" spans="7:14">
      <c r="G67" s="72"/>
      <c r="H67" s="72"/>
      <c r="I67" s="72"/>
      <c r="J67" s="74">
        <v>13</v>
      </c>
      <c r="K67" s="75">
        <v>0</v>
      </c>
      <c r="L67" s="72"/>
      <c r="M67" s="74">
        <v>7.3</v>
      </c>
      <c r="N67" s="75">
        <v>0</v>
      </c>
    </row>
    <row r="68" spans="7:14">
      <c r="G68" s="72"/>
      <c r="H68" s="72"/>
      <c r="I68" s="72"/>
      <c r="J68" s="74">
        <v>13.1</v>
      </c>
      <c r="K68" s="75">
        <v>1</v>
      </c>
      <c r="L68" s="72"/>
      <c r="M68" s="74">
        <v>7.4</v>
      </c>
      <c r="N68" s="75">
        <v>4</v>
      </c>
    </row>
    <row r="69" spans="7:14">
      <c r="G69" s="72"/>
      <c r="H69" s="72"/>
      <c r="I69" s="72"/>
      <c r="J69" s="72"/>
      <c r="K69" s="72"/>
      <c r="L69" s="72"/>
      <c r="M69" s="74">
        <v>7.5</v>
      </c>
      <c r="N69" s="75">
        <v>5</v>
      </c>
    </row>
    <row r="70" spans="7:14">
      <c r="G70" s="72"/>
      <c r="H70" s="72"/>
      <c r="I70" s="72"/>
      <c r="J70" s="72"/>
      <c r="K70" s="72"/>
      <c r="L70" s="72"/>
      <c r="M70" s="74">
        <v>7.6</v>
      </c>
      <c r="N70" s="75">
        <v>2</v>
      </c>
    </row>
    <row r="71" spans="7:14">
      <c r="G71" s="72"/>
      <c r="H71" s="72"/>
      <c r="I71" s="72"/>
      <c r="J71" s="72"/>
      <c r="K71" s="72"/>
      <c r="L71" s="72"/>
      <c r="M71" s="74">
        <v>7.7</v>
      </c>
      <c r="N71" s="75">
        <v>5</v>
      </c>
    </row>
    <row r="72" spans="7:14">
      <c r="G72" s="72"/>
      <c r="H72" s="72"/>
      <c r="I72" s="72"/>
      <c r="J72" s="72"/>
      <c r="K72" s="72"/>
      <c r="L72" s="72"/>
      <c r="M72" s="74">
        <v>7.8</v>
      </c>
      <c r="N72" s="75">
        <v>3</v>
      </c>
    </row>
    <row r="73" spans="7:14">
      <c r="G73" s="72"/>
      <c r="H73" s="72"/>
      <c r="I73" s="72"/>
      <c r="J73" s="72"/>
      <c r="K73" s="72"/>
      <c r="L73" s="72"/>
      <c r="M73" s="74">
        <v>7.9</v>
      </c>
      <c r="N73" s="75">
        <v>5</v>
      </c>
    </row>
    <row r="74" spans="7:14">
      <c r="G74" s="72"/>
      <c r="H74" s="72"/>
      <c r="I74" s="72"/>
      <c r="J74" s="72"/>
      <c r="K74" s="72"/>
      <c r="L74" s="72"/>
      <c r="M74" s="74">
        <v>8</v>
      </c>
      <c r="N74" s="75">
        <v>1</v>
      </c>
    </row>
    <row r="75" spans="7:14">
      <c r="G75" s="72"/>
      <c r="H75" s="72"/>
      <c r="I75" s="72"/>
      <c r="J75" s="72"/>
      <c r="K75" s="72"/>
      <c r="L75" s="72"/>
      <c r="M75" s="74">
        <v>8.1</v>
      </c>
      <c r="N75" s="75">
        <v>2</v>
      </c>
    </row>
    <row r="76" spans="7:14">
      <c r="G76" s="72"/>
      <c r="H76" s="72"/>
      <c r="I76" s="72"/>
      <c r="J76" s="72"/>
      <c r="K76" s="72"/>
      <c r="L76" s="72"/>
      <c r="M76" s="74">
        <v>8.1999999999999993</v>
      </c>
      <c r="N76" s="75">
        <v>0</v>
      </c>
    </row>
    <row r="77" spans="7:14">
      <c r="G77" s="72"/>
      <c r="H77" s="72"/>
      <c r="I77" s="72"/>
      <c r="J77" s="72"/>
      <c r="K77" s="72"/>
      <c r="L77" s="72"/>
      <c r="M77" s="74">
        <v>8.3000000000000007</v>
      </c>
      <c r="N77" s="75">
        <v>4</v>
      </c>
    </row>
    <row r="78" spans="7:14">
      <c r="G78" s="72"/>
      <c r="H78" s="72"/>
      <c r="I78" s="72"/>
      <c r="J78" s="72"/>
      <c r="K78" s="72"/>
      <c r="L78" s="72"/>
      <c r="M78" s="74">
        <v>8.4</v>
      </c>
      <c r="N78" s="75">
        <v>2</v>
      </c>
    </row>
    <row r="79" spans="7:14">
      <c r="G79" s="72"/>
      <c r="H79" s="72"/>
      <c r="I79" s="72"/>
      <c r="J79" s="72"/>
      <c r="K79" s="72"/>
      <c r="L79" s="72"/>
      <c r="M79" s="74">
        <v>8.5</v>
      </c>
      <c r="N79" s="75">
        <v>4</v>
      </c>
    </row>
    <row r="80" spans="7:14">
      <c r="G80" s="72"/>
      <c r="H80" s="72"/>
      <c r="I80" s="72"/>
      <c r="J80" s="72"/>
      <c r="K80" s="72"/>
      <c r="L80" s="72"/>
      <c r="M80" s="74">
        <v>8.6</v>
      </c>
      <c r="N80" s="75">
        <v>3</v>
      </c>
    </row>
    <row r="81" spans="7:14">
      <c r="G81" s="72"/>
      <c r="H81" s="72"/>
      <c r="I81" s="72"/>
      <c r="J81" s="72"/>
      <c r="K81" s="72"/>
      <c r="L81" s="72"/>
      <c r="M81" s="74">
        <v>8.6999999999999993</v>
      </c>
      <c r="N81" s="75">
        <v>4</v>
      </c>
    </row>
    <row r="82" spans="7:14">
      <c r="G82" s="72"/>
      <c r="H82" s="72"/>
      <c r="I82" s="72"/>
      <c r="J82" s="72"/>
      <c r="K82" s="72"/>
      <c r="L82" s="72"/>
      <c r="M82" s="74">
        <v>8.8000000000000007</v>
      </c>
      <c r="N82" s="75">
        <v>4</v>
      </c>
    </row>
    <row r="83" spans="7:14">
      <c r="G83" s="72"/>
      <c r="H83" s="72"/>
      <c r="I83" s="72"/>
      <c r="J83" s="72"/>
      <c r="K83" s="72"/>
      <c r="L83" s="72"/>
      <c r="M83" s="74">
        <v>8.9</v>
      </c>
      <c r="N83" s="75">
        <v>2</v>
      </c>
    </row>
    <row r="84" spans="7:14">
      <c r="G84" s="72"/>
      <c r="H84" s="72"/>
      <c r="I84" s="72"/>
      <c r="J84" s="72"/>
      <c r="K84" s="72"/>
      <c r="L84" s="72"/>
      <c r="M84" s="74">
        <v>9</v>
      </c>
      <c r="N84" s="75">
        <v>6</v>
      </c>
    </row>
    <row r="85" spans="7:14">
      <c r="G85" s="72"/>
      <c r="H85" s="72"/>
      <c r="I85" s="72"/>
      <c r="J85" s="72"/>
      <c r="K85" s="72"/>
      <c r="L85" s="72"/>
      <c r="M85" s="74">
        <v>9.1</v>
      </c>
      <c r="N85" s="75">
        <v>6</v>
      </c>
    </row>
    <row r="86" spans="7:14">
      <c r="G86" s="72"/>
      <c r="H86" s="72"/>
      <c r="I86" s="72"/>
      <c r="J86" s="72"/>
      <c r="K86" s="72"/>
      <c r="L86" s="72"/>
      <c r="M86" s="74">
        <v>9.1999999999999993</v>
      </c>
      <c r="N86" s="75">
        <v>2</v>
      </c>
    </row>
    <row r="87" spans="7:14">
      <c r="G87" s="72"/>
      <c r="H87" s="72"/>
      <c r="I87" s="72"/>
      <c r="J87" s="72"/>
      <c r="K87" s="72"/>
      <c r="L87" s="72"/>
      <c r="M87" s="74">
        <v>9.3000000000000007</v>
      </c>
      <c r="N87" s="75">
        <v>2</v>
      </c>
    </row>
    <row r="88" spans="7:14">
      <c r="G88" s="72"/>
      <c r="H88" s="72"/>
      <c r="I88" s="72"/>
      <c r="J88" s="72"/>
      <c r="K88" s="72"/>
      <c r="L88" s="72"/>
      <c r="M88" s="74">
        <v>9.4</v>
      </c>
      <c r="N88" s="75">
        <v>5</v>
      </c>
    </row>
    <row r="89" spans="7:14">
      <c r="G89" s="72"/>
      <c r="H89" s="72"/>
      <c r="I89" s="72"/>
      <c r="J89" s="72"/>
      <c r="K89" s="72"/>
      <c r="L89" s="72"/>
      <c r="M89" s="74">
        <v>9.5</v>
      </c>
      <c r="N89" s="75">
        <v>2</v>
      </c>
    </row>
    <row r="90" spans="7:14">
      <c r="G90" s="72"/>
      <c r="H90" s="72"/>
      <c r="I90" s="72"/>
      <c r="J90" s="72"/>
      <c r="K90" s="72"/>
      <c r="L90" s="72"/>
      <c r="M90" s="74">
        <v>9.6</v>
      </c>
      <c r="N90" s="75">
        <v>4</v>
      </c>
    </row>
    <row r="91" spans="7:14">
      <c r="G91" s="72"/>
      <c r="H91" s="72"/>
      <c r="I91" s="72"/>
      <c r="J91" s="72"/>
      <c r="K91" s="72"/>
      <c r="L91" s="72"/>
      <c r="M91" s="74">
        <v>9.6999999999999993</v>
      </c>
      <c r="N91" s="75">
        <v>6</v>
      </c>
    </row>
    <row r="92" spans="7:14">
      <c r="G92" s="72"/>
      <c r="H92" s="72"/>
      <c r="I92" s="72"/>
      <c r="J92" s="72"/>
      <c r="K92" s="72"/>
      <c r="L92" s="72"/>
      <c r="M92" s="74">
        <v>9.8000000000000007</v>
      </c>
      <c r="N92" s="75">
        <v>7</v>
      </c>
    </row>
    <row r="93" spans="7:14">
      <c r="G93" s="72"/>
      <c r="H93" s="72"/>
      <c r="I93" s="72"/>
      <c r="J93" s="72"/>
      <c r="K93" s="72"/>
      <c r="L93" s="72"/>
      <c r="M93" s="74">
        <v>9.9</v>
      </c>
      <c r="N93" s="75">
        <v>3</v>
      </c>
    </row>
    <row r="94" spans="7:14">
      <c r="G94" s="72"/>
      <c r="H94" s="72"/>
      <c r="I94" s="72"/>
      <c r="J94" s="72"/>
      <c r="K94" s="72"/>
      <c r="L94" s="72"/>
      <c r="M94" s="74">
        <v>10</v>
      </c>
      <c r="N94" s="75">
        <v>4</v>
      </c>
    </row>
    <row r="95" spans="7:14">
      <c r="G95" s="72"/>
      <c r="H95" s="72"/>
      <c r="I95" s="72"/>
      <c r="J95" s="72"/>
      <c r="K95" s="72"/>
      <c r="L95" s="72"/>
      <c r="M95" s="74">
        <v>10.1</v>
      </c>
      <c r="N95" s="75">
        <v>6</v>
      </c>
    </row>
    <row r="96" spans="7:14">
      <c r="G96" s="72"/>
      <c r="H96" s="72"/>
      <c r="I96" s="72"/>
      <c r="J96" s="72"/>
      <c r="K96" s="72"/>
      <c r="L96" s="72"/>
      <c r="M96" s="74">
        <v>10.199999999999999</v>
      </c>
      <c r="N96" s="75">
        <v>3</v>
      </c>
    </row>
    <row r="97" spans="7:14">
      <c r="G97" s="72"/>
      <c r="H97" s="72"/>
      <c r="I97" s="72"/>
      <c r="J97" s="72"/>
      <c r="K97" s="72"/>
      <c r="L97" s="72"/>
      <c r="M97" s="74">
        <v>10.3</v>
      </c>
      <c r="N97" s="75">
        <v>3</v>
      </c>
    </row>
    <row r="98" spans="7:14">
      <c r="G98" s="72"/>
      <c r="H98" s="72"/>
      <c r="I98" s="72"/>
      <c r="J98" s="72"/>
      <c r="K98" s="72"/>
      <c r="L98" s="72"/>
      <c r="M98" s="74">
        <v>10.4</v>
      </c>
      <c r="N98" s="75">
        <v>6</v>
      </c>
    </row>
    <row r="99" spans="7:14">
      <c r="G99" s="72"/>
      <c r="H99" s="72"/>
      <c r="I99" s="72"/>
      <c r="J99" s="72"/>
      <c r="K99" s="72"/>
      <c r="L99" s="72"/>
      <c r="M99" s="74">
        <v>10.5</v>
      </c>
      <c r="N99" s="75">
        <v>2</v>
      </c>
    </row>
    <row r="100" spans="7:14">
      <c r="G100" s="72"/>
      <c r="H100" s="72"/>
      <c r="I100" s="72"/>
      <c r="J100" s="72"/>
      <c r="K100" s="72"/>
      <c r="L100" s="72"/>
      <c r="M100" s="74">
        <v>10.6</v>
      </c>
      <c r="N100" s="75">
        <v>4</v>
      </c>
    </row>
    <row r="101" spans="7:14">
      <c r="G101" s="72"/>
      <c r="H101" s="72"/>
      <c r="I101" s="72"/>
      <c r="J101" s="72"/>
      <c r="K101" s="72"/>
      <c r="L101" s="72"/>
      <c r="M101" s="74">
        <v>10.7</v>
      </c>
      <c r="N101" s="75">
        <v>8</v>
      </c>
    </row>
    <row r="102" spans="7:14">
      <c r="G102" s="72"/>
      <c r="H102" s="72"/>
      <c r="I102" s="72"/>
      <c r="J102" s="72"/>
      <c r="K102" s="72"/>
      <c r="L102" s="72"/>
      <c r="M102" s="74">
        <v>10.8</v>
      </c>
      <c r="N102" s="75">
        <v>4</v>
      </c>
    </row>
    <row r="103" spans="7:14">
      <c r="G103" s="72"/>
      <c r="H103" s="72"/>
      <c r="I103" s="72"/>
      <c r="J103" s="72"/>
      <c r="K103" s="72"/>
      <c r="L103" s="72"/>
      <c r="M103" s="74">
        <v>10.9</v>
      </c>
      <c r="N103" s="75">
        <v>7</v>
      </c>
    </row>
    <row r="104" spans="7:14">
      <c r="G104" s="72"/>
      <c r="H104" s="72"/>
      <c r="I104" s="72"/>
      <c r="J104" s="72"/>
      <c r="K104" s="72"/>
      <c r="L104" s="72"/>
      <c r="M104" s="74">
        <v>11</v>
      </c>
      <c r="N104" s="75">
        <v>4</v>
      </c>
    </row>
    <row r="105" spans="7:14">
      <c r="G105" s="72"/>
      <c r="H105" s="72"/>
      <c r="I105" s="72"/>
      <c r="J105" s="72"/>
      <c r="K105" s="72"/>
      <c r="L105" s="72"/>
      <c r="M105" s="74">
        <v>11.1</v>
      </c>
      <c r="N105" s="75">
        <v>6</v>
      </c>
    </row>
    <row r="106" spans="7:14">
      <c r="G106" s="72"/>
      <c r="H106" s="72"/>
      <c r="I106" s="72"/>
      <c r="J106" s="72"/>
      <c r="K106" s="72"/>
      <c r="L106" s="72"/>
      <c r="M106" s="74">
        <v>11.2</v>
      </c>
      <c r="N106" s="75">
        <v>6</v>
      </c>
    </row>
    <row r="107" spans="7:14">
      <c r="G107" s="72"/>
      <c r="H107" s="72"/>
      <c r="I107" s="72"/>
      <c r="J107" s="72"/>
      <c r="K107" s="72"/>
      <c r="L107" s="72"/>
      <c r="M107" s="74">
        <v>11.3</v>
      </c>
      <c r="N107" s="75">
        <v>13</v>
      </c>
    </row>
    <row r="108" spans="7:14">
      <c r="G108" s="72"/>
      <c r="H108" s="72"/>
      <c r="I108" s="72"/>
      <c r="J108" s="72"/>
      <c r="K108" s="72"/>
      <c r="L108" s="72"/>
      <c r="M108" s="74">
        <v>11.4</v>
      </c>
      <c r="N108" s="75">
        <v>11</v>
      </c>
    </row>
    <row r="109" spans="7:14">
      <c r="G109" s="72"/>
      <c r="H109" s="72"/>
      <c r="I109" s="72"/>
      <c r="J109" s="72"/>
      <c r="K109" s="72"/>
      <c r="L109" s="72"/>
      <c r="M109" s="74">
        <v>11.5</v>
      </c>
      <c r="N109" s="75">
        <v>6</v>
      </c>
    </row>
    <row r="110" spans="7:14">
      <c r="G110" s="72"/>
      <c r="H110" s="72"/>
      <c r="I110" s="72"/>
      <c r="J110" s="72"/>
      <c r="K110" s="72"/>
      <c r="L110" s="72"/>
      <c r="M110" s="74">
        <v>11.6</v>
      </c>
      <c r="N110" s="75">
        <v>7</v>
      </c>
    </row>
    <row r="111" spans="7:14">
      <c r="G111" s="72"/>
      <c r="H111" s="72"/>
      <c r="I111" s="72"/>
      <c r="J111" s="72"/>
      <c r="K111" s="72"/>
      <c r="L111" s="72"/>
      <c r="M111" s="74">
        <v>11.7</v>
      </c>
      <c r="N111" s="75">
        <v>5</v>
      </c>
    </row>
    <row r="112" spans="7:14">
      <c r="G112" s="72"/>
      <c r="H112" s="72"/>
      <c r="I112" s="72"/>
      <c r="J112" s="72"/>
      <c r="K112" s="72"/>
      <c r="L112" s="72"/>
      <c r="M112" s="74">
        <v>11.8</v>
      </c>
      <c r="N112" s="75">
        <v>7</v>
      </c>
    </row>
    <row r="113" spans="7:14">
      <c r="G113" s="72"/>
      <c r="H113" s="72"/>
      <c r="I113" s="72"/>
      <c r="J113" s="72"/>
      <c r="K113" s="72"/>
      <c r="L113" s="72"/>
      <c r="M113" s="74">
        <v>11.9</v>
      </c>
      <c r="N113" s="75">
        <v>9</v>
      </c>
    </row>
    <row r="114" spans="7:14">
      <c r="G114" s="72"/>
      <c r="H114" s="72"/>
      <c r="I114" s="72"/>
      <c r="J114" s="72"/>
      <c r="K114" s="72"/>
      <c r="L114" s="72"/>
      <c r="M114" s="74">
        <v>12</v>
      </c>
      <c r="N114" s="75">
        <v>6</v>
      </c>
    </row>
    <row r="115" spans="7:14">
      <c r="G115" s="72"/>
      <c r="H115" s="72"/>
      <c r="I115" s="72"/>
      <c r="J115" s="72"/>
      <c r="K115" s="72"/>
      <c r="L115" s="72"/>
      <c r="M115" s="74">
        <v>12.1</v>
      </c>
      <c r="N115" s="75">
        <v>7</v>
      </c>
    </row>
    <row r="116" spans="7:14">
      <c r="G116" s="72"/>
      <c r="H116" s="72"/>
      <c r="I116" s="72"/>
      <c r="J116" s="72"/>
      <c r="K116" s="72"/>
      <c r="L116" s="72"/>
      <c r="M116" s="74">
        <v>12.2</v>
      </c>
      <c r="N116" s="75">
        <v>7</v>
      </c>
    </row>
    <row r="117" spans="7:14">
      <c r="G117" s="72"/>
      <c r="H117" s="72"/>
      <c r="I117" s="72"/>
      <c r="J117" s="72"/>
      <c r="K117" s="72"/>
      <c r="L117" s="72"/>
      <c r="M117" s="74">
        <v>12.3</v>
      </c>
      <c r="N117" s="75">
        <v>6</v>
      </c>
    </row>
    <row r="118" spans="7:14">
      <c r="G118" s="72"/>
      <c r="H118" s="72"/>
      <c r="I118" s="72"/>
      <c r="J118" s="72"/>
      <c r="K118" s="72"/>
      <c r="L118" s="72"/>
      <c r="M118" s="74">
        <v>12.4</v>
      </c>
      <c r="N118" s="75">
        <v>3</v>
      </c>
    </row>
    <row r="119" spans="7:14">
      <c r="G119" s="72"/>
      <c r="H119" s="72"/>
      <c r="I119" s="72"/>
      <c r="J119" s="72"/>
      <c r="K119" s="72"/>
      <c r="L119" s="72"/>
      <c r="M119" s="74">
        <v>12.5</v>
      </c>
      <c r="N119" s="75">
        <v>8</v>
      </c>
    </row>
    <row r="120" spans="7:14">
      <c r="G120" s="72"/>
      <c r="H120" s="72"/>
      <c r="I120" s="72"/>
      <c r="J120" s="72"/>
      <c r="K120" s="72"/>
      <c r="L120" s="72"/>
      <c r="M120" s="74">
        <v>12.6</v>
      </c>
      <c r="N120" s="75">
        <v>3</v>
      </c>
    </row>
    <row r="121" spans="7:14">
      <c r="G121" s="72"/>
      <c r="H121" s="72"/>
      <c r="I121" s="72"/>
      <c r="J121" s="72"/>
      <c r="K121" s="72"/>
      <c r="L121" s="72"/>
      <c r="M121" s="74">
        <v>12.7</v>
      </c>
      <c r="N121" s="75">
        <v>9</v>
      </c>
    </row>
    <row r="122" spans="7:14">
      <c r="G122" s="72"/>
      <c r="H122" s="72"/>
      <c r="I122" s="72"/>
      <c r="J122" s="72"/>
      <c r="K122" s="72"/>
      <c r="L122" s="72"/>
      <c r="M122" s="74">
        <v>12.8</v>
      </c>
      <c r="N122" s="75">
        <v>8</v>
      </c>
    </row>
    <row r="123" spans="7:14">
      <c r="G123" s="72"/>
      <c r="H123" s="72"/>
      <c r="I123" s="72"/>
      <c r="J123" s="72"/>
      <c r="K123" s="72"/>
      <c r="L123" s="72"/>
      <c r="M123" s="74">
        <v>12.9</v>
      </c>
      <c r="N123" s="75">
        <v>10</v>
      </c>
    </row>
    <row r="124" spans="7:14">
      <c r="G124" s="72"/>
      <c r="H124" s="72"/>
      <c r="I124" s="72"/>
      <c r="J124" s="72"/>
      <c r="K124" s="72"/>
      <c r="L124" s="72"/>
      <c r="M124" s="74">
        <v>13</v>
      </c>
      <c r="N124" s="75">
        <v>5</v>
      </c>
    </row>
    <row r="125" spans="7:14">
      <c r="G125" s="72"/>
      <c r="H125" s="72"/>
      <c r="I125" s="72"/>
      <c r="J125" s="72"/>
      <c r="K125" s="72"/>
      <c r="L125" s="72"/>
      <c r="M125" s="74">
        <v>13.1</v>
      </c>
      <c r="N125" s="75">
        <v>4</v>
      </c>
    </row>
    <row r="126" spans="7:14">
      <c r="G126" s="72"/>
      <c r="H126" s="72"/>
      <c r="I126" s="72"/>
      <c r="J126" s="72"/>
      <c r="K126" s="72"/>
      <c r="L126" s="72"/>
      <c r="M126" s="74">
        <v>13.2</v>
      </c>
      <c r="N126" s="75">
        <v>5</v>
      </c>
    </row>
    <row r="127" spans="7:14">
      <c r="G127" s="72"/>
      <c r="H127" s="72"/>
      <c r="I127" s="72"/>
      <c r="J127" s="72"/>
      <c r="K127" s="72"/>
      <c r="L127" s="72"/>
      <c r="M127" s="74">
        <v>13.3</v>
      </c>
      <c r="N127" s="75">
        <v>7</v>
      </c>
    </row>
    <row r="128" spans="7:14">
      <c r="G128" s="72"/>
      <c r="H128" s="72"/>
      <c r="I128" s="72"/>
      <c r="J128" s="72"/>
      <c r="K128" s="72"/>
      <c r="L128" s="72"/>
      <c r="M128" s="74">
        <v>13.4</v>
      </c>
      <c r="N128" s="75">
        <v>6</v>
      </c>
    </row>
    <row r="129" spans="7:14">
      <c r="G129" s="72"/>
      <c r="H129" s="72"/>
      <c r="I129" s="72"/>
      <c r="J129" s="72"/>
      <c r="K129" s="72"/>
      <c r="L129" s="72"/>
      <c r="M129" s="74">
        <v>13.5</v>
      </c>
      <c r="N129" s="75">
        <v>9</v>
      </c>
    </row>
    <row r="130" spans="7:14">
      <c r="G130" s="72"/>
      <c r="H130" s="72"/>
      <c r="I130" s="72"/>
      <c r="J130" s="72"/>
      <c r="K130" s="72"/>
      <c r="L130" s="72"/>
      <c r="M130" s="74">
        <v>13.6</v>
      </c>
      <c r="N130" s="75">
        <v>6</v>
      </c>
    </row>
    <row r="131" spans="7:14">
      <c r="G131" s="72"/>
      <c r="H131" s="72"/>
      <c r="I131" s="72"/>
      <c r="J131" s="72"/>
      <c r="K131" s="72"/>
      <c r="L131" s="72"/>
      <c r="M131" s="74">
        <v>13.7</v>
      </c>
      <c r="N131" s="75">
        <v>4</v>
      </c>
    </row>
    <row r="132" spans="7:14">
      <c r="G132" s="72"/>
      <c r="H132" s="72"/>
      <c r="I132" s="72"/>
      <c r="J132" s="72"/>
      <c r="K132" s="72"/>
      <c r="L132" s="72"/>
      <c r="M132" s="74">
        <v>13.8</v>
      </c>
      <c r="N132" s="75">
        <v>2</v>
      </c>
    </row>
    <row r="133" spans="7:14">
      <c r="G133" s="72"/>
      <c r="H133" s="72"/>
      <c r="I133" s="72"/>
      <c r="J133" s="72"/>
      <c r="K133" s="72"/>
      <c r="L133" s="72"/>
      <c r="M133" s="74">
        <v>13.9</v>
      </c>
      <c r="N133" s="75">
        <v>6</v>
      </c>
    </row>
    <row r="134" spans="7:14">
      <c r="G134" s="72"/>
      <c r="H134" s="72"/>
      <c r="I134" s="72"/>
      <c r="J134" s="72"/>
      <c r="K134" s="72"/>
      <c r="L134" s="72"/>
      <c r="M134" s="74">
        <v>14</v>
      </c>
      <c r="N134" s="75">
        <v>5</v>
      </c>
    </row>
    <row r="135" spans="7:14">
      <c r="G135" s="72"/>
      <c r="H135" s="72"/>
      <c r="I135" s="72"/>
      <c r="J135" s="72"/>
      <c r="K135" s="72"/>
      <c r="L135" s="72"/>
      <c r="M135" s="74">
        <v>14.1</v>
      </c>
      <c r="N135" s="75">
        <v>10</v>
      </c>
    </row>
    <row r="136" spans="7:14">
      <c r="G136" s="72"/>
      <c r="H136" s="72"/>
      <c r="I136" s="72"/>
      <c r="J136" s="72"/>
      <c r="K136" s="72"/>
      <c r="L136" s="72"/>
      <c r="M136" s="74">
        <v>14.2</v>
      </c>
      <c r="N136" s="75">
        <v>4</v>
      </c>
    </row>
    <row r="137" spans="7:14">
      <c r="G137" s="72"/>
      <c r="H137" s="72"/>
      <c r="I137" s="72"/>
      <c r="J137" s="72"/>
      <c r="K137" s="72"/>
      <c r="L137" s="72"/>
      <c r="M137" s="74">
        <v>14.3</v>
      </c>
      <c r="N137" s="75">
        <v>6</v>
      </c>
    </row>
    <row r="138" spans="7:14">
      <c r="G138" s="72"/>
      <c r="H138" s="72"/>
      <c r="I138" s="72"/>
      <c r="J138" s="72"/>
      <c r="K138" s="72"/>
      <c r="L138" s="72"/>
      <c r="M138" s="74">
        <v>14.4</v>
      </c>
      <c r="N138" s="75">
        <v>6</v>
      </c>
    </row>
    <row r="139" spans="7:14">
      <c r="G139" s="72"/>
      <c r="H139" s="72"/>
      <c r="I139" s="72"/>
      <c r="J139" s="72"/>
      <c r="K139" s="72"/>
      <c r="L139" s="72"/>
      <c r="M139" s="74">
        <v>14.5</v>
      </c>
      <c r="N139" s="75">
        <v>8</v>
      </c>
    </row>
    <row r="140" spans="7:14">
      <c r="G140" s="72"/>
      <c r="H140" s="72"/>
      <c r="I140" s="72"/>
      <c r="J140" s="72"/>
      <c r="K140" s="72"/>
      <c r="L140" s="72"/>
      <c r="M140" s="74">
        <v>14.6</v>
      </c>
      <c r="N140" s="75">
        <v>6</v>
      </c>
    </row>
    <row r="141" spans="7:14">
      <c r="G141" s="72"/>
      <c r="H141" s="72"/>
      <c r="I141" s="72"/>
      <c r="J141" s="72"/>
      <c r="K141" s="72"/>
      <c r="L141" s="72"/>
      <c r="M141" s="74">
        <v>14.7</v>
      </c>
      <c r="N141" s="75">
        <v>3</v>
      </c>
    </row>
    <row r="142" spans="7:14">
      <c r="G142" s="72"/>
      <c r="H142" s="72"/>
      <c r="I142" s="72"/>
      <c r="J142" s="72"/>
      <c r="K142" s="72"/>
      <c r="L142" s="72"/>
      <c r="M142" s="74">
        <v>14.8</v>
      </c>
      <c r="N142" s="75">
        <v>3</v>
      </c>
    </row>
    <row r="143" spans="7:14">
      <c r="G143" s="72"/>
      <c r="H143" s="72"/>
      <c r="I143" s="72"/>
      <c r="J143" s="72"/>
      <c r="K143" s="72"/>
      <c r="L143" s="72"/>
      <c r="M143" s="74">
        <v>14.9</v>
      </c>
      <c r="N143" s="75">
        <v>5</v>
      </c>
    </row>
    <row r="144" spans="7:14">
      <c r="G144" s="72"/>
      <c r="H144" s="72"/>
      <c r="I144" s="72"/>
      <c r="J144" s="72"/>
      <c r="K144" s="72"/>
      <c r="L144" s="72"/>
      <c r="M144" s="74">
        <v>15</v>
      </c>
      <c r="N144" s="75">
        <v>4</v>
      </c>
    </row>
    <row r="145" spans="7:14">
      <c r="G145" s="72"/>
      <c r="H145" s="72"/>
      <c r="I145" s="72"/>
      <c r="J145" s="72"/>
      <c r="K145" s="72"/>
      <c r="L145" s="72"/>
      <c r="M145" s="74">
        <v>15.1</v>
      </c>
      <c r="N145" s="75">
        <v>1</v>
      </c>
    </row>
    <row r="146" spans="7:14">
      <c r="G146" s="72"/>
      <c r="H146" s="72"/>
      <c r="I146" s="72"/>
      <c r="J146" s="72"/>
      <c r="K146" s="72"/>
      <c r="L146" s="72"/>
      <c r="M146" s="74">
        <v>15.2</v>
      </c>
      <c r="N146" s="75">
        <v>4</v>
      </c>
    </row>
    <row r="147" spans="7:14">
      <c r="G147" s="72"/>
      <c r="H147" s="72"/>
      <c r="I147" s="72"/>
      <c r="J147" s="72"/>
      <c r="K147" s="72"/>
      <c r="L147" s="72"/>
      <c r="M147" s="74">
        <v>15.3</v>
      </c>
      <c r="N147" s="75">
        <v>3</v>
      </c>
    </row>
    <row r="148" spans="7:14">
      <c r="G148" s="72"/>
      <c r="H148" s="72"/>
      <c r="I148" s="72"/>
      <c r="J148" s="72"/>
      <c r="K148" s="72"/>
      <c r="L148" s="72"/>
      <c r="M148" s="74">
        <v>15.4</v>
      </c>
      <c r="N148" s="75">
        <v>4</v>
      </c>
    </row>
    <row r="149" spans="7:14">
      <c r="G149" s="72"/>
      <c r="H149" s="72"/>
      <c r="I149" s="72"/>
      <c r="J149" s="72"/>
      <c r="K149" s="72"/>
      <c r="L149" s="72"/>
      <c r="M149" s="74">
        <v>15.5</v>
      </c>
      <c r="N149" s="75">
        <v>3</v>
      </c>
    </row>
    <row r="150" spans="7:14">
      <c r="G150" s="72"/>
      <c r="H150" s="72"/>
      <c r="I150" s="72"/>
      <c r="J150" s="72"/>
      <c r="K150" s="72"/>
      <c r="L150" s="72"/>
      <c r="M150" s="74">
        <v>15.6</v>
      </c>
      <c r="N150" s="75">
        <v>5</v>
      </c>
    </row>
    <row r="151" spans="7:14">
      <c r="G151" s="72"/>
      <c r="H151" s="72"/>
      <c r="I151" s="72"/>
      <c r="J151" s="72"/>
      <c r="K151" s="72"/>
      <c r="L151" s="72"/>
      <c r="M151" s="74">
        <v>15.7</v>
      </c>
      <c r="N151" s="75">
        <v>5</v>
      </c>
    </row>
    <row r="152" spans="7:14">
      <c r="G152" s="72"/>
      <c r="H152" s="72"/>
      <c r="I152" s="72"/>
      <c r="J152" s="72"/>
      <c r="K152" s="72"/>
      <c r="L152" s="72"/>
      <c r="M152" s="74">
        <v>15.8</v>
      </c>
      <c r="N152" s="75">
        <v>1</v>
      </c>
    </row>
    <row r="153" spans="7:14">
      <c r="G153" s="72"/>
      <c r="H153" s="72"/>
      <c r="I153" s="72"/>
      <c r="J153" s="72"/>
      <c r="K153" s="72"/>
      <c r="L153" s="72"/>
      <c r="M153" s="74">
        <v>15.9</v>
      </c>
      <c r="N153" s="75">
        <v>6</v>
      </c>
    </row>
    <row r="154" spans="7:14">
      <c r="G154" s="72"/>
      <c r="H154" s="72"/>
      <c r="I154" s="72"/>
      <c r="J154" s="72"/>
      <c r="K154" s="72"/>
      <c r="L154" s="72"/>
      <c r="M154" s="74">
        <v>16</v>
      </c>
      <c r="N154" s="75">
        <v>1</v>
      </c>
    </row>
    <row r="155" spans="7:14">
      <c r="G155" s="72"/>
      <c r="H155" s="72"/>
      <c r="I155" s="72"/>
      <c r="J155" s="72"/>
      <c r="K155" s="72"/>
      <c r="L155" s="72"/>
      <c r="M155" s="74">
        <v>16.100000000000001</v>
      </c>
      <c r="N155" s="75">
        <v>2</v>
      </c>
    </row>
    <row r="156" spans="7:14">
      <c r="G156" s="72"/>
      <c r="H156" s="72"/>
      <c r="I156" s="72"/>
      <c r="J156" s="72"/>
      <c r="K156" s="72"/>
      <c r="L156" s="72"/>
      <c r="M156" s="74">
        <v>16.2</v>
      </c>
      <c r="N156" s="75">
        <v>3</v>
      </c>
    </row>
    <row r="157" spans="7:14">
      <c r="G157" s="72"/>
      <c r="H157" s="72"/>
      <c r="I157" s="72"/>
      <c r="J157" s="72"/>
      <c r="K157" s="72"/>
      <c r="L157" s="72"/>
      <c r="M157" s="74">
        <v>16.3</v>
      </c>
      <c r="N157" s="75">
        <v>4</v>
      </c>
    </row>
    <row r="158" spans="7:14">
      <c r="G158" s="72"/>
      <c r="H158" s="72"/>
      <c r="I158" s="72"/>
      <c r="J158" s="72"/>
      <c r="K158" s="72"/>
      <c r="L158" s="72"/>
      <c r="M158" s="74">
        <v>16.399999999999999</v>
      </c>
      <c r="N158" s="75">
        <v>1</v>
      </c>
    </row>
    <row r="159" spans="7:14">
      <c r="G159" s="72"/>
      <c r="H159" s="72"/>
      <c r="I159" s="72"/>
      <c r="J159" s="72"/>
      <c r="K159" s="72"/>
      <c r="L159" s="72"/>
      <c r="M159" s="74">
        <v>16.5</v>
      </c>
      <c r="N159" s="75">
        <v>0</v>
      </c>
    </row>
    <row r="160" spans="7:14">
      <c r="G160" s="72"/>
      <c r="H160" s="72"/>
      <c r="I160" s="72"/>
      <c r="J160" s="72"/>
      <c r="K160" s="72"/>
      <c r="L160" s="72"/>
      <c r="M160" s="74">
        <v>16.600000000000001</v>
      </c>
      <c r="N160" s="75">
        <v>0</v>
      </c>
    </row>
    <row r="161" spans="7:14">
      <c r="G161" s="72"/>
      <c r="H161" s="72"/>
      <c r="I161" s="72"/>
      <c r="J161" s="72"/>
      <c r="K161" s="72"/>
      <c r="L161" s="72"/>
      <c r="M161" s="74">
        <v>16.7</v>
      </c>
      <c r="N161" s="75">
        <v>2</v>
      </c>
    </row>
    <row r="162" spans="7:14">
      <c r="G162" s="72"/>
      <c r="H162" s="72"/>
      <c r="I162" s="72"/>
      <c r="J162" s="72"/>
      <c r="K162" s="72"/>
      <c r="L162" s="72"/>
      <c r="M162" s="74">
        <v>16.8</v>
      </c>
      <c r="N162" s="75">
        <v>1</v>
      </c>
    </row>
    <row r="163" spans="7:14">
      <c r="G163" s="72"/>
      <c r="H163" s="72"/>
      <c r="I163" s="72"/>
      <c r="J163" s="72"/>
      <c r="K163" s="72"/>
      <c r="L163" s="72"/>
      <c r="M163" s="74">
        <v>16.899999999999999</v>
      </c>
      <c r="N163" s="75">
        <v>2</v>
      </c>
    </row>
    <row r="164" spans="7:14">
      <c r="G164" s="72"/>
      <c r="H164" s="72"/>
      <c r="I164" s="72"/>
      <c r="J164" s="72"/>
      <c r="K164" s="72"/>
      <c r="L164" s="72"/>
      <c r="M164" s="74">
        <v>17</v>
      </c>
      <c r="N164" s="75">
        <v>3</v>
      </c>
    </row>
    <row r="165" spans="7:14">
      <c r="G165" s="72"/>
      <c r="H165" s="72"/>
      <c r="I165" s="72"/>
      <c r="J165" s="72"/>
      <c r="K165" s="72"/>
      <c r="L165" s="72"/>
      <c r="M165" s="74">
        <v>17.100000000000001</v>
      </c>
      <c r="N165" s="75">
        <v>0</v>
      </c>
    </row>
    <row r="166" spans="7:14">
      <c r="G166" s="72"/>
      <c r="H166" s="72"/>
      <c r="I166" s="72"/>
      <c r="J166" s="72"/>
      <c r="K166" s="72"/>
      <c r="L166" s="72"/>
      <c r="M166" s="74">
        <v>17.2</v>
      </c>
      <c r="N166" s="75">
        <v>4</v>
      </c>
    </row>
    <row r="167" spans="7:14">
      <c r="G167" s="72"/>
      <c r="H167" s="72"/>
      <c r="I167" s="72"/>
      <c r="J167" s="72"/>
      <c r="K167" s="72"/>
      <c r="L167" s="72"/>
      <c r="M167" s="74">
        <v>17.3</v>
      </c>
      <c r="N167" s="75">
        <v>2</v>
      </c>
    </row>
    <row r="168" spans="7:14">
      <c r="G168" s="72"/>
      <c r="H168" s="72"/>
      <c r="I168" s="72"/>
      <c r="J168" s="72"/>
      <c r="K168" s="72"/>
      <c r="L168" s="72"/>
      <c r="M168" s="74">
        <v>17.399999999999999</v>
      </c>
      <c r="N168" s="75">
        <v>0</v>
      </c>
    </row>
    <row r="169" spans="7:14">
      <c r="G169" s="72"/>
      <c r="H169" s="72"/>
      <c r="I169" s="72"/>
      <c r="J169" s="72"/>
      <c r="K169" s="72"/>
      <c r="L169" s="72"/>
      <c r="M169" s="74">
        <v>17.5</v>
      </c>
      <c r="N169" s="75">
        <v>0</v>
      </c>
    </row>
    <row r="170" spans="7:14">
      <c r="G170" s="72"/>
      <c r="H170" s="72"/>
      <c r="I170" s="72"/>
      <c r="J170" s="72"/>
      <c r="K170" s="72"/>
      <c r="L170" s="72"/>
      <c r="M170" s="74">
        <v>17.600000000000001</v>
      </c>
      <c r="N170" s="75">
        <v>1</v>
      </c>
    </row>
    <row r="171" spans="7:14">
      <c r="G171" s="72"/>
      <c r="H171" s="72"/>
      <c r="I171" s="72"/>
      <c r="J171" s="72"/>
      <c r="K171" s="72"/>
      <c r="L171" s="72"/>
      <c r="M171" s="74">
        <v>17.7</v>
      </c>
      <c r="N171" s="75">
        <v>0</v>
      </c>
    </row>
    <row r="172" spans="7:14">
      <c r="G172" s="72"/>
      <c r="H172" s="72"/>
      <c r="I172" s="72"/>
      <c r="J172" s="72"/>
      <c r="K172" s="72"/>
      <c r="L172" s="72"/>
      <c r="M172" s="74">
        <v>17.8</v>
      </c>
      <c r="N172" s="75">
        <v>0</v>
      </c>
    </row>
    <row r="173" spans="7:14">
      <c r="G173" s="72"/>
      <c r="H173" s="72"/>
      <c r="I173" s="72"/>
      <c r="J173" s="72"/>
      <c r="K173" s="72"/>
      <c r="L173" s="72"/>
      <c r="M173" s="74">
        <v>17.899999999999999</v>
      </c>
      <c r="N173" s="75">
        <v>1</v>
      </c>
    </row>
    <row r="174" spans="7:14">
      <c r="G174" s="72"/>
      <c r="H174" s="72"/>
      <c r="I174" s="72"/>
      <c r="J174" s="72"/>
      <c r="K174" s="72"/>
      <c r="L174" s="72"/>
      <c r="M174" s="74">
        <v>18</v>
      </c>
      <c r="N174" s="75">
        <v>1</v>
      </c>
    </row>
    <row r="175" spans="7:14">
      <c r="G175" s="72"/>
      <c r="H175" s="72"/>
      <c r="I175" s="72"/>
      <c r="J175" s="72"/>
      <c r="K175" s="72"/>
      <c r="L175" s="72"/>
      <c r="M175" s="74">
        <v>18.100000000000001</v>
      </c>
      <c r="N175" s="75">
        <v>0</v>
      </c>
    </row>
    <row r="176" spans="7:14">
      <c r="G176" s="72"/>
      <c r="H176" s="72"/>
      <c r="I176" s="72"/>
      <c r="J176" s="72"/>
      <c r="K176" s="72"/>
      <c r="L176" s="72"/>
      <c r="M176" s="74">
        <v>18.2</v>
      </c>
      <c r="N176" s="75">
        <v>2</v>
      </c>
    </row>
    <row r="177" spans="7:14">
      <c r="G177" s="72"/>
      <c r="H177" s="72"/>
      <c r="I177" s="72"/>
      <c r="J177" s="72"/>
      <c r="K177" s="72"/>
      <c r="L177" s="72"/>
      <c r="M177" s="74">
        <v>18.3</v>
      </c>
      <c r="N177" s="75">
        <v>1</v>
      </c>
    </row>
    <row r="178" spans="7:14">
      <c r="G178" s="72"/>
      <c r="H178" s="72"/>
      <c r="I178" s="72"/>
      <c r="J178" s="72"/>
      <c r="K178" s="72"/>
      <c r="L178" s="72"/>
      <c r="M178" s="74">
        <v>18.399999999999999</v>
      </c>
      <c r="N178" s="75">
        <v>1</v>
      </c>
    </row>
    <row r="179" spans="7:14">
      <c r="G179" s="72"/>
      <c r="H179" s="72"/>
      <c r="I179" s="72"/>
      <c r="J179" s="72"/>
      <c r="K179" s="72"/>
      <c r="L179" s="72"/>
      <c r="M179" s="74">
        <v>18.5</v>
      </c>
      <c r="N179" s="75">
        <v>0</v>
      </c>
    </row>
    <row r="180" spans="7:14">
      <c r="G180" s="72"/>
      <c r="H180" s="72"/>
      <c r="I180" s="72"/>
      <c r="J180" s="72"/>
      <c r="K180" s="72"/>
      <c r="L180" s="72"/>
      <c r="M180" s="74">
        <v>18.600000000000001</v>
      </c>
      <c r="N180" s="75">
        <v>1</v>
      </c>
    </row>
    <row r="181" spans="7:14">
      <c r="G181" s="72"/>
      <c r="H181" s="72"/>
      <c r="I181" s="72"/>
      <c r="J181" s="72"/>
      <c r="K181" s="72"/>
      <c r="L181" s="72"/>
      <c r="M181" s="74">
        <v>18.7</v>
      </c>
      <c r="N181" s="75">
        <v>0</v>
      </c>
    </row>
    <row r="182" spans="7:14">
      <c r="G182" s="72"/>
      <c r="H182" s="72"/>
      <c r="I182" s="72"/>
      <c r="J182" s="72"/>
      <c r="K182" s="72"/>
      <c r="L182" s="72"/>
      <c r="M182" s="74">
        <v>18.8</v>
      </c>
      <c r="N182" s="75">
        <v>1</v>
      </c>
    </row>
    <row r="183" spans="7:14">
      <c r="G183" s="72"/>
      <c r="H183" s="72"/>
      <c r="I183" s="72"/>
      <c r="J183" s="72"/>
      <c r="K183" s="72"/>
      <c r="L183" s="72"/>
      <c r="M183" s="74">
        <v>18.899999999999999</v>
      </c>
      <c r="N183" s="75">
        <v>1</v>
      </c>
    </row>
    <row r="184" spans="7:14">
      <c r="G184" s="72"/>
      <c r="H184" s="72"/>
      <c r="I184" s="72"/>
      <c r="J184" s="72"/>
      <c r="K184" s="72"/>
      <c r="L184" s="72"/>
      <c r="M184" s="74">
        <v>19</v>
      </c>
      <c r="N184" s="75">
        <v>1</v>
      </c>
    </row>
    <row r="185" spans="7:14">
      <c r="G185" s="72"/>
      <c r="H185" s="72"/>
      <c r="I185" s="72"/>
      <c r="J185" s="72"/>
      <c r="K185" s="72"/>
      <c r="L185" s="72"/>
      <c r="M185" s="74">
        <v>19.100000000000001</v>
      </c>
      <c r="N185" s="75">
        <v>0</v>
      </c>
    </row>
    <row r="186" spans="7:14">
      <c r="G186" s="72"/>
      <c r="H186" s="72"/>
      <c r="I186" s="72"/>
      <c r="J186" s="72"/>
      <c r="K186" s="72"/>
      <c r="L186" s="72"/>
      <c r="M186" s="74">
        <v>19.2</v>
      </c>
      <c r="N186" s="75">
        <v>0</v>
      </c>
    </row>
    <row r="187" spans="7:14">
      <c r="G187" s="72"/>
      <c r="H187" s="72"/>
      <c r="I187" s="72"/>
      <c r="J187" s="72"/>
      <c r="K187" s="72"/>
      <c r="L187" s="72"/>
      <c r="M187" s="74">
        <v>19.3</v>
      </c>
      <c r="N187" s="75">
        <v>1</v>
      </c>
    </row>
    <row r="188" spans="7:14">
      <c r="G188" s="72"/>
      <c r="H188" s="72"/>
      <c r="I188" s="72"/>
      <c r="J188" s="72"/>
      <c r="K188" s="72"/>
      <c r="L188" s="72"/>
      <c r="M188" s="74">
        <v>19.399999999999999</v>
      </c>
      <c r="N188" s="75">
        <v>0</v>
      </c>
    </row>
    <row r="189" spans="7:14">
      <c r="G189" s="72"/>
      <c r="H189" s="72"/>
      <c r="I189" s="72"/>
      <c r="J189" s="72"/>
      <c r="K189" s="72"/>
      <c r="L189" s="72"/>
      <c r="M189" s="74">
        <v>19.5</v>
      </c>
      <c r="N189" s="75">
        <v>0</v>
      </c>
    </row>
    <row r="190" spans="7:14">
      <c r="G190" s="72"/>
      <c r="H190" s="72"/>
      <c r="I190" s="72"/>
      <c r="J190" s="72"/>
      <c r="K190" s="72"/>
      <c r="L190" s="72"/>
      <c r="M190" s="74">
        <v>19.600000000000001</v>
      </c>
      <c r="N190" s="75">
        <v>1</v>
      </c>
    </row>
    <row r="191" spans="7:14">
      <c r="G191" s="72"/>
      <c r="H191" s="72"/>
      <c r="I191" s="72"/>
      <c r="J191" s="72"/>
      <c r="K191" s="72"/>
      <c r="L191" s="72"/>
      <c r="M191" s="74">
        <v>19.7</v>
      </c>
      <c r="N191" s="75">
        <v>0</v>
      </c>
    </row>
    <row r="192" spans="7:14">
      <c r="G192" s="72"/>
      <c r="H192" s="72"/>
      <c r="I192" s="72"/>
      <c r="J192" s="72"/>
      <c r="K192" s="72"/>
      <c r="L192" s="72"/>
      <c r="M192" s="74">
        <v>19.8</v>
      </c>
      <c r="N192" s="75">
        <v>0</v>
      </c>
    </row>
    <row r="193" spans="7:14">
      <c r="G193" s="72"/>
      <c r="H193" s="72"/>
      <c r="I193" s="72"/>
      <c r="J193" s="72"/>
      <c r="K193" s="72"/>
      <c r="L193" s="72"/>
      <c r="M193" s="74">
        <v>19.899999999999999</v>
      </c>
      <c r="N193" s="75">
        <v>0</v>
      </c>
    </row>
    <row r="194" spans="7:14">
      <c r="G194" s="72"/>
      <c r="H194" s="72"/>
      <c r="I194" s="72"/>
      <c r="J194" s="72"/>
      <c r="K194" s="72"/>
      <c r="L194" s="72"/>
      <c r="M194" s="74">
        <v>20</v>
      </c>
      <c r="N194" s="75">
        <v>1</v>
      </c>
    </row>
    <row r="195" spans="7:14">
      <c r="G195" s="72"/>
      <c r="H195" s="72"/>
      <c r="I195" s="72"/>
      <c r="J195" s="72"/>
      <c r="K195" s="72"/>
      <c r="L195" s="72"/>
      <c r="M195" s="74">
        <v>20.100000000000001</v>
      </c>
      <c r="N195" s="75">
        <v>0</v>
      </c>
    </row>
    <row r="196" spans="7:14">
      <c r="G196" s="72"/>
      <c r="H196" s="72"/>
      <c r="I196" s="72"/>
      <c r="J196" s="72"/>
      <c r="K196" s="72"/>
      <c r="L196" s="72"/>
      <c r="M196" s="74">
        <v>20.2</v>
      </c>
      <c r="N196" s="75">
        <v>0</v>
      </c>
    </row>
    <row r="197" spans="7:14">
      <c r="G197" s="72"/>
      <c r="H197" s="72"/>
      <c r="I197" s="72"/>
      <c r="J197" s="72"/>
      <c r="K197" s="72"/>
      <c r="L197" s="72"/>
      <c r="M197" s="74">
        <v>20.3</v>
      </c>
      <c r="N197" s="75">
        <v>0</v>
      </c>
    </row>
    <row r="198" spans="7:14">
      <c r="G198" s="72"/>
      <c r="H198" s="72"/>
      <c r="I198" s="72"/>
      <c r="J198" s="72"/>
      <c r="K198" s="72"/>
      <c r="L198" s="72"/>
      <c r="M198" s="74">
        <v>20.399999999999999</v>
      </c>
      <c r="N198" s="75">
        <v>0</v>
      </c>
    </row>
    <row r="199" spans="7:14">
      <c r="G199" s="72"/>
      <c r="H199" s="72"/>
      <c r="I199" s="72"/>
      <c r="J199" s="72"/>
      <c r="K199" s="72"/>
      <c r="L199" s="72"/>
      <c r="M199" s="74">
        <v>20.5</v>
      </c>
      <c r="N199" s="75">
        <v>0</v>
      </c>
    </row>
    <row r="200" spans="7:14">
      <c r="G200" s="72"/>
      <c r="H200" s="72"/>
      <c r="I200" s="72"/>
      <c r="J200" s="72"/>
      <c r="K200" s="72"/>
      <c r="L200" s="72"/>
      <c r="M200" s="74">
        <v>20.6</v>
      </c>
      <c r="N200" s="75">
        <v>1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G7:Q65"/>
  <sheetViews>
    <sheetView tabSelected="1" topLeftCell="A7" workbookViewId="0">
      <selection activeCell="F25" sqref="F25"/>
    </sheetView>
  </sheetViews>
  <sheetFormatPr defaultRowHeight="14.4"/>
  <cols>
    <col min="9" max="9" width="15.21875" customWidth="1"/>
    <col min="11" max="11" width="12" customWidth="1"/>
  </cols>
  <sheetData>
    <row r="7" spans="7:17"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7:17"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7:17"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7:17">
      <c r="G10" s="72"/>
      <c r="H10" s="72"/>
      <c r="I10" s="72"/>
      <c r="J10" s="72"/>
      <c r="K10" s="72" t="s">
        <v>9</v>
      </c>
      <c r="L10" s="72"/>
      <c r="M10" s="72"/>
      <c r="N10" s="72"/>
      <c r="O10" s="72"/>
      <c r="P10" s="72"/>
      <c r="Q10" s="72"/>
    </row>
    <row r="11" spans="7:17"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3" spans="7:17">
      <c r="I13" s="72" t="s">
        <v>48</v>
      </c>
    </row>
    <row r="14" spans="7:17">
      <c r="I14">
        <v>1699.2</v>
      </c>
      <c r="J14">
        <v>7.1000000000000002E-4</v>
      </c>
      <c r="K14">
        <v>1.6000000000000001E-4</v>
      </c>
      <c r="L14">
        <v>1.3999999999999999E-4</v>
      </c>
      <c r="M14">
        <v>2.1000000000000001E-4</v>
      </c>
      <c r="N14" s="77">
        <v>6.0000000000000002E-5</v>
      </c>
      <c r="O14">
        <v>1.2999999999999999E-4</v>
      </c>
    </row>
    <row r="15" spans="7:17">
      <c r="I15">
        <v>1697.3</v>
      </c>
      <c r="J15">
        <v>9.3000000000000005E-4</v>
      </c>
      <c r="K15">
        <v>1.7000000000000001E-4</v>
      </c>
      <c r="L15">
        <v>1.4999999999999999E-4</v>
      </c>
      <c r="M15">
        <v>2.4000000000000001E-4</v>
      </c>
      <c r="N15" s="77">
        <v>6.9999999999999994E-5</v>
      </c>
      <c r="O15">
        <v>2.9E-4</v>
      </c>
    </row>
    <row r="16" spans="7:17">
      <c r="I16">
        <v>1695.3</v>
      </c>
      <c r="J16">
        <v>1.47E-3</v>
      </c>
      <c r="K16">
        <v>1.8000000000000001E-4</v>
      </c>
      <c r="L16">
        <v>1.7000000000000001E-4</v>
      </c>
      <c r="M16">
        <v>2.7E-4</v>
      </c>
      <c r="N16" s="77">
        <v>9.0000000000000006E-5</v>
      </c>
      <c r="O16">
        <v>7.6999999999999996E-4</v>
      </c>
    </row>
    <row r="17" spans="9:15">
      <c r="I17">
        <v>1693.4</v>
      </c>
      <c r="J17">
        <v>1.72E-3</v>
      </c>
      <c r="K17">
        <v>1.9000000000000001E-4</v>
      </c>
      <c r="L17">
        <v>1.8000000000000001E-4</v>
      </c>
      <c r="M17">
        <v>2.9999999999999997E-4</v>
      </c>
      <c r="N17">
        <v>1.1E-4</v>
      </c>
      <c r="O17">
        <v>9.3000000000000005E-4</v>
      </c>
    </row>
    <row r="18" spans="9:15">
      <c r="I18">
        <v>1691.5</v>
      </c>
      <c r="J18">
        <v>1.25E-3</v>
      </c>
      <c r="K18">
        <v>2.0000000000000001E-4</v>
      </c>
      <c r="L18">
        <v>1.9000000000000001E-4</v>
      </c>
      <c r="M18">
        <v>3.4000000000000002E-4</v>
      </c>
      <c r="N18">
        <v>1.3999999999999999E-4</v>
      </c>
      <c r="O18">
        <v>3.6999999999999999E-4</v>
      </c>
    </row>
    <row r="19" spans="9:15">
      <c r="I19">
        <v>1689.6</v>
      </c>
      <c r="J19">
        <v>1.17E-3</v>
      </c>
      <c r="K19">
        <v>2.1000000000000001E-4</v>
      </c>
      <c r="L19">
        <v>2.1000000000000001E-4</v>
      </c>
      <c r="M19">
        <v>4.0000000000000002E-4</v>
      </c>
      <c r="N19">
        <v>1.9000000000000001E-4</v>
      </c>
      <c r="O19">
        <v>1.6000000000000001E-4</v>
      </c>
    </row>
    <row r="20" spans="9:15">
      <c r="I20">
        <v>1687.6</v>
      </c>
      <c r="J20">
        <v>1.2700000000000001E-3</v>
      </c>
      <c r="K20">
        <v>2.3000000000000001E-4</v>
      </c>
      <c r="L20">
        <v>2.3000000000000001E-4</v>
      </c>
      <c r="M20">
        <v>4.6000000000000001E-4</v>
      </c>
      <c r="N20">
        <v>2.7E-4</v>
      </c>
      <c r="O20" s="77">
        <v>9.0000000000000006E-5</v>
      </c>
    </row>
    <row r="21" spans="9:15">
      <c r="I21">
        <v>1685.7</v>
      </c>
      <c r="J21">
        <v>1.47E-3</v>
      </c>
      <c r="K21">
        <v>2.4000000000000001E-4</v>
      </c>
      <c r="L21">
        <v>2.5000000000000001E-4</v>
      </c>
      <c r="M21">
        <v>5.4000000000000001E-4</v>
      </c>
      <c r="N21">
        <v>3.8000000000000002E-4</v>
      </c>
      <c r="O21" s="77">
        <v>5.0000000000000002E-5</v>
      </c>
    </row>
    <row r="22" spans="9:15">
      <c r="I22">
        <v>1683.8</v>
      </c>
      <c r="J22">
        <v>1.8E-3</v>
      </c>
      <c r="K22">
        <v>2.5999999999999998E-4</v>
      </c>
      <c r="L22">
        <v>2.7999999999999998E-4</v>
      </c>
      <c r="M22">
        <v>6.4000000000000005E-4</v>
      </c>
      <c r="N22">
        <v>5.8E-4</v>
      </c>
      <c r="O22" s="77">
        <v>4.0000000000000003E-5</v>
      </c>
    </row>
    <row r="23" spans="9:15">
      <c r="I23">
        <v>1681.8</v>
      </c>
      <c r="J23">
        <v>2.2899999999999999E-3</v>
      </c>
      <c r="K23">
        <v>2.7999999999999998E-4</v>
      </c>
      <c r="L23">
        <v>3.1E-4</v>
      </c>
      <c r="M23">
        <v>7.6999999999999996E-4</v>
      </c>
      <c r="N23">
        <v>8.9999999999999998E-4</v>
      </c>
      <c r="O23" s="77">
        <v>3.0000000000000001E-5</v>
      </c>
    </row>
    <row r="24" spans="9:15">
      <c r="I24">
        <v>1679.9</v>
      </c>
      <c r="J24">
        <v>2.9199999999999999E-3</v>
      </c>
      <c r="K24">
        <v>2.9999999999999997E-4</v>
      </c>
      <c r="L24">
        <v>3.4000000000000002E-4</v>
      </c>
      <c r="M24">
        <v>9.3999999999999997E-4</v>
      </c>
      <c r="N24">
        <v>1.32E-3</v>
      </c>
      <c r="O24" s="77">
        <v>2.0000000000000002E-5</v>
      </c>
    </row>
    <row r="25" spans="9:15">
      <c r="I25">
        <v>1678</v>
      </c>
      <c r="J25">
        <v>3.3600000000000001E-3</v>
      </c>
      <c r="K25">
        <v>3.2000000000000003E-4</v>
      </c>
      <c r="L25">
        <v>3.8000000000000002E-4</v>
      </c>
      <c r="M25">
        <v>1.17E-3</v>
      </c>
      <c r="N25">
        <v>1.47E-3</v>
      </c>
      <c r="O25" s="77">
        <v>1.0000000000000001E-5</v>
      </c>
    </row>
    <row r="26" spans="9:15">
      <c r="I26">
        <v>1676</v>
      </c>
      <c r="J26">
        <v>3.4099999999999998E-3</v>
      </c>
      <c r="K26">
        <v>3.5E-4</v>
      </c>
      <c r="L26">
        <v>4.2999999999999999E-4</v>
      </c>
      <c r="M26">
        <v>1.47E-3</v>
      </c>
      <c r="N26">
        <v>1.14E-3</v>
      </c>
      <c r="O26" s="77">
        <v>1.0000000000000001E-5</v>
      </c>
    </row>
    <row r="27" spans="9:15">
      <c r="I27">
        <v>1674.1</v>
      </c>
      <c r="J27">
        <v>3.5000000000000001E-3</v>
      </c>
      <c r="K27">
        <v>3.8000000000000002E-4</v>
      </c>
      <c r="L27">
        <v>4.8999999999999998E-4</v>
      </c>
      <c r="M27">
        <v>1.8699999999999999E-3</v>
      </c>
      <c r="N27">
        <v>7.5000000000000002E-4</v>
      </c>
      <c r="O27" s="77">
        <v>1.0000000000000001E-5</v>
      </c>
    </row>
    <row r="28" spans="9:15">
      <c r="I28">
        <v>1672.2</v>
      </c>
      <c r="J28">
        <v>3.8600000000000001E-3</v>
      </c>
      <c r="K28">
        <v>4.0999999999999999E-4</v>
      </c>
      <c r="L28">
        <v>5.5999999999999995E-4</v>
      </c>
      <c r="M28">
        <v>2.3999999999999998E-3</v>
      </c>
      <c r="N28">
        <v>4.8000000000000001E-4</v>
      </c>
      <c r="O28" s="77">
        <v>1.0000000000000001E-5</v>
      </c>
    </row>
    <row r="29" spans="9:15">
      <c r="I29">
        <v>1670.3</v>
      </c>
      <c r="J29">
        <v>4.45E-3</v>
      </c>
      <c r="K29">
        <v>4.4999999999999999E-4</v>
      </c>
      <c r="L29">
        <v>6.4000000000000005E-4</v>
      </c>
      <c r="M29">
        <v>3.0300000000000001E-3</v>
      </c>
      <c r="N29">
        <v>3.3E-4</v>
      </c>
      <c r="O29" s="77">
        <v>1.0000000000000001E-5</v>
      </c>
    </row>
    <row r="30" spans="9:15">
      <c r="I30">
        <v>1668.3</v>
      </c>
      <c r="J30">
        <v>5.1500000000000001E-3</v>
      </c>
      <c r="K30">
        <v>4.8999999999999998E-4</v>
      </c>
      <c r="L30">
        <v>7.3999999999999999E-4</v>
      </c>
      <c r="M30">
        <v>3.6800000000000001E-3</v>
      </c>
      <c r="N30">
        <v>2.3000000000000001E-4</v>
      </c>
      <c r="O30" s="77">
        <v>1.0000000000000001E-5</v>
      </c>
    </row>
    <row r="31" spans="9:15">
      <c r="I31">
        <v>1666.4</v>
      </c>
      <c r="J31">
        <v>5.7099999999999998E-3</v>
      </c>
      <c r="K31">
        <v>5.4000000000000001E-4</v>
      </c>
      <c r="L31">
        <v>8.7000000000000001E-4</v>
      </c>
      <c r="M31">
        <v>4.1200000000000004E-3</v>
      </c>
      <c r="N31">
        <v>1.7000000000000001E-4</v>
      </c>
      <c r="O31" s="77">
        <v>1.0000000000000001E-5</v>
      </c>
    </row>
    <row r="32" spans="9:15">
      <c r="I32">
        <v>1664.5</v>
      </c>
      <c r="J32">
        <v>5.8799999999999998E-3</v>
      </c>
      <c r="K32">
        <v>5.9999999999999995E-4</v>
      </c>
      <c r="L32">
        <v>1.0300000000000001E-3</v>
      </c>
      <c r="M32">
        <v>4.1200000000000004E-3</v>
      </c>
      <c r="N32">
        <v>1.2999999999999999E-4</v>
      </c>
      <c r="O32">
        <v>0</v>
      </c>
    </row>
    <row r="33" spans="9:15">
      <c r="I33">
        <v>1662.5</v>
      </c>
      <c r="J33">
        <v>5.6699999999999997E-3</v>
      </c>
      <c r="K33">
        <v>6.6E-4</v>
      </c>
      <c r="L33">
        <v>1.23E-3</v>
      </c>
      <c r="M33">
        <v>3.6700000000000001E-3</v>
      </c>
      <c r="N33" s="77">
        <v>1E-4</v>
      </c>
      <c r="O33">
        <v>0</v>
      </c>
    </row>
    <row r="34" spans="9:15">
      <c r="I34">
        <v>1660.6</v>
      </c>
      <c r="J34">
        <v>5.3400000000000001E-3</v>
      </c>
      <c r="K34">
        <v>7.3999999999999999E-4</v>
      </c>
      <c r="L34">
        <v>1.49E-3</v>
      </c>
      <c r="M34">
        <v>3.0200000000000001E-3</v>
      </c>
      <c r="N34" s="77">
        <v>8.0000000000000007E-5</v>
      </c>
      <c r="O34">
        <v>0</v>
      </c>
    </row>
    <row r="35" spans="9:15">
      <c r="I35">
        <v>1658.7</v>
      </c>
      <c r="J35">
        <v>5.1200000000000004E-3</v>
      </c>
      <c r="K35">
        <v>8.3000000000000001E-4</v>
      </c>
      <c r="L35">
        <v>1.8400000000000001E-3</v>
      </c>
      <c r="M35">
        <v>2.3900000000000002E-3</v>
      </c>
      <c r="N35" s="77">
        <v>6.9999999999999994E-5</v>
      </c>
      <c r="O35">
        <v>0</v>
      </c>
    </row>
    <row r="36" spans="9:15">
      <c r="I36">
        <v>1656.8</v>
      </c>
      <c r="J36">
        <v>5.1399999999999996E-3</v>
      </c>
      <c r="K36">
        <v>9.3000000000000005E-4</v>
      </c>
      <c r="L36">
        <v>2.2899999999999999E-3</v>
      </c>
      <c r="M36">
        <v>1.8699999999999999E-3</v>
      </c>
      <c r="N36" s="77">
        <v>6.0000000000000002E-5</v>
      </c>
      <c r="O36">
        <v>0</v>
      </c>
    </row>
    <row r="37" spans="9:15">
      <c r="I37">
        <v>1654.8</v>
      </c>
      <c r="J37">
        <v>5.4400000000000004E-3</v>
      </c>
      <c r="K37">
        <v>1.0499999999999999E-3</v>
      </c>
      <c r="L37">
        <v>2.8700000000000002E-3</v>
      </c>
      <c r="M37">
        <v>1.47E-3</v>
      </c>
      <c r="N37" s="77">
        <v>5.0000000000000002E-5</v>
      </c>
      <c r="O37">
        <v>0</v>
      </c>
    </row>
    <row r="38" spans="9:15">
      <c r="I38">
        <v>1652.9</v>
      </c>
      <c r="J38">
        <v>6.0099999999999997E-3</v>
      </c>
      <c r="K38">
        <v>1.1999999999999999E-3</v>
      </c>
      <c r="L38">
        <v>3.5999999999999999E-3</v>
      </c>
      <c r="M38">
        <v>1.17E-3</v>
      </c>
      <c r="N38" s="77">
        <v>4.0000000000000003E-5</v>
      </c>
      <c r="O38">
        <v>0</v>
      </c>
    </row>
    <row r="39" spans="9:15">
      <c r="I39">
        <v>1651</v>
      </c>
      <c r="J39">
        <v>6.79E-3</v>
      </c>
      <c r="K39">
        <v>1.3799999999999999E-3</v>
      </c>
      <c r="L39">
        <v>4.4400000000000004E-3</v>
      </c>
      <c r="M39">
        <v>9.3999999999999997E-4</v>
      </c>
      <c r="N39" s="77">
        <v>4.0000000000000003E-5</v>
      </c>
      <c r="O39">
        <v>0</v>
      </c>
    </row>
    <row r="40" spans="9:15">
      <c r="I40">
        <v>1649</v>
      </c>
      <c r="J40">
        <v>7.6299999999999996E-3</v>
      </c>
      <c r="K40">
        <v>1.5900000000000001E-3</v>
      </c>
      <c r="L40">
        <v>5.2300000000000003E-3</v>
      </c>
      <c r="M40">
        <v>7.6999999999999996E-4</v>
      </c>
      <c r="N40" s="77">
        <v>3.0000000000000001E-5</v>
      </c>
      <c r="O40">
        <v>0</v>
      </c>
    </row>
    <row r="41" spans="9:15">
      <c r="I41">
        <v>1647.1</v>
      </c>
      <c r="J41">
        <v>8.2400000000000008E-3</v>
      </c>
      <c r="K41">
        <v>1.8500000000000001E-3</v>
      </c>
      <c r="L41">
        <v>5.7099999999999998E-3</v>
      </c>
      <c r="M41">
        <v>6.4000000000000005E-4</v>
      </c>
      <c r="N41" s="77">
        <v>3.0000000000000001E-5</v>
      </c>
      <c r="O41">
        <v>0</v>
      </c>
    </row>
    <row r="42" spans="9:15">
      <c r="I42">
        <v>1645.2</v>
      </c>
      <c r="J42">
        <v>8.3800000000000003E-3</v>
      </c>
      <c r="K42">
        <v>2.1700000000000001E-3</v>
      </c>
      <c r="L42">
        <v>5.64E-3</v>
      </c>
      <c r="M42">
        <v>5.4000000000000001E-4</v>
      </c>
      <c r="N42" s="77">
        <v>2.0000000000000002E-5</v>
      </c>
      <c r="O42">
        <v>0</v>
      </c>
    </row>
    <row r="43" spans="9:15">
      <c r="I43">
        <v>1643.3</v>
      </c>
      <c r="J43">
        <v>8.0999999999999996E-3</v>
      </c>
      <c r="K43">
        <v>2.5500000000000002E-3</v>
      </c>
      <c r="L43">
        <v>5.0699999999999999E-3</v>
      </c>
      <c r="M43">
        <v>4.6000000000000001E-4</v>
      </c>
      <c r="N43" s="77">
        <v>2.0000000000000002E-5</v>
      </c>
      <c r="O43">
        <v>0</v>
      </c>
    </row>
    <row r="44" spans="9:15">
      <c r="I44">
        <v>1641.3</v>
      </c>
      <c r="J44">
        <v>7.6499999999999997E-3</v>
      </c>
      <c r="K44">
        <v>3.0000000000000001E-3</v>
      </c>
      <c r="L44">
        <v>4.2399999999999998E-3</v>
      </c>
      <c r="M44">
        <v>4.0000000000000002E-4</v>
      </c>
      <c r="N44" s="77">
        <v>2.0000000000000002E-5</v>
      </c>
      <c r="O44">
        <v>0</v>
      </c>
    </row>
    <row r="45" spans="9:15">
      <c r="I45">
        <v>1639.4</v>
      </c>
      <c r="J45">
        <v>7.3000000000000001E-3</v>
      </c>
      <c r="K45">
        <v>3.5200000000000001E-3</v>
      </c>
      <c r="L45">
        <v>3.4199999999999999E-3</v>
      </c>
      <c r="M45">
        <v>3.4000000000000002E-4</v>
      </c>
      <c r="N45" s="77">
        <v>2.0000000000000002E-5</v>
      </c>
      <c r="O45">
        <v>0</v>
      </c>
    </row>
    <row r="46" spans="9:15">
      <c r="I46">
        <v>1637.5</v>
      </c>
      <c r="J46">
        <v>7.1399999999999996E-3</v>
      </c>
      <c r="K46">
        <v>4.0899999999999999E-3</v>
      </c>
      <c r="L46">
        <v>2.7200000000000002E-3</v>
      </c>
      <c r="M46">
        <v>2.9999999999999997E-4</v>
      </c>
      <c r="N46" s="77">
        <v>2.0000000000000002E-5</v>
      </c>
      <c r="O46">
        <v>0</v>
      </c>
    </row>
    <row r="47" spans="9:15">
      <c r="I47">
        <v>1635.5</v>
      </c>
      <c r="J47">
        <v>7.1300000000000001E-3</v>
      </c>
      <c r="K47">
        <v>4.6699999999999997E-3</v>
      </c>
      <c r="L47">
        <v>2.1700000000000001E-3</v>
      </c>
      <c r="M47">
        <v>2.7E-4</v>
      </c>
      <c r="N47" s="77">
        <v>1.0000000000000001E-5</v>
      </c>
      <c r="O47">
        <v>0</v>
      </c>
    </row>
    <row r="48" spans="9:15">
      <c r="I48">
        <v>1633.6</v>
      </c>
      <c r="J48">
        <v>7.1799999999999998E-3</v>
      </c>
      <c r="K48">
        <v>5.1799999999999997E-3</v>
      </c>
      <c r="L48">
        <v>1.75E-3</v>
      </c>
      <c r="M48">
        <v>2.4000000000000001E-4</v>
      </c>
      <c r="N48" s="77">
        <v>1.0000000000000001E-5</v>
      </c>
      <c r="O48">
        <v>0</v>
      </c>
    </row>
    <row r="49" spans="9:15">
      <c r="I49">
        <v>1631.7</v>
      </c>
      <c r="J49">
        <v>7.1500000000000001E-3</v>
      </c>
      <c r="K49">
        <v>5.4900000000000001E-3</v>
      </c>
      <c r="L49">
        <v>1.4300000000000001E-3</v>
      </c>
      <c r="M49">
        <v>2.1000000000000001E-4</v>
      </c>
      <c r="N49" s="77">
        <v>1.0000000000000001E-5</v>
      </c>
      <c r="O49">
        <v>0</v>
      </c>
    </row>
    <row r="50" spans="9:15">
      <c r="I50">
        <v>1629.8</v>
      </c>
      <c r="J50">
        <v>6.9199999999999999E-3</v>
      </c>
      <c r="K50">
        <v>5.5399999999999998E-3</v>
      </c>
      <c r="L50">
        <v>1.1800000000000001E-3</v>
      </c>
      <c r="M50">
        <v>1.9000000000000001E-4</v>
      </c>
      <c r="N50" s="77">
        <v>1.0000000000000001E-5</v>
      </c>
      <c r="O50">
        <v>0</v>
      </c>
    </row>
    <row r="51" spans="9:15">
      <c r="I51">
        <v>1627.8</v>
      </c>
      <c r="J51">
        <v>6.4700000000000001E-3</v>
      </c>
      <c r="K51">
        <v>5.3E-3</v>
      </c>
      <c r="L51">
        <v>9.8999999999999999E-4</v>
      </c>
      <c r="M51">
        <v>1.7000000000000001E-4</v>
      </c>
      <c r="N51" s="77">
        <v>1.0000000000000001E-5</v>
      </c>
      <c r="O51">
        <v>0</v>
      </c>
    </row>
    <row r="52" spans="9:15">
      <c r="I52">
        <v>1625.9</v>
      </c>
      <c r="J52">
        <v>5.8500000000000002E-3</v>
      </c>
      <c r="K52">
        <v>4.8500000000000001E-3</v>
      </c>
      <c r="L52">
        <v>8.4000000000000003E-4</v>
      </c>
      <c r="M52">
        <v>1.6000000000000001E-4</v>
      </c>
      <c r="N52" s="77">
        <v>1.0000000000000001E-5</v>
      </c>
      <c r="O52">
        <v>0</v>
      </c>
    </row>
    <row r="53" spans="9:15">
      <c r="I53">
        <v>1624</v>
      </c>
      <c r="J53">
        <v>5.1500000000000001E-3</v>
      </c>
      <c r="K53">
        <v>4.28E-3</v>
      </c>
      <c r="L53">
        <v>7.1000000000000002E-4</v>
      </c>
      <c r="M53">
        <v>1.3999999999999999E-4</v>
      </c>
      <c r="N53" s="77">
        <v>1.0000000000000001E-5</v>
      </c>
      <c r="O53">
        <v>0</v>
      </c>
    </row>
    <row r="54" spans="9:15">
      <c r="I54">
        <v>1622</v>
      </c>
      <c r="J54">
        <v>4.4600000000000004E-3</v>
      </c>
      <c r="K54">
        <v>3.7000000000000002E-3</v>
      </c>
      <c r="L54">
        <v>6.2E-4</v>
      </c>
      <c r="M54">
        <v>1.2999999999999999E-4</v>
      </c>
      <c r="N54" s="77">
        <v>1.0000000000000001E-5</v>
      </c>
      <c r="O54">
        <v>0</v>
      </c>
    </row>
    <row r="55" spans="9:15">
      <c r="I55">
        <v>1620.1</v>
      </c>
      <c r="J55">
        <v>3.82E-3</v>
      </c>
      <c r="K55">
        <v>3.16E-3</v>
      </c>
      <c r="L55">
        <v>5.4000000000000001E-4</v>
      </c>
      <c r="M55">
        <v>1.2E-4</v>
      </c>
      <c r="N55" s="77">
        <v>1.0000000000000001E-5</v>
      </c>
      <c r="O55">
        <v>0</v>
      </c>
    </row>
    <row r="56" spans="9:15">
      <c r="I56">
        <v>1618.2</v>
      </c>
      <c r="J56">
        <v>3.2799999999999999E-3</v>
      </c>
      <c r="K56">
        <v>2.6800000000000001E-3</v>
      </c>
      <c r="L56">
        <v>4.6999999999999999E-4</v>
      </c>
      <c r="M56">
        <v>1.1E-4</v>
      </c>
      <c r="N56" s="77">
        <v>1.0000000000000001E-5</v>
      </c>
      <c r="O56">
        <v>0</v>
      </c>
    </row>
    <row r="57" spans="9:15">
      <c r="I57">
        <v>1616.3</v>
      </c>
      <c r="J57">
        <v>2.81E-3</v>
      </c>
      <c r="K57">
        <v>2.2799999999999999E-3</v>
      </c>
      <c r="L57">
        <v>4.2000000000000002E-4</v>
      </c>
      <c r="M57" s="77">
        <v>1E-4</v>
      </c>
      <c r="N57" s="77">
        <v>1.0000000000000001E-5</v>
      </c>
      <c r="O57">
        <v>0</v>
      </c>
    </row>
    <row r="58" spans="9:15">
      <c r="I58">
        <v>1614.3</v>
      </c>
      <c r="J58">
        <v>2.4199999999999998E-3</v>
      </c>
      <c r="K58">
        <v>1.9499999999999999E-3</v>
      </c>
      <c r="L58">
        <v>3.6999999999999999E-4</v>
      </c>
      <c r="M58" s="77">
        <v>1E-4</v>
      </c>
      <c r="N58" s="77">
        <v>1.0000000000000001E-5</v>
      </c>
      <c r="O58">
        <v>0</v>
      </c>
    </row>
    <row r="59" spans="9:15">
      <c r="I59">
        <v>1612.4</v>
      </c>
      <c r="J59">
        <v>2.0999999999999999E-3</v>
      </c>
      <c r="K59">
        <v>1.67E-3</v>
      </c>
      <c r="L59">
        <v>3.3E-4</v>
      </c>
      <c r="M59" s="77">
        <v>9.0000000000000006E-5</v>
      </c>
      <c r="N59" s="77">
        <v>1.0000000000000001E-5</v>
      </c>
      <c r="O59">
        <v>0</v>
      </c>
    </row>
    <row r="60" spans="9:15">
      <c r="I60">
        <v>1610.5</v>
      </c>
      <c r="J60">
        <v>1.83E-3</v>
      </c>
      <c r="K60">
        <v>1.4400000000000001E-3</v>
      </c>
      <c r="L60">
        <v>2.9999999999999997E-4</v>
      </c>
      <c r="M60" s="77">
        <v>8.0000000000000007E-5</v>
      </c>
      <c r="N60" s="77">
        <v>1.0000000000000001E-5</v>
      </c>
      <c r="O60">
        <v>0</v>
      </c>
    </row>
    <row r="61" spans="9:15">
      <c r="I61">
        <v>1608.5</v>
      </c>
      <c r="J61">
        <v>1.6100000000000001E-3</v>
      </c>
      <c r="K61">
        <v>1.2600000000000001E-3</v>
      </c>
      <c r="L61">
        <v>2.7E-4</v>
      </c>
      <c r="M61" s="77">
        <v>8.0000000000000007E-5</v>
      </c>
      <c r="N61" s="77">
        <v>1.0000000000000001E-5</v>
      </c>
      <c r="O61">
        <v>0</v>
      </c>
    </row>
    <row r="62" spans="9:15">
      <c r="I62">
        <v>1606.6</v>
      </c>
      <c r="J62">
        <v>1.42E-3</v>
      </c>
      <c r="K62">
        <v>1.1000000000000001E-3</v>
      </c>
      <c r="L62">
        <v>2.5000000000000001E-4</v>
      </c>
      <c r="M62" s="77">
        <v>6.9999999999999994E-5</v>
      </c>
      <c r="N62" s="77">
        <v>1.0000000000000001E-5</v>
      </c>
      <c r="O62">
        <v>0</v>
      </c>
    </row>
    <row r="63" spans="9:15">
      <c r="I63">
        <v>1604.7</v>
      </c>
      <c r="J63">
        <v>1.2700000000000001E-3</v>
      </c>
      <c r="K63">
        <v>9.7000000000000005E-4</v>
      </c>
      <c r="L63">
        <v>2.3000000000000001E-4</v>
      </c>
      <c r="M63" s="77">
        <v>6.9999999999999994E-5</v>
      </c>
      <c r="N63" s="77">
        <v>1.0000000000000001E-5</v>
      </c>
      <c r="O63">
        <v>0</v>
      </c>
    </row>
    <row r="64" spans="9:15">
      <c r="I64">
        <v>1602.8</v>
      </c>
      <c r="J64">
        <v>1.1299999999999999E-3</v>
      </c>
      <c r="K64">
        <v>8.5999999999999998E-4</v>
      </c>
      <c r="L64">
        <v>2.1000000000000001E-4</v>
      </c>
      <c r="M64" s="77">
        <v>6.0000000000000002E-5</v>
      </c>
      <c r="N64">
        <v>0</v>
      </c>
      <c r="O64">
        <v>0</v>
      </c>
    </row>
    <row r="65" spans="9:15">
      <c r="I65">
        <v>1600.8</v>
      </c>
      <c r="J65">
        <v>1.0200000000000001E-3</v>
      </c>
      <c r="K65">
        <v>7.6000000000000004E-4</v>
      </c>
      <c r="L65">
        <v>1.9000000000000001E-4</v>
      </c>
      <c r="M65" s="77">
        <v>6.0000000000000002E-5</v>
      </c>
      <c r="N65">
        <v>0</v>
      </c>
      <c r="O6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H7:P65"/>
  <sheetViews>
    <sheetView workbookViewId="0">
      <selection activeCell="P17" sqref="P17"/>
    </sheetView>
  </sheetViews>
  <sheetFormatPr defaultRowHeight="14.4"/>
  <cols>
    <col min="8" max="8" width="15.6640625" customWidth="1"/>
    <col min="10" max="10" width="13" customWidth="1"/>
  </cols>
  <sheetData>
    <row r="7" spans="8:16">
      <c r="H7" s="72"/>
      <c r="I7" s="72"/>
      <c r="J7" s="72"/>
      <c r="K7" s="72"/>
      <c r="L7" s="72"/>
      <c r="M7" s="72"/>
      <c r="N7" s="72"/>
      <c r="O7" s="72"/>
      <c r="P7" s="72"/>
    </row>
    <row r="8" spans="8:16">
      <c r="H8" s="72"/>
      <c r="I8" s="72"/>
      <c r="J8" s="72"/>
      <c r="K8" s="72"/>
      <c r="L8" s="72"/>
      <c r="M8" s="72"/>
      <c r="N8" s="72"/>
      <c r="O8" s="72"/>
      <c r="P8" s="72"/>
    </row>
    <row r="9" spans="8:16">
      <c r="H9" s="72"/>
      <c r="I9" s="72"/>
      <c r="J9" s="72" t="s">
        <v>22</v>
      </c>
      <c r="K9" s="72"/>
      <c r="L9" s="72"/>
      <c r="M9" s="72"/>
      <c r="N9" s="72"/>
      <c r="O9" s="72"/>
      <c r="P9" s="72"/>
    </row>
    <row r="10" spans="8:16">
      <c r="H10" s="72"/>
      <c r="I10" s="72"/>
      <c r="J10" s="72"/>
      <c r="K10" s="72"/>
      <c r="L10" s="72"/>
      <c r="M10" s="72"/>
      <c r="N10" s="72"/>
      <c r="O10" s="72"/>
      <c r="P10" s="72"/>
    </row>
    <row r="11" spans="8:16">
      <c r="H11" s="72"/>
      <c r="I11" s="72"/>
      <c r="J11" s="72"/>
      <c r="K11" s="72"/>
      <c r="L11" s="72"/>
      <c r="M11" s="72"/>
      <c r="N11" s="72"/>
      <c r="O11" s="72"/>
      <c r="P11" s="72"/>
    </row>
    <row r="13" spans="8:16">
      <c r="H13" s="72" t="s">
        <v>48</v>
      </c>
    </row>
    <row r="14" spans="8:16">
      <c r="H14">
        <v>1699.2</v>
      </c>
      <c r="I14">
        <v>7.2999999999999996E-4</v>
      </c>
      <c r="J14">
        <v>3.4000000000000002E-4</v>
      </c>
      <c r="K14">
        <v>2.2000000000000001E-4</v>
      </c>
      <c r="L14">
        <v>1.1E-4</v>
      </c>
      <c r="M14" s="77">
        <v>4.0000000000000003E-5</v>
      </c>
    </row>
    <row r="15" spans="8:16">
      <c r="H15">
        <v>1697.3</v>
      </c>
      <c r="I15">
        <v>8.1999999999999998E-4</v>
      </c>
      <c r="J15">
        <v>3.6000000000000002E-4</v>
      </c>
      <c r="K15">
        <v>2.4000000000000001E-4</v>
      </c>
      <c r="L15">
        <v>1.2E-4</v>
      </c>
      <c r="M15" s="77">
        <v>5.0000000000000002E-5</v>
      </c>
    </row>
    <row r="16" spans="8:16">
      <c r="H16">
        <v>1695.3</v>
      </c>
      <c r="I16">
        <v>9.2000000000000003E-4</v>
      </c>
      <c r="J16">
        <v>3.8000000000000002E-4</v>
      </c>
      <c r="K16">
        <v>2.5999999999999998E-4</v>
      </c>
      <c r="L16">
        <v>1.3999999999999999E-4</v>
      </c>
      <c r="M16" s="77">
        <v>6.0000000000000002E-5</v>
      </c>
    </row>
    <row r="17" spans="8:13">
      <c r="H17">
        <v>1693.4</v>
      </c>
      <c r="I17">
        <v>9.6000000000000002E-4</v>
      </c>
      <c r="J17">
        <v>4.0000000000000002E-4</v>
      </c>
      <c r="K17">
        <v>2.7999999999999998E-4</v>
      </c>
      <c r="L17">
        <v>1.6000000000000001E-4</v>
      </c>
      <c r="M17" s="77">
        <v>8.0000000000000007E-5</v>
      </c>
    </row>
    <row r="18" spans="8:13">
      <c r="H18">
        <v>1691.5</v>
      </c>
      <c r="I18">
        <v>1.0399999999999999E-3</v>
      </c>
      <c r="J18">
        <v>4.2000000000000002E-4</v>
      </c>
      <c r="K18">
        <v>3.1E-4</v>
      </c>
      <c r="L18">
        <v>1.9000000000000001E-4</v>
      </c>
      <c r="M18" s="77">
        <v>1E-4</v>
      </c>
    </row>
    <row r="19" spans="8:13">
      <c r="H19">
        <v>1689.6</v>
      </c>
      <c r="I19">
        <v>1.16E-3</v>
      </c>
      <c r="J19">
        <v>4.4999999999999999E-4</v>
      </c>
      <c r="K19">
        <v>3.4000000000000002E-4</v>
      </c>
      <c r="L19">
        <v>2.2000000000000001E-4</v>
      </c>
      <c r="M19">
        <v>1.3999999999999999E-4</v>
      </c>
    </row>
    <row r="20" spans="8:13">
      <c r="H20">
        <v>1687.6</v>
      </c>
      <c r="I20">
        <v>1.32E-3</v>
      </c>
      <c r="J20">
        <v>4.8000000000000001E-4</v>
      </c>
      <c r="K20">
        <v>3.6999999999999999E-4</v>
      </c>
      <c r="L20">
        <v>2.5999999999999998E-4</v>
      </c>
      <c r="M20">
        <v>2.1000000000000001E-4</v>
      </c>
    </row>
    <row r="21" spans="8:13">
      <c r="H21">
        <v>1685.7</v>
      </c>
      <c r="I21">
        <v>1.57E-3</v>
      </c>
      <c r="J21">
        <v>5.1000000000000004E-4</v>
      </c>
      <c r="K21">
        <v>4.0999999999999999E-4</v>
      </c>
      <c r="L21">
        <v>3.2000000000000003E-4</v>
      </c>
      <c r="M21">
        <v>3.3E-4</v>
      </c>
    </row>
    <row r="22" spans="8:13">
      <c r="H22">
        <v>1683.8</v>
      </c>
      <c r="I22">
        <v>1.97E-3</v>
      </c>
      <c r="J22">
        <v>5.4000000000000001E-4</v>
      </c>
      <c r="K22">
        <v>4.4999999999999999E-4</v>
      </c>
      <c r="L22">
        <v>3.8999999999999999E-4</v>
      </c>
      <c r="M22">
        <v>5.8E-4</v>
      </c>
    </row>
    <row r="23" spans="8:13">
      <c r="H23">
        <v>1681.8</v>
      </c>
      <c r="I23">
        <v>2.6900000000000001E-3</v>
      </c>
      <c r="J23">
        <v>5.8E-4</v>
      </c>
      <c r="K23">
        <v>5.0000000000000001E-4</v>
      </c>
      <c r="L23">
        <v>4.8999999999999998E-4</v>
      </c>
      <c r="M23">
        <v>1.1199999999999999E-3</v>
      </c>
    </row>
    <row r="24" spans="8:13">
      <c r="H24">
        <v>1679.9</v>
      </c>
      <c r="I24">
        <v>3.7100000000000002E-3</v>
      </c>
      <c r="J24">
        <v>6.2E-4</v>
      </c>
      <c r="K24">
        <v>5.5999999999999995E-4</v>
      </c>
      <c r="L24">
        <v>6.4000000000000005E-4</v>
      </c>
      <c r="M24">
        <v>1.89E-3</v>
      </c>
    </row>
    <row r="25" spans="8:13">
      <c r="H25">
        <v>1678</v>
      </c>
      <c r="I25">
        <v>3.7499999999999999E-3</v>
      </c>
      <c r="J25">
        <v>6.7000000000000002E-4</v>
      </c>
      <c r="K25">
        <v>6.3000000000000003E-4</v>
      </c>
      <c r="L25">
        <v>8.4999999999999995E-4</v>
      </c>
      <c r="M25">
        <v>1.6000000000000001E-3</v>
      </c>
    </row>
    <row r="26" spans="8:13">
      <c r="H26">
        <v>1676</v>
      </c>
      <c r="I26">
        <v>3.4299999999999999E-3</v>
      </c>
      <c r="J26">
        <v>7.2000000000000005E-4</v>
      </c>
      <c r="K26">
        <v>7.1000000000000002E-4</v>
      </c>
      <c r="L26">
        <v>1.16E-3</v>
      </c>
      <c r="M26">
        <v>8.4999999999999995E-4</v>
      </c>
    </row>
    <row r="27" spans="8:13">
      <c r="H27">
        <v>1674.1</v>
      </c>
      <c r="I27">
        <v>3.6700000000000001E-3</v>
      </c>
      <c r="J27">
        <v>7.7999999999999999E-4</v>
      </c>
      <c r="K27">
        <v>8.0999999999999996E-4</v>
      </c>
      <c r="L27">
        <v>1.6299999999999999E-3</v>
      </c>
      <c r="M27">
        <v>4.4999999999999999E-4</v>
      </c>
    </row>
    <row r="28" spans="8:13">
      <c r="H28">
        <v>1672.2</v>
      </c>
      <c r="I28">
        <v>4.3699999999999998E-3</v>
      </c>
      <c r="J28">
        <v>8.4000000000000003E-4</v>
      </c>
      <c r="K28">
        <v>9.3000000000000005E-4</v>
      </c>
      <c r="L28">
        <v>2.32E-3</v>
      </c>
      <c r="M28">
        <v>2.7E-4</v>
      </c>
    </row>
    <row r="29" spans="8:13">
      <c r="H29">
        <v>1670.3</v>
      </c>
      <c r="I29">
        <v>5.3499999999999997E-3</v>
      </c>
      <c r="J29">
        <v>9.2000000000000003E-4</v>
      </c>
      <c r="K29">
        <v>1.08E-3</v>
      </c>
      <c r="L29">
        <v>3.1700000000000001E-3</v>
      </c>
      <c r="M29">
        <v>1.8000000000000001E-4</v>
      </c>
    </row>
    <row r="30" spans="8:13">
      <c r="H30">
        <v>1668.3</v>
      </c>
      <c r="I30">
        <v>6.13E-3</v>
      </c>
      <c r="J30">
        <v>1E-3</v>
      </c>
      <c r="K30">
        <v>1.2700000000000001E-3</v>
      </c>
      <c r="L30">
        <v>3.7399999999999998E-3</v>
      </c>
      <c r="M30">
        <v>1.2E-4</v>
      </c>
    </row>
    <row r="31" spans="8:13">
      <c r="H31">
        <v>1666.4</v>
      </c>
      <c r="I31">
        <v>6.1799999999999997E-3</v>
      </c>
      <c r="J31">
        <v>1.09E-3</v>
      </c>
      <c r="K31">
        <v>1.5100000000000001E-3</v>
      </c>
      <c r="L31">
        <v>3.48E-3</v>
      </c>
      <c r="M31" s="77">
        <v>9.0000000000000006E-5</v>
      </c>
    </row>
    <row r="32" spans="8:13">
      <c r="H32">
        <v>1664.5</v>
      </c>
      <c r="I32">
        <v>5.7600000000000004E-3</v>
      </c>
      <c r="J32">
        <v>1.1999999999999999E-3</v>
      </c>
      <c r="K32">
        <v>1.81E-3</v>
      </c>
      <c r="L32">
        <v>2.6700000000000001E-3</v>
      </c>
      <c r="M32" s="77">
        <v>6.9999999999999994E-5</v>
      </c>
    </row>
    <row r="33" spans="8:13">
      <c r="H33">
        <v>1662.5</v>
      </c>
      <c r="I33">
        <v>5.4799999999999996E-3</v>
      </c>
      <c r="J33">
        <v>1.32E-3</v>
      </c>
      <c r="K33">
        <v>2.2100000000000002E-3</v>
      </c>
      <c r="L33">
        <v>1.89E-3</v>
      </c>
      <c r="M33" s="77">
        <v>6.0000000000000002E-5</v>
      </c>
    </row>
    <row r="34" spans="8:13">
      <c r="H34">
        <v>1660.6</v>
      </c>
      <c r="I34">
        <v>5.5799999999999999E-3</v>
      </c>
      <c r="J34">
        <v>1.47E-3</v>
      </c>
      <c r="K34">
        <v>2.7399999999999998E-3</v>
      </c>
      <c r="L34">
        <v>1.33E-3</v>
      </c>
      <c r="M34" s="77">
        <v>4.0000000000000003E-5</v>
      </c>
    </row>
    <row r="35" spans="8:13">
      <c r="H35">
        <v>1658.7</v>
      </c>
      <c r="I35">
        <v>6.0699999999999999E-3</v>
      </c>
      <c r="J35">
        <v>1.6299999999999999E-3</v>
      </c>
      <c r="K35">
        <v>3.4399999999999999E-3</v>
      </c>
      <c r="L35">
        <v>9.6000000000000002E-4</v>
      </c>
      <c r="M35" s="77">
        <v>4.0000000000000003E-5</v>
      </c>
    </row>
    <row r="36" spans="8:13">
      <c r="H36">
        <v>1656.8</v>
      </c>
      <c r="I36">
        <v>6.9499999999999996E-3</v>
      </c>
      <c r="J36">
        <v>1.82E-3</v>
      </c>
      <c r="K36">
        <v>4.3800000000000002E-3</v>
      </c>
      <c r="L36">
        <v>7.1000000000000002E-4</v>
      </c>
      <c r="M36" s="77">
        <v>3.0000000000000001E-5</v>
      </c>
    </row>
    <row r="37" spans="8:13">
      <c r="H37">
        <v>1654.8</v>
      </c>
      <c r="I37">
        <v>8.2299999999999995E-3</v>
      </c>
      <c r="J37">
        <v>2.0400000000000001E-3</v>
      </c>
      <c r="K37">
        <v>5.6100000000000004E-3</v>
      </c>
      <c r="L37">
        <v>5.5000000000000003E-4</v>
      </c>
      <c r="M37" s="77">
        <v>3.0000000000000001E-5</v>
      </c>
    </row>
    <row r="38" spans="8:13">
      <c r="H38">
        <v>1652.9</v>
      </c>
      <c r="I38">
        <v>9.8700000000000003E-3</v>
      </c>
      <c r="J38">
        <v>2.31E-3</v>
      </c>
      <c r="K38">
        <v>7.11E-3</v>
      </c>
      <c r="L38">
        <v>4.2999999999999999E-4</v>
      </c>
      <c r="M38" s="77">
        <v>2.0000000000000002E-5</v>
      </c>
    </row>
    <row r="39" spans="8:13">
      <c r="H39">
        <v>1651</v>
      </c>
      <c r="I39">
        <v>1.167E-2</v>
      </c>
      <c r="J39">
        <v>2.6199999999999999E-3</v>
      </c>
      <c r="K39">
        <v>8.6800000000000002E-3</v>
      </c>
      <c r="L39">
        <v>3.5E-4</v>
      </c>
      <c r="M39" s="77">
        <v>2.0000000000000002E-5</v>
      </c>
    </row>
    <row r="40" spans="8:13">
      <c r="H40">
        <v>1649</v>
      </c>
      <c r="I40">
        <v>1.308E-2</v>
      </c>
      <c r="J40">
        <v>2.98E-3</v>
      </c>
      <c r="K40">
        <v>9.7900000000000001E-3</v>
      </c>
      <c r="L40">
        <v>2.9E-4</v>
      </c>
      <c r="M40" s="77">
        <v>2.0000000000000002E-5</v>
      </c>
    </row>
    <row r="41" spans="8:13">
      <c r="H41">
        <v>1647.1</v>
      </c>
      <c r="I41">
        <v>1.354E-2</v>
      </c>
      <c r="J41">
        <v>3.4199999999999999E-3</v>
      </c>
      <c r="K41">
        <v>9.8700000000000003E-3</v>
      </c>
      <c r="L41">
        <v>2.4000000000000001E-4</v>
      </c>
      <c r="M41" s="77">
        <v>2.0000000000000002E-5</v>
      </c>
    </row>
    <row r="42" spans="8:13">
      <c r="H42">
        <v>1645.2</v>
      </c>
      <c r="I42">
        <v>1.3010000000000001E-2</v>
      </c>
      <c r="J42">
        <v>3.9399999999999999E-3</v>
      </c>
      <c r="K42">
        <v>8.8500000000000002E-3</v>
      </c>
      <c r="L42">
        <v>2.0000000000000001E-4</v>
      </c>
      <c r="M42" s="77">
        <v>1.0000000000000001E-5</v>
      </c>
    </row>
    <row r="43" spans="8:13">
      <c r="H43">
        <v>1643.3</v>
      </c>
      <c r="I43">
        <v>1.204E-2</v>
      </c>
      <c r="J43">
        <v>4.5500000000000002E-3</v>
      </c>
      <c r="K43">
        <v>7.3099999999999997E-3</v>
      </c>
      <c r="L43">
        <v>1.7000000000000001E-4</v>
      </c>
      <c r="M43" s="77">
        <v>1.0000000000000001E-5</v>
      </c>
    </row>
    <row r="44" spans="8:13">
      <c r="H44">
        <v>1641.3</v>
      </c>
      <c r="I44">
        <v>1.12E-2</v>
      </c>
      <c r="J44">
        <v>5.2599999999999999E-3</v>
      </c>
      <c r="K44">
        <v>5.7800000000000004E-3</v>
      </c>
      <c r="L44">
        <v>1.4999999999999999E-4</v>
      </c>
      <c r="M44" s="77">
        <v>1.0000000000000001E-5</v>
      </c>
    </row>
    <row r="45" spans="8:13">
      <c r="H45">
        <v>1639.4</v>
      </c>
      <c r="I45">
        <v>1.073E-2</v>
      </c>
      <c r="J45">
        <v>6.0800000000000003E-3</v>
      </c>
      <c r="K45">
        <v>4.5100000000000001E-3</v>
      </c>
      <c r="L45">
        <v>1.2999999999999999E-4</v>
      </c>
      <c r="M45" s="77">
        <v>1.0000000000000001E-5</v>
      </c>
    </row>
    <row r="46" spans="8:13">
      <c r="H46">
        <v>1637.5</v>
      </c>
      <c r="I46">
        <v>1.064E-2</v>
      </c>
      <c r="J46">
        <v>6.9699999999999996E-3</v>
      </c>
      <c r="K46">
        <v>3.5400000000000002E-3</v>
      </c>
      <c r="L46">
        <v>1.2E-4</v>
      </c>
      <c r="M46" s="77">
        <v>1.0000000000000001E-5</v>
      </c>
    </row>
    <row r="47" spans="8:13">
      <c r="H47">
        <v>1635.5</v>
      </c>
      <c r="I47">
        <v>1.082E-2</v>
      </c>
      <c r="J47">
        <v>7.9000000000000008E-3</v>
      </c>
      <c r="K47">
        <v>2.81E-3</v>
      </c>
      <c r="L47" s="77">
        <v>1E-4</v>
      </c>
      <c r="M47" s="77">
        <v>1.0000000000000001E-5</v>
      </c>
    </row>
    <row r="48" spans="8:13">
      <c r="H48">
        <v>1633.6</v>
      </c>
      <c r="I48">
        <v>1.1129999999999999E-2</v>
      </c>
      <c r="J48">
        <v>8.77E-3</v>
      </c>
      <c r="K48">
        <v>2.2699999999999999E-3</v>
      </c>
      <c r="L48" s="77">
        <v>9.0000000000000006E-5</v>
      </c>
      <c r="M48" s="77">
        <v>1.0000000000000001E-5</v>
      </c>
    </row>
    <row r="49" spans="8:13">
      <c r="H49">
        <v>1631.7</v>
      </c>
      <c r="I49">
        <v>1.1390000000000001E-2</v>
      </c>
      <c r="J49">
        <v>9.4500000000000001E-3</v>
      </c>
      <c r="K49">
        <v>1.8600000000000001E-3</v>
      </c>
      <c r="L49" s="77">
        <v>8.0000000000000007E-5</v>
      </c>
      <c r="M49" s="77">
        <v>1.0000000000000001E-5</v>
      </c>
    </row>
    <row r="50" spans="8:13">
      <c r="H50">
        <v>1629.8</v>
      </c>
      <c r="I50">
        <v>1.1429999999999999E-2</v>
      </c>
      <c r="J50">
        <v>9.8099999999999993E-3</v>
      </c>
      <c r="K50">
        <v>1.5399999999999999E-3</v>
      </c>
      <c r="L50" s="77">
        <v>6.9999999999999994E-5</v>
      </c>
      <c r="M50" s="77">
        <v>1.0000000000000001E-5</v>
      </c>
    </row>
    <row r="51" spans="8:13">
      <c r="H51">
        <v>1627.8</v>
      </c>
      <c r="I51">
        <v>1.1140000000000001E-2</v>
      </c>
      <c r="J51">
        <v>9.7699999999999992E-3</v>
      </c>
      <c r="K51">
        <v>1.2999999999999999E-3</v>
      </c>
      <c r="L51" s="77">
        <v>6.9999999999999994E-5</v>
      </c>
      <c r="M51" s="77">
        <v>1.0000000000000001E-5</v>
      </c>
    </row>
    <row r="52" spans="8:13">
      <c r="H52">
        <v>1625.9</v>
      </c>
      <c r="I52">
        <v>1.051E-2</v>
      </c>
      <c r="J52">
        <v>9.3399999999999993E-3</v>
      </c>
      <c r="K52">
        <v>1.1000000000000001E-3</v>
      </c>
      <c r="L52" s="77">
        <v>6.0000000000000002E-5</v>
      </c>
      <c r="M52" s="77">
        <v>1.0000000000000001E-5</v>
      </c>
    </row>
    <row r="53" spans="8:13">
      <c r="H53">
        <v>1624</v>
      </c>
      <c r="I53">
        <v>9.6200000000000001E-3</v>
      </c>
      <c r="J53">
        <v>8.6099999999999996E-3</v>
      </c>
      <c r="K53">
        <v>9.5E-4</v>
      </c>
      <c r="L53" s="77">
        <v>6.0000000000000002E-5</v>
      </c>
      <c r="M53" s="77">
        <v>1.0000000000000001E-5</v>
      </c>
    </row>
    <row r="54" spans="8:13">
      <c r="H54">
        <v>1622</v>
      </c>
      <c r="I54">
        <v>8.6E-3</v>
      </c>
      <c r="J54">
        <v>7.7200000000000003E-3</v>
      </c>
      <c r="K54">
        <v>8.1999999999999998E-4</v>
      </c>
      <c r="L54" s="77">
        <v>5.0000000000000002E-5</v>
      </c>
      <c r="M54">
        <v>0</v>
      </c>
    </row>
    <row r="55" spans="8:13">
      <c r="H55">
        <v>1620.1</v>
      </c>
      <c r="I55">
        <v>7.5700000000000003E-3</v>
      </c>
      <c r="J55">
        <v>6.79E-3</v>
      </c>
      <c r="K55">
        <v>7.2000000000000005E-4</v>
      </c>
      <c r="L55" s="77">
        <v>5.0000000000000002E-5</v>
      </c>
      <c r="M55">
        <v>0</v>
      </c>
    </row>
    <row r="56" spans="8:13">
      <c r="H56">
        <v>1618.2</v>
      </c>
      <c r="I56">
        <v>6.5900000000000004E-3</v>
      </c>
      <c r="J56">
        <v>5.9100000000000003E-3</v>
      </c>
      <c r="K56">
        <v>6.4000000000000005E-4</v>
      </c>
      <c r="L56" s="77">
        <v>4.0000000000000003E-5</v>
      </c>
      <c r="M56">
        <v>0</v>
      </c>
    </row>
    <row r="57" spans="8:13">
      <c r="H57">
        <v>1616.3</v>
      </c>
      <c r="I57">
        <v>5.7200000000000003E-3</v>
      </c>
      <c r="J57">
        <v>5.11E-3</v>
      </c>
      <c r="K57">
        <v>5.6999999999999998E-4</v>
      </c>
      <c r="L57" s="77">
        <v>4.0000000000000003E-5</v>
      </c>
      <c r="M57">
        <v>0</v>
      </c>
    </row>
    <row r="58" spans="8:13">
      <c r="H58">
        <v>1614.3</v>
      </c>
      <c r="I58">
        <v>4.9699999999999996E-3</v>
      </c>
      <c r="J58">
        <v>4.4200000000000003E-3</v>
      </c>
      <c r="K58">
        <v>5.1000000000000004E-4</v>
      </c>
      <c r="L58" s="77">
        <v>4.0000000000000003E-5</v>
      </c>
      <c r="M58">
        <v>0</v>
      </c>
    </row>
    <row r="59" spans="8:13">
      <c r="H59">
        <v>1612.4</v>
      </c>
      <c r="I59">
        <v>4.3200000000000001E-3</v>
      </c>
      <c r="J59">
        <v>3.8300000000000001E-3</v>
      </c>
      <c r="K59">
        <v>4.6000000000000001E-4</v>
      </c>
      <c r="L59" s="77">
        <v>4.0000000000000003E-5</v>
      </c>
      <c r="M59">
        <v>0</v>
      </c>
    </row>
    <row r="60" spans="8:13">
      <c r="H60">
        <v>1610.5</v>
      </c>
      <c r="I60">
        <v>3.7799999999999999E-3</v>
      </c>
      <c r="J60">
        <v>3.3300000000000001E-3</v>
      </c>
      <c r="K60">
        <v>4.0999999999999999E-4</v>
      </c>
      <c r="L60" s="77">
        <v>3.0000000000000001E-5</v>
      </c>
      <c r="M60">
        <v>0</v>
      </c>
    </row>
    <row r="61" spans="8:13">
      <c r="H61">
        <v>1608.5</v>
      </c>
      <c r="I61">
        <v>3.31E-3</v>
      </c>
      <c r="J61">
        <v>2.9099999999999998E-3</v>
      </c>
      <c r="K61">
        <v>3.6999999999999999E-4</v>
      </c>
      <c r="L61" s="77">
        <v>3.0000000000000001E-5</v>
      </c>
      <c r="M61">
        <v>0</v>
      </c>
    </row>
    <row r="62" spans="8:13">
      <c r="H62">
        <v>1606.6</v>
      </c>
      <c r="I62">
        <v>2.9199999999999999E-3</v>
      </c>
      <c r="J62">
        <v>2.5500000000000002E-3</v>
      </c>
      <c r="K62">
        <v>3.4000000000000002E-4</v>
      </c>
      <c r="L62" s="77">
        <v>3.0000000000000001E-5</v>
      </c>
      <c r="M62">
        <v>0</v>
      </c>
    </row>
    <row r="63" spans="8:13">
      <c r="H63">
        <v>1604.7</v>
      </c>
      <c r="I63">
        <v>2.5899999999999999E-3</v>
      </c>
      <c r="J63">
        <v>2.2499999999999998E-3</v>
      </c>
      <c r="K63">
        <v>3.1E-4</v>
      </c>
      <c r="L63" s="77">
        <v>3.0000000000000001E-5</v>
      </c>
      <c r="M63">
        <v>0</v>
      </c>
    </row>
    <row r="64" spans="8:13">
      <c r="H64">
        <v>1602.8</v>
      </c>
      <c r="I64">
        <v>2.31E-3</v>
      </c>
      <c r="J64">
        <v>2E-3</v>
      </c>
      <c r="K64">
        <v>2.9E-4</v>
      </c>
      <c r="L64" s="77">
        <v>3.0000000000000001E-5</v>
      </c>
      <c r="M64">
        <v>0</v>
      </c>
    </row>
    <row r="65" spans="8:13">
      <c r="H65">
        <v>1600.8</v>
      </c>
      <c r="I65">
        <v>2.0699999999999998E-3</v>
      </c>
      <c r="J65">
        <v>1.7799999999999999E-3</v>
      </c>
      <c r="K65">
        <v>2.5999999999999998E-4</v>
      </c>
      <c r="L65" s="77">
        <v>2.0000000000000002E-5</v>
      </c>
      <c r="M6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3b</vt:lpstr>
      <vt:lpstr>Figure 3c</vt:lpstr>
      <vt:lpstr>Figure 3d left panel</vt:lpstr>
      <vt:lpstr>Figure 3d right panel</vt:lpstr>
      <vt:lpstr>Figure 3e</vt:lpstr>
      <vt:lpstr>Figure 3g</vt:lpstr>
      <vt:lpstr>Figure 3h left panel</vt:lpstr>
      <vt:lpstr>Figure 3h right panel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Debdeep</cp:lastModifiedBy>
  <dcterms:created xsi:type="dcterms:W3CDTF">2021-03-11T11:56:11Z</dcterms:created>
  <dcterms:modified xsi:type="dcterms:W3CDTF">2022-02-09T10:03:15Z</dcterms:modified>
</cp:coreProperties>
</file>