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17999\OneDrive - KU Leuven\phd\pub_hydrop\submission\elife_revision_final_submission\"/>
    </mc:Choice>
  </mc:AlternateContent>
  <xr:revisionPtr revIDLastSave="0" documentId="8_{E258A6AB-2296-4C87-9C1E-5D632DA80AEF}" xr6:coauthVersionLast="47" xr6:coauthVersionMax="47" xr10:uidLastSave="{00000000-0000-0000-0000-000000000000}"/>
  <bookViews>
    <workbookView xWindow="-120" yWindow="-120" windowWidth="29040" windowHeight="15990" activeTab="2" xr2:uid="{D798D357-09B3-4355-9C08-2D1DC4980B3D}"/>
  </bookViews>
  <sheets>
    <sheet name="20201009_beads" sheetId="4" r:id="rId1"/>
    <sheet name="20201009_HyDrop-ATAC" sheetId="2" r:id="rId2"/>
    <sheet name="20201009_HyDrop-RN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5" l="1"/>
  <c r="D42" i="5" s="1"/>
  <c r="E36" i="5"/>
  <c r="E35" i="5"/>
  <c r="E34" i="5"/>
  <c r="B33" i="5"/>
  <c r="E33" i="5" s="1"/>
  <c r="B32" i="5"/>
  <c r="B31" i="5"/>
  <c r="E31" i="5" s="1"/>
  <c r="E30" i="5"/>
  <c r="E29" i="5"/>
  <c r="E28" i="5"/>
  <c r="E27" i="5"/>
  <c r="E26" i="5"/>
  <c r="E25" i="5"/>
  <c r="E24" i="5"/>
  <c r="E20" i="5"/>
  <c r="E19" i="5"/>
  <c r="E18" i="5"/>
  <c r="E14" i="5"/>
  <c r="E15" i="5" s="1"/>
  <c r="E10" i="5"/>
  <c r="E9" i="5"/>
  <c r="B8" i="5"/>
  <c r="E8" i="5" s="1"/>
  <c r="B7" i="5"/>
  <c r="E7" i="5" s="1"/>
  <c r="E11" i="5" s="1"/>
  <c r="E21" i="5" l="1"/>
  <c r="E37" i="5"/>
  <c r="E39" i="5" s="1"/>
  <c r="D25" i="4" l="1"/>
  <c r="B43" i="2"/>
  <c r="E43" i="2" s="1"/>
  <c r="C43" i="2"/>
  <c r="J44" i="2"/>
  <c r="J42" i="2"/>
  <c r="D49" i="2" l="1"/>
  <c r="E44" i="2"/>
  <c r="B22" i="2" l="1"/>
  <c r="E18" i="2" l="1"/>
  <c r="E19" i="2" s="1"/>
  <c r="E20" i="4"/>
  <c r="B12" i="4"/>
  <c r="B11" i="4"/>
  <c r="E13" i="4"/>
  <c r="E14" i="4"/>
  <c r="E15" i="4"/>
  <c r="B40" i="2"/>
  <c r="E40" i="2" l="1"/>
  <c r="E41" i="2"/>
  <c r="E12" i="4"/>
  <c r="E11" i="4"/>
  <c r="E16" i="4" s="1"/>
  <c r="E22" i="4" s="1"/>
  <c r="E4" i="4"/>
  <c r="E5" i="4"/>
  <c r="E6" i="4"/>
  <c r="E7" i="4"/>
  <c r="E8" i="4"/>
  <c r="B3" i="4" l="1"/>
  <c r="E3" i="4" s="1"/>
  <c r="E9" i="4" s="1"/>
  <c r="C33" i="2" l="1"/>
  <c r="E33" i="2" s="1"/>
  <c r="B31" i="2"/>
  <c r="E31" i="2" s="1"/>
  <c r="B30" i="2"/>
  <c r="E30" i="2" s="1"/>
  <c r="E28" i="2"/>
  <c r="B27" i="2"/>
  <c r="E27" i="2" s="1"/>
  <c r="E29" i="2"/>
  <c r="E32" i="2"/>
  <c r="E34" i="2"/>
  <c r="E35" i="2"/>
  <c r="E36" i="2"/>
  <c r="E37" i="2"/>
  <c r="E38" i="2"/>
  <c r="E39" i="2"/>
  <c r="E42" i="2"/>
  <c r="E45" i="2"/>
  <c r="E23" i="2"/>
  <c r="E22" i="2"/>
  <c r="E21" i="2"/>
  <c r="E11" i="2"/>
  <c r="E12" i="2"/>
  <c r="E13" i="2"/>
  <c r="E14" i="2"/>
  <c r="E10" i="2"/>
  <c r="E46" i="2" l="1"/>
  <c r="E24" i="2"/>
  <c r="E15" i="2"/>
  <c r="E49" i="2" l="1"/>
  <c r="E50" i="2" s="1"/>
</calcChain>
</file>

<file path=xl/sharedStrings.xml><?xml version="1.0" encoding="utf-8"?>
<sst xmlns="http://schemas.openxmlformats.org/spreadsheetml/2006/main" count="157" uniqueCount="86">
  <si>
    <t>TEMED</t>
  </si>
  <si>
    <t>Assumptions</t>
  </si>
  <si>
    <t>ATAC reaction:</t>
  </si>
  <si>
    <t>nuclei</t>
  </si>
  <si>
    <t>uL</t>
  </si>
  <si>
    <t>Bead volume</t>
  </si>
  <si>
    <t>dH2O</t>
  </si>
  <si>
    <t>Tris-HCl 7.4</t>
  </si>
  <si>
    <t>Tween 20</t>
  </si>
  <si>
    <t>NP-40</t>
  </si>
  <si>
    <t>MgCl2</t>
  </si>
  <si>
    <t>DMF</t>
  </si>
  <si>
    <t>PBS</t>
  </si>
  <si>
    <t>Tn5</t>
  </si>
  <si>
    <t>Deep Vent</t>
  </si>
  <si>
    <t>ET SSB</t>
  </si>
  <si>
    <t>DTT</t>
  </si>
  <si>
    <t>dNTPs</t>
  </si>
  <si>
    <t>Optiprep</t>
  </si>
  <si>
    <t>GITC</t>
  </si>
  <si>
    <t>EDTA</t>
  </si>
  <si>
    <t>EtOH</t>
  </si>
  <si>
    <t>KAPA Master Mix</t>
  </si>
  <si>
    <t>Ampure</t>
  </si>
  <si>
    <t>Item</t>
  </si>
  <si>
    <t>Amount needed</t>
  </si>
  <si>
    <t>Amount in unit</t>
  </si>
  <si>
    <t>Unit Price</t>
  </si>
  <si>
    <t>Consumed price</t>
  </si>
  <si>
    <t>Enzymes</t>
  </si>
  <si>
    <t>Beads</t>
  </si>
  <si>
    <t>Basic lab reagents</t>
  </si>
  <si>
    <t>Phusion High-Fidelity DNA Polymerase (2 U/µL)</t>
  </si>
  <si>
    <t>BioRad oil QX-200</t>
  </si>
  <si>
    <t>Microfluidic consumables</t>
  </si>
  <si>
    <t>PDMS for 1 chip (7 channels)</t>
  </si>
  <si>
    <t>Trichloro(1H,1H,2H,2H-perfluorooctyl)silane</t>
  </si>
  <si>
    <t>NaCl 5M</t>
  </si>
  <si>
    <t>ul</t>
  </si>
  <si>
    <t>BSA 10%</t>
  </si>
  <si>
    <t>Digitonin 5%</t>
  </si>
  <si>
    <t>In-house beads</t>
  </si>
  <si>
    <t>APS 10%</t>
  </si>
  <si>
    <t>QX200</t>
  </si>
  <si>
    <t>Bead</t>
  </si>
  <si>
    <t>Unbarcoded beads (1 mL)</t>
  </si>
  <si>
    <t>Washes</t>
  </si>
  <si>
    <t>Buffers</t>
  </si>
  <si>
    <t>a lot</t>
  </si>
  <si>
    <t>Acryd primer 100 uM</t>
  </si>
  <si>
    <t>BAC 5%</t>
  </si>
  <si>
    <t>AA 40%</t>
  </si>
  <si>
    <t>KAPA (for 3 rounds)</t>
  </si>
  <si>
    <t>BC1 oligo</t>
  </si>
  <si>
    <t>BC2 oligo</t>
  </si>
  <si>
    <t>BC3 oligo</t>
  </si>
  <si>
    <t>Total</t>
  </si>
  <si>
    <t>Barcoding 600 uL of beads</t>
  </si>
  <si>
    <t>600 uL of BHBs:</t>
  </si>
  <si>
    <t>(This price is not counted in final total, it is already counted in the barcoding price)</t>
  </si>
  <si>
    <t>Aimed recovery</t>
  </si>
  <si>
    <t>(load 1.5x)</t>
  </si>
  <si>
    <t>Price approaches 0 when using in-house tn5</t>
  </si>
  <si>
    <t>PCR+nuclei mix volume</t>
  </si>
  <si>
    <t>Cost per nucleus, assuming 10k recovery</t>
  </si>
  <si>
    <t>approximately, mostly water and detergents</t>
  </si>
  <si>
    <t>Dynabeads</t>
  </si>
  <si>
    <t>Startup price</t>
  </si>
  <si>
    <t>Per-run price</t>
  </si>
  <si>
    <t>Pitstop</t>
  </si>
  <si>
    <t>g/mol</t>
  </si>
  <si>
    <t>mol per unit</t>
  </si>
  <si>
    <t>mg per unit</t>
  </si>
  <si>
    <t>mol per run</t>
  </si>
  <si>
    <t>uL of 1000 uM stock used per run</t>
  </si>
  <si>
    <t>Pitstop calculation</t>
  </si>
  <si>
    <t>Consumed price per run</t>
  </si>
  <si>
    <t>Startup costs</t>
  </si>
  <si>
    <t>RT volume</t>
  </si>
  <si>
    <t>Maxima hRT</t>
  </si>
  <si>
    <t>RNAse inhibitor</t>
  </si>
  <si>
    <t>NEB</t>
  </si>
  <si>
    <t>reactions</t>
  </si>
  <si>
    <t>Tris-HCl</t>
  </si>
  <si>
    <t>dNTPs 10 mM</t>
  </si>
  <si>
    <t>Total cost per 10000 nuclei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</si>
</sst>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_ &quot;€&quot;\ * #,##0.00_ ;_ &quot;€&quot;\ * \-#,##0.00_ ;_ &quot;€&quot;\ * &quot;-&quot;??_ ;_ @_ "/>
    <numFmt numFmtId="166" formatCode="#,##0.000000"/>
    <numFmt numFmtId="167" formatCode="#,##0.0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top"/>
    </xf>
    <xf numFmtId="0" fontId="0" fillId="0" borderId="0" xfId="0" applyFont="1"/>
    <xf numFmtId="164" fontId="2" fillId="0" borderId="0" xfId="0" applyNumberFormat="1" applyFont="1" applyFill="1" applyBorder="1" applyAlignment="1">
      <alignment horizontal="right" vertical="top"/>
    </xf>
    <xf numFmtId="166" fontId="0" fillId="0" borderId="0" xfId="0" applyNumberFormat="1"/>
    <xf numFmtId="164" fontId="2" fillId="0" borderId="0" xfId="0" applyNumberFormat="1" applyFont="1" applyAlignment="1">
      <alignment horizontal="left" vertical="top"/>
    </xf>
    <xf numFmtId="167" fontId="0" fillId="0" borderId="0" xfId="0" applyNumberFormat="1"/>
    <xf numFmtId="0" fontId="1" fillId="0" borderId="0" xfId="0" applyFont="1" applyAlignment="1">
      <alignment horizontal="right"/>
    </xf>
  </cellXfs>
  <cellStyles count="3">
    <cellStyle name="Currency 2" xfId="2" xr:uid="{00000000-0005-0000-0000-000031000000}"/>
    <cellStyle name="Normal" xfId="0" builtinId="0"/>
    <cellStyle name="Normal 2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E55E-C861-4636-AB66-940377595EA3}">
  <dimension ref="A1:F25"/>
  <sheetViews>
    <sheetView workbookViewId="0">
      <selection activeCell="E22" sqref="E22"/>
    </sheetView>
  </sheetViews>
  <sheetFormatPr defaultRowHeight="15" x14ac:dyDescent="0.25"/>
  <cols>
    <col min="1" max="1" width="28.7109375" customWidth="1"/>
    <col min="2" max="2" width="18.28515625" customWidth="1"/>
    <col min="3" max="3" width="15.28515625" customWidth="1"/>
    <col min="5" max="5" width="17.140625" customWidth="1"/>
  </cols>
  <sheetData>
    <row r="1" spans="1:6" x14ac:dyDescent="0.25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</row>
    <row r="2" spans="1:6" x14ac:dyDescent="0.25">
      <c r="A2" s="1" t="s">
        <v>45</v>
      </c>
      <c r="B2" s="1"/>
      <c r="C2" s="1"/>
      <c r="D2" s="1"/>
      <c r="E2" s="1"/>
    </row>
    <row r="3" spans="1:6" x14ac:dyDescent="0.25">
      <c r="A3" t="s">
        <v>49</v>
      </c>
      <c r="B3">
        <f>6/100*1000</f>
        <v>60</v>
      </c>
      <c r="C3">
        <v>10000</v>
      </c>
      <c r="D3">
        <v>2870</v>
      </c>
      <c r="E3" s="3">
        <f>B3/C3*D3</f>
        <v>17.22</v>
      </c>
      <c r="F3" t="s">
        <v>38</v>
      </c>
    </row>
    <row r="4" spans="1:6" x14ac:dyDescent="0.25">
      <c r="A4" t="s">
        <v>51</v>
      </c>
      <c r="B4">
        <v>150</v>
      </c>
      <c r="C4">
        <v>100000</v>
      </c>
      <c r="D4">
        <v>84.1</v>
      </c>
      <c r="E4" s="3">
        <f t="shared" ref="E4:E8" si="0">B4/C4*D4</f>
        <v>0.12614999999999998</v>
      </c>
      <c r="F4" t="s">
        <v>38</v>
      </c>
    </row>
    <row r="5" spans="1:6" x14ac:dyDescent="0.25">
      <c r="A5" t="s">
        <v>50</v>
      </c>
      <c r="B5">
        <v>110</v>
      </c>
      <c r="C5">
        <v>50000</v>
      </c>
      <c r="D5">
        <v>242</v>
      </c>
      <c r="E5" s="3">
        <f t="shared" si="0"/>
        <v>0.53239999999999998</v>
      </c>
      <c r="F5" t="s">
        <v>38</v>
      </c>
    </row>
    <row r="6" spans="1:6" x14ac:dyDescent="0.25">
      <c r="A6" t="s">
        <v>42</v>
      </c>
      <c r="B6">
        <v>60</v>
      </c>
      <c r="C6">
        <v>25000</v>
      </c>
      <c r="D6">
        <v>48.4</v>
      </c>
      <c r="E6" s="3">
        <f t="shared" si="0"/>
        <v>0.11615999999999999</v>
      </c>
      <c r="F6" t="s">
        <v>38</v>
      </c>
    </row>
    <row r="7" spans="1:6" x14ac:dyDescent="0.25">
      <c r="A7" t="s">
        <v>0</v>
      </c>
      <c r="B7">
        <v>5</v>
      </c>
      <c r="C7">
        <v>25000</v>
      </c>
      <c r="D7">
        <v>61.25</v>
      </c>
      <c r="E7" s="3">
        <f t="shared" si="0"/>
        <v>1.225E-2</v>
      </c>
      <c r="F7" t="s">
        <v>38</v>
      </c>
    </row>
    <row r="8" spans="1:6" x14ac:dyDescent="0.25">
      <c r="A8" t="s">
        <v>43</v>
      </c>
      <c r="B8">
        <v>1250</v>
      </c>
      <c r="C8">
        <v>70000</v>
      </c>
      <c r="D8" s="3">
        <v>240</v>
      </c>
      <c r="E8" s="3">
        <f t="shared" si="0"/>
        <v>4.2857142857142856</v>
      </c>
      <c r="F8" t="s">
        <v>38</v>
      </c>
    </row>
    <row r="9" spans="1:6" x14ac:dyDescent="0.25">
      <c r="E9" s="4">
        <f>SUM(E3:E8)</f>
        <v>22.292674285714284</v>
      </c>
      <c r="F9" t="s">
        <v>59</v>
      </c>
    </row>
    <row r="10" spans="1:6" x14ac:dyDescent="0.25">
      <c r="A10" s="1" t="s">
        <v>57</v>
      </c>
    </row>
    <row r="11" spans="1:6" x14ac:dyDescent="0.25">
      <c r="A11" t="s">
        <v>44</v>
      </c>
      <c r="B11">
        <f>6.25*96</f>
        <v>600</v>
      </c>
      <c r="C11">
        <v>1000</v>
      </c>
      <c r="D11" s="4">
        <v>22.29</v>
      </c>
      <c r="E11" s="3">
        <f t="shared" ref="E11:E15" si="1">B11/C11*D11</f>
        <v>13.373999999999999</v>
      </c>
    </row>
    <row r="12" spans="1:6" x14ac:dyDescent="0.25">
      <c r="A12" t="s">
        <v>52</v>
      </c>
      <c r="B12">
        <f>12.5*3*96</f>
        <v>3600</v>
      </c>
      <c r="C12">
        <v>6250</v>
      </c>
      <c r="D12" s="3">
        <v>513</v>
      </c>
      <c r="E12" s="3">
        <f t="shared" si="1"/>
        <v>295.488</v>
      </c>
    </row>
    <row r="13" spans="1:6" x14ac:dyDescent="0.25">
      <c r="A13" t="s">
        <v>53</v>
      </c>
      <c r="B13">
        <v>5</v>
      </c>
      <c r="C13">
        <v>100</v>
      </c>
      <c r="D13" s="3">
        <v>339</v>
      </c>
      <c r="E13" s="3">
        <f t="shared" si="1"/>
        <v>16.95</v>
      </c>
    </row>
    <row r="14" spans="1:6" x14ac:dyDescent="0.25">
      <c r="A14" t="s">
        <v>54</v>
      </c>
      <c r="B14">
        <v>5</v>
      </c>
      <c r="C14">
        <v>100</v>
      </c>
      <c r="D14" s="3">
        <v>339</v>
      </c>
      <c r="E14" s="3">
        <f t="shared" si="1"/>
        <v>16.95</v>
      </c>
    </row>
    <row r="15" spans="1:6" x14ac:dyDescent="0.25">
      <c r="A15" t="s">
        <v>55</v>
      </c>
      <c r="B15">
        <v>5</v>
      </c>
      <c r="C15">
        <v>100</v>
      </c>
      <c r="D15" s="3">
        <v>385</v>
      </c>
      <c r="E15" s="3">
        <f t="shared" si="1"/>
        <v>19.25</v>
      </c>
    </row>
    <row r="16" spans="1:6" x14ac:dyDescent="0.25">
      <c r="E16" s="4">
        <f>SUM(E11:E15)</f>
        <v>362.012</v>
      </c>
    </row>
    <row r="17" spans="1:6" x14ac:dyDescent="0.25">
      <c r="E17" s="4"/>
    </row>
    <row r="18" spans="1:6" x14ac:dyDescent="0.25">
      <c r="A18" s="1" t="s">
        <v>46</v>
      </c>
    </row>
    <row r="19" spans="1:6" x14ac:dyDescent="0.25">
      <c r="A19" t="s">
        <v>47</v>
      </c>
      <c r="B19" t="s">
        <v>48</v>
      </c>
      <c r="E19" s="3">
        <v>30</v>
      </c>
      <c r="F19" t="s">
        <v>65</v>
      </c>
    </row>
    <row r="20" spans="1:6" x14ac:dyDescent="0.25">
      <c r="E20" s="7">
        <f>SUM(E19)</f>
        <v>30</v>
      </c>
    </row>
    <row r="22" spans="1:6" x14ac:dyDescent="0.25">
      <c r="C22" t="s">
        <v>58</v>
      </c>
      <c r="D22" s="1" t="s">
        <v>56</v>
      </c>
      <c r="E22" s="4">
        <f>E20+E16</f>
        <v>392.012</v>
      </c>
    </row>
    <row r="25" spans="1:6" x14ac:dyDescent="0.25">
      <c r="C25" t="s">
        <v>77</v>
      </c>
      <c r="D25">
        <f>SUM(D3:D15)</f>
        <v>5144.04</v>
      </c>
    </row>
  </sheetData>
  <conditionalFormatting sqref="E3:E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max"/>
        <color rgb="FFFFEF9C"/>
        <color rgb="FF63BE7B"/>
      </colorScale>
    </cfRule>
  </conditionalFormatting>
  <conditionalFormatting sqref="E11:E1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E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max"/>
        <color rgb="FFFFEF9C"/>
        <color rgb="FF63BE7B"/>
      </colorScale>
    </cfRule>
  </conditionalFormatting>
  <conditionalFormatting sqref="E11:E15 E19 E3: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0274-EBB1-4DA2-ABC6-E1D9981AB877}">
  <sheetPr codeName="Sheet1"/>
  <dimension ref="A1:K50"/>
  <sheetViews>
    <sheetView workbookViewId="0">
      <selection activeCell="B17" sqref="B17"/>
    </sheetView>
  </sheetViews>
  <sheetFormatPr defaultRowHeight="15" x14ac:dyDescent="0.25"/>
  <cols>
    <col min="1" max="1" width="48.7109375" customWidth="1"/>
    <col min="2" max="2" width="15.5703125" bestFit="1" customWidth="1"/>
    <col min="3" max="3" width="15.7109375" bestFit="1" customWidth="1"/>
    <col min="4" max="4" width="12.85546875" bestFit="1" customWidth="1"/>
    <col min="5" max="5" width="15.7109375" bestFit="1" customWidth="1"/>
    <col min="10" max="10" width="12" bestFit="1" customWidth="1"/>
  </cols>
  <sheetData>
    <row r="1" spans="1:6" x14ac:dyDescent="0.25">
      <c r="A1" s="1" t="s">
        <v>1</v>
      </c>
    </row>
    <row r="2" spans="1:6" x14ac:dyDescent="0.25">
      <c r="A2" t="s">
        <v>2</v>
      </c>
      <c r="B2">
        <v>25000</v>
      </c>
      <c r="C2" t="s">
        <v>3</v>
      </c>
    </row>
    <row r="3" spans="1:6" x14ac:dyDescent="0.25">
      <c r="A3" t="s">
        <v>60</v>
      </c>
      <c r="B3">
        <v>10000</v>
      </c>
      <c r="C3" t="s">
        <v>3</v>
      </c>
      <c r="D3" t="s">
        <v>61</v>
      </c>
    </row>
    <row r="5" spans="1:6" x14ac:dyDescent="0.25">
      <c r="A5" t="s">
        <v>63</v>
      </c>
      <c r="B5">
        <v>100</v>
      </c>
      <c r="C5" t="s">
        <v>4</v>
      </c>
    </row>
    <row r="6" spans="1:6" x14ac:dyDescent="0.25">
      <c r="A6" t="s">
        <v>5</v>
      </c>
      <c r="B6">
        <v>50</v>
      </c>
      <c r="C6" t="s">
        <v>4</v>
      </c>
    </row>
    <row r="8" spans="1:6" x14ac:dyDescent="0.25">
      <c r="A8" s="1" t="s">
        <v>24</v>
      </c>
      <c r="B8" s="1" t="s">
        <v>25</v>
      </c>
      <c r="C8" s="1" t="s">
        <v>26</v>
      </c>
      <c r="D8" s="1" t="s">
        <v>27</v>
      </c>
      <c r="E8" s="1" t="s">
        <v>76</v>
      </c>
    </row>
    <row r="9" spans="1:6" x14ac:dyDescent="0.25">
      <c r="A9" s="1" t="s">
        <v>29</v>
      </c>
    </row>
    <row r="10" spans="1:6" x14ac:dyDescent="0.25">
      <c r="A10" t="s">
        <v>13</v>
      </c>
      <c r="B10">
        <v>2</v>
      </c>
      <c r="C10">
        <v>170</v>
      </c>
      <c r="D10" s="3">
        <v>1611.28</v>
      </c>
      <c r="E10" s="3">
        <f>B10/C10*D10</f>
        <v>18.956235294117647</v>
      </c>
      <c r="F10" t="s">
        <v>62</v>
      </c>
    </row>
    <row r="11" spans="1:6" x14ac:dyDescent="0.25">
      <c r="A11" s="2" t="s">
        <v>32</v>
      </c>
      <c r="B11">
        <v>3.125</v>
      </c>
      <c r="C11">
        <v>250</v>
      </c>
      <c r="D11" s="3">
        <v>448</v>
      </c>
      <c r="E11" s="3">
        <f t="shared" ref="E11:E14" si="0">B11/C11*D11</f>
        <v>5.6000000000000005</v>
      </c>
    </row>
    <row r="12" spans="1:6" x14ac:dyDescent="0.25">
      <c r="A12" t="s">
        <v>14</v>
      </c>
      <c r="B12">
        <v>3.125</v>
      </c>
      <c r="C12">
        <v>100</v>
      </c>
      <c r="D12" s="3">
        <v>100</v>
      </c>
      <c r="E12" s="3">
        <f t="shared" si="0"/>
        <v>3.125</v>
      </c>
    </row>
    <row r="13" spans="1:6" x14ac:dyDescent="0.25">
      <c r="A13" t="s">
        <v>15</v>
      </c>
      <c r="B13">
        <v>3.125</v>
      </c>
      <c r="C13">
        <v>100</v>
      </c>
      <c r="D13" s="3">
        <v>157.69999999999999</v>
      </c>
      <c r="E13" s="3">
        <f t="shared" si="0"/>
        <v>4.9281249999999996</v>
      </c>
    </row>
    <row r="14" spans="1:6" x14ac:dyDescent="0.25">
      <c r="A14" t="s">
        <v>22</v>
      </c>
      <c r="B14">
        <v>100</v>
      </c>
      <c r="C14">
        <v>6250</v>
      </c>
      <c r="D14" s="3">
        <v>513</v>
      </c>
      <c r="E14" s="3">
        <f t="shared" si="0"/>
        <v>8.2080000000000002</v>
      </c>
    </row>
    <row r="15" spans="1:6" x14ac:dyDescent="0.25">
      <c r="E15" s="4">
        <f>SUM(E10:E14)</f>
        <v>40.817360294117648</v>
      </c>
    </row>
    <row r="17" spans="1:6" x14ac:dyDescent="0.25">
      <c r="A17" s="1" t="s">
        <v>30</v>
      </c>
    </row>
    <row r="18" spans="1:6" x14ac:dyDescent="0.25">
      <c r="A18" s="6" t="s">
        <v>41</v>
      </c>
      <c r="B18">
        <v>50</v>
      </c>
      <c r="C18">
        <v>600</v>
      </c>
      <c r="D18" s="3">
        <v>392</v>
      </c>
      <c r="E18" s="3">
        <f t="shared" ref="E18" si="1">B18/C18*D18</f>
        <v>32.666666666666664</v>
      </c>
    </row>
    <row r="19" spans="1:6" x14ac:dyDescent="0.25">
      <c r="D19" s="3"/>
      <c r="E19" s="4">
        <f>SUM(E18)</f>
        <v>32.666666666666664</v>
      </c>
    </row>
    <row r="20" spans="1:6" x14ac:dyDescent="0.25">
      <c r="A20" s="1" t="s">
        <v>34</v>
      </c>
    </row>
    <row r="21" spans="1:6" x14ac:dyDescent="0.25">
      <c r="A21" t="s">
        <v>33</v>
      </c>
      <c r="B21">
        <v>200</v>
      </c>
      <c r="C21">
        <v>70000</v>
      </c>
      <c r="D21" s="3">
        <v>240</v>
      </c>
      <c r="E21" s="3">
        <f t="shared" ref="E21:E23" si="2">B21/C21*D21</f>
        <v>0.68571428571428572</v>
      </c>
    </row>
    <row r="22" spans="1:6" x14ac:dyDescent="0.25">
      <c r="A22" t="s">
        <v>35</v>
      </c>
      <c r="B22">
        <f>8/7</f>
        <v>1.1428571428571428</v>
      </c>
      <c r="C22">
        <v>1100</v>
      </c>
      <c r="D22" s="3">
        <v>143.51</v>
      </c>
      <c r="E22" s="3">
        <f t="shared" si="2"/>
        <v>0.14910129870129868</v>
      </c>
    </row>
    <row r="23" spans="1:6" x14ac:dyDescent="0.25">
      <c r="A23" t="s">
        <v>36</v>
      </c>
      <c r="B23">
        <v>1</v>
      </c>
      <c r="C23">
        <v>7692</v>
      </c>
      <c r="D23" s="3">
        <v>88</v>
      </c>
      <c r="E23" s="3">
        <f t="shared" si="2"/>
        <v>1.1440457618304733E-2</v>
      </c>
    </row>
    <row r="24" spans="1:6" x14ac:dyDescent="0.25">
      <c r="E24" s="4">
        <f>SUM(E21:E23)</f>
        <v>0.84625604203388916</v>
      </c>
    </row>
    <row r="25" spans="1:6" x14ac:dyDescent="0.25">
      <c r="E25" s="4"/>
    </row>
    <row r="26" spans="1:6" x14ac:dyDescent="0.25">
      <c r="A26" s="1" t="s">
        <v>31</v>
      </c>
    </row>
    <row r="27" spans="1:6" x14ac:dyDescent="0.25">
      <c r="A27" t="s">
        <v>6</v>
      </c>
      <c r="B27">
        <f>427.5+2167.5+135+7304+22.5+66.7+800</f>
        <v>10923.2</v>
      </c>
      <c r="C27">
        <v>1000000</v>
      </c>
      <c r="D27" s="3">
        <v>66.239999999999995</v>
      </c>
      <c r="E27" s="3">
        <f t="shared" ref="E27:E45" si="3">B27/C27*D27</f>
        <v>0.72355276800000001</v>
      </c>
      <c r="F27" t="s">
        <v>38</v>
      </c>
    </row>
    <row r="28" spans="1:6" x14ac:dyDescent="0.25">
      <c r="A28" t="s">
        <v>39</v>
      </c>
      <c r="B28">
        <v>300</v>
      </c>
      <c r="C28">
        <v>100000</v>
      </c>
      <c r="D28" s="3">
        <v>90.2</v>
      </c>
      <c r="E28" s="3">
        <f t="shared" si="3"/>
        <v>0.27060000000000001</v>
      </c>
      <c r="F28" t="s">
        <v>38</v>
      </c>
    </row>
    <row r="29" spans="1:6" x14ac:dyDescent="0.25">
      <c r="A29" t="s">
        <v>7</v>
      </c>
      <c r="B29">
        <v>290</v>
      </c>
      <c r="C29">
        <v>1000000</v>
      </c>
      <c r="D29" s="3">
        <v>76.3</v>
      </c>
      <c r="E29" s="3">
        <f t="shared" si="3"/>
        <v>2.2127000000000001E-2</v>
      </c>
      <c r="F29" t="s">
        <v>38</v>
      </c>
    </row>
    <row r="30" spans="1:6" x14ac:dyDescent="0.25">
      <c r="A30" t="s">
        <v>8</v>
      </c>
      <c r="B30">
        <f>115*10%</f>
        <v>11.5</v>
      </c>
      <c r="C30">
        <v>100000</v>
      </c>
      <c r="D30" s="3">
        <v>24.2</v>
      </c>
      <c r="E30" s="3">
        <f t="shared" si="3"/>
        <v>2.7829999999999999E-3</v>
      </c>
      <c r="F30" t="s">
        <v>38</v>
      </c>
    </row>
    <row r="31" spans="1:6" x14ac:dyDescent="0.25">
      <c r="A31" t="s">
        <v>9</v>
      </c>
      <c r="B31">
        <f>5*10%</f>
        <v>0.5</v>
      </c>
      <c r="C31">
        <v>50000</v>
      </c>
      <c r="D31" s="5">
        <v>72.2</v>
      </c>
      <c r="E31" s="3">
        <f t="shared" si="3"/>
        <v>7.2200000000000009E-4</v>
      </c>
      <c r="F31" t="s">
        <v>38</v>
      </c>
    </row>
    <row r="32" spans="1:6" x14ac:dyDescent="0.25">
      <c r="A32" t="s">
        <v>10</v>
      </c>
      <c r="B32">
        <v>30</v>
      </c>
      <c r="C32">
        <v>100000</v>
      </c>
      <c r="D32" s="3">
        <v>67.3</v>
      </c>
      <c r="E32" s="3">
        <f t="shared" si="3"/>
        <v>2.0189999999999996E-2</v>
      </c>
      <c r="F32" t="s">
        <v>38</v>
      </c>
    </row>
    <row r="33" spans="1:11" x14ac:dyDescent="0.25">
      <c r="A33" t="s">
        <v>40</v>
      </c>
      <c r="B33">
        <v>5</v>
      </c>
      <c r="C33">
        <f>0.1*1000*20</f>
        <v>2000</v>
      </c>
      <c r="D33" s="3">
        <v>67</v>
      </c>
      <c r="E33" s="3">
        <f t="shared" si="3"/>
        <v>0.16750000000000001</v>
      </c>
      <c r="F33" t="s">
        <v>38</v>
      </c>
    </row>
    <row r="34" spans="1:11" x14ac:dyDescent="0.25">
      <c r="A34" t="s">
        <v>37</v>
      </c>
      <c r="B34">
        <v>30</v>
      </c>
      <c r="C34">
        <v>500000</v>
      </c>
      <c r="D34" s="3">
        <v>121</v>
      </c>
      <c r="E34" s="3">
        <f t="shared" si="3"/>
        <v>7.26E-3</v>
      </c>
      <c r="F34" t="s">
        <v>38</v>
      </c>
    </row>
    <row r="35" spans="1:11" x14ac:dyDescent="0.25">
      <c r="A35" t="s">
        <v>11</v>
      </c>
      <c r="B35">
        <v>100</v>
      </c>
      <c r="C35">
        <v>250000</v>
      </c>
      <c r="D35" s="3">
        <v>41</v>
      </c>
      <c r="E35" s="3">
        <f t="shared" si="3"/>
        <v>1.6400000000000001E-2</v>
      </c>
      <c r="F35" t="s">
        <v>38</v>
      </c>
    </row>
    <row r="36" spans="1:11" x14ac:dyDescent="0.25">
      <c r="A36" t="s">
        <v>12</v>
      </c>
      <c r="B36">
        <v>3000</v>
      </c>
      <c r="C36">
        <v>5000000</v>
      </c>
      <c r="D36" s="3">
        <v>33</v>
      </c>
      <c r="E36" s="3">
        <f t="shared" si="3"/>
        <v>1.9799999999999998E-2</v>
      </c>
      <c r="F36" t="s">
        <v>38</v>
      </c>
    </row>
    <row r="37" spans="1:11" x14ac:dyDescent="0.25">
      <c r="A37" t="s">
        <v>16</v>
      </c>
      <c r="B37">
        <v>17.75</v>
      </c>
      <c r="C37">
        <v>10000</v>
      </c>
      <c r="D37" s="3">
        <v>19</v>
      </c>
      <c r="E37" s="3">
        <f t="shared" si="3"/>
        <v>3.3725000000000005E-2</v>
      </c>
      <c r="F37" t="s">
        <v>38</v>
      </c>
    </row>
    <row r="38" spans="1:11" x14ac:dyDescent="0.25">
      <c r="A38" t="s">
        <v>17</v>
      </c>
      <c r="B38">
        <v>5</v>
      </c>
      <c r="C38">
        <v>1000</v>
      </c>
      <c r="D38" s="3">
        <v>187</v>
      </c>
      <c r="E38" s="3">
        <f t="shared" si="3"/>
        <v>0.93500000000000005</v>
      </c>
      <c r="F38" t="s">
        <v>38</v>
      </c>
    </row>
    <row r="39" spans="1:11" x14ac:dyDescent="0.25">
      <c r="A39" t="s">
        <v>18</v>
      </c>
      <c r="B39">
        <v>11.25</v>
      </c>
      <c r="C39">
        <v>250000</v>
      </c>
      <c r="D39" s="3">
        <v>453</v>
      </c>
      <c r="E39" s="3">
        <f t="shared" si="3"/>
        <v>2.0385E-2</v>
      </c>
      <c r="F39" t="s">
        <v>38</v>
      </c>
      <c r="J39" s="1" t="s">
        <v>75</v>
      </c>
    </row>
    <row r="40" spans="1:11" x14ac:dyDescent="0.25">
      <c r="A40" t="s">
        <v>19</v>
      </c>
      <c r="B40">
        <f>55*0.833</f>
        <v>45.814999999999998</v>
      </c>
      <c r="C40">
        <v>25000</v>
      </c>
      <c r="D40" s="3">
        <v>148</v>
      </c>
      <c r="E40" s="3">
        <f t="shared" si="3"/>
        <v>0.27122479999999999</v>
      </c>
      <c r="F40" t="s">
        <v>38</v>
      </c>
      <c r="J40">
        <v>5</v>
      </c>
      <c r="K40" t="s">
        <v>72</v>
      </c>
    </row>
    <row r="41" spans="1:11" x14ac:dyDescent="0.25">
      <c r="A41" t="s">
        <v>20</v>
      </c>
      <c r="B41">
        <v>50</v>
      </c>
      <c r="C41">
        <v>400000</v>
      </c>
      <c r="D41" s="3">
        <v>75</v>
      </c>
      <c r="E41" s="3">
        <f t="shared" si="3"/>
        <v>9.3749999999999997E-3</v>
      </c>
      <c r="F41" t="s">
        <v>38</v>
      </c>
      <c r="J41">
        <v>473.36</v>
      </c>
      <c r="K41" t="s">
        <v>70</v>
      </c>
    </row>
    <row r="42" spans="1:11" x14ac:dyDescent="0.25">
      <c r="A42" t="s">
        <v>21</v>
      </c>
      <c r="B42">
        <v>4</v>
      </c>
      <c r="C42">
        <v>1000000</v>
      </c>
      <c r="D42" s="3">
        <v>10</v>
      </c>
      <c r="E42" s="3">
        <f t="shared" si="3"/>
        <v>3.9999999999999996E-5</v>
      </c>
      <c r="F42" t="s">
        <v>38</v>
      </c>
      <c r="J42">
        <f>J40/J41/1000</f>
        <v>1.0562785195200271E-5</v>
      </c>
      <c r="K42" t="s">
        <v>71</v>
      </c>
    </row>
    <row r="43" spans="1:11" x14ac:dyDescent="0.25">
      <c r="A43" t="s">
        <v>69</v>
      </c>
      <c r="B43">
        <f>J44</f>
        <v>3.6500000000000003E-8</v>
      </c>
      <c r="C43">
        <f>J42</f>
        <v>1.0562785195200271E-5</v>
      </c>
      <c r="D43" s="3">
        <v>235</v>
      </c>
      <c r="E43" s="3">
        <f t="shared" ref="E43" si="4">B43/C43*D43</f>
        <v>0.81204907999999998</v>
      </c>
      <c r="J43">
        <v>36.5</v>
      </c>
      <c r="K43" t="s">
        <v>74</v>
      </c>
    </row>
    <row r="44" spans="1:11" x14ac:dyDescent="0.25">
      <c r="A44" t="s">
        <v>66</v>
      </c>
      <c r="B44">
        <v>10</v>
      </c>
      <c r="C44">
        <v>5000000</v>
      </c>
      <c r="D44" s="3">
        <v>385</v>
      </c>
      <c r="E44" s="3">
        <f t="shared" si="3"/>
        <v>7.6999999999999996E-4</v>
      </c>
      <c r="J44">
        <f>36.5*10^-6*(1*10^-3)</f>
        <v>3.6500000000000003E-8</v>
      </c>
      <c r="K44" t="s">
        <v>73</v>
      </c>
    </row>
    <row r="45" spans="1:11" x14ac:dyDescent="0.25">
      <c r="A45" t="s">
        <v>23</v>
      </c>
      <c r="B45">
        <v>280</v>
      </c>
      <c r="C45">
        <v>5000</v>
      </c>
      <c r="D45" s="3">
        <v>220</v>
      </c>
      <c r="E45" s="3">
        <f t="shared" si="3"/>
        <v>12.32</v>
      </c>
      <c r="F45" t="s">
        <v>38</v>
      </c>
    </row>
    <row r="46" spans="1:11" x14ac:dyDescent="0.25">
      <c r="E46" s="4">
        <f>SUM(E27:E45)</f>
        <v>15.653503648000001</v>
      </c>
    </row>
    <row r="47" spans="1:11" x14ac:dyDescent="0.25">
      <c r="E47" s="4"/>
    </row>
    <row r="48" spans="1:11" x14ac:dyDescent="0.25">
      <c r="D48" t="s">
        <v>67</v>
      </c>
      <c r="E48" t="s">
        <v>68</v>
      </c>
    </row>
    <row r="49" spans="1:5" x14ac:dyDescent="0.25">
      <c r="A49" s="1" t="s">
        <v>56</v>
      </c>
      <c r="D49" s="4">
        <f>SUM(D10:D45)</f>
        <v>6083.9299999999994</v>
      </c>
      <c r="E49" s="4">
        <f>E46+E24+E15+E19</f>
        <v>89.983786650818203</v>
      </c>
    </row>
    <row r="50" spans="1:5" x14ac:dyDescent="0.25">
      <c r="A50" t="s">
        <v>64</v>
      </c>
      <c r="E50" s="8">
        <f>E49/10000</f>
        <v>8.9983786650818208E-3</v>
      </c>
    </row>
  </sheetData>
  <conditionalFormatting sqref="E10:E14 E21:E23 E27:E42 E44:E4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E1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E4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6373-B0AA-4246-A45F-72AB874E8CC3}">
  <dimension ref="A1:F42"/>
  <sheetViews>
    <sheetView tabSelected="1" workbookViewId="0">
      <selection activeCell="E14" sqref="E14"/>
    </sheetView>
  </sheetViews>
  <sheetFormatPr defaultRowHeight="15" x14ac:dyDescent="0.25"/>
  <cols>
    <col min="1" max="1" width="34.7109375" customWidth="1"/>
    <col min="2" max="2" width="14.7109375" bestFit="1" customWidth="1"/>
    <col min="3" max="3" width="13.7109375" bestFit="1" customWidth="1"/>
    <col min="4" max="4" width="9.5703125" bestFit="1" customWidth="1"/>
    <col min="5" max="5" width="16.7109375" bestFit="1" customWidth="1"/>
  </cols>
  <sheetData>
    <row r="1" spans="1:6" x14ac:dyDescent="0.25">
      <c r="A1" t="s">
        <v>1</v>
      </c>
    </row>
    <row r="2" spans="1:6" x14ac:dyDescent="0.25">
      <c r="A2" t="s">
        <v>78</v>
      </c>
      <c r="B2">
        <v>75</v>
      </c>
      <c r="C2" t="s">
        <v>4</v>
      </c>
    </row>
    <row r="3" spans="1:6" x14ac:dyDescent="0.25">
      <c r="A3" t="s">
        <v>5</v>
      </c>
      <c r="B3">
        <v>50</v>
      </c>
      <c r="C3" t="s">
        <v>4</v>
      </c>
    </row>
    <row r="5" spans="1:6" x14ac:dyDescent="0.25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 x14ac:dyDescent="0.25">
      <c r="A6" s="1" t="s">
        <v>29</v>
      </c>
    </row>
    <row r="7" spans="1:6" x14ac:dyDescent="0.25">
      <c r="A7" t="s">
        <v>79</v>
      </c>
      <c r="B7">
        <f>4.8*7.5/6</f>
        <v>6</v>
      </c>
      <c r="C7">
        <v>200</v>
      </c>
      <c r="D7" s="9">
        <v>540.6</v>
      </c>
      <c r="E7" s="9">
        <f>B7/C7*D7</f>
        <v>16.218</v>
      </c>
    </row>
    <row r="8" spans="1:6" x14ac:dyDescent="0.25">
      <c r="A8" s="2" t="s">
        <v>80</v>
      </c>
      <c r="B8">
        <f>2.4*7.5/6</f>
        <v>3</v>
      </c>
      <c r="C8">
        <v>125</v>
      </c>
      <c r="D8" s="9">
        <v>247</v>
      </c>
      <c r="E8" s="9">
        <f t="shared" ref="E8:E10" si="0">B8/C8*D8</f>
        <v>5.9279999999999999</v>
      </c>
    </row>
    <row r="9" spans="1:6" x14ac:dyDescent="0.25">
      <c r="A9" t="s">
        <v>81</v>
      </c>
      <c r="B9">
        <v>2</v>
      </c>
      <c r="C9">
        <v>24</v>
      </c>
      <c r="D9" s="9">
        <v>647</v>
      </c>
      <c r="E9" s="9">
        <f t="shared" si="0"/>
        <v>53.916666666666664</v>
      </c>
      <c r="F9" t="s">
        <v>82</v>
      </c>
    </row>
    <row r="10" spans="1:6" x14ac:dyDescent="0.25">
      <c r="A10" t="s">
        <v>22</v>
      </c>
      <c r="B10">
        <v>100</v>
      </c>
      <c r="C10">
        <v>6250</v>
      </c>
      <c r="D10" s="9">
        <v>513</v>
      </c>
      <c r="E10" s="9">
        <f t="shared" si="0"/>
        <v>8.2080000000000002</v>
      </c>
    </row>
    <row r="11" spans="1:6" x14ac:dyDescent="0.25">
      <c r="E11" s="4">
        <f>SUM(E7:E10)</f>
        <v>84.270666666666671</v>
      </c>
    </row>
    <row r="13" spans="1:6" x14ac:dyDescent="0.25">
      <c r="A13" s="1" t="s">
        <v>30</v>
      </c>
    </row>
    <row r="14" spans="1:6" x14ac:dyDescent="0.25">
      <c r="A14" t="s">
        <v>41</v>
      </c>
      <c r="B14">
        <v>50</v>
      </c>
      <c r="C14">
        <v>600</v>
      </c>
      <c r="D14" s="9">
        <v>392</v>
      </c>
      <c r="E14" s="9">
        <f t="shared" ref="E14" si="1">B14/C14*D14</f>
        <v>32.666666666666664</v>
      </c>
    </row>
    <row r="15" spans="1:6" x14ac:dyDescent="0.25">
      <c r="D15" s="9"/>
      <c r="E15" s="4">
        <f>SUM(E14)</f>
        <v>32.666666666666664</v>
      </c>
    </row>
    <row r="16" spans="1:6" x14ac:dyDescent="0.25">
      <c r="D16" s="9"/>
    </row>
    <row r="17" spans="1:6" x14ac:dyDescent="0.25">
      <c r="A17" s="1" t="s">
        <v>34</v>
      </c>
    </row>
    <row r="18" spans="1:6" x14ac:dyDescent="0.25">
      <c r="A18" t="s">
        <v>33</v>
      </c>
      <c r="B18">
        <v>200</v>
      </c>
      <c r="C18">
        <v>70000</v>
      </c>
      <c r="D18" s="9">
        <v>240</v>
      </c>
      <c r="E18" s="9">
        <f t="shared" ref="E18:E20" si="2">B18/C18*D18</f>
        <v>0.68571428571428572</v>
      </c>
    </row>
    <row r="19" spans="1:6" x14ac:dyDescent="0.25">
      <c r="A19" t="s">
        <v>35</v>
      </c>
      <c r="B19">
        <v>8</v>
      </c>
      <c r="C19">
        <v>1100</v>
      </c>
      <c r="D19" s="9">
        <v>143.51</v>
      </c>
      <c r="E19" s="9">
        <f t="shared" si="2"/>
        <v>1.0437090909090909</v>
      </c>
    </row>
    <row r="20" spans="1:6" x14ac:dyDescent="0.25">
      <c r="A20" t="s">
        <v>36</v>
      </c>
      <c r="B20">
        <v>1</v>
      </c>
      <c r="C20">
        <v>7692</v>
      </c>
      <c r="D20" s="9">
        <v>88</v>
      </c>
      <c r="E20" s="9">
        <f t="shared" si="2"/>
        <v>1.1440457618304733E-2</v>
      </c>
    </row>
    <row r="21" spans="1:6" x14ac:dyDescent="0.25">
      <c r="E21" s="4">
        <f>SUM(E18:E20)</f>
        <v>1.7408638342416813</v>
      </c>
    </row>
    <row r="22" spans="1:6" x14ac:dyDescent="0.25">
      <c r="E22" s="4"/>
    </row>
    <row r="23" spans="1:6" x14ac:dyDescent="0.25">
      <c r="A23" s="1" t="s">
        <v>31</v>
      </c>
    </row>
    <row r="24" spans="1:6" x14ac:dyDescent="0.25">
      <c r="A24" t="s">
        <v>6</v>
      </c>
      <c r="B24">
        <v>5000</v>
      </c>
      <c r="C24">
        <v>1000000</v>
      </c>
      <c r="D24" s="9">
        <v>66.239999999999995</v>
      </c>
      <c r="E24" s="9">
        <f t="shared" ref="E24:E36" si="3">B24/C24*D24</f>
        <v>0.33119999999999999</v>
      </c>
      <c r="F24" t="s">
        <v>38</v>
      </c>
    </row>
    <row r="25" spans="1:6" x14ac:dyDescent="0.25">
      <c r="A25" t="s">
        <v>39</v>
      </c>
      <c r="B25">
        <v>20</v>
      </c>
      <c r="C25">
        <v>100000</v>
      </c>
      <c r="D25" s="9">
        <v>90.2</v>
      </c>
      <c r="E25" s="9">
        <f t="shared" si="3"/>
        <v>1.804E-2</v>
      </c>
      <c r="F25" t="s">
        <v>38</v>
      </c>
    </row>
    <row r="26" spans="1:6" x14ac:dyDescent="0.25">
      <c r="A26" t="s">
        <v>83</v>
      </c>
      <c r="B26">
        <v>800</v>
      </c>
      <c r="C26">
        <v>1000000</v>
      </c>
      <c r="D26" s="9">
        <v>76.3</v>
      </c>
      <c r="E26" s="9">
        <f t="shared" si="3"/>
        <v>6.1040000000000004E-2</v>
      </c>
      <c r="F26" t="s">
        <v>38</v>
      </c>
    </row>
    <row r="27" spans="1:6" x14ac:dyDescent="0.25">
      <c r="A27" t="s">
        <v>8</v>
      </c>
      <c r="B27">
        <v>52</v>
      </c>
      <c r="C27">
        <v>100000</v>
      </c>
      <c r="D27" s="9">
        <v>24.2</v>
      </c>
      <c r="E27" s="9">
        <f t="shared" si="3"/>
        <v>1.2583999999999998E-2</v>
      </c>
      <c r="F27" t="s">
        <v>38</v>
      </c>
    </row>
    <row r="28" spans="1:6" x14ac:dyDescent="0.25">
      <c r="A28" t="s">
        <v>10</v>
      </c>
      <c r="B28">
        <v>34.5</v>
      </c>
      <c r="C28">
        <v>100000</v>
      </c>
      <c r="D28" s="9">
        <v>67.3</v>
      </c>
      <c r="E28" s="9">
        <f t="shared" si="3"/>
        <v>2.32185E-2</v>
      </c>
      <c r="F28" t="s">
        <v>38</v>
      </c>
    </row>
    <row r="29" spans="1:6" x14ac:dyDescent="0.25">
      <c r="A29" t="s">
        <v>37</v>
      </c>
      <c r="B29">
        <v>83</v>
      </c>
      <c r="C29">
        <v>500000</v>
      </c>
      <c r="D29" s="9">
        <v>121</v>
      </c>
      <c r="E29" s="9">
        <f t="shared" si="3"/>
        <v>2.0086E-2</v>
      </c>
      <c r="F29" t="s">
        <v>38</v>
      </c>
    </row>
    <row r="30" spans="1:6" x14ac:dyDescent="0.25">
      <c r="A30" t="s">
        <v>12</v>
      </c>
      <c r="B30">
        <v>10000</v>
      </c>
      <c r="C30">
        <v>5000000</v>
      </c>
      <c r="D30" s="9">
        <v>33</v>
      </c>
      <c r="E30" s="9">
        <f t="shared" si="3"/>
        <v>6.6000000000000003E-2</v>
      </c>
      <c r="F30" t="s">
        <v>38</v>
      </c>
    </row>
    <row r="31" spans="1:6" x14ac:dyDescent="0.25">
      <c r="A31" t="s">
        <v>16</v>
      </c>
      <c r="B31">
        <f>2.9*7.5/6</f>
        <v>3.625</v>
      </c>
      <c r="C31">
        <v>10000</v>
      </c>
      <c r="D31" s="9">
        <v>19</v>
      </c>
      <c r="E31" s="9">
        <f t="shared" si="3"/>
        <v>6.8874999999999995E-3</v>
      </c>
      <c r="F31" t="s">
        <v>38</v>
      </c>
    </row>
    <row r="32" spans="1:6" x14ac:dyDescent="0.25">
      <c r="A32" t="s">
        <v>84</v>
      </c>
      <c r="B32">
        <f>9.6*7.5/6</f>
        <v>12</v>
      </c>
      <c r="D32" s="9"/>
      <c r="E32" s="9"/>
    </row>
    <row r="33" spans="1:6" x14ac:dyDescent="0.25">
      <c r="A33" t="s">
        <v>18</v>
      </c>
      <c r="B33">
        <f>9*7.5/6</f>
        <v>11.25</v>
      </c>
      <c r="C33">
        <v>250000</v>
      </c>
      <c r="D33" s="9">
        <v>453</v>
      </c>
      <c r="E33" s="9">
        <f t="shared" si="3"/>
        <v>2.0385E-2</v>
      </c>
      <c r="F33" t="s">
        <v>38</v>
      </c>
    </row>
    <row r="34" spans="1:6" x14ac:dyDescent="0.25">
      <c r="A34" t="s">
        <v>20</v>
      </c>
      <c r="B34">
        <v>50</v>
      </c>
      <c r="C34">
        <v>400000</v>
      </c>
      <c r="D34" s="9">
        <v>75</v>
      </c>
      <c r="E34" s="9">
        <f t="shared" si="3"/>
        <v>9.3749999999999997E-3</v>
      </c>
      <c r="F34" t="s">
        <v>38</v>
      </c>
    </row>
    <row r="35" spans="1:6" x14ac:dyDescent="0.25">
      <c r="A35" t="s">
        <v>21</v>
      </c>
      <c r="B35">
        <v>4000</v>
      </c>
      <c r="C35">
        <v>1000000</v>
      </c>
      <c r="D35" s="9">
        <v>10</v>
      </c>
      <c r="E35" s="9">
        <f t="shared" si="3"/>
        <v>0.04</v>
      </c>
      <c r="F35" t="s">
        <v>38</v>
      </c>
    </row>
    <row r="36" spans="1:6" x14ac:dyDescent="0.25">
      <c r="A36" t="s">
        <v>23</v>
      </c>
      <c r="B36">
        <v>180</v>
      </c>
      <c r="C36">
        <v>5000</v>
      </c>
      <c r="D36" s="9">
        <v>220</v>
      </c>
      <c r="E36" s="9">
        <f t="shared" si="3"/>
        <v>7.919999999999999</v>
      </c>
      <c r="F36" t="s">
        <v>38</v>
      </c>
    </row>
    <row r="37" spans="1:6" x14ac:dyDescent="0.25">
      <c r="D37" s="4">
        <f>SUM(D7:D36)</f>
        <v>4066.3499999999995</v>
      </c>
      <c r="E37" s="4">
        <f>SUM(E24:E36)</f>
        <v>8.5288159999999991</v>
      </c>
    </row>
    <row r="39" spans="1:6" x14ac:dyDescent="0.25">
      <c r="D39" s="11" t="s">
        <v>85</v>
      </c>
      <c r="E39" s="10">
        <f>E37+E21+E11+E15</f>
        <v>127.20701316757501</v>
      </c>
    </row>
    <row r="41" spans="1:6" x14ac:dyDescent="0.25">
      <c r="D41" t="s">
        <v>67</v>
      </c>
    </row>
    <row r="42" spans="1:6" x14ac:dyDescent="0.25">
      <c r="D42" s="4">
        <f>SUM(D7:D37)</f>
        <v>8132.6999999999989</v>
      </c>
    </row>
  </sheetData>
  <conditionalFormatting sqref="E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conditionalFormatting sqref="E18:E20 E7:E10 E24:E3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20201009_beads</vt:lpstr>
      <vt:lpstr>20201009_HyDrop-ATAC</vt:lpstr>
      <vt:lpstr>20201009_HyDrop-RNA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De Rop</dc:creator>
  <cp:lastModifiedBy>Florian De Rop</cp:lastModifiedBy>
  <dcterms:created xsi:type="dcterms:W3CDTF">2020-10-09T11:53:55Z</dcterms:created>
  <dcterms:modified xsi:type="dcterms:W3CDTF">2022-03-15T11:01:12Z</dcterms:modified>
</cp:coreProperties>
</file>