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/Desktop/REVISIONS_ELIFE/FINAL VERSION_26.04./"/>
    </mc:Choice>
  </mc:AlternateContent>
  <xr:revisionPtr revIDLastSave="0" documentId="8_{8873027E-E197-EC41-9D32-1851874E518B}" xr6:coauthVersionLast="47" xr6:coauthVersionMax="47" xr10:uidLastSave="{00000000-0000-0000-0000-000000000000}"/>
  <bookViews>
    <workbookView xWindow="5840" yWindow="500" windowWidth="27640" windowHeight="16440" xr2:uid="{1FBF3BF3-52C6-7949-A4DC-1314F50B50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3" i="1" l="1"/>
  <c r="U63" i="1"/>
  <c r="O63" i="1"/>
  <c r="I63" i="1"/>
  <c r="C63" i="1"/>
  <c r="W62" i="1"/>
  <c r="U62" i="1"/>
  <c r="O62" i="1"/>
  <c r="I62" i="1"/>
  <c r="C62" i="1"/>
  <c r="W61" i="1"/>
  <c r="U61" i="1"/>
  <c r="O61" i="1"/>
  <c r="I61" i="1"/>
  <c r="C61" i="1"/>
  <c r="W60" i="1"/>
  <c r="U60" i="1"/>
  <c r="Q60" i="1"/>
  <c r="O60" i="1"/>
  <c r="I60" i="1"/>
  <c r="C60" i="1"/>
  <c r="G55" i="1"/>
  <c r="E55" i="1"/>
  <c r="Y54" i="1"/>
  <c r="S54" i="1"/>
  <c r="M54" i="1"/>
  <c r="K54" i="1"/>
  <c r="E54" i="1"/>
  <c r="G54" i="1" s="1"/>
  <c r="Y53" i="1"/>
  <c r="S53" i="1"/>
  <c r="K53" i="1"/>
  <c r="M53" i="1" s="1"/>
  <c r="G53" i="1"/>
  <c r="E53" i="1"/>
  <c r="E52" i="1"/>
  <c r="G52" i="1" s="1"/>
  <c r="Y51" i="1"/>
  <c r="G51" i="1"/>
  <c r="E51" i="1"/>
  <c r="Y50" i="1"/>
  <c r="S50" i="1"/>
  <c r="M50" i="1"/>
  <c r="K50" i="1"/>
  <c r="E50" i="1"/>
  <c r="G50" i="1" s="1"/>
  <c r="G49" i="1"/>
  <c r="E49" i="1"/>
  <c r="K48" i="1"/>
  <c r="M48" i="1" s="1"/>
  <c r="G48" i="1"/>
  <c r="E48" i="1"/>
  <c r="Y47" i="1"/>
  <c r="S47" i="1"/>
  <c r="Q47" i="1"/>
  <c r="Q63" i="1" s="1"/>
  <c r="K47" i="1"/>
  <c r="M47" i="1" s="1"/>
  <c r="G47" i="1"/>
  <c r="M46" i="1"/>
  <c r="K46" i="1"/>
  <c r="G46" i="1"/>
  <c r="Y45" i="1"/>
  <c r="M45" i="1"/>
  <c r="E45" i="1"/>
  <c r="G45" i="1" s="1"/>
  <c r="Y44" i="1"/>
  <c r="S44" i="1"/>
  <c r="M44" i="1"/>
  <c r="E44" i="1"/>
  <c r="G44" i="1" s="1"/>
  <c r="M43" i="1"/>
  <c r="G43" i="1"/>
  <c r="Y42" i="1"/>
  <c r="M42" i="1"/>
  <c r="G42" i="1"/>
  <c r="E42" i="1"/>
  <c r="Y41" i="1"/>
  <c r="Y63" i="1" s="1"/>
  <c r="S41" i="1"/>
  <c r="S63" i="1" s="1"/>
  <c r="M41" i="1"/>
  <c r="K41" i="1"/>
  <c r="K63" i="1" s="1"/>
  <c r="E41" i="1"/>
  <c r="E63" i="1" s="1"/>
  <c r="W31" i="1"/>
  <c r="U31" i="1"/>
  <c r="O31" i="1"/>
  <c r="I31" i="1"/>
  <c r="C31" i="1"/>
  <c r="W29" i="1"/>
  <c r="W30" i="1" s="1"/>
  <c r="U29" i="1"/>
  <c r="U30" i="1" s="1"/>
  <c r="O29" i="1"/>
  <c r="O30" i="1" s="1"/>
  <c r="I29" i="1"/>
  <c r="I30" i="1" s="1"/>
  <c r="C29" i="1"/>
  <c r="C30" i="1" s="1"/>
  <c r="W28" i="1"/>
  <c r="U28" i="1"/>
  <c r="O28" i="1"/>
  <c r="I28" i="1"/>
  <c r="C28" i="1"/>
  <c r="M19" i="1"/>
  <c r="K19" i="1"/>
  <c r="E19" i="1"/>
  <c r="G19" i="1" s="1"/>
  <c r="Y18" i="1"/>
  <c r="Q18" i="1"/>
  <c r="S18" i="1" s="1"/>
  <c r="M18" i="1"/>
  <c r="G18" i="1"/>
  <c r="E18" i="1"/>
  <c r="E17" i="1"/>
  <c r="G17" i="1" s="1"/>
  <c r="G16" i="1"/>
  <c r="K15" i="1"/>
  <c r="M15" i="1" s="1"/>
  <c r="G15" i="1"/>
  <c r="E15" i="1"/>
  <c r="Y14" i="1"/>
  <c r="Q14" i="1"/>
  <c r="S14" i="1" s="1"/>
  <c r="M14" i="1"/>
  <c r="K14" i="1"/>
  <c r="E14" i="1"/>
  <c r="G14" i="1" s="1"/>
  <c r="M13" i="1"/>
  <c r="K13" i="1"/>
  <c r="E13" i="1"/>
  <c r="G13" i="1" s="1"/>
  <c r="Y12" i="1"/>
  <c r="K12" i="1"/>
  <c r="M12" i="1" s="1"/>
  <c r="G12" i="1"/>
  <c r="E12" i="1"/>
  <c r="Y11" i="1"/>
  <c r="Q11" i="1"/>
  <c r="S11" i="1" s="1"/>
  <c r="M11" i="1"/>
  <c r="K11" i="1"/>
  <c r="E11" i="1"/>
  <c r="G11" i="1" s="1"/>
  <c r="G10" i="1"/>
  <c r="E10" i="1"/>
  <c r="E9" i="1"/>
  <c r="G9" i="1" s="1"/>
  <c r="Y8" i="1"/>
  <c r="E8" i="1"/>
  <c r="G8" i="1" s="1"/>
  <c r="Y7" i="1"/>
  <c r="S7" i="1"/>
  <c r="Q7" i="1"/>
  <c r="M7" i="1"/>
  <c r="G7" i="1"/>
  <c r="G6" i="1"/>
  <c r="S5" i="1"/>
  <c r="K5" i="1"/>
  <c r="K31" i="1" s="1"/>
  <c r="G5" i="1"/>
  <c r="Y4" i="1"/>
  <c r="Y31" i="1" s="1"/>
  <c r="Q4" i="1"/>
  <c r="Q31" i="1" s="1"/>
  <c r="M4" i="1"/>
  <c r="E4" i="1"/>
  <c r="G4" i="1" s="1"/>
  <c r="M63" i="1" l="1"/>
  <c r="G31" i="1"/>
  <c r="G29" i="1"/>
  <c r="G30" i="1" s="1"/>
  <c r="G28" i="1"/>
  <c r="E28" i="1"/>
  <c r="E29" i="1"/>
  <c r="E30" i="1" s="1"/>
  <c r="E31" i="1"/>
  <c r="G41" i="1"/>
  <c r="K60" i="1"/>
  <c r="S60" i="1"/>
  <c r="K61" i="1"/>
  <c r="S61" i="1"/>
  <c r="K62" i="1"/>
  <c r="S62" i="1"/>
  <c r="M5" i="1"/>
  <c r="M28" i="1" s="1"/>
  <c r="E60" i="1"/>
  <c r="M60" i="1"/>
  <c r="E61" i="1"/>
  <c r="M61" i="1"/>
  <c r="E62" i="1"/>
  <c r="M62" i="1"/>
  <c r="S4" i="1"/>
  <c r="Q28" i="1"/>
  <c r="Y28" i="1"/>
  <c r="Q29" i="1"/>
  <c r="Q30" i="1" s="1"/>
  <c r="Y29" i="1"/>
  <c r="Y30" i="1" s="1"/>
  <c r="K28" i="1"/>
  <c r="K29" i="1"/>
  <c r="K30" i="1" s="1"/>
  <c r="Y60" i="1"/>
  <c r="Q61" i="1"/>
  <c r="Y61" i="1"/>
  <c r="Q62" i="1"/>
  <c r="Y62" i="1"/>
  <c r="M29" i="1" l="1"/>
  <c r="M30" i="1" s="1"/>
  <c r="G63" i="1"/>
  <c r="G62" i="1"/>
  <c r="G61" i="1"/>
  <c r="G60" i="1"/>
  <c r="M31" i="1"/>
  <c r="S31" i="1"/>
  <c r="S29" i="1"/>
  <c r="S30" i="1" s="1"/>
  <c r="S28" i="1"/>
</calcChain>
</file>

<file path=xl/sharedStrings.xml><?xml version="1.0" encoding="utf-8"?>
<sst xmlns="http://schemas.openxmlformats.org/spreadsheetml/2006/main" count="42" uniqueCount="13">
  <si>
    <t>early meristem</t>
  </si>
  <si>
    <t>late meristem</t>
  </si>
  <si>
    <t>early elong.</t>
  </si>
  <si>
    <t>late elong.</t>
  </si>
  <si>
    <t>cell vol.</t>
  </si>
  <si>
    <t>vac. vol.</t>
  </si>
  <si>
    <t>occupancy</t>
  </si>
  <si>
    <t>Col-0</t>
  </si>
  <si>
    <t>AVG</t>
  </si>
  <si>
    <t>SD</t>
  </si>
  <si>
    <t>SEM</t>
  </si>
  <si>
    <t>n</t>
  </si>
  <si>
    <t>vti11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</si>
</sst>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9" fontId="4" fillId="0" borderId="1" xfId="1" applyFont="1" applyBorder="1"/>
    <xf numFmtId="9" fontId="4" fillId="0" borderId="0" xfId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A3CA-DBF9-7845-9B56-668F95736956}">
  <dimension ref="A1:Y63"/>
  <sheetViews>
    <sheetView tabSelected="1" workbookViewId="0">
      <selection sqref="A1:B1"/>
    </sheetView>
  </sheetViews>
  <sheetFormatPr baseColWidth="10" defaultRowHeight="16" x14ac:dyDescent="0.2"/>
  <sheetData>
    <row r="1" spans="1:25" x14ac:dyDescent="0.2">
      <c r="C1" s="1" t="s">
        <v>0</v>
      </c>
      <c r="D1" s="1"/>
      <c r="I1" s="1" t="s">
        <v>1</v>
      </c>
      <c r="J1" s="1"/>
      <c r="O1" s="1" t="s">
        <v>2</v>
      </c>
      <c r="P1" s="1"/>
      <c r="U1" s="1" t="s">
        <v>3</v>
      </c>
      <c r="V1" s="1"/>
    </row>
    <row r="2" spans="1:25" x14ac:dyDescent="0.2">
      <c r="C2" s="1" t="s">
        <v>4</v>
      </c>
      <c r="D2" s="1"/>
      <c r="E2" s="1" t="s">
        <v>5</v>
      </c>
      <c r="F2" s="1"/>
      <c r="G2" s="1" t="s">
        <v>6</v>
      </c>
      <c r="H2" s="1"/>
      <c r="I2" s="1" t="s">
        <v>4</v>
      </c>
      <c r="J2" s="1"/>
      <c r="K2" s="1" t="s">
        <v>5</v>
      </c>
      <c r="L2" s="1"/>
      <c r="M2" s="1" t="s">
        <v>6</v>
      </c>
      <c r="N2" s="1"/>
      <c r="O2" s="1" t="s">
        <v>4</v>
      </c>
      <c r="P2" s="1"/>
      <c r="Q2" s="1" t="s">
        <v>5</v>
      </c>
      <c r="R2" s="1"/>
      <c r="S2" s="1" t="s">
        <v>6</v>
      </c>
      <c r="T2" s="1"/>
      <c r="U2" s="1" t="s">
        <v>4</v>
      </c>
      <c r="V2" s="1"/>
      <c r="W2" s="1" t="s">
        <v>5</v>
      </c>
      <c r="X2" s="1"/>
      <c r="Y2" s="1" t="s">
        <v>6</v>
      </c>
    </row>
    <row r="3" spans="1:25" x14ac:dyDescent="0.2">
      <c r="A3" s="2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x14ac:dyDescent="0.2">
      <c r="C4">
        <v>906</v>
      </c>
      <c r="E4">
        <f>297+9</f>
        <v>306</v>
      </c>
      <c r="G4">
        <f>E4/C4</f>
        <v>0.33774834437086093</v>
      </c>
      <c r="I4">
        <v>1529</v>
      </c>
      <c r="K4">
        <v>792</v>
      </c>
      <c r="M4">
        <f>K4/I4</f>
        <v>0.51798561151079137</v>
      </c>
      <c r="O4">
        <v>3047</v>
      </c>
      <c r="Q4">
        <f>2077+3</f>
        <v>2080</v>
      </c>
      <c r="S4">
        <f>Q4/O4</f>
        <v>0.68263866097801118</v>
      </c>
      <c r="U4">
        <v>8176</v>
      </c>
      <c r="W4">
        <v>7775</v>
      </c>
      <c r="Y4">
        <f t="shared" ref="Y4" si="0">W4/U4</f>
        <v>0.95095401174168293</v>
      </c>
    </row>
    <row r="5" spans="1:25" x14ac:dyDescent="0.2">
      <c r="C5">
        <v>799</v>
      </c>
      <c r="E5">
        <v>283</v>
      </c>
      <c r="G5">
        <f t="shared" ref="G5:G19" si="1">E5/C5</f>
        <v>0.35419274092615771</v>
      </c>
      <c r="I5">
        <v>1651</v>
      </c>
      <c r="K5">
        <f>718</f>
        <v>718</v>
      </c>
      <c r="M5">
        <f t="shared" ref="M5:M19" si="2">K5/I5</f>
        <v>0.4348879466989703</v>
      </c>
      <c r="O5">
        <v>2487</v>
      </c>
      <c r="Q5">
        <v>1472</v>
      </c>
      <c r="S5">
        <f t="shared" ref="S5:S18" si="3">Q5/O5</f>
        <v>0.5918777643747487</v>
      </c>
    </row>
    <row r="6" spans="1:25" x14ac:dyDescent="0.2">
      <c r="C6">
        <v>683</v>
      </c>
      <c r="E6">
        <v>288</v>
      </c>
      <c r="G6">
        <f t="shared" si="1"/>
        <v>0.42166910688140558</v>
      </c>
    </row>
    <row r="7" spans="1:25" x14ac:dyDescent="0.2">
      <c r="C7">
        <v>721</v>
      </c>
      <c r="E7">
        <v>222</v>
      </c>
      <c r="G7">
        <f t="shared" si="1"/>
        <v>0.30790568654646322</v>
      </c>
      <c r="I7">
        <v>2969</v>
      </c>
      <c r="K7">
        <v>1423</v>
      </c>
      <c r="M7">
        <f t="shared" si="2"/>
        <v>0.47928595486695857</v>
      </c>
      <c r="O7">
        <v>4077</v>
      </c>
      <c r="Q7">
        <f>2557+1</f>
        <v>2558</v>
      </c>
      <c r="S7">
        <f t="shared" si="3"/>
        <v>0.62742212411086584</v>
      </c>
      <c r="U7">
        <v>7701</v>
      </c>
      <c r="W7">
        <v>7109</v>
      </c>
      <c r="Y7">
        <f t="shared" ref="Y7:Y18" si="4">W7/U7</f>
        <v>0.92312686664069599</v>
      </c>
    </row>
    <row r="8" spans="1:25" x14ac:dyDescent="0.2">
      <c r="C8">
        <v>829</v>
      </c>
      <c r="E8">
        <f>214+18</f>
        <v>232</v>
      </c>
      <c r="G8">
        <f t="shared" si="1"/>
        <v>0.27985524728588662</v>
      </c>
      <c r="U8">
        <v>9946</v>
      </c>
      <c r="W8">
        <v>9685</v>
      </c>
      <c r="Y8">
        <f t="shared" si="4"/>
        <v>0.97375829479187614</v>
      </c>
    </row>
    <row r="9" spans="1:25" x14ac:dyDescent="0.2">
      <c r="C9">
        <v>743</v>
      </c>
      <c r="E9">
        <f>170+9</f>
        <v>179</v>
      </c>
      <c r="G9">
        <f t="shared" si="1"/>
        <v>0.24091520861372812</v>
      </c>
      <c r="I9" s="3"/>
      <c r="J9" s="3"/>
      <c r="K9" s="3"/>
      <c r="L9" s="3"/>
    </row>
    <row r="10" spans="1:25" x14ac:dyDescent="0.2">
      <c r="C10">
        <v>665</v>
      </c>
      <c r="E10">
        <f>154+0.5</f>
        <v>154.5</v>
      </c>
      <c r="G10">
        <f t="shared" si="1"/>
        <v>0.23233082706766917</v>
      </c>
    </row>
    <row r="11" spans="1:25" x14ac:dyDescent="0.2">
      <c r="C11">
        <v>1428</v>
      </c>
      <c r="E11">
        <f>486+2</f>
        <v>488</v>
      </c>
      <c r="G11">
        <f t="shared" si="1"/>
        <v>0.34173669467787116</v>
      </c>
      <c r="I11">
        <v>2791</v>
      </c>
      <c r="K11">
        <f>1273+8</f>
        <v>1281</v>
      </c>
      <c r="M11">
        <f t="shared" si="2"/>
        <v>0.45897527767825153</v>
      </c>
      <c r="O11">
        <v>6798</v>
      </c>
      <c r="Q11">
        <f>4322+0.5</f>
        <v>4322.5</v>
      </c>
      <c r="S11">
        <f t="shared" si="3"/>
        <v>0.63584877905266257</v>
      </c>
      <c r="U11">
        <v>5703</v>
      </c>
      <c r="W11">
        <v>4979</v>
      </c>
      <c r="Y11">
        <f t="shared" si="4"/>
        <v>0.87304927231281781</v>
      </c>
    </row>
    <row r="12" spans="1:25" x14ac:dyDescent="0.2">
      <c r="C12">
        <v>1353</v>
      </c>
      <c r="E12">
        <f>387+13</f>
        <v>400</v>
      </c>
      <c r="G12">
        <f t="shared" si="1"/>
        <v>0.29563932002956395</v>
      </c>
      <c r="I12">
        <v>3033</v>
      </c>
      <c r="K12">
        <f>1470+1</f>
        <v>1471</v>
      </c>
      <c r="M12">
        <f t="shared" si="2"/>
        <v>0.48499835146719422</v>
      </c>
      <c r="U12">
        <v>11000</v>
      </c>
      <c r="W12">
        <v>8982</v>
      </c>
      <c r="Y12">
        <f t="shared" si="4"/>
        <v>0.81654545454545457</v>
      </c>
    </row>
    <row r="13" spans="1:25" x14ac:dyDescent="0.2">
      <c r="C13">
        <v>1319</v>
      </c>
      <c r="E13">
        <f>409+8</f>
        <v>417</v>
      </c>
      <c r="G13">
        <f t="shared" si="1"/>
        <v>0.31614859742228962</v>
      </c>
      <c r="I13">
        <v>2588</v>
      </c>
      <c r="K13">
        <f>1338</f>
        <v>1338</v>
      </c>
      <c r="M13">
        <f t="shared" si="2"/>
        <v>0.51700154559505407</v>
      </c>
    </row>
    <row r="14" spans="1:25" x14ac:dyDescent="0.2">
      <c r="C14">
        <v>1610</v>
      </c>
      <c r="E14">
        <f>373+5.6</f>
        <v>378.6</v>
      </c>
      <c r="G14">
        <f t="shared" si="1"/>
        <v>0.23515527950310561</v>
      </c>
      <c r="I14">
        <v>3644</v>
      </c>
      <c r="K14">
        <f>1074+0.5</f>
        <v>1074.5</v>
      </c>
      <c r="M14">
        <f t="shared" si="2"/>
        <v>0.29486827661909987</v>
      </c>
      <c r="O14">
        <v>5894</v>
      </c>
      <c r="Q14">
        <f>3630+2</f>
        <v>3632</v>
      </c>
      <c r="S14">
        <f t="shared" si="3"/>
        <v>0.61621988462843569</v>
      </c>
      <c r="U14">
        <v>10000</v>
      </c>
      <c r="W14">
        <v>9632</v>
      </c>
      <c r="Y14">
        <f t="shared" si="4"/>
        <v>0.96319999999999995</v>
      </c>
    </row>
    <row r="15" spans="1:25" x14ac:dyDescent="0.2">
      <c r="C15">
        <v>1716</v>
      </c>
      <c r="E15">
        <f>513+22</f>
        <v>535</v>
      </c>
      <c r="G15">
        <f t="shared" si="1"/>
        <v>0.31177156177156179</v>
      </c>
      <c r="I15">
        <v>2866</v>
      </c>
      <c r="K15">
        <f>1588+2</f>
        <v>1590</v>
      </c>
      <c r="M15">
        <f t="shared" si="2"/>
        <v>0.5547801814375436</v>
      </c>
    </row>
    <row r="16" spans="1:25" x14ac:dyDescent="0.2">
      <c r="C16">
        <v>1142</v>
      </c>
      <c r="E16">
        <v>328</v>
      </c>
      <c r="G16">
        <f t="shared" si="1"/>
        <v>0.28721541155866898</v>
      </c>
    </row>
    <row r="17" spans="1:25" x14ac:dyDescent="0.2">
      <c r="C17">
        <v>1333</v>
      </c>
      <c r="E17">
        <f>403+11</f>
        <v>414</v>
      </c>
      <c r="G17">
        <f t="shared" si="1"/>
        <v>0.31057764441110275</v>
      </c>
    </row>
    <row r="18" spans="1:25" x14ac:dyDescent="0.2">
      <c r="C18">
        <v>977</v>
      </c>
      <c r="E18">
        <f>222+20</f>
        <v>242</v>
      </c>
      <c r="G18">
        <f t="shared" si="1"/>
        <v>0.24769703172978505</v>
      </c>
      <c r="I18">
        <v>2598</v>
      </c>
      <c r="K18">
        <v>1096</v>
      </c>
      <c r="M18">
        <f t="shared" si="2"/>
        <v>0.42186297151655117</v>
      </c>
      <c r="O18">
        <v>4191</v>
      </c>
      <c r="Q18">
        <f>2286.5</f>
        <v>2286.5</v>
      </c>
      <c r="S18">
        <f t="shared" si="3"/>
        <v>0.54557384872345505</v>
      </c>
      <c r="U18">
        <v>14700</v>
      </c>
      <c r="W18">
        <v>14000</v>
      </c>
      <c r="Y18">
        <f t="shared" si="4"/>
        <v>0.95238095238095233</v>
      </c>
    </row>
    <row r="19" spans="1:25" x14ac:dyDescent="0.2">
      <c r="C19">
        <v>985</v>
      </c>
      <c r="E19">
        <f>247+10</f>
        <v>257</v>
      </c>
      <c r="G19">
        <f t="shared" si="1"/>
        <v>0.26091370558375637</v>
      </c>
      <c r="I19">
        <v>2358</v>
      </c>
      <c r="K19">
        <f>1253</f>
        <v>1253</v>
      </c>
      <c r="M19">
        <f t="shared" si="2"/>
        <v>0.53138252756573368</v>
      </c>
    </row>
    <row r="28" spans="1:25" x14ac:dyDescent="0.2">
      <c r="A28" t="s">
        <v>8</v>
      </c>
      <c r="C28" s="4">
        <f t="shared" ref="C28:G28" si="5">AVERAGE(C4:C27)</f>
        <v>1075.5625</v>
      </c>
      <c r="D28" s="4"/>
      <c r="E28" s="4">
        <f t="shared" si="5"/>
        <v>320.25625000000002</v>
      </c>
      <c r="F28" s="4"/>
      <c r="G28" s="4">
        <f t="shared" si="5"/>
        <v>0.29884202552374228</v>
      </c>
      <c r="H28" s="4"/>
      <c r="I28" s="4">
        <f t="shared" ref="I28:M28" si="6">AVERAGE(I4:I27)</f>
        <v>2602.6999999999998</v>
      </c>
      <c r="J28" s="4"/>
      <c r="K28" s="4">
        <f t="shared" si="6"/>
        <v>1203.6500000000001</v>
      </c>
      <c r="L28" s="4"/>
      <c r="M28" s="4">
        <f t="shared" si="6"/>
        <v>0.46960286449561489</v>
      </c>
      <c r="N28" s="4"/>
      <c r="O28" s="4">
        <f t="shared" ref="O28:S28" si="7">AVERAGE(O4:O27)</f>
        <v>4415.666666666667</v>
      </c>
      <c r="P28" s="4"/>
      <c r="Q28" s="4">
        <f t="shared" si="7"/>
        <v>2725.1666666666665</v>
      </c>
      <c r="R28" s="4"/>
      <c r="S28" s="4">
        <f t="shared" si="7"/>
        <v>0.61659684364469658</v>
      </c>
      <c r="T28" s="4"/>
      <c r="U28" s="4">
        <f t="shared" ref="U28:Y28" si="8">AVERAGE(U4:U27)</f>
        <v>9603.7142857142862</v>
      </c>
      <c r="V28" s="4"/>
      <c r="W28" s="4">
        <f t="shared" si="8"/>
        <v>8880.2857142857138</v>
      </c>
      <c r="X28" s="4"/>
      <c r="Y28" s="4">
        <f t="shared" si="8"/>
        <v>0.92185926463049694</v>
      </c>
    </row>
    <row r="29" spans="1:25" x14ac:dyDescent="0.2">
      <c r="A29" t="s">
        <v>9</v>
      </c>
      <c r="C29" s="4">
        <f t="shared" ref="C29:G29" si="9">STDEV(C4:C27)</f>
        <v>343.49613656245589</v>
      </c>
      <c r="D29" s="4"/>
      <c r="E29" s="4">
        <f t="shared" si="9"/>
        <v>109.49951579040577</v>
      </c>
      <c r="F29" s="4"/>
      <c r="G29" s="4">
        <f t="shared" si="9"/>
        <v>5.0718813906421766E-2</v>
      </c>
      <c r="H29" s="4"/>
      <c r="I29" s="4">
        <f t="shared" ref="I29:M29" si="10">STDEV(I4:I27)</f>
        <v>634.83192001242821</v>
      </c>
      <c r="J29" s="4"/>
      <c r="K29" s="4">
        <f t="shared" si="10"/>
        <v>284.58644947049441</v>
      </c>
      <c r="L29" s="4"/>
      <c r="M29" s="4">
        <f t="shared" si="10"/>
        <v>7.4624657251125104E-2</v>
      </c>
      <c r="N29" s="4"/>
      <c r="O29" s="4">
        <f t="shared" ref="O29:S29" si="11">STDEV(O4:O27)</f>
        <v>1650.4033042461667</v>
      </c>
      <c r="P29" s="4"/>
      <c r="Q29" s="4">
        <f t="shared" si="11"/>
        <v>1056.4904479770119</v>
      </c>
      <c r="R29" s="4"/>
      <c r="S29" s="4">
        <f t="shared" si="11"/>
        <v>4.5836199965632443E-2</v>
      </c>
      <c r="T29" s="4"/>
      <c r="U29" s="4">
        <f t="shared" ref="U29:Y29" si="12">STDEV(U4:U27)</f>
        <v>2859.7845323430533</v>
      </c>
      <c r="V29" s="4"/>
      <c r="W29" s="4">
        <f t="shared" si="12"/>
        <v>2799.214158431239</v>
      </c>
      <c r="X29" s="4"/>
      <c r="Y29" s="4">
        <f t="shared" si="12"/>
        <v>5.7235863210519378E-2</v>
      </c>
    </row>
    <row r="30" spans="1:25" x14ac:dyDescent="0.2">
      <c r="A30" t="s">
        <v>10</v>
      </c>
      <c r="C30" s="4">
        <f t="shared" ref="C30:G30" si="13">C29/(COUNT(C4:C27)^0.5)</f>
        <v>85.874034140613972</v>
      </c>
      <c r="D30" s="4"/>
      <c r="E30" s="4">
        <f t="shared" si="13"/>
        <v>27.374878947601442</v>
      </c>
      <c r="F30" s="4"/>
      <c r="G30" s="4">
        <f t="shared" si="13"/>
        <v>1.2679703476605441E-2</v>
      </c>
      <c r="H30" s="4"/>
      <c r="I30" s="4">
        <f t="shared" ref="I30:M30" si="14">I29/(COUNT(I4:I27)^0.5)</f>
        <v>200.75147986171012</v>
      </c>
      <c r="J30" s="4"/>
      <c r="K30" s="4">
        <f t="shared" si="14"/>
        <v>89.994137154718175</v>
      </c>
      <c r="L30" s="4"/>
      <c r="M30" s="4">
        <f t="shared" si="14"/>
        <v>2.3598388652295518E-2</v>
      </c>
      <c r="N30" s="4"/>
      <c r="O30" s="4">
        <f t="shared" ref="O30:S30" si="15">O29/(COUNT(O4:O27)^0.5)</f>
        <v>673.77432753440837</v>
      </c>
      <c r="P30" s="4"/>
      <c r="Q30" s="4">
        <f t="shared" si="15"/>
        <v>431.31041927801596</v>
      </c>
      <c r="R30" s="4"/>
      <c r="S30" s="4">
        <f t="shared" si="15"/>
        <v>1.8712550277329223E-2</v>
      </c>
      <c r="T30" s="4"/>
      <c r="U30" s="4">
        <f t="shared" ref="U30:Y30" si="16">U29/(COUNT(U4:U27)^0.5)</f>
        <v>1080.8969536869815</v>
      </c>
      <c r="V30" s="4"/>
      <c r="W30" s="4">
        <f t="shared" si="16"/>
        <v>1058.0035042314307</v>
      </c>
      <c r="X30" s="4"/>
      <c r="Y30" s="4">
        <f t="shared" si="16"/>
        <v>2.1633122875592173E-2</v>
      </c>
    </row>
    <row r="31" spans="1:25" x14ac:dyDescent="0.2">
      <c r="A31" t="s">
        <v>11</v>
      </c>
      <c r="C31">
        <f t="shared" ref="C31:G31" si="17">COUNT(C4:C27)</f>
        <v>16</v>
      </c>
      <c r="E31">
        <f t="shared" si="17"/>
        <v>16</v>
      </c>
      <c r="G31">
        <f t="shared" si="17"/>
        <v>16</v>
      </c>
      <c r="I31">
        <f t="shared" ref="I31:M31" si="18">COUNT(I4:I27)</f>
        <v>10</v>
      </c>
      <c r="K31">
        <f t="shared" si="18"/>
        <v>10</v>
      </c>
      <c r="M31">
        <f t="shared" si="18"/>
        <v>10</v>
      </c>
      <c r="O31">
        <f t="shared" ref="O31:S31" si="19">COUNT(O4:O27)</f>
        <v>6</v>
      </c>
      <c r="Q31">
        <f t="shared" si="19"/>
        <v>6</v>
      </c>
      <c r="S31">
        <f t="shared" si="19"/>
        <v>6</v>
      </c>
      <c r="U31">
        <f t="shared" ref="U31:Y31" si="20">COUNT(U4:U27)</f>
        <v>7</v>
      </c>
      <c r="W31">
        <f t="shared" si="20"/>
        <v>7</v>
      </c>
      <c r="Y31">
        <f t="shared" si="20"/>
        <v>7</v>
      </c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"/>
      <c r="B35" s="5"/>
      <c r="C35" s="5"/>
      <c r="D35" s="5"/>
      <c r="E35" s="5"/>
      <c r="F35" s="5"/>
      <c r="G35" s="5"/>
      <c r="H35" s="5"/>
      <c r="I35" s="6"/>
      <c r="J35" s="6"/>
      <c r="K35" s="6"/>
      <c r="L35" s="6"/>
      <c r="M35" s="5"/>
      <c r="N35" s="5"/>
      <c r="O35" s="6"/>
      <c r="P35" s="6"/>
      <c r="Q35" s="6"/>
      <c r="R35" s="6"/>
      <c r="S35" s="5"/>
      <c r="T35" s="5"/>
      <c r="U35" s="6"/>
      <c r="V35" s="6"/>
      <c r="W35" s="6"/>
      <c r="X35" s="6"/>
      <c r="Y35" s="5"/>
    </row>
    <row r="36" spans="1:2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8"/>
      <c r="C38" s="1" t="s">
        <v>0</v>
      </c>
      <c r="D38" s="1"/>
      <c r="I38" s="1" t="s">
        <v>1</v>
      </c>
      <c r="J38" s="1"/>
      <c r="O38" s="1" t="s">
        <v>2</v>
      </c>
      <c r="P38" s="1"/>
      <c r="U38" s="1" t="s">
        <v>3</v>
      </c>
      <c r="V38" s="1"/>
    </row>
    <row r="39" spans="1:25" x14ac:dyDescent="0.2">
      <c r="C39" s="1" t="s">
        <v>4</v>
      </c>
      <c r="D39" s="1"/>
      <c r="E39" s="1" t="s">
        <v>5</v>
      </c>
      <c r="F39" s="1"/>
      <c r="G39" s="1" t="s">
        <v>6</v>
      </c>
      <c r="H39" s="1"/>
      <c r="I39" s="1" t="s">
        <v>4</v>
      </c>
      <c r="J39" s="1"/>
      <c r="K39" s="1" t="s">
        <v>5</v>
      </c>
      <c r="L39" s="1"/>
      <c r="M39" s="1" t="s">
        <v>6</v>
      </c>
      <c r="N39" s="1"/>
      <c r="O39" s="1" t="s">
        <v>4</v>
      </c>
      <c r="P39" s="1"/>
      <c r="Q39" s="1" t="s">
        <v>5</v>
      </c>
      <c r="R39" s="1"/>
      <c r="S39" s="1" t="s">
        <v>6</v>
      </c>
      <c r="T39" s="1"/>
      <c r="U39" s="1" t="s">
        <v>4</v>
      </c>
      <c r="V39" s="1"/>
      <c r="W39" s="1" t="s">
        <v>5</v>
      </c>
      <c r="X39" s="1"/>
      <c r="Y39" s="1" t="s">
        <v>6</v>
      </c>
    </row>
    <row r="40" spans="1:25" x14ac:dyDescent="0.2">
      <c r="A40" s="2" t="s">
        <v>12</v>
      </c>
    </row>
    <row r="41" spans="1:25" x14ac:dyDescent="0.2">
      <c r="C41">
        <v>1161</v>
      </c>
      <c r="E41">
        <f>305+1</f>
        <v>306</v>
      </c>
      <c r="G41">
        <f>E41/C41</f>
        <v>0.26356589147286824</v>
      </c>
      <c r="I41">
        <v>1774</v>
      </c>
      <c r="K41">
        <f>445</f>
        <v>445</v>
      </c>
      <c r="M41">
        <f>K41/I41</f>
        <v>0.25084554678692222</v>
      </c>
      <c r="O41">
        <v>3614</v>
      </c>
      <c r="Q41">
        <v>2314</v>
      </c>
      <c r="S41">
        <f>Q41/O41</f>
        <v>0.64028776978417268</v>
      </c>
      <c r="U41">
        <v>8914</v>
      </c>
      <c r="W41">
        <v>8183</v>
      </c>
      <c r="Y41">
        <f>W41/U41</f>
        <v>0.9179941664796949</v>
      </c>
    </row>
    <row r="42" spans="1:25" x14ac:dyDescent="0.2">
      <c r="C42">
        <v>1149</v>
      </c>
      <c r="E42">
        <f>17+241</f>
        <v>258</v>
      </c>
      <c r="G42">
        <f t="shared" ref="G42:G55" si="21">E42/C42</f>
        <v>0.22454308093994779</v>
      </c>
      <c r="I42">
        <v>2255</v>
      </c>
      <c r="K42">
        <v>871</v>
      </c>
      <c r="M42">
        <f t="shared" ref="M42:M54" si="22">K42/I42</f>
        <v>0.38625277161862526</v>
      </c>
      <c r="U42">
        <v>14500</v>
      </c>
      <c r="W42">
        <v>13500</v>
      </c>
      <c r="Y42">
        <f t="shared" ref="Y42:Y54" si="23">W42/U42</f>
        <v>0.93103448275862066</v>
      </c>
    </row>
    <row r="43" spans="1:25" x14ac:dyDescent="0.2">
      <c r="C43">
        <v>1248</v>
      </c>
      <c r="E43">
        <v>215</v>
      </c>
      <c r="G43">
        <f t="shared" si="21"/>
        <v>0.17227564102564102</v>
      </c>
      <c r="I43">
        <v>1705</v>
      </c>
      <c r="K43">
        <v>764</v>
      </c>
      <c r="M43">
        <f t="shared" si="22"/>
        <v>0.44809384164222876</v>
      </c>
    </row>
    <row r="44" spans="1:25" x14ac:dyDescent="0.2">
      <c r="C44">
        <v>1777</v>
      </c>
      <c r="E44">
        <f>987+1</f>
        <v>988</v>
      </c>
      <c r="G44">
        <f t="shared" si="21"/>
        <v>0.55599324704558239</v>
      </c>
      <c r="I44">
        <v>2949</v>
      </c>
      <c r="K44">
        <v>1371</v>
      </c>
      <c r="M44">
        <f t="shared" si="22"/>
        <v>0.46490335707019331</v>
      </c>
      <c r="O44">
        <v>4184</v>
      </c>
      <c r="Q44">
        <v>2951</v>
      </c>
      <c r="S44">
        <f t="shared" ref="S44:S54" si="24">Q44/O44</f>
        <v>0.70530592734225617</v>
      </c>
      <c r="U44">
        <v>17800</v>
      </c>
      <c r="W44">
        <v>16900</v>
      </c>
      <c r="Y44">
        <f t="shared" si="23"/>
        <v>0.949438202247191</v>
      </c>
    </row>
    <row r="45" spans="1:25" x14ac:dyDescent="0.2">
      <c r="C45">
        <v>1815</v>
      </c>
      <c r="E45">
        <f>451+2</f>
        <v>453</v>
      </c>
      <c r="G45">
        <f t="shared" si="21"/>
        <v>0.24958677685950414</v>
      </c>
      <c r="I45">
        <v>3386</v>
      </c>
      <c r="K45">
        <v>1870</v>
      </c>
      <c r="M45">
        <f t="shared" si="22"/>
        <v>0.55227406969875958</v>
      </c>
      <c r="U45">
        <v>16700</v>
      </c>
      <c r="W45">
        <v>16800</v>
      </c>
      <c r="Y45">
        <f t="shared" si="23"/>
        <v>1.0059880239520957</v>
      </c>
    </row>
    <row r="46" spans="1:25" x14ac:dyDescent="0.2">
      <c r="C46">
        <v>1750</v>
      </c>
      <c r="E46">
        <v>726</v>
      </c>
      <c r="G46">
        <f t="shared" si="21"/>
        <v>0.41485714285714287</v>
      </c>
      <c r="I46">
        <v>3027</v>
      </c>
      <c r="K46">
        <f>1672</f>
        <v>1672</v>
      </c>
      <c r="M46">
        <f t="shared" si="22"/>
        <v>0.55236207466138088</v>
      </c>
    </row>
    <row r="47" spans="1:25" x14ac:dyDescent="0.2">
      <c r="C47">
        <v>1394</v>
      </c>
      <c r="E47">
        <v>567</v>
      </c>
      <c r="G47">
        <f t="shared" si="21"/>
        <v>0.40674318507890961</v>
      </c>
      <c r="I47">
        <v>3729</v>
      </c>
      <c r="K47">
        <f>2168+156</f>
        <v>2324</v>
      </c>
      <c r="M47">
        <f t="shared" si="22"/>
        <v>0.62322338428533119</v>
      </c>
      <c r="O47">
        <v>5645</v>
      </c>
      <c r="Q47">
        <f>4169+15</f>
        <v>4184</v>
      </c>
      <c r="S47">
        <f t="shared" si="24"/>
        <v>0.74118689105403013</v>
      </c>
      <c r="U47">
        <v>11800</v>
      </c>
      <c r="W47">
        <v>11800</v>
      </c>
      <c r="Y47">
        <f t="shared" si="23"/>
        <v>1</v>
      </c>
    </row>
    <row r="48" spans="1:25" x14ac:dyDescent="0.2">
      <c r="C48">
        <v>1237</v>
      </c>
      <c r="E48">
        <f>212+86</f>
        <v>298</v>
      </c>
      <c r="G48">
        <f t="shared" si="21"/>
        <v>0.24090541632983023</v>
      </c>
      <c r="I48">
        <v>4490</v>
      </c>
      <c r="K48">
        <f>3192+5</f>
        <v>3197</v>
      </c>
      <c r="M48">
        <f t="shared" si="22"/>
        <v>0.71202672605790651</v>
      </c>
    </row>
    <row r="49" spans="1:25" x14ac:dyDescent="0.2">
      <c r="C49">
        <v>1479</v>
      </c>
      <c r="E49">
        <f>544+0.5</f>
        <v>544.5</v>
      </c>
      <c r="G49">
        <f t="shared" si="21"/>
        <v>0.36815415821501013</v>
      </c>
    </row>
    <row r="50" spans="1:25" x14ac:dyDescent="0.2">
      <c r="C50">
        <v>980</v>
      </c>
      <c r="E50">
        <f>306+36</f>
        <v>342</v>
      </c>
      <c r="G50">
        <f t="shared" si="21"/>
        <v>0.34897959183673471</v>
      </c>
      <c r="I50">
        <v>2065</v>
      </c>
      <c r="K50">
        <f>932+4</f>
        <v>936</v>
      </c>
      <c r="M50">
        <f t="shared" si="22"/>
        <v>0.45326876513317194</v>
      </c>
      <c r="O50">
        <v>3179</v>
      </c>
      <c r="Q50">
        <v>2045</v>
      </c>
      <c r="S50">
        <f t="shared" si="24"/>
        <v>0.64328405158854984</v>
      </c>
      <c r="U50">
        <v>6316</v>
      </c>
      <c r="W50">
        <v>6064</v>
      </c>
      <c r="Y50">
        <f t="shared" si="23"/>
        <v>0.9601013299556681</v>
      </c>
    </row>
    <row r="51" spans="1:25" x14ac:dyDescent="0.2">
      <c r="C51">
        <v>943</v>
      </c>
      <c r="E51">
        <f>439+8</f>
        <v>447</v>
      </c>
      <c r="G51">
        <f t="shared" si="21"/>
        <v>0.47401908801696713</v>
      </c>
      <c r="U51">
        <v>6467</v>
      </c>
      <c r="W51">
        <v>6090</v>
      </c>
      <c r="Y51">
        <f t="shared" si="23"/>
        <v>0.94170403587443952</v>
      </c>
    </row>
    <row r="52" spans="1:25" x14ac:dyDescent="0.2">
      <c r="C52">
        <v>804</v>
      </c>
      <c r="E52">
        <f>221+23</f>
        <v>244</v>
      </c>
      <c r="G52">
        <f t="shared" si="21"/>
        <v>0.30348258706467662</v>
      </c>
    </row>
    <row r="53" spans="1:25" x14ac:dyDescent="0.2">
      <c r="C53">
        <v>1999</v>
      </c>
      <c r="E53">
        <f>611</f>
        <v>611</v>
      </c>
      <c r="G53">
        <f t="shared" si="21"/>
        <v>0.30565282641320662</v>
      </c>
      <c r="I53">
        <v>2845</v>
      </c>
      <c r="K53">
        <f>1231+1</f>
        <v>1232</v>
      </c>
      <c r="M53">
        <f t="shared" si="22"/>
        <v>0.43304042179261865</v>
      </c>
      <c r="O53">
        <v>5829</v>
      </c>
      <c r="Q53">
        <v>2943</v>
      </c>
      <c r="S53">
        <f t="shared" si="24"/>
        <v>0.50488934637159033</v>
      </c>
      <c r="U53">
        <v>17400</v>
      </c>
      <c r="W53">
        <v>15300</v>
      </c>
      <c r="Y53">
        <f t="shared" si="23"/>
        <v>0.87931034482758619</v>
      </c>
    </row>
    <row r="54" spans="1:25" x14ac:dyDescent="0.2">
      <c r="C54">
        <v>2353</v>
      </c>
      <c r="E54">
        <f>783+0.5</f>
        <v>783.5</v>
      </c>
      <c r="G54">
        <f t="shared" si="21"/>
        <v>0.33297917552061196</v>
      </c>
      <c r="I54">
        <v>2911</v>
      </c>
      <c r="K54">
        <f>1429</f>
        <v>1429</v>
      </c>
      <c r="M54">
        <f t="shared" si="22"/>
        <v>0.49089659910683614</v>
      </c>
      <c r="O54">
        <v>6744</v>
      </c>
      <c r="Q54">
        <v>4105</v>
      </c>
      <c r="S54">
        <f t="shared" si="24"/>
        <v>0.60868920521945435</v>
      </c>
      <c r="U54">
        <v>19100</v>
      </c>
      <c r="W54">
        <v>16600</v>
      </c>
      <c r="Y54">
        <f t="shared" si="23"/>
        <v>0.86910994764397909</v>
      </c>
    </row>
    <row r="55" spans="1:25" x14ac:dyDescent="0.2">
      <c r="C55">
        <v>2364</v>
      </c>
      <c r="E55">
        <f>840+17</f>
        <v>857</v>
      </c>
      <c r="G55">
        <f t="shared" si="21"/>
        <v>0.36252115059221657</v>
      </c>
    </row>
    <row r="60" spans="1:25" x14ac:dyDescent="0.2">
      <c r="A60" t="s">
        <v>8</v>
      </c>
      <c r="C60" s="4">
        <f t="shared" ref="C60:G60" si="25">AVERAGE(C41:C59)</f>
        <v>1496.8666666666666</v>
      </c>
      <c r="D60" s="4"/>
      <c r="E60" s="4">
        <f t="shared" si="25"/>
        <v>509.33333333333331</v>
      </c>
      <c r="F60" s="4"/>
      <c r="G60" s="4">
        <f t="shared" si="25"/>
        <v>0.33495059728459003</v>
      </c>
      <c r="H60" s="4"/>
      <c r="I60" s="4">
        <f t="shared" ref="I60:M60" si="26">AVERAGE(I41:I59)</f>
        <v>2830.5454545454545</v>
      </c>
      <c r="J60" s="4"/>
      <c r="K60" s="4">
        <f t="shared" si="26"/>
        <v>1464.6363636363637</v>
      </c>
      <c r="L60" s="4"/>
      <c r="M60" s="4">
        <f t="shared" si="26"/>
        <v>0.48792614162308856</v>
      </c>
      <c r="N60" s="4"/>
      <c r="O60" s="4">
        <f t="shared" ref="O60:S60" si="27">AVERAGE(O41:O59)</f>
        <v>4865.833333333333</v>
      </c>
      <c r="P60" s="4"/>
      <c r="Q60" s="4">
        <f t="shared" si="27"/>
        <v>3090.3333333333335</v>
      </c>
      <c r="R60" s="4"/>
      <c r="S60" s="4">
        <f t="shared" si="27"/>
        <v>0.64060719856000892</v>
      </c>
      <c r="T60" s="4"/>
      <c r="U60" s="4">
        <f t="shared" ref="U60:Y60" si="28">AVERAGE(U41:U59)</f>
        <v>13221.888888888889</v>
      </c>
      <c r="V60" s="4"/>
      <c r="W60" s="4">
        <f t="shared" si="28"/>
        <v>12359.666666666666</v>
      </c>
      <c r="X60" s="4"/>
      <c r="Y60" s="4">
        <f t="shared" si="28"/>
        <v>0.93940894819325271</v>
      </c>
    </row>
    <row r="61" spans="1:25" x14ac:dyDescent="0.2">
      <c r="A61" t="s">
        <v>9</v>
      </c>
      <c r="C61" s="4">
        <f t="shared" ref="C61:G61" si="29">STDEV(C41:C59)</f>
        <v>493.45355356285518</v>
      </c>
      <c r="D61" s="4"/>
      <c r="E61" s="4">
        <f t="shared" si="29"/>
        <v>243.23296201280743</v>
      </c>
      <c r="F61" s="4"/>
      <c r="G61" s="4">
        <f t="shared" si="29"/>
        <v>0.10125330721308802</v>
      </c>
      <c r="H61" s="4"/>
      <c r="I61" s="4">
        <f t="shared" ref="I61:M61" si="30">STDEV(I41:I59)</f>
        <v>850.25294632084251</v>
      </c>
      <c r="J61" s="4"/>
      <c r="K61" s="4">
        <f t="shared" si="30"/>
        <v>785.71474120411835</v>
      </c>
      <c r="L61" s="4"/>
      <c r="M61" s="4">
        <f t="shared" si="30"/>
        <v>0.12235309725568222</v>
      </c>
      <c r="N61" s="4"/>
      <c r="O61" s="4">
        <f t="shared" ref="O61:S61" si="31">STDEV(O41:O59)</f>
        <v>1409.942611125243</v>
      </c>
      <c r="P61" s="4"/>
      <c r="Q61" s="4">
        <f t="shared" si="31"/>
        <v>890.19001716861953</v>
      </c>
      <c r="R61" s="4"/>
      <c r="S61" s="4">
        <f t="shared" si="31"/>
        <v>8.215541531345931E-2</v>
      </c>
      <c r="T61" s="4"/>
      <c r="U61" s="4">
        <f t="shared" ref="U61:Y61" si="32">STDEV(U41:U59)</f>
        <v>5007.4722776178305</v>
      </c>
      <c r="V61" s="4"/>
      <c r="W61" s="4">
        <f t="shared" si="32"/>
        <v>4540.9173632648281</v>
      </c>
      <c r="X61" s="4"/>
      <c r="Y61" s="4">
        <f t="shared" si="32"/>
        <v>4.7064574080697447E-2</v>
      </c>
    </row>
    <row r="62" spans="1:25" x14ac:dyDescent="0.2">
      <c r="A62" t="s">
        <v>10</v>
      </c>
      <c r="C62" s="4">
        <f t="shared" ref="C62:G62" si="33">STDEV(C41:C59)/COUNT(C41:C59)^0.5</f>
        <v>127.4091596717205</v>
      </c>
      <c r="D62" s="4"/>
      <c r="E62" s="4">
        <f t="shared" si="33"/>
        <v>62.802480741620293</v>
      </c>
      <c r="F62" s="4"/>
      <c r="G62" s="4">
        <f t="shared" si="33"/>
        <v>2.6143491505647546E-2</v>
      </c>
      <c r="H62" s="4"/>
      <c r="I62" s="4">
        <f t="shared" ref="I62:K62" si="34">STDEV(I41:I59)/COUNT(I41:I59)^0.5</f>
        <v>256.36090907640232</v>
      </c>
      <c r="J62" s="4"/>
      <c r="K62" s="4">
        <f t="shared" si="34"/>
        <v>236.9019080750233</v>
      </c>
      <c r="L62" s="4"/>
      <c r="M62" s="4">
        <f>STDEV(M41:M59)/COUNT(M41:M59)^0.5</f>
        <v>3.6890846866814625E-2</v>
      </c>
      <c r="N62" s="4"/>
      <c r="O62" s="4">
        <f t="shared" ref="O62:S62" si="35">STDEV(O41:O59)/COUNT(O41:O59)^0.5</f>
        <v>575.60666064403574</v>
      </c>
      <c r="P62" s="4"/>
      <c r="Q62" s="4">
        <f t="shared" si="35"/>
        <v>363.41855269708583</v>
      </c>
      <c r="R62" s="4"/>
      <c r="S62" s="4">
        <f t="shared" si="35"/>
        <v>3.3539807854068439E-2</v>
      </c>
      <c r="T62" s="4"/>
      <c r="U62" s="4">
        <f t="shared" ref="U62:Y62" si="36">STDEV(U41:U59)/COUNT(U41:U59)^0.5</f>
        <v>1669.1574258726102</v>
      </c>
      <c r="V62" s="4"/>
      <c r="W62" s="4">
        <f t="shared" si="36"/>
        <v>1513.6391210882759</v>
      </c>
      <c r="X62" s="4"/>
      <c r="Y62" s="4">
        <f t="shared" si="36"/>
        <v>1.5688191360232483E-2</v>
      </c>
    </row>
    <row r="63" spans="1:25" x14ac:dyDescent="0.2">
      <c r="A63" t="s">
        <v>11</v>
      </c>
      <c r="C63">
        <f t="shared" ref="C63:G63" si="37">COUNT(C41:C59)</f>
        <v>15</v>
      </c>
      <c r="E63">
        <f t="shared" si="37"/>
        <v>15</v>
      </c>
      <c r="G63">
        <f t="shared" si="37"/>
        <v>15</v>
      </c>
      <c r="I63">
        <f t="shared" ref="I63:M63" si="38">COUNT(I41:I59)</f>
        <v>11</v>
      </c>
      <c r="K63">
        <f t="shared" si="38"/>
        <v>11</v>
      </c>
      <c r="M63">
        <f t="shared" si="38"/>
        <v>11</v>
      </c>
      <c r="O63">
        <f t="shared" ref="O63:S63" si="39">COUNT(O41:O59)</f>
        <v>6</v>
      </c>
      <c r="Q63">
        <f t="shared" si="39"/>
        <v>6</v>
      </c>
      <c r="S63">
        <f t="shared" si="39"/>
        <v>6</v>
      </c>
      <c r="U63">
        <f t="shared" ref="U63:Y63" si="40">COUNT(U41:U59)</f>
        <v>9</v>
      </c>
      <c r="W63">
        <f t="shared" si="40"/>
        <v>9</v>
      </c>
      <c r="Y63">
        <f t="shared" si="40"/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Dünser</dc:creator>
  <cp:lastModifiedBy>Kai Dünser</cp:lastModifiedBy>
  <dcterms:created xsi:type="dcterms:W3CDTF">2022-04-29T07:45:35Z</dcterms:created>
  <dcterms:modified xsi:type="dcterms:W3CDTF">2022-04-29T07:46:21Z</dcterms:modified>
</cp:coreProperties>
</file>