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82274\Dropbox\Aslan Nasar papers\Embp paper\Figures\source data\Figure 7 source data\"/>
    </mc:Choice>
  </mc:AlternateContent>
  <xr:revisionPtr revIDLastSave="0" documentId="13_ncr:1_{539C7DE0-5301-4AE1-B936-1D05DE8A0C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dhesion" sheetId="4" r:id="rId1"/>
    <sheet name="Shear stress calculation" sheetId="3" r:id="rId2"/>
    <sheet name="DLS measurements" sheetId="2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3" l="1"/>
  <c r="A6" i="3"/>
  <c r="D7" i="3"/>
  <c r="A7" i="3"/>
  <c r="D8" i="3"/>
  <c r="A8" i="3"/>
  <c r="D5" i="3"/>
  <c r="A5" i="3"/>
  <c r="Q28" i="4"/>
  <c r="Q32" i="4"/>
  <c r="N39" i="4"/>
  <c r="M39" i="4"/>
  <c r="N38" i="4"/>
  <c r="M38" i="4"/>
  <c r="N42" i="4"/>
  <c r="N41" i="4"/>
  <c r="M41" i="4"/>
  <c r="M42" i="4"/>
  <c r="O35" i="4"/>
  <c r="O34" i="4"/>
  <c r="O33" i="4"/>
  <c r="O32" i="4"/>
  <c r="P24" i="2"/>
  <c r="G25" i="2"/>
  <c r="E26" i="2"/>
  <c r="E25" i="2"/>
  <c r="F26" i="2"/>
  <c r="F25" i="2"/>
  <c r="F21" i="2"/>
  <c r="F20" i="2"/>
  <c r="F19" i="2"/>
  <c r="F12" i="2"/>
  <c r="F11" i="2"/>
  <c r="F10" i="2"/>
  <c r="H20" i="4"/>
  <c r="F20" i="4"/>
  <c r="H19" i="4"/>
  <c r="F19" i="4"/>
  <c r="H18" i="4"/>
  <c r="F18" i="4"/>
  <c r="H17" i="4"/>
  <c r="F17" i="4"/>
  <c r="I16" i="4"/>
  <c r="H16" i="4"/>
  <c r="F16" i="4"/>
  <c r="H15" i="4"/>
  <c r="G15" i="4"/>
  <c r="F15" i="4"/>
  <c r="H14" i="4"/>
  <c r="F14" i="4"/>
  <c r="I13" i="4"/>
  <c r="H13" i="4"/>
  <c r="F13" i="4"/>
  <c r="I12" i="4"/>
  <c r="H12" i="4"/>
  <c r="F12" i="4"/>
  <c r="D22" i="4"/>
  <c r="I26" i="4"/>
  <c r="O25" i="2"/>
  <c r="N24" i="2"/>
  <c r="O21" i="2"/>
  <c r="O20" i="2"/>
  <c r="O19" i="2"/>
  <c r="N25" i="2"/>
  <c r="O12" i="2"/>
  <c r="O11" i="2"/>
  <c r="O10" i="2"/>
  <c r="O24" i="2"/>
  <c r="H34" i="4"/>
  <c r="I39" i="4"/>
  <c r="I37" i="4"/>
  <c r="H41" i="4"/>
  <c r="I34" i="4"/>
  <c r="F35" i="4"/>
  <c r="F38" i="4"/>
  <c r="G34" i="4"/>
  <c r="H38" i="4"/>
  <c r="H32" i="4"/>
  <c r="F33" i="4"/>
  <c r="F36" i="4"/>
  <c r="F39" i="4"/>
  <c r="I29" i="4"/>
  <c r="G36" i="4"/>
  <c r="H28" i="4"/>
  <c r="G38" i="4"/>
  <c r="I33" i="4"/>
  <c r="H36" i="4"/>
  <c r="G40" i="4"/>
  <c r="I27" i="4"/>
  <c r="H35" i="4"/>
  <c r="G28" i="4"/>
  <c r="H33" i="4"/>
  <c r="H39" i="4"/>
  <c r="G32" i="4"/>
  <c r="H26" i="4"/>
  <c r="F40" i="4"/>
  <c r="I24" i="4"/>
  <c r="I31" i="4"/>
  <c r="G26" i="4"/>
  <c r="F34" i="4"/>
  <c r="F37" i="4"/>
  <c r="H40" i="4"/>
  <c r="H24" i="4"/>
  <c r="H30" i="4"/>
  <c r="I25" i="4"/>
  <c r="H37" i="4"/>
  <c r="F41" i="4"/>
  <c r="I41" i="4"/>
  <c r="I35" i="4"/>
  <c r="G30" i="4"/>
  <c r="G24" i="4"/>
  <c r="F32" i="4"/>
  <c r="F30" i="4"/>
  <c r="F28" i="4"/>
  <c r="F26" i="4"/>
  <c r="H31" i="4"/>
  <c r="H29" i="4"/>
  <c r="H27" i="4"/>
  <c r="H25" i="4"/>
  <c r="G41" i="4"/>
  <c r="G39" i="4"/>
  <c r="G37" i="4"/>
  <c r="G35" i="4"/>
  <c r="G33" i="4"/>
  <c r="G31" i="4"/>
  <c r="G29" i="4"/>
  <c r="G27" i="4"/>
  <c r="G25" i="4"/>
  <c r="F31" i="4"/>
  <c r="F29" i="4"/>
  <c r="F27" i="4"/>
  <c r="F25" i="4"/>
  <c r="F24" i="4"/>
  <c r="I40" i="4"/>
  <c r="I38" i="4"/>
  <c r="I36" i="4"/>
  <c r="I32" i="4"/>
  <c r="I30" i="4"/>
  <c r="I28" i="4"/>
  <c r="B26" i="2"/>
  <c r="B25" i="2"/>
  <c r="H47" i="4"/>
  <c r="O11" i="4"/>
  <c r="F50" i="4"/>
  <c r="O17" i="4"/>
  <c r="F48" i="4"/>
  <c r="O15" i="4"/>
  <c r="I48" i="4"/>
  <c r="O24" i="4"/>
  <c r="H48" i="4"/>
  <c r="O21" i="4"/>
  <c r="H45" i="4"/>
  <c r="O9" i="4"/>
  <c r="G47" i="4"/>
  <c r="O8" i="4"/>
  <c r="I46" i="4"/>
  <c r="O13" i="4"/>
  <c r="F49" i="4"/>
  <c r="O16" i="4"/>
  <c r="H49" i="4"/>
  <c r="G49" i="4"/>
  <c r="O19" i="4"/>
  <c r="I45" i="4"/>
  <c r="O12" i="4"/>
  <c r="H50" i="4"/>
  <c r="O23" i="4"/>
  <c r="I50" i="4"/>
  <c r="O26" i="4"/>
  <c r="H46" i="4"/>
  <c r="I49" i="4"/>
  <c r="O25" i="4"/>
  <c r="G50" i="4"/>
  <c r="O20" i="4"/>
  <c r="F46" i="4"/>
  <c r="O4" i="4"/>
  <c r="I47" i="4"/>
  <c r="O14" i="4"/>
  <c r="G48" i="4"/>
  <c r="O18" i="4"/>
  <c r="F47" i="4"/>
  <c r="O5" i="4"/>
  <c r="F45" i="4"/>
  <c r="O3" i="4"/>
  <c r="G46" i="4"/>
  <c r="O7" i="4"/>
  <c r="G45" i="4"/>
  <c r="O6" i="4"/>
  <c r="H57" i="4"/>
  <c r="O22" i="4"/>
  <c r="H54" i="4"/>
  <c r="O30" i="4"/>
  <c r="O10" i="4"/>
  <c r="C65" i="4"/>
  <c r="F55" i="4"/>
  <c r="F57" i="4"/>
  <c r="H55" i="4"/>
  <c r="D61" i="4"/>
  <c r="G57" i="4"/>
  <c r="D64" i="4"/>
  <c r="G56" i="4"/>
  <c r="H56" i="4"/>
  <c r="D62" i="4"/>
  <c r="F56" i="4"/>
  <c r="F54" i="4"/>
  <c r="O28" i="4"/>
  <c r="I55" i="4"/>
  <c r="I56" i="4"/>
  <c r="I57" i="4"/>
  <c r="D65" i="4"/>
  <c r="C62" i="4"/>
  <c r="C61" i="4"/>
  <c r="C64" i="4"/>
  <c r="G55" i="4"/>
  <c r="G54" i="4"/>
  <c r="O29" i="4"/>
  <c r="I54" i="4"/>
  <c r="O31" i="4"/>
</calcChain>
</file>

<file path=xl/sharedStrings.xml><?xml version="1.0" encoding="utf-8"?>
<sst xmlns="http://schemas.openxmlformats.org/spreadsheetml/2006/main" count="348" uniqueCount="143">
  <si>
    <t>Record</t>
  </si>
  <si>
    <t>Type</t>
  </si>
  <si>
    <t>Sample Name</t>
  </si>
  <si>
    <t>Measurement Date and Time</t>
  </si>
  <si>
    <t>T (∞C)</t>
  </si>
  <si>
    <t>ZP (mV)</t>
  </si>
  <si>
    <t>Mob (µmcm/Vs)</t>
  </si>
  <si>
    <t>Cond (mS/cm)</t>
  </si>
  <si>
    <t>Record </t>
  </si>
  <si>
    <t>Type </t>
  </si>
  <si>
    <t>Sample name</t>
  </si>
  <si>
    <t>T ©</t>
  </si>
  <si>
    <t>Z-ave (d.nm)</t>
  </si>
  <si>
    <t>pdl</t>
  </si>
  <si>
    <t>Pk1 mean (d.nm)</t>
  </si>
  <si>
    <t>Pxyl/tetEmbp 1 1</t>
  </si>
  <si>
    <t>7. oktober 2020 14:50:04</t>
  </si>
  <si>
    <t>Replika 1: 1</t>
  </si>
  <si>
    <t>Size</t>
  </si>
  <si>
    <t>Pxyl/tet</t>
  </si>
  <si>
    <t>Pxyl/tetEmbp 1 2</t>
  </si>
  <si>
    <t>7. oktober 2020 14:51:37</t>
  </si>
  <si>
    <t>Replika 1: 2</t>
  </si>
  <si>
    <t>Pxyl/tetEmbp 1 3</t>
  </si>
  <si>
    <t>7. oktober 2020 14:51:57</t>
  </si>
  <si>
    <t>Replika 1: 3</t>
  </si>
  <si>
    <t>Pxyl/tetEmbp 2 1</t>
  </si>
  <si>
    <t>7. oktober 2020 14:56:47</t>
  </si>
  <si>
    <t>Replika 2: 1</t>
  </si>
  <si>
    <t>Pxyl/tetEmbp 2 2</t>
  </si>
  <si>
    <t>7. oktober 2020 14:57:56</t>
  </si>
  <si>
    <t>Replika 2: 2</t>
  </si>
  <si>
    <t>Pxyl/tetEmbp 2 3</t>
  </si>
  <si>
    <t>7. oktober 2020 14:58:16</t>
  </si>
  <si>
    <t>Replika 2: 3</t>
  </si>
  <si>
    <t>Pxyl/tetEmbp 3 1</t>
  </si>
  <si>
    <t>7. oktober 2020 15:01:39</t>
  </si>
  <si>
    <t>Replika 3:1</t>
  </si>
  <si>
    <t>Pxyl/tetEmbp 3 2</t>
  </si>
  <si>
    <t>7. oktober 2020 15:02:49</t>
  </si>
  <si>
    <t>Replika 3:2</t>
  </si>
  <si>
    <t>Pxyl/tetEmbp 3 3</t>
  </si>
  <si>
    <t>7. oktober 2020 15:03:11</t>
  </si>
  <si>
    <t>Replika 3:3</t>
  </si>
  <si>
    <t>DeltaEmbp 1 1</t>
  </si>
  <si>
    <t>7. oktober 2020 15:06:47</t>
  </si>
  <si>
    <t>Replika 1:1 </t>
  </si>
  <si>
    <t>∆Embp</t>
  </si>
  <si>
    <t>DeltaEmbp 1 2</t>
  </si>
  <si>
    <t>7. oktober 2020 15:08:05</t>
  </si>
  <si>
    <t>Replika 1:2</t>
  </si>
  <si>
    <t>DeltaEmbp 1 3</t>
  </si>
  <si>
    <t>7. oktober 2020 15:08:25</t>
  </si>
  <si>
    <t>Replika 1:3</t>
  </si>
  <si>
    <t>DeltaEmbp 2 1</t>
  </si>
  <si>
    <t>7. oktober 2020 15:11:14</t>
  </si>
  <si>
    <t>Replika2 :1</t>
  </si>
  <si>
    <t>DeltaEmbp 2 2</t>
  </si>
  <si>
    <t>7. oktober 2020 15:12:23</t>
  </si>
  <si>
    <t>Replika2 :2</t>
  </si>
  <si>
    <t>DeltaEmbp 2 3</t>
  </si>
  <si>
    <t>7. oktober 2020 15:12:44</t>
  </si>
  <si>
    <t>Replika2 :3</t>
  </si>
  <si>
    <t>DeltaEmbp 3 1</t>
  </si>
  <si>
    <t>7. oktober 2020 15:15:40</t>
  </si>
  <si>
    <t>Replika3 :1</t>
  </si>
  <si>
    <t>DeltaEmbp 3 2</t>
  </si>
  <si>
    <t>7. oktober 2020 15:16:49</t>
  </si>
  <si>
    <t>Replika3 :2</t>
  </si>
  <si>
    <t>DeltaEmbp 3 3</t>
  </si>
  <si>
    <t>7. oktober 2020 15:17:10</t>
  </si>
  <si>
    <t>Replika3 :3</t>
  </si>
  <si>
    <t>Pxyl/tet Embp averages: </t>
  </si>
  <si>
    <t>ZP(mV)</t>
  </si>
  <si>
    <t>Mob  (µmcm/Vs)</t>
  </si>
  <si>
    <t>Pxyl/tet embp </t>
  </si>
  <si>
    <t>∆Embp </t>
  </si>
  <si>
    <t>∆Embp Averages: </t>
  </si>
  <si>
    <t>P-value from two tailed t-test</t>
  </si>
  <si>
    <r>
      <t>Pxyl/tet_</t>
    </r>
    <r>
      <rPr>
        <i/>
        <sz val="12"/>
        <color theme="1"/>
        <rFont val="Calibri"/>
        <family val="2"/>
        <scheme val="minor"/>
      </rPr>
      <t>embp</t>
    </r>
    <r>
      <rPr>
        <sz val="12"/>
        <color theme="1"/>
        <rFont val="Calibri"/>
        <family val="2"/>
        <scheme val="minor"/>
      </rPr>
      <t xml:space="preserve"> on PEA</t>
    </r>
  </si>
  <si>
    <r>
      <t>Pxyl/tet_</t>
    </r>
    <r>
      <rPr>
        <i/>
        <sz val="12"/>
        <color theme="1"/>
        <rFont val="Calibri"/>
        <family val="2"/>
        <scheme val="minor"/>
      </rPr>
      <t>embp on PEA</t>
    </r>
    <r>
      <rPr>
        <sz val="12"/>
        <color theme="1"/>
        <rFont val="Calibri"/>
        <family val="2"/>
        <scheme val="minor"/>
      </rPr>
      <t xml:space="preserve"> + Fn</t>
    </r>
  </si>
  <si>
    <r>
      <t>∆</t>
    </r>
    <r>
      <rPr>
        <i/>
        <sz val="12"/>
        <color theme="1"/>
        <rFont val="Calibri"/>
        <family val="2"/>
        <scheme val="minor"/>
      </rPr>
      <t>embp</t>
    </r>
    <r>
      <rPr>
        <sz val="12"/>
        <color theme="1"/>
        <rFont val="Calibri"/>
        <family val="2"/>
        <scheme val="minor"/>
      </rPr>
      <t xml:space="preserve"> on PEA + Fn</t>
    </r>
  </si>
  <si>
    <r>
      <t>∆</t>
    </r>
    <r>
      <rPr>
        <i/>
        <sz val="12"/>
        <color theme="1"/>
        <rFont val="Calibri"/>
        <family val="2"/>
        <scheme val="minor"/>
      </rPr>
      <t>embp</t>
    </r>
    <r>
      <rPr>
        <sz val="12"/>
        <color theme="1"/>
        <rFont val="Calibri"/>
        <family val="2"/>
        <scheme val="minor"/>
      </rPr>
      <t xml:space="preserve"> on PEA</t>
    </r>
  </si>
  <si>
    <t>τ = η ∙ 176.1 ∙ Φ</t>
  </si>
  <si>
    <t>dyn/cm2</t>
  </si>
  <si>
    <t>Viscosity</t>
  </si>
  <si>
    <t>dyn x s/cm2</t>
  </si>
  <si>
    <t>Flowrate</t>
  </si>
  <si>
    <t>ml/min</t>
  </si>
  <si>
    <t>Shear stress</t>
  </si>
  <si>
    <t>High flow</t>
  </si>
  <si>
    <t>Low flow</t>
  </si>
  <si>
    <t>Replica #</t>
  </si>
  <si>
    <t>Image #</t>
  </si>
  <si>
    <t>Images pr mm2</t>
  </si>
  <si>
    <t>Does Fn increase adhesion?</t>
  </si>
  <si>
    <t>Does Embp lead to more adhesion?</t>
  </si>
  <si>
    <t>Samples with Fn</t>
  </si>
  <si>
    <t>Samples without Fn</t>
  </si>
  <si>
    <t>Strains without Embp</t>
  </si>
  <si>
    <t>Strains with Embp</t>
  </si>
  <si>
    <t>Group</t>
  </si>
  <si>
    <t>Flow rate adhesion</t>
  </si>
  <si>
    <t>Flow rate wash</t>
  </si>
  <si>
    <t>Conversion to cells/mm2</t>
  </si>
  <si>
    <t>mean of 3</t>
  </si>
  <si>
    <t>SD of mean</t>
  </si>
  <si>
    <t>Statistical analyses (mean, S.D., and P values from two-tailed T test)</t>
  </si>
  <si>
    <t>Cells pr image</t>
  </si>
  <si>
    <t xml:space="preserve">Average of technical replicates </t>
  </si>
  <si>
    <t>SD</t>
  </si>
  <si>
    <t>Hydrodynamic radius</t>
  </si>
  <si>
    <t>Embp</t>
  </si>
  <si>
    <t>+</t>
  </si>
  <si>
    <t>Fn</t>
  </si>
  <si>
    <t>Cells/mm2</t>
  </si>
  <si>
    <t>x axis</t>
  </si>
  <si>
    <t>Label</t>
  </si>
  <si>
    <t>Embp Fn H</t>
  </si>
  <si>
    <t>Embp Fn L</t>
  </si>
  <si>
    <t>Embp H</t>
  </si>
  <si>
    <t>Embp L</t>
  </si>
  <si>
    <t>Fn H</t>
  </si>
  <si>
    <t>Fn L</t>
  </si>
  <si>
    <t>h</t>
  </si>
  <si>
    <t>L</t>
  </si>
  <si>
    <t>Mean Embp Fn H</t>
  </si>
  <si>
    <t>Mean Fn H</t>
  </si>
  <si>
    <t>Mean Embp H</t>
  </si>
  <si>
    <t>Mean H</t>
  </si>
  <si>
    <t>Mean Fn L</t>
  </si>
  <si>
    <t>Mean L</t>
  </si>
  <si>
    <t>Mean Embp L</t>
  </si>
  <si>
    <t>Mean Embp Fn L</t>
  </si>
  <si>
    <t>Mean</t>
  </si>
  <si>
    <t>Univariate scatter plot</t>
  </si>
  <si>
    <t>Measurement of zeta potential</t>
  </si>
  <si>
    <t>Measurement of hydrodynamic radisu</t>
  </si>
  <si>
    <t>P values</t>
  </si>
  <si>
    <t>Two tailed T tests</t>
  </si>
  <si>
    <t xml:space="preserve"> increase in attachment for Embp vs no Embp (at low flow)</t>
  </si>
  <si>
    <t>attachment rate at high flow compared to low flow</t>
  </si>
  <si>
    <t>ml/h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</si>
</sst>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14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7"/>
      <color rgb="FF444444"/>
      <name val="Arial"/>
      <family val="2"/>
    </font>
    <font>
      <b/>
      <sz val="7"/>
      <color rgb="FF444444"/>
      <name val="Arial"/>
      <family val="2"/>
    </font>
    <font>
      <i/>
      <sz val="7"/>
      <color rgb="FF444444"/>
      <name val="Arial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Verdana"/>
      <family val="2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8" fillId="0" borderId="0"/>
    <xf numFmtId="9" fontId="12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quotePrefix="1"/>
    <xf numFmtId="11" fontId="0" fillId="0" borderId="0" xfId="0" applyNumberFormat="1"/>
    <xf numFmtId="164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0" xfId="0" applyFill="1"/>
    <xf numFmtId="0" fontId="7" fillId="0" borderId="0" xfId="0" applyFont="1" applyFill="1"/>
    <xf numFmtId="1" fontId="7" fillId="0" borderId="0" xfId="0" applyNumberFormat="1" applyFont="1"/>
    <xf numFmtId="0" fontId="0" fillId="0" borderId="0" xfId="0" quotePrefix="1" applyFill="1"/>
    <xf numFmtId="166" fontId="0" fillId="2" borderId="0" xfId="0" applyNumberFormat="1" applyFill="1"/>
    <xf numFmtId="165" fontId="0" fillId="3" borderId="0" xfId="0" applyNumberFormat="1" applyFill="1"/>
    <xf numFmtId="165" fontId="0" fillId="2" borderId="0" xfId="0" applyNumberFormat="1" applyFill="1"/>
    <xf numFmtId="0" fontId="7" fillId="0" borderId="0" xfId="0" applyFont="1"/>
    <xf numFmtId="2" fontId="7" fillId="0" borderId="0" xfId="0" applyNumberFormat="1" applyFont="1" applyFill="1"/>
    <xf numFmtId="0" fontId="1" fillId="0" borderId="0" xfId="0" applyFont="1" applyFill="1"/>
    <xf numFmtId="166" fontId="0" fillId="0" borderId="0" xfId="0" applyNumberFormat="1"/>
    <xf numFmtId="2" fontId="10" fillId="0" borderId="0" xfId="0" applyNumberFormat="1" applyFont="1"/>
    <xf numFmtId="2" fontId="11" fillId="0" borderId="0" xfId="0" applyNumberFormat="1" applyFont="1"/>
    <xf numFmtId="165" fontId="0" fillId="0" borderId="0" xfId="0" applyNumberFormat="1"/>
    <xf numFmtId="165" fontId="10" fillId="0" borderId="0" xfId="0" applyNumberFormat="1" applyFont="1"/>
    <xf numFmtId="0" fontId="0" fillId="4" borderId="0" xfId="0" applyFill="1"/>
    <xf numFmtId="9" fontId="0" fillId="0" borderId="0" xfId="3" applyFont="1"/>
    <xf numFmtId="0" fontId="13" fillId="0" borderId="0" xfId="0" applyFont="1"/>
    <xf numFmtId="2" fontId="13" fillId="0" borderId="0" xfId="0" applyNumberFormat="1" applyFont="1"/>
    <xf numFmtId="164" fontId="13" fillId="0" borderId="0" xfId="0" applyNumberFormat="1" applyFont="1"/>
    <xf numFmtId="0" fontId="0" fillId="0" borderId="0" xfId="0" applyFill="1" applyBorder="1"/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1" applyFill="1" applyBorder="1" applyAlignment="1">
      <alignment horizontal="left" vertical="top" wrapText="1"/>
    </xf>
  </cellXfs>
  <cellStyles count="4">
    <cellStyle name="Hyperlink" xfId="1" builtinId="8"/>
    <cellStyle name="Normal" xfId="0" builtinId="0"/>
    <cellStyle name="Normal 2" xfId="2" xr:uid="{7E71F2B6-396D-450A-9423-816ADB4F9A03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36467746920857"/>
          <c:y val="0.13551916400270519"/>
          <c:w val="0.63425729468447178"/>
          <c:h val="0.63935884218312444"/>
        </c:manualLayout>
      </c:layout>
      <c:scatterChart>
        <c:scatterStyle val="lineMarker"/>
        <c:varyColors val="0"/>
        <c:ser>
          <c:idx val="4"/>
          <c:order val="4"/>
          <c:tx>
            <c:strRef>
              <c:f>Adhesion!$N$15</c:f>
              <c:strCache>
                <c:ptCount val="1"/>
                <c:pt idx="0">
                  <c:v>Embp Fn 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bg2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Adhesion!$P$15:$P$17</c:f>
              <c:numCache>
                <c:formatCode>General</c:formatCode>
                <c:ptCount val="3"/>
                <c:pt idx="0">
                  <c:v>0.4</c:v>
                </c:pt>
                <c:pt idx="1">
                  <c:v>0.5</c:v>
                </c:pt>
                <c:pt idx="2">
                  <c:v>0.6</c:v>
                </c:pt>
              </c:numCache>
            </c:numRef>
          </c:xVal>
          <c:yVal>
            <c:numRef>
              <c:f>Adhesion!$O$15:$O$17</c:f>
              <c:numCache>
                <c:formatCode>0</c:formatCode>
                <c:ptCount val="3"/>
                <c:pt idx="0">
                  <c:v>5983.188402699604</c:v>
                </c:pt>
                <c:pt idx="1">
                  <c:v>6042.1360716917161</c:v>
                </c:pt>
                <c:pt idx="2">
                  <c:v>6720.0342651010315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8DC2-4A50-BD19-A3301927DB15}"/>
            </c:ext>
          </c:extLst>
        </c:ser>
        <c:ser>
          <c:idx val="5"/>
          <c:order val="5"/>
          <c:tx>
            <c:strRef>
              <c:f>Adhesion!$N$18</c:f>
              <c:strCache>
                <c:ptCount val="1"/>
                <c:pt idx="0">
                  <c:v>Embp 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bg2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Adhesion!$P$18:$P$20</c:f>
              <c:numCache>
                <c:formatCode>General</c:formatCode>
                <c:ptCount val="3"/>
                <c:pt idx="0">
                  <c:v>1.4</c:v>
                </c:pt>
                <c:pt idx="1">
                  <c:v>1.5</c:v>
                </c:pt>
                <c:pt idx="2">
                  <c:v>1.6</c:v>
                </c:pt>
              </c:numCache>
            </c:numRef>
          </c:xVal>
          <c:yVal>
            <c:numRef>
              <c:f>Adhesion!$O$18:$O$20</c:f>
              <c:numCache>
                <c:formatCode>0</c:formatCode>
                <c:ptCount val="3"/>
                <c:pt idx="0">
                  <c:v>129.12346541129801</c:v>
                </c:pt>
                <c:pt idx="1">
                  <c:v>80.000407917869424</c:v>
                </c:pt>
                <c:pt idx="2">
                  <c:v>172.63245919119194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DC2-4A50-BD19-A3301927DB15}"/>
            </c:ext>
          </c:extLst>
        </c:ser>
        <c:ser>
          <c:idx val="6"/>
          <c:order val="6"/>
          <c:tx>
            <c:strRef>
              <c:f>Adhesion!$N$21</c:f>
              <c:strCache>
                <c:ptCount val="1"/>
                <c:pt idx="0">
                  <c:v>Fn 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bg2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Adhesion!$P$21:$P$23</c:f>
              <c:numCache>
                <c:formatCode>General</c:formatCode>
                <c:ptCount val="3"/>
                <c:pt idx="0">
                  <c:v>2.4</c:v>
                </c:pt>
                <c:pt idx="1">
                  <c:v>2.5</c:v>
                </c:pt>
                <c:pt idx="2">
                  <c:v>2.6</c:v>
                </c:pt>
              </c:numCache>
            </c:numRef>
          </c:xVal>
          <c:yVal>
            <c:numRef>
              <c:f>Adhesion!$O$21:$O$23</c:f>
              <c:numCache>
                <c:formatCode>0</c:formatCode>
                <c:ptCount val="3"/>
                <c:pt idx="0">
                  <c:v>5246.3425402981748</c:v>
                </c:pt>
                <c:pt idx="1">
                  <c:v>5305.2902092902887</c:v>
                </c:pt>
                <c:pt idx="2">
                  <c:v>4972.6569342633566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8DC2-4A50-BD19-A3301927DB15}"/>
            </c:ext>
          </c:extLst>
        </c:ser>
        <c:ser>
          <c:idx val="7"/>
          <c:order val="7"/>
          <c:tx>
            <c:strRef>
              <c:f>Adhesion!$N$24</c:f>
              <c:strCache>
                <c:ptCount val="1"/>
                <c:pt idx="0">
                  <c:v>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bg2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Adhesion!$P$24:$P$26</c:f>
              <c:numCache>
                <c:formatCode>General</c:formatCode>
                <c:ptCount val="3"/>
                <c:pt idx="0">
                  <c:v>3.4</c:v>
                </c:pt>
                <c:pt idx="1">
                  <c:v>3.5</c:v>
                </c:pt>
                <c:pt idx="2">
                  <c:v>3.6</c:v>
                </c:pt>
              </c:numCache>
            </c:numRef>
          </c:xVal>
          <c:yVal>
            <c:numRef>
              <c:f>Adhesion!$O$24:$O$26</c:f>
              <c:numCache>
                <c:formatCode>0</c:formatCode>
                <c:ptCount val="3"/>
                <c:pt idx="0">
                  <c:v>240.00122375360829</c:v>
                </c:pt>
                <c:pt idx="1">
                  <c:v>175.43949104795922</c:v>
                </c:pt>
                <c:pt idx="2">
                  <c:v>47.719541565044928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8DC2-4A50-BD19-A3301927DB15}"/>
            </c:ext>
          </c:extLst>
        </c:ser>
        <c:ser>
          <c:idx val="9"/>
          <c:order val="9"/>
          <c:tx>
            <c:strRef>
              <c:f>Adhesion!$N$35</c:f>
              <c:strCache>
                <c:ptCount val="1"/>
                <c:pt idx="0">
                  <c:v>Mean 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Adhesion!$P$32:$P$35</c:f>
              <c:numCache>
                <c:formatCode>General</c:formatCode>
                <c:ptCount val="4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</c:numCache>
            </c:numRef>
          </c:xVal>
          <c:yVal>
            <c:numRef>
              <c:f>Adhesion!$O$32:$O$35</c:f>
              <c:numCache>
                <c:formatCode>0</c:formatCode>
                <c:ptCount val="4"/>
                <c:pt idx="0">
                  <c:v>6248.4529131641175</c:v>
                </c:pt>
                <c:pt idx="1">
                  <c:v>127.25211084011978</c:v>
                </c:pt>
                <c:pt idx="2">
                  <c:v>5174.763227950607</c:v>
                </c:pt>
                <c:pt idx="3">
                  <c:v>154.38675212220417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8DC2-4A50-BD19-A3301927D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2821248"/>
        <c:axId val="662821664"/>
      </c:scatterChart>
      <c:scatterChart>
        <c:scatterStyle val="lineMarker"/>
        <c:varyColors val="0"/>
        <c:ser>
          <c:idx val="0"/>
          <c:order val="0"/>
          <c:tx>
            <c:strRef>
              <c:f>Adhesion!$N$3</c:f>
              <c:strCache>
                <c:ptCount val="1"/>
                <c:pt idx="0">
                  <c:v>Embp Fn 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Adhesion!$P$3:$P$5</c:f>
              <c:numCache>
                <c:formatCode>General</c:formatCode>
                <c:ptCount val="3"/>
                <c:pt idx="0">
                  <c:v>4.4000000000000004</c:v>
                </c:pt>
                <c:pt idx="1">
                  <c:v>4.5</c:v>
                </c:pt>
                <c:pt idx="2">
                  <c:v>4.5999999999999996</c:v>
                </c:pt>
              </c:numCache>
            </c:numRef>
          </c:xVal>
          <c:yVal>
            <c:numRef>
              <c:f>Adhesion!$O$3:$O$5</c:f>
              <c:numCache>
                <c:formatCode>0</c:formatCode>
                <c:ptCount val="3"/>
                <c:pt idx="0">
                  <c:v>1341.7612275347926</c:v>
                </c:pt>
                <c:pt idx="1">
                  <c:v>1466.6741451609396</c:v>
                </c:pt>
                <c:pt idx="2">
                  <c:v>1469.4811770177068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DC2-4A50-BD19-A3301927DB15}"/>
            </c:ext>
          </c:extLst>
        </c:ser>
        <c:ser>
          <c:idx val="1"/>
          <c:order val="1"/>
          <c:tx>
            <c:strRef>
              <c:f>Adhesion!$N$6</c:f>
              <c:strCache>
                <c:ptCount val="1"/>
                <c:pt idx="0">
                  <c:v>Embp 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Adhesion!$P$6:$P$8</c:f>
              <c:numCache>
                <c:formatCode>General</c:formatCode>
                <c:ptCount val="3"/>
                <c:pt idx="0">
                  <c:v>5.4</c:v>
                </c:pt>
                <c:pt idx="1">
                  <c:v>5.5</c:v>
                </c:pt>
                <c:pt idx="2">
                  <c:v>5.6</c:v>
                </c:pt>
              </c:numCache>
            </c:numRef>
          </c:xVal>
          <c:yVal>
            <c:numRef>
              <c:f>Adhesion!$O$6:$O$8</c:f>
              <c:numCache>
                <c:formatCode>0</c:formatCode>
                <c:ptCount val="3"/>
                <c:pt idx="0">
                  <c:v>42.105477851510223</c:v>
                </c:pt>
                <c:pt idx="1">
                  <c:v>26.666802639289813</c:v>
                </c:pt>
                <c:pt idx="2">
                  <c:v>70.175796419183712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DC2-4A50-BD19-A3301927DB15}"/>
            </c:ext>
          </c:extLst>
        </c:ser>
        <c:ser>
          <c:idx val="2"/>
          <c:order val="2"/>
          <c:tx>
            <c:strRef>
              <c:f>Adhesion!$N$9</c:f>
              <c:strCache>
                <c:ptCount val="1"/>
                <c:pt idx="0">
                  <c:v>Fn 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Adhesion!$P$9:$P$11</c:f>
              <c:numCache>
                <c:formatCode>General</c:formatCode>
                <c:ptCount val="3"/>
                <c:pt idx="0">
                  <c:v>6.4</c:v>
                </c:pt>
                <c:pt idx="1">
                  <c:v>6.5</c:v>
                </c:pt>
                <c:pt idx="2">
                  <c:v>6.6</c:v>
                </c:pt>
              </c:numCache>
            </c:numRef>
          </c:xVal>
          <c:yVal>
            <c:numRef>
              <c:f>Adhesion!$O$9:$O$11</c:f>
              <c:numCache>
                <c:formatCode>0</c:formatCode>
                <c:ptCount val="3"/>
                <c:pt idx="0">
                  <c:v>33.68438228120818</c:v>
                </c:pt>
                <c:pt idx="1">
                  <c:v>37.894930066359201</c:v>
                </c:pt>
                <c:pt idx="2">
                  <c:v>35.087898209591856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DC2-4A50-BD19-A3301927DB15}"/>
            </c:ext>
          </c:extLst>
        </c:ser>
        <c:ser>
          <c:idx val="3"/>
          <c:order val="3"/>
          <c:tx>
            <c:strRef>
              <c:f>Adhesion!$N$12</c:f>
              <c:strCache>
                <c:ptCount val="1"/>
                <c:pt idx="0">
                  <c:v>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Adhesion!$P$12:$P$14</c:f>
              <c:numCache>
                <c:formatCode>General</c:formatCode>
                <c:ptCount val="3"/>
                <c:pt idx="0">
                  <c:v>7.4</c:v>
                </c:pt>
                <c:pt idx="1">
                  <c:v>7.5</c:v>
                </c:pt>
                <c:pt idx="2">
                  <c:v>7.6</c:v>
                </c:pt>
              </c:numCache>
            </c:numRef>
          </c:xVal>
          <c:yVal>
            <c:numRef>
              <c:f>Adhesion!$O$12:$O$14</c:f>
              <c:numCache>
                <c:formatCode>0</c:formatCode>
                <c:ptCount val="3"/>
                <c:pt idx="0">
                  <c:v>26.666802639289809</c:v>
                </c:pt>
                <c:pt idx="1">
                  <c:v>33.68438228120818</c:v>
                </c:pt>
                <c:pt idx="2">
                  <c:v>28.070318567673482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DC2-4A50-BD19-A3301927DB15}"/>
            </c:ext>
          </c:extLst>
        </c:ser>
        <c:ser>
          <c:idx val="8"/>
          <c:order val="8"/>
          <c:tx>
            <c:strRef>
              <c:f>Adhesion!$N$31</c:f>
              <c:strCache>
                <c:ptCount val="1"/>
                <c:pt idx="0">
                  <c:v>Mean 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Adhesion!$P$28:$P$31</c:f>
              <c:numCache>
                <c:formatCode>General</c:formatCode>
                <c:ptCount val="4"/>
                <c:pt idx="0">
                  <c:v>4.5</c:v>
                </c:pt>
                <c:pt idx="1">
                  <c:v>5.5</c:v>
                </c:pt>
                <c:pt idx="2">
                  <c:v>6.5</c:v>
                </c:pt>
                <c:pt idx="3">
                  <c:v>7.5</c:v>
                </c:pt>
              </c:numCache>
            </c:numRef>
          </c:xVal>
          <c:yVal>
            <c:numRef>
              <c:f>Adhesion!$O$28:$O$31</c:f>
              <c:numCache>
                <c:formatCode>0</c:formatCode>
                <c:ptCount val="4"/>
                <c:pt idx="0">
                  <c:v>1425.9721832378129</c:v>
                </c:pt>
                <c:pt idx="1">
                  <c:v>46.316025636661244</c:v>
                </c:pt>
                <c:pt idx="2">
                  <c:v>35.55573685238641</c:v>
                </c:pt>
                <c:pt idx="3">
                  <c:v>29.473834496057155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8DC2-4A50-BD19-A3301927D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837216"/>
        <c:axId val="648823904"/>
      </c:scatterChart>
      <c:valAx>
        <c:axId val="66282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62821664"/>
        <c:crosses val="autoZero"/>
        <c:crossBetween val="midCat"/>
      </c:valAx>
      <c:valAx>
        <c:axId val="662821664"/>
        <c:scaling>
          <c:orientation val="minMax"/>
          <c:max val="700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662821248"/>
        <c:crosses val="autoZero"/>
        <c:crossBetween val="midCat"/>
      </c:valAx>
      <c:valAx>
        <c:axId val="648823904"/>
        <c:scaling>
          <c:orientation val="minMax"/>
          <c:max val="1600"/>
          <c:min val="0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648837216"/>
        <c:crosses val="max"/>
        <c:crossBetween val="midCat"/>
        <c:majorUnit val="200"/>
      </c:valAx>
      <c:valAx>
        <c:axId val="648837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8823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1" l="0.75" r="0.75" t="1" header="0.5" footer="0.5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172036</xdr:colOff>
      <xdr:row>1</xdr:row>
      <xdr:rowOff>37807</xdr:rowOff>
    </xdr:from>
    <xdr:to>
      <xdr:col>23</xdr:col>
      <xdr:colOff>196801</xdr:colOff>
      <xdr:row>23</xdr:row>
      <xdr:rowOff>98767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ED6892-4A27-427B-89EE-9480AB8F9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0.1926</cdr:x>
      <cdr:y>0.82696</cdr:y>
    </cdr:from>
    <cdr:to>
      <cdr:x>0.34741</cdr:x>
      <cdr:y>0.82707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09C4A604-59CE-4282-BB3A-07667F365256}"/>
            </a:ext>
          </a:extLst>
        </cdr:cNvPr>
        <cdr:cNvCxnSpPr/>
      </cdr:nvCxnSpPr>
      <cdr:spPr>
        <a:xfrm xmlns:a="http://schemas.openxmlformats.org/drawingml/2006/main">
          <a:off x="1102906" y="3657983"/>
          <a:ext cx="886499" cy="505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0.21623</cdr:x>
      <cdr:y>0.88458</cdr:y>
    </cdr:from>
    <cdr:to>
      <cdr:x>0.48067</cdr:x>
      <cdr:y>0.88472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6AF99B09-C7FF-4EAB-854F-8F47D509C3FE}"/>
            </a:ext>
          </a:extLst>
        </cdr:cNvPr>
        <cdr:cNvCxnSpPr/>
      </cdr:nvCxnSpPr>
      <cdr:spPr>
        <a:xfrm xmlns:a="http://schemas.openxmlformats.org/drawingml/2006/main">
          <a:off x="1237363" y="3935684"/>
          <a:ext cx="1513164" cy="632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0.5052</cdr:x>
      <cdr:y>0.82702</cdr:y>
    </cdr:from>
    <cdr:to>
      <cdr:x>0.6752</cdr:x>
      <cdr:y>0.82702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816B71F2-21CE-4CFD-8D24-A24E7E3154F7}"/>
            </a:ext>
          </a:extLst>
        </cdr:cNvPr>
        <cdr:cNvCxnSpPr/>
      </cdr:nvCxnSpPr>
      <cdr:spPr>
        <a:xfrm xmlns:a="http://schemas.openxmlformats.org/drawingml/2006/main">
          <a:off x="2893000" y="3658235"/>
          <a:ext cx="973493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0.52083</cdr:x>
      <cdr:y>0.88604</cdr:y>
    </cdr:from>
    <cdr:to>
      <cdr:x>0.79923</cdr:x>
      <cdr:y>0.8863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F805A827-3954-4ECD-94CB-7F170D59C4FE}"/>
            </a:ext>
          </a:extLst>
        </cdr:cNvPr>
        <cdr:cNvCxnSpPr/>
      </cdr:nvCxnSpPr>
      <cdr:spPr>
        <a:xfrm xmlns:a="http://schemas.openxmlformats.org/drawingml/2006/main" flipV="1">
          <a:off x="2980379" y="3942178"/>
          <a:ext cx="1593086" cy="1171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0.28531</cdr:x>
      <cdr:y>0.88142</cdr:y>
    </cdr:from>
    <cdr:to>
      <cdr:x>0.43063</cdr:x>
      <cdr:y>0.95068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695EAD17-E0D0-493C-9B3A-C89E144532FA}"/>
            </a:ext>
          </a:extLst>
        </cdr:cNvPr>
        <cdr:cNvSpPr txBox="1"/>
      </cdr:nvSpPr>
      <cdr:spPr>
        <a:xfrm xmlns:a="http://schemas.openxmlformats.org/drawingml/2006/main">
          <a:off x="1633785" y="3898900"/>
          <a:ext cx="832204" cy="306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a-DK" sz="1100">
              <a:latin typeface="Arial" panose="020B0604020202020204" pitchFamily="34" charset="0"/>
              <a:cs typeface="Arial" panose="020B0604020202020204" pitchFamily="34" charset="0"/>
            </a:rPr>
            <a:t>Low flow</a:t>
          </a:r>
        </a:p>
      </cdr:txBody>
    </cdr:sp>
  </cdr:relSizeAnchor>
  <cdr:relSizeAnchor xmlns:cdr="http://schemas.openxmlformats.org/drawingml/2006/chartDrawing">
    <cdr:from>
      <cdr:x>0.61701</cdr:x>
      <cdr:y>0.87747</cdr:y>
    </cdr:from>
    <cdr:to>
      <cdr:x>0.76234</cdr:x>
      <cdr:y>0.94673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C0B3543D-3A1E-4066-A4D2-5F4157E8AF3F}"/>
            </a:ext>
          </a:extLst>
        </cdr:cNvPr>
        <cdr:cNvSpPr txBox="1"/>
      </cdr:nvSpPr>
      <cdr:spPr>
        <a:xfrm xmlns:a="http://schemas.openxmlformats.org/drawingml/2006/main">
          <a:off x="3530755" y="3904049"/>
          <a:ext cx="831607" cy="308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a-DK" sz="1100">
              <a:latin typeface="Arial" panose="020B0604020202020204" pitchFamily="34" charset="0"/>
              <a:cs typeface="Arial" panose="020B0604020202020204" pitchFamily="34" charset="0"/>
            </a:rPr>
            <a:t>High flow</a:t>
          </a:r>
        </a:p>
      </cdr:txBody>
    </cdr:sp>
  </cdr:relSizeAnchor>
  <cdr:relSizeAnchor xmlns:cdr="http://schemas.openxmlformats.org/drawingml/2006/chartDrawing">
    <cdr:from>
      <cdr:x>0.21662</cdr:x>
      <cdr:y>0.82113</cdr:y>
    </cdr:from>
    <cdr:to>
      <cdr:x>0.36195</cdr:x>
      <cdr:y>0.89039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1FBDD809-C923-4D6F-88B8-38126CEC4D71}"/>
            </a:ext>
          </a:extLst>
        </cdr:cNvPr>
        <cdr:cNvSpPr txBox="1"/>
      </cdr:nvSpPr>
      <cdr:spPr>
        <a:xfrm xmlns:a="http://schemas.openxmlformats.org/drawingml/2006/main">
          <a:off x="1240479" y="3632200"/>
          <a:ext cx="832203" cy="306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a-DK" sz="1100">
              <a:latin typeface="Arial" panose="020B0604020202020204" pitchFamily="34" charset="0"/>
              <a:cs typeface="Arial" panose="020B0604020202020204" pitchFamily="34" charset="0"/>
            </a:rPr>
            <a:t>+Embp</a:t>
          </a:r>
        </a:p>
      </cdr:txBody>
    </cdr:sp>
  </cdr:relSizeAnchor>
  <cdr:relSizeAnchor xmlns:cdr="http://schemas.openxmlformats.org/drawingml/2006/chartDrawing">
    <cdr:from>
      <cdr:x>0.53912</cdr:x>
      <cdr:y>0.81769</cdr:y>
    </cdr:from>
    <cdr:to>
      <cdr:x>0.68445</cdr:x>
      <cdr:y>0.88694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6BE6621F-0E4F-4627-A7E0-6D6934A305E2}"/>
            </a:ext>
          </a:extLst>
        </cdr:cNvPr>
        <cdr:cNvSpPr txBox="1"/>
      </cdr:nvSpPr>
      <cdr:spPr>
        <a:xfrm xmlns:a="http://schemas.openxmlformats.org/drawingml/2006/main">
          <a:off x="3087243" y="3616960"/>
          <a:ext cx="832204" cy="306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a-DK" sz="1100">
              <a:latin typeface="Arial" panose="020B0604020202020204" pitchFamily="34" charset="0"/>
              <a:cs typeface="Arial" panose="020B0604020202020204" pitchFamily="34" charset="0"/>
            </a:rPr>
            <a:t>+Embp</a:t>
          </a:r>
        </a:p>
      </cdr:txBody>
    </cdr:sp>
  </cdr:relSizeAnchor>
  <cdr:relSizeAnchor xmlns:cdr="http://schemas.openxmlformats.org/drawingml/2006/chartDrawing">
    <cdr:from>
      <cdr:x>0.19594</cdr:x>
      <cdr:y>0.76601</cdr:y>
    </cdr:from>
    <cdr:to>
      <cdr:x>0.28536</cdr:x>
      <cdr:y>0.83527</cdr:y>
    </cdr:to>
    <cdr:sp macro="" textlink="">
      <cdr:nvSpPr>
        <cdr:cNvPr id="15" name="TextBox 1">
          <a:extLst xmlns:a="http://schemas.openxmlformats.org/drawingml/2006/main">
            <a:ext uri="{FF2B5EF4-FFF2-40B4-BE49-F238E27FC236}">
              <a16:creationId xmlns:a16="http://schemas.microsoft.com/office/drawing/2014/main" id="{6060BECC-FDAD-4183-A121-A60C7019D33C}"/>
            </a:ext>
          </a:extLst>
        </cdr:cNvPr>
        <cdr:cNvSpPr txBox="1"/>
      </cdr:nvSpPr>
      <cdr:spPr>
        <a:xfrm xmlns:a="http://schemas.openxmlformats.org/drawingml/2006/main">
          <a:off x="1122026" y="3388360"/>
          <a:ext cx="512071" cy="3063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a-DK" sz="1100">
              <a:latin typeface="Arial" panose="020B0604020202020204" pitchFamily="34" charset="0"/>
              <a:cs typeface="Arial" panose="020B0604020202020204" pitchFamily="34" charset="0"/>
            </a:rPr>
            <a:t>+Fn</a:t>
          </a:r>
        </a:p>
      </cdr:txBody>
    </cdr:sp>
  </cdr:relSizeAnchor>
  <cdr:relSizeAnchor xmlns:cdr="http://schemas.openxmlformats.org/drawingml/2006/chartDrawing">
    <cdr:from>
      <cdr:x>0.35236</cdr:x>
      <cdr:y>0.76601</cdr:y>
    </cdr:from>
    <cdr:to>
      <cdr:x>0.44178</cdr:x>
      <cdr:y>0.83527</cdr:y>
    </cdr:to>
    <cdr:sp macro="" textlink="">
      <cdr:nvSpPr>
        <cdr:cNvPr id="16" name="TextBox 1">
          <a:extLst xmlns:a="http://schemas.openxmlformats.org/drawingml/2006/main">
            <a:ext uri="{FF2B5EF4-FFF2-40B4-BE49-F238E27FC236}">
              <a16:creationId xmlns:a16="http://schemas.microsoft.com/office/drawing/2014/main" id="{A0CCC727-FBB4-44A9-AF3F-57E10D91CD39}"/>
            </a:ext>
          </a:extLst>
        </cdr:cNvPr>
        <cdr:cNvSpPr txBox="1"/>
      </cdr:nvSpPr>
      <cdr:spPr>
        <a:xfrm xmlns:a="http://schemas.openxmlformats.org/drawingml/2006/main">
          <a:off x="2017776" y="3388360"/>
          <a:ext cx="512071" cy="3063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a-DK" sz="1100">
              <a:latin typeface="Arial" panose="020B0604020202020204" pitchFamily="34" charset="0"/>
              <a:cs typeface="Arial" panose="020B0604020202020204" pitchFamily="34" charset="0"/>
            </a:rPr>
            <a:t>+Fn</a:t>
          </a:r>
        </a:p>
      </cdr:txBody>
    </cdr:sp>
  </cdr:relSizeAnchor>
  <cdr:relSizeAnchor xmlns:cdr="http://schemas.openxmlformats.org/drawingml/2006/chartDrawing">
    <cdr:from>
      <cdr:x>0.50778</cdr:x>
      <cdr:y>0.76601</cdr:y>
    </cdr:from>
    <cdr:to>
      <cdr:x>0.5972</cdr:x>
      <cdr:y>0.83527</cdr:y>
    </cdr:to>
    <cdr:sp macro="" textlink="">
      <cdr:nvSpPr>
        <cdr:cNvPr id="17" name="TextBox 1">
          <a:extLst xmlns:a="http://schemas.openxmlformats.org/drawingml/2006/main">
            <a:ext uri="{FF2B5EF4-FFF2-40B4-BE49-F238E27FC236}">
              <a16:creationId xmlns:a16="http://schemas.microsoft.com/office/drawing/2014/main" id="{878374F2-21EF-43B2-82FC-4AEBA49DD556}"/>
            </a:ext>
          </a:extLst>
        </cdr:cNvPr>
        <cdr:cNvSpPr txBox="1"/>
      </cdr:nvSpPr>
      <cdr:spPr>
        <a:xfrm xmlns:a="http://schemas.openxmlformats.org/drawingml/2006/main">
          <a:off x="2907754" y="3388360"/>
          <a:ext cx="512071" cy="3063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a-DK" sz="1100">
              <a:latin typeface="Arial" panose="020B0604020202020204" pitchFamily="34" charset="0"/>
              <a:cs typeface="Arial" panose="020B0604020202020204" pitchFamily="34" charset="0"/>
            </a:rPr>
            <a:t>+Fn</a:t>
          </a:r>
        </a:p>
      </cdr:txBody>
    </cdr:sp>
  </cdr:relSizeAnchor>
  <cdr:relSizeAnchor xmlns:cdr="http://schemas.openxmlformats.org/drawingml/2006/chartDrawing">
    <cdr:from>
      <cdr:x>0.67751</cdr:x>
      <cdr:y>0.76601</cdr:y>
    </cdr:from>
    <cdr:to>
      <cdr:x>0.76693</cdr:x>
      <cdr:y>0.83527</cdr:y>
    </cdr:to>
    <cdr:sp macro="" textlink="">
      <cdr:nvSpPr>
        <cdr:cNvPr id="18" name="TextBox 1">
          <a:extLst xmlns:a="http://schemas.openxmlformats.org/drawingml/2006/main">
            <a:ext uri="{FF2B5EF4-FFF2-40B4-BE49-F238E27FC236}">
              <a16:creationId xmlns:a16="http://schemas.microsoft.com/office/drawing/2014/main" id="{05F7B1E6-5232-47DE-AC3B-2BD8821EC004}"/>
            </a:ext>
          </a:extLst>
        </cdr:cNvPr>
        <cdr:cNvSpPr txBox="1"/>
      </cdr:nvSpPr>
      <cdr:spPr>
        <a:xfrm xmlns:a="http://schemas.openxmlformats.org/drawingml/2006/main">
          <a:off x="3879704" y="3388360"/>
          <a:ext cx="512071" cy="3063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a-DK" sz="1100">
              <a:latin typeface="Arial" panose="020B0604020202020204" pitchFamily="34" charset="0"/>
              <a:cs typeface="Arial" panose="020B0604020202020204" pitchFamily="34" charset="0"/>
            </a:rPr>
            <a:t>+Fn</a:t>
          </a:r>
        </a:p>
      </cdr:txBody>
    </cdr:sp>
  </cdr:relSizeAnchor>
  <cdr:relSizeAnchor xmlns:cdr="http://schemas.openxmlformats.org/drawingml/2006/chartDrawing">
    <cdr:from>
      <cdr:x>0.87184</cdr:x>
      <cdr:y>0.13379</cdr:y>
    </cdr:from>
    <cdr:to>
      <cdr:x>1</cdr:x>
      <cdr:y>0.60218</cdr:y>
    </cdr:to>
    <cdr:sp macro="" textlink="">
      <cdr:nvSpPr>
        <cdr:cNvPr id="39" name="TextBox 1">
          <a:extLst xmlns:a="http://schemas.openxmlformats.org/drawingml/2006/main">
            <a:ext uri="{FF2B5EF4-FFF2-40B4-BE49-F238E27FC236}">
              <a16:creationId xmlns:a16="http://schemas.microsoft.com/office/drawing/2014/main" id="{CD5D651D-E486-49DB-8E57-DFC761D8628D}"/>
            </a:ext>
          </a:extLst>
        </cdr:cNvPr>
        <cdr:cNvSpPr txBox="1"/>
      </cdr:nvSpPr>
      <cdr:spPr>
        <a:xfrm xmlns:a="http://schemas.openxmlformats.org/drawingml/2006/main" rot="5400000">
          <a:off x="3243093" y="1334774"/>
          <a:ext cx="2071860" cy="5859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da-DK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Adhered bacteria at low flow</a:t>
          </a:r>
          <a:endParaRPr lang="da-DK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da-DK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(cells/mm</a:t>
          </a:r>
          <a:r>
            <a:rPr lang="da-DK" sz="1200" b="0" i="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da-DK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</a:t>
          </a:r>
          <a:endParaRPr lang="da-DK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0.01111</cdr:x>
      <cdr:y>0.13896</cdr:y>
    </cdr:from>
    <cdr:to>
      <cdr:x>0.13927</cdr:x>
      <cdr:y>0.60735</cdr:y>
    </cdr:to>
    <cdr:sp macro="" textlink="">
      <cdr:nvSpPr>
        <cdr:cNvPr id="41" name="TextBox 1">
          <a:extLst xmlns:a="http://schemas.openxmlformats.org/drawingml/2006/main">
            <a:ext uri="{FF2B5EF4-FFF2-40B4-BE49-F238E27FC236}">
              <a16:creationId xmlns:a16="http://schemas.microsoft.com/office/drawing/2014/main" id="{DB48A00A-0249-4B21-837D-7995DEB1691C}"/>
            </a:ext>
          </a:extLst>
        </cdr:cNvPr>
        <cdr:cNvSpPr txBox="1"/>
      </cdr:nvSpPr>
      <cdr:spPr>
        <a:xfrm xmlns:a="http://schemas.openxmlformats.org/drawingml/2006/main" rot="16200000">
          <a:off x="-692154" y="1357634"/>
          <a:ext cx="2071860" cy="5859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da-DK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Adhered bacteria at high flow</a:t>
          </a:r>
          <a:endParaRPr lang="da-DK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da-DK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(cells/mm</a:t>
          </a:r>
          <a:r>
            <a:rPr lang="da-DK" sz="1200" b="0" i="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da-DK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</a:t>
          </a:r>
          <a:endParaRPr lang="da-DK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0.2279</cdr:x>
      <cdr:y>0.1157</cdr:y>
    </cdr:from>
    <cdr:to>
      <cdr:x>0.39487</cdr:x>
      <cdr:y>0.13678</cdr:y>
    </cdr:to>
    <cdr:sp macro="" textlink="">
      <cdr:nvSpPr>
        <cdr:cNvPr id="44" name="Left Brace 43">
          <a:extLst xmlns:a="http://schemas.openxmlformats.org/drawingml/2006/main">
            <a:ext uri="{FF2B5EF4-FFF2-40B4-BE49-F238E27FC236}">
              <a16:creationId xmlns:a16="http://schemas.microsoft.com/office/drawing/2014/main" id="{F2981CFE-F322-4906-ABD1-D13CBBDDDA39}"/>
            </a:ext>
          </a:extLst>
        </cdr:cNvPr>
        <cdr:cNvSpPr/>
      </cdr:nvSpPr>
      <cdr:spPr>
        <a:xfrm xmlns:a="http://schemas.openxmlformats.org/drawingml/2006/main" rot="5400000">
          <a:off x="1751714" y="74507"/>
          <a:ext cx="92950" cy="964216"/>
        </a:xfrm>
        <a:prstGeom xmlns:a="http://schemas.openxmlformats.org/drawingml/2006/main" prst="leftBrace">
          <a:avLst/>
        </a:prstGeom>
        <a:ln xmlns:a="http://schemas.openxmlformats.org/drawingml/2006/main" w="1905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a-DK"/>
        </a:p>
      </cdr:txBody>
    </cdr:sp>
  </cdr:relSizeAnchor>
  <cdr:relSizeAnchor xmlns:cdr="http://schemas.openxmlformats.org/drawingml/2006/chartDrawing">
    <cdr:from>
      <cdr:x>0.53675</cdr:x>
      <cdr:y>0.11954</cdr:y>
    </cdr:from>
    <cdr:to>
      <cdr:x>0.69714</cdr:x>
      <cdr:y>0.13783</cdr:y>
    </cdr:to>
    <cdr:sp macro="" textlink="">
      <cdr:nvSpPr>
        <cdr:cNvPr id="45" name="Left Brace 44">
          <a:extLst xmlns:a="http://schemas.openxmlformats.org/drawingml/2006/main">
            <a:ext uri="{FF2B5EF4-FFF2-40B4-BE49-F238E27FC236}">
              <a16:creationId xmlns:a16="http://schemas.microsoft.com/office/drawing/2014/main" id="{736568D3-A90D-4AC7-A860-B716B13E6B9E}"/>
            </a:ext>
          </a:extLst>
        </cdr:cNvPr>
        <cdr:cNvSpPr/>
      </cdr:nvSpPr>
      <cdr:spPr>
        <a:xfrm xmlns:a="http://schemas.openxmlformats.org/drawingml/2006/main" rot="5400000">
          <a:off x="3522394" y="104290"/>
          <a:ext cx="80646" cy="926218"/>
        </a:xfrm>
        <a:prstGeom xmlns:a="http://schemas.openxmlformats.org/drawingml/2006/main" prst="leftBrace">
          <a:avLst/>
        </a:prstGeom>
        <a:ln xmlns:a="http://schemas.openxmlformats.org/drawingml/2006/main" w="1905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a-DK"/>
        </a:p>
      </cdr:txBody>
    </cdr:sp>
  </cdr:relSizeAnchor>
  <cdr:relSizeAnchor xmlns:cdr="http://schemas.openxmlformats.org/drawingml/2006/chartDrawing">
    <cdr:from>
      <cdr:x>0.57362</cdr:x>
      <cdr:y>0.04709</cdr:y>
    </cdr:from>
    <cdr:to>
      <cdr:x>0.66304</cdr:x>
      <cdr:y>0.11635</cdr:y>
    </cdr:to>
    <cdr:sp macro="" textlink="">
      <cdr:nvSpPr>
        <cdr:cNvPr id="46" name="TextBox 1">
          <a:extLst xmlns:a="http://schemas.openxmlformats.org/drawingml/2006/main">
            <a:ext uri="{FF2B5EF4-FFF2-40B4-BE49-F238E27FC236}">
              <a16:creationId xmlns:a16="http://schemas.microsoft.com/office/drawing/2014/main" id="{708229B5-5970-4BC9-8AE6-F3A3FAC8C6A3}"/>
            </a:ext>
          </a:extLst>
        </cdr:cNvPr>
        <cdr:cNvSpPr txBox="1"/>
      </cdr:nvSpPr>
      <cdr:spPr>
        <a:xfrm xmlns:a="http://schemas.openxmlformats.org/drawingml/2006/main">
          <a:off x="3312524" y="207619"/>
          <a:ext cx="516382" cy="305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a-DK" sz="900">
              <a:latin typeface="Arial" panose="020B0604020202020204" pitchFamily="34" charset="0"/>
              <a:cs typeface="Arial" panose="020B0604020202020204" pitchFamily="34" charset="0"/>
            </a:rPr>
            <a:t>P=0.0009</a:t>
          </a:r>
        </a:p>
      </cdr:txBody>
    </cdr:sp>
  </cdr:relSizeAnchor>
  <cdr:relSizeAnchor xmlns:cdr="http://schemas.openxmlformats.org/drawingml/2006/chartDrawing">
    <cdr:from>
      <cdr:x>0.26785</cdr:x>
      <cdr:y>0.04471</cdr:y>
    </cdr:from>
    <cdr:to>
      <cdr:x>0.35727</cdr:x>
      <cdr:y>0.11398</cdr:y>
    </cdr:to>
    <cdr:sp macro="" textlink="">
      <cdr:nvSpPr>
        <cdr:cNvPr id="47" name="TextBox 1">
          <a:extLst xmlns:a="http://schemas.openxmlformats.org/drawingml/2006/main">
            <a:ext uri="{FF2B5EF4-FFF2-40B4-BE49-F238E27FC236}">
              <a16:creationId xmlns:a16="http://schemas.microsoft.com/office/drawing/2014/main" id="{ED290B15-E7DD-40A3-810A-FBBC3B3BCD84}"/>
            </a:ext>
          </a:extLst>
        </cdr:cNvPr>
        <cdr:cNvSpPr txBox="1"/>
      </cdr:nvSpPr>
      <cdr:spPr>
        <a:xfrm xmlns:a="http://schemas.openxmlformats.org/drawingml/2006/main">
          <a:off x="1546793" y="197122"/>
          <a:ext cx="516381" cy="305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a-DK" sz="900">
              <a:latin typeface="Arial" panose="020B0604020202020204" pitchFamily="34" charset="0"/>
              <a:cs typeface="Arial" panose="020B0604020202020204" pitchFamily="34" charset="0"/>
            </a:rPr>
            <a:t>P=0.03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8D119-5B37-4C96-95FF-4F145CBC03F0}">
  <dimension ref="A1:W111"/>
  <sheetViews>
    <sheetView tabSelected="1" zoomScale="130" zoomScaleNormal="130" workbookViewId="0">
      <selection activeCell="B4" sqref="B4"/>
    </sheetView>
  </sheetViews>
  <sheetFormatPr defaultColWidth="10.69921875" defaultRowHeight="15.6" x14ac:dyDescent="0.3"/>
  <cols>
    <col min="1" max="1" width="28.5" customWidth="1"/>
    <col min="2" max="2" width="17.09765625" bestFit="1" customWidth="1"/>
    <col min="3" max="3" width="16.3984375" customWidth="1"/>
    <col min="4" max="4" width="9.8984375" customWidth="1"/>
    <col min="5" max="5" width="11.3984375" customWidth="1"/>
    <col min="6" max="6" width="27.5" customWidth="1"/>
    <col min="7" max="7" width="21.59765625" customWidth="1"/>
    <col min="8" max="8" width="22.69921875" customWidth="1"/>
    <col min="9" max="9" width="15.3984375" customWidth="1"/>
    <col min="10" max="10" width="10.69921875" style="21"/>
    <col min="11" max="11" width="30" customWidth="1"/>
    <col min="12" max="12" width="8.3984375" customWidth="1"/>
    <col min="13" max="13" width="10.3984375" customWidth="1"/>
    <col min="14" max="14" width="16.19921875" customWidth="1"/>
  </cols>
  <sheetData>
    <row r="1" spans="1:18" x14ac:dyDescent="0.3">
      <c r="A1" s="13" t="s">
        <v>108</v>
      </c>
      <c r="F1" s="6"/>
      <c r="K1" t="s">
        <v>135</v>
      </c>
    </row>
    <row r="2" spans="1:18" x14ac:dyDescent="0.3">
      <c r="A2" t="s">
        <v>101</v>
      </c>
      <c r="B2" t="s">
        <v>102</v>
      </c>
      <c r="C2" t="s">
        <v>103</v>
      </c>
      <c r="D2" t="s">
        <v>92</v>
      </c>
      <c r="E2" t="s">
        <v>93</v>
      </c>
      <c r="F2" t="s">
        <v>80</v>
      </c>
      <c r="G2" t="s">
        <v>79</v>
      </c>
      <c r="H2" t="s">
        <v>81</v>
      </c>
      <c r="I2" t="s">
        <v>82</v>
      </c>
      <c r="K2" t="s">
        <v>101</v>
      </c>
      <c r="L2" t="s">
        <v>112</v>
      </c>
      <c r="M2" t="s">
        <v>114</v>
      </c>
      <c r="N2" t="s">
        <v>117</v>
      </c>
      <c r="O2" t="s">
        <v>115</v>
      </c>
      <c r="P2" t="s">
        <v>116</v>
      </c>
    </row>
    <row r="3" spans="1:18" x14ac:dyDescent="0.3">
      <c r="A3" t="s">
        <v>90</v>
      </c>
      <c r="B3">
        <v>18</v>
      </c>
      <c r="C3">
        <v>36</v>
      </c>
      <c r="D3" s="6">
        <v>1</v>
      </c>
      <c r="E3" s="6">
        <v>1</v>
      </c>
      <c r="F3">
        <v>315</v>
      </c>
      <c r="G3">
        <v>12</v>
      </c>
      <c r="H3">
        <v>11</v>
      </c>
      <c r="I3">
        <v>6</v>
      </c>
      <c r="K3" t="s">
        <v>90</v>
      </c>
      <c r="L3" t="s">
        <v>113</v>
      </c>
      <c r="M3" t="s">
        <v>113</v>
      </c>
      <c r="N3" t="s">
        <v>118</v>
      </c>
      <c r="O3" s="4">
        <f>+F45</f>
        <v>1341.7612275347926</v>
      </c>
      <c r="P3">
        <v>4.4000000000000004</v>
      </c>
    </row>
    <row r="4" spans="1:18" x14ac:dyDescent="0.3">
      <c r="A4" t="s">
        <v>90</v>
      </c>
      <c r="B4">
        <v>18</v>
      </c>
      <c r="C4">
        <v>36</v>
      </c>
      <c r="D4" s="6">
        <v>1</v>
      </c>
      <c r="E4" s="6">
        <v>2</v>
      </c>
      <c r="F4">
        <v>352</v>
      </c>
      <c r="G4">
        <v>8</v>
      </c>
      <c r="H4">
        <v>6</v>
      </c>
      <c r="I4">
        <v>8</v>
      </c>
      <c r="K4" t="s">
        <v>90</v>
      </c>
      <c r="L4" t="s">
        <v>113</v>
      </c>
      <c r="M4" t="s">
        <v>113</v>
      </c>
      <c r="O4" s="4">
        <f>+F46</f>
        <v>1466.6741451609396</v>
      </c>
      <c r="P4">
        <v>4.5</v>
      </c>
    </row>
    <row r="5" spans="1:18" x14ac:dyDescent="0.3">
      <c r="A5" t="s">
        <v>90</v>
      </c>
      <c r="B5">
        <v>18</v>
      </c>
      <c r="C5">
        <v>36</v>
      </c>
      <c r="D5" s="6">
        <v>1</v>
      </c>
      <c r="E5" s="6">
        <v>3</v>
      </c>
      <c r="F5">
        <v>289</v>
      </c>
      <c r="G5">
        <v>10</v>
      </c>
      <c r="H5">
        <v>7</v>
      </c>
      <c r="I5">
        <v>5</v>
      </c>
      <c r="K5" t="s">
        <v>90</v>
      </c>
      <c r="L5" t="s">
        <v>113</v>
      </c>
      <c r="M5" t="s">
        <v>113</v>
      </c>
      <c r="O5" s="4">
        <f>+F47</f>
        <v>1469.4811770177068</v>
      </c>
      <c r="P5">
        <v>4.5999999999999996</v>
      </c>
      <c r="R5" s="6"/>
    </row>
    <row r="6" spans="1:18" x14ac:dyDescent="0.3">
      <c r="A6" t="s">
        <v>90</v>
      </c>
      <c r="B6">
        <v>18</v>
      </c>
      <c r="C6">
        <v>36</v>
      </c>
      <c r="D6" s="6">
        <v>2</v>
      </c>
      <c r="E6" s="6">
        <v>1</v>
      </c>
      <c r="F6">
        <v>315</v>
      </c>
      <c r="G6">
        <v>8</v>
      </c>
      <c r="H6">
        <v>8</v>
      </c>
      <c r="I6">
        <v>9</v>
      </c>
      <c r="K6" t="s">
        <v>90</v>
      </c>
      <c r="L6" t="s">
        <v>113</v>
      </c>
      <c r="N6" t="s">
        <v>120</v>
      </c>
      <c r="O6" s="4">
        <f>+G45</f>
        <v>42.105477851510223</v>
      </c>
      <c r="P6">
        <v>5.4</v>
      </c>
      <c r="R6" s="6"/>
    </row>
    <row r="7" spans="1:18" x14ac:dyDescent="0.3">
      <c r="A7" t="s">
        <v>90</v>
      </c>
      <c r="B7">
        <v>18</v>
      </c>
      <c r="C7">
        <v>36</v>
      </c>
      <c r="D7" s="6">
        <v>2</v>
      </c>
      <c r="E7" s="6">
        <v>2</v>
      </c>
      <c r="F7">
        <v>352</v>
      </c>
      <c r="G7">
        <v>5</v>
      </c>
      <c r="H7">
        <v>6</v>
      </c>
      <c r="I7">
        <v>11</v>
      </c>
      <c r="K7" t="s">
        <v>90</v>
      </c>
      <c r="L7" t="s">
        <v>113</v>
      </c>
      <c r="O7" s="4">
        <f>+G46</f>
        <v>26.666802639289813</v>
      </c>
      <c r="P7">
        <v>5.5</v>
      </c>
    </row>
    <row r="8" spans="1:18" x14ac:dyDescent="0.3">
      <c r="A8" t="s">
        <v>90</v>
      </c>
      <c r="B8">
        <v>18</v>
      </c>
      <c r="C8">
        <v>36</v>
      </c>
      <c r="D8" s="6">
        <v>2</v>
      </c>
      <c r="E8" s="6">
        <v>3</v>
      </c>
      <c r="F8">
        <v>378</v>
      </c>
      <c r="G8">
        <v>6</v>
      </c>
      <c r="H8">
        <v>13</v>
      </c>
      <c r="I8">
        <v>4</v>
      </c>
      <c r="K8" t="s">
        <v>90</v>
      </c>
      <c r="L8" t="s">
        <v>113</v>
      </c>
      <c r="O8" s="4">
        <f>+G47</f>
        <v>70.175796419183712</v>
      </c>
      <c r="P8">
        <v>5.6</v>
      </c>
    </row>
    <row r="9" spans="1:18" x14ac:dyDescent="0.3">
      <c r="A9" t="s">
        <v>90</v>
      </c>
      <c r="B9">
        <v>18</v>
      </c>
      <c r="C9">
        <v>36</v>
      </c>
      <c r="D9" s="6">
        <v>3</v>
      </c>
      <c r="E9" s="6">
        <v>1</v>
      </c>
      <c r="F9">
        <v>315</v>
      </c>
      <c r="G9">
        <v>15</v>
      </c>
      <c r="H9">
        <v>12</v>
      </c>
      <c r="I9">
        <v>5</v>
      </c>
      <c r="K9" t="s">
        <v>90</v>
      </c>
      <c r="M9" t="s">
        <v>113</v>
      </c>
      <c r="N9" t="s">
        <v>122</v>
      </c>
      <c r="O9" s="4">
        <f>+H45</f>
        <v>33.68438228120818</v>
      </c>
      <c r="P9">
        <v>6.4</v>
      </c>
    </row>
    <row r="10" spans="1:18" x14ac:dyDescent="0.3">
      <c r="A10" t="s">
        <v>90</v>
      </c>
      <c r="B10">
        <v>18</v>
      </c>
      <c r="C10">
        <v>36</v>
      </c>
      <c r="D10" s="6">
        <v>3</v>
      </c>
      <c r="E10" s="6">
        <v>2</v>
      </c>
      <c r="F10">
        <v>398</v>
      </c>
      <c r="G10">
        <v>14</v>
      </c>
      <c r="H10">
        <v>4</v>
      </c>
      <c r="I10">
        <v>4</v>
      </c>
      <c r="K10" t="s">
        <v>90</v>
      </c>
      <c r="M10" t="s">
        <v>113</v>
      </c>
      <c r="O10" s="4">
        <f>+H46</f>
        <v>37.894930066359201</v>
      </c>
      <c r="P10">
        <v>6.5</v>
      </c>
    </row>
    <row r="11" spans="1:18" x14ac:dyDescent="0.3">
      <c r="A11" t="s">
        <v>90</v>
      </c>
      <c r="B11">
        <v>18</v>
      </c>
      <c r="C11">
        <v>36</v>
      </c>
      <c r="D11" s="6">
        <v>3</v>
      </c>
      <c r="E11" s="6">
        <v>3</v>
      </c>
      <c r="F11">
        <v>334</v>
      </c>
      <c r="G11">
        <v>21</v>
      </c>
      <c r="H11">
        <v>9</v>
      </c>
      <c r="I11">
        <v>11</v>
      </c>
      <c r="K11" t="s">
        <v>90</v>
      </c>
      <c r="M11" t="s">
        <v>113</v>
      </c>
      <c r="O11" s="4">
        <f>+H47</f>
        <v>35.087898209591856</v>
      </c>
      <c r="P11">
        <v>6.6</v>
      </c>
    </row>
    <row r="12" spans="1:18" x14ac:dyDescent="0.3">
      <c r="A12" t="s">
        <v>91</v>
      </c>
      <c r="B12">
        <v>1</v>
      </c>
      <c r="C12">
        <v>5</v>
      </c>
      <c r="D12" s="6">
        <v>1</v>
      </c>
      <c r="E12" s="6">
        <v>1</v>
      </c>
      <c r="F12">
        <f>(64/3)*7*9</f>
        <v>1343.9999999999998</v>
      </c>
      <c r="G12">
        <v>16</v>
      </c>
      <c r="H12">
        <f>(56/3)*7*9</f>
        <v>1176.0000000000002</v>
      </c>
      <c r="I12">
        <f>(6/3)*9*7</f>
        <v>126</v>
      </c>
      <c r="K12" t="s">
        <v>90</v>
      </c>
      <c r="N12" t="s">
        <v>124</v>
      </c>
      <c r="O12" s="4">
        <f>+I45</f>
        <v>26.666802639289809</v>
      </c>
      <c r="P12">
        <v>7.4</v>
      </c>
    </row>
    <row r="13" spans="1:18" x14ac:dyDescent="0.3">
      <c r="A13" t="s">
        <v>91</v>
      </c>
      <c r="B13">
        <v>1</v>
      </c>
      <c r="C13">
        <v>5</v>
      </c>
      <c r="D13" s="6">
        <v>1</v>
      </c>
      <c r="E13" s="6">
        <v>2</v>
      </c>
      <c r="F13">
        <f>(71/3)*7*9</f>
        <v>1491.0000000000002</v>
      </c>
      <c r="G13">
        <v>45</v>
      </c>
      <c r="H13">
        <f>(56/3)*7*9</f>
        <v>1176.0000000000002</v>
      </c>
      <c r="I13">
        <f>(2/3)*9*7</f>
        <v>42</v>
      </c>
      <c r="K13" t="s">
        <v>90</v>
      </c>
      <c r="O13" s="4">
        <f>+I46</f>
        <v>33.68438228120818</v>
      </c>
      <c r="P13">
        <v>7.5</v>
      </c>
    </row>
    <row r="14" spans="1:18" x14ac:dyDescent="0.3">
      <c r="A14" t="s">
        <v>91</v>
      </c>
      <c r="B14">
        <v>1</v>
      </c>
      <c r="C14">
        <v>5</v>
      </c>
      <c r="D14" s="6">
        <v>1</v>
      </c>
      <c r="E14" s="6">
        <v>3</v>
      </c>
      <c r="F14">
        <f>(68/3)*7*9</f>
        <v>1428.0000000000002</v>
      </c>
      <c r="G14">
        <v>31</v>
      </c>
      <c r="H14">
        <f>(66/3)*7*9</f>
        <v>1386</v>
      </c>
      <c r="I14">
        <v>3</v>
      </c>
      <c r="K14" t="s">
        <v>90</v>
      </c>
      <c r="O14" s="4">
        <f>+I47</f>
        <v>28.070318567673482</v>
      </c>
      <c r="P14">
        <v>7.6</v>
      </c>
    </row>
    <row r="15" spans="1:18" x14ac:dyDescent="0.3">
      <c r="A15" t="s">
        <v>91</v>
      </c>
      <c r="B15">
        <v>1</v>
      </c>
      <c r="C15">
        <v>5</v>
      </c>
      <c r="D15" s="6">
        <v>2</v>
      </c>
      <c r="E15" s="6">
        <v>1</v>
      </c>
      <c r="F15">
        <f>(73/3)*7*9</f>
        <v>1532.9999999999998</v>
      </c>
      <c r="G15">
        <f>(1/3)*7*9</f>
        <v>20.999999999999996</v>
      </c>
      <c r="H15">
        <f>(67/3)*9*7</f>
        <v>1407</v>
      </c>
      <c r="I15">
        <v>18</v>
      </c>
      <c r="K15" t="s">
        <v>91</v>
      </c>
      <c r="L15" t="s">
        <v>113</v>
      </c>
      <c r="M15" t="s">
        <v>113</v>
      </c>
      <c r="N15" t="s">
        <v>119</v>
      </c>
      <c r="O15" s="4">
        <f>+F48</f>
        <v>5983.188402699604</v>
      </c>
      <c r="P15">
        <v>0.4</v>
      </c>
    </row>
    <row r="16" spans="1:18" x14ac:dyDescent="0.3">
      <c r="A16" t="s">
        <v>91</v>
      </c>
      <c r="B16">
        <v>1</v>
      </c>
      <c r="C16">
        <v>5</v>
      </c>
      <c r="D16" s="6">
        <v>2</v>
      </c>
      <c r="E16" s="6">
        <v>2</v>
      </c>
      <c r="F16">
        <f>(67/3)*7*9</f>
        <v>1406.9999999999998</v>
      </c>
      <c r="G16">
        <v>17</v>
      </c>
      <c r="H16">
        <f>(51/3)*7*9</f>
        <v>1071</v>
      </c>
      <c r="I16">
        <f>(4/3)*7*9</f>
        <v>83.999999999999986</v>
      </c>
      <c r="K16" t="s">
        <v>91</v>
      </c>
      <c r="L16" t="s">
        <v>113</v>
      </c>
      <c r="M16" t="s">
        <v>113</v>
      </c>
      <c r="O16" s="4">
        <f>+F49</f>
        <v>6042.1360716917161</v>
      </c>
      <c r="P16">
        <v>0.5</v>
      </c>
    </row>
    <row r="17" spans="1:23" x14ac:dyDescent="0.3">
      <c r="A17" t="s">
        <v>91</v>
      </c>
      <c r="B17">
        <v>1</v>
      </c>
      <c r="C17">
        <v>5</v>
      </c>
      <c r="D17" s="6">
        <v>2</v>
      </c>
      <c r="E17" s="6">
        <v>3</v>
      </c>
      <c r="F17">
        <f>(65/3)*7*9</f>
        <v>1365.0000000000002</v>
      </c>
      <c r="G17">
        <v>19</v>
      </c>
      <c r="H17">
        <f>(62/3)*7*9</f>
        <v>1302.0000000000002</v>
      </c>
      <c r="I17">
        <v>23</v>
      </c>
      <c r="K17" t="s">
        <v>91</v>
      </c>
      <c r="L17" t="s">
        <v>113</v>
      </c>
      <c r="M17" t="s">
        <v>113</v>
      </c>
      <c r="O17" s="4">
        <f>+F50</f>
        <v>6720.0342651010315</v>
      </c>
      <c r="P17">
        <v>0.6</v>
      </c>
    </row>
    <row r="18" spans="1:23" x14ac:dyDescent="0.3">
      <c r="A18" t="s">
        <v>91</v>
      </c>
      <c r="B18">
        <v>1</v>
      </c>
      <c r="C18">
        <v>5</v>
      </c>
      <c r="D18" s="6">
        <v>3</v>
      </c>
      <c r="E18" s="6">
        <v>1</v>
      </c>
      <c r="F18">
        <f>(76/3)*7*9</f>
        <v>1595.9999999999998</v>
      </c>
      <c r="G18">
        <v>53</v>
      </c>
      <c r="H18">
        <f>(58/3)*6*9</f>
        <v>1044</v>
      </c>
      <c r="I18">
        <v>12</v>
      </c>
      <c r="K18" t="s">
        <v>91</v>
      </c>
      <c r="L18" t="s">
        <v>113</v>
      </c>
      <c r="N18" t="s">
        <v>121</v>
      </c>
      <c r="O18" s="4">
        <f>+G48</f>
        <v>129.12346541129801</v>
      </c>
      <c r="P18">
        <v>1.4</v>
      </c>
    </row>
    <row r="19" spans="1:23" x14ac:dyDescent="0.3">
      <c r="A19" t="s">
        <v>91</v>
      </c>
      <c r="B19">
        <v>1</v>
      </c>
      <c r="C19">
        <v>5</v>
      </c>
      <c r="D19" s="6">
        <v>3</v>
      </c>
      <c r="E19" s="6">
        <v>2</v>
      </c>
      <c r="F19">
        <f>(69/3)*7*9</f>
        <v>1449</v>
      </c>
      <c r="G19">
        <v>27</v>
      </c>
      <c r="H19">
        <f>(55/3)*7*9</f>
        <v>1154.9999999999998</v>
      </c>
      <c r="I19">
        <v>8</v>
      </c>
      <c r="K19" t="s">
        <v>91</v>
      </c>
      <c r="L19" t="s">
        <v>113</v>
      </c>
      <c r="O19" s="4">
        <f>+G49</f>
        <v>80.000407917869424</v>
      </c>
      <c r="P19">
        <v>1.5</v>
      </c>
    </row>
    <row r="20" spans="1:23" x14ac:dyDescent="0.3">
      <c r="A20" t="s">
        <v>91</v>
      </c>
      <c r="B20">
        <v>1</v>
      </c>
      <c r="C20">
        <v>5</v>
      </c>
      <c r="D20" s="6">
        <v>3</v>
      </c>
      <c r="E20" s="6">
        <v>3</v>
      </c>
      <c r="F20">
        <f>(83/3)*7*9</f>
        <v>1743.0000000000002</v>
      </c>
      <c r="G20">
        <v>43</v>
      </c>
      <c r="H20">
        <f>(64/3)*7*9</f>
        <v>1343.9999999999998</v>
      </c>
      <c r="I20" s="1">
        <v>14</v>
      </c>
      <c r="K20" t="s">
        <v>91</v>
      </c>
      <c r="L20" t="s">
        <v>113</v>
      </c>
      <c r="O20" s="4">
        <f>+G50</f>
        <v>172.63245919119194</v>
      </c>
      <c r="P20">
        <v>1.6</v>
      </c>
    </row>
    <row r="21" spans="1:23" x14ac:dyDescent="0.3">
      <c r="K21" t="s">
        <v>91</v>
      </c>
      <c r="M21" t="s">
        <v>113</v>
      </c>
      <c r="N21" t="s">
        <v>123</v>
      </c>
      <c r="O21" s="4">
        <f>+H48</f>
        <v>5246.3425402981748</v>
      </c>
      <c r="P21">
        <v>2.4</v>
      </c>
    </row>
    <row r="22" spans="1:23" x14ac:dyDescent="0.3">
      <c r="A22" s="13" t="s">
        <v>104</v>
      </c>
      <c r="C22" s="7" t="s">
        <v>94</v>
      </c>
      <c r="D22" s="14">
        <f>(1/(0.5627*0.42207))</f>
        <v>4.2105477851510225</v>
      </c>
      <c r="K22" t="s">
        <v>91</v>
      </c>
      <c r="M22" t="s">
        <v>113</v>
      </c>
      <c r="O22" s="4">
        <f>+H49</f>
        <v>5305.2902092902887</v>
      </c>
      <c r="P22">
        <v>2.5</v>
      </c>
    </row>
    <row r="23" spans="1:23" x14ac:dyDescent="0.3">
      <c r="A23" t="s">
        <v>101</v>
      </c>
      <c r="B23" t="s">
        <v>102</v>
      </c>
      <c r="C23" t="s">
        <v>103</v>
      </c>
      <c r="D23" t="s">
        <v>92</v>
      </c>
      <c r="E23" t="s">
        <v>93</v>
      </c>
      <c r="F23" t="s">
        <v>80</v>
      </c>
      <c r="G23" t="s">
        <v>79</v>
      </c>
      <c r="H23" t="s">
        <v>81</v>
      </c>
      <c r="I23" t="s">
        <v>82</v>
      </c>
      <c r="K23" t="s">
        <v>91</v>
      </c>
      <c r="M23" t="s">
        <v>113</v>
      </c>
      <c r="O23" s="4">
        <f>+H50</f>
        <v>4972.6569342633566</v>
      </c>
      <c r="P23">
        <v>2.6</v>
      </c>
    </row>
    <row r="24" spans="1:23" x14ac:dyDescent="0.3">
      <c r="A24" t="s">
        <v>90</v>
      </c>
      <c r="B24">
        <v>18</v>
      </c>
      <c r="C24">
        <v>36</v>
      </c>
      <c r="D24" s="6">
        <v>1</v>
      </c>
      <c r="E24" s="6">
        <v>1</v>
      </c>
      <c r="F24" s="4">
        <f t="shared" ref="F24:I41" si="0">+F3*$D$22</f>
        <v>1326.3225523225722</v>
      </c>
      <c r="G24" s="4">
        <f t="shared" si="0"/>
        <v>50.526573421812273</v>
      </c>
      <c r="H24" s="4">
        <f t="shared" si="0"/>
        <v>46.316025636661244</v>
      </c>
      <c r="I24" s="4">
        <f t="shared" si="0"/>
        <v>25.263286710906137</v>
      </c>
      <c r="K24" t="s">
        <v>91</v>
      </c>
      <c r="N24" t="s">
        <v>125</v>
      </c>
      <c r="O24" s="4">
        <f>+I48</f>
        <v>240.00122375360829</v>
      </c>
      <c r="P24">
        <v>3.4</v>
      </c>
    </row>
    <row r="25" spans="1:23" x14ac:dyDescent="0.3">
      <c r="A25" t="s">
        <v>90</v>
      </c>
      <c r="B25">
        <v>18</v>
      </c>
      <c r="C25">
        <v>36</v>
      </c>
      <c r="D25" s="6">
        <v>1</v>
      </c>
      <c r="E25" s="6">
        <v>2</v>
      </c>
      <c r="F25" s="4">
        <f t="shared" si="0"/>
        <v>1482.1128203731598</v>
      </c>
      <c r="G25" s="4">
        <f t="shared" si="0"/>
        <v>33.68438228120818</v>
      </c>
      <c r="H25" s="4">
        <f t="shared" si="0"/>
        <v>25.263286710906137</v>
      </c>
      <c r="I25" s="4">
        <f t="shared" si="0"/>
        <v>33.68438228120818</v>
      </c>
      <c r="K25" t="s">
        <v>91</v>
      </c>
      <c r="O25" s="4">
        <f>+I49</f>
        <v>175.43949104795922</v>
      </c>
      <c r="P25">
        <v>3.5</v>
      </c>
    </row>
    <row r="26" spans="1:23" x14ac:dyDescent="0.3">
      <c r="A26" t="s">
        <v>90</v>
      </c>
      <c r="B26">
        <v>18</v>
      </c>
      <c r="C26">
        <v>36</v>
      </c>
      <c r="D26" s="6">
        <v>1</v>
      </c>
      <c r="E26" s="6">
        <v>3</v>
      </c>
      <c r="F26" s="4">
        <f t="shared" si="0"/>
        <v>1216.8483099086454</v>
      </c>
      <c r="G26" s="4">
        <f t="shared" si="0"/>
        <v>42.105477851510223</v>
      </c>
      <c r="H26" s="4">
        <f t="shared" si="0"/>
        <v>29.473834496057158</v>
      </c>
      <c r="I26" s="4">
        <f t="shared" si="0"/>
        <v>21.052738925755111</v>
      </c>
      <c r="K26" t="s">
        <v>91</v>
      </c>
      <c r="O26" s="4">
        <f>+I50</f>
        <v>47.719541565044928</v>
      </c>
      <c r="P26">
        <v>3.6</v>
      </c>
      <c r="W26">
        <v>0.4</v>
      </c>
    </row>
    <row r="27" spans="1:23" x14ac:dyDescent="0.3">
      <c r="A27" t="s">
        <v>90</v>
      </c>
      <c r="B27">
        <v>18</v>
      </c>
      <c r="C27">
        <v>36</v>
      </c>
      <c r="D27" s="6">
        <v>2</v>
      </c>
      <c r="E27" s="6">
        <v>1</v>
      </c>
      <c r="F27" s="4">
        <f t="shared" si="0"/>
        <v>1326.3225523225722</v>
      </c>
      <c r="G27" s="4">
        <f t="shared" si="0"/>
        <v>33.68438228120818</v>
      </c>
      <c r="H27" s="4">
        <f t="shared" si="0"/>
        <v>33.68438228120818</v>
      </c>
      <c r="I27" s="4">
        <f t="shared" si="0"/>
        <v>37.894930066359201</v>
      </c>
      <c r="W27">
        <v>0.5</v>
      </c>
    </row>
    <row r="28" spans="1:23" x14ac:dyDescent="0.3">
      <c r="A28" t="s">
        <v>90</v>
      </c>
      <c r="B28">
        <v>18</v>
      </c>
      <c r="C28">
        <v>36</v>
      </c>
      <c r="D28" s="6">
        <v>2</v>
      </c>
      <c r="E28" s="6">
        <v>2</v>
      </c>
      <c r="F28" s="4">
        <f t="shared" si="0"/>
        <v>1482.1128203731598</v>
      </c>
      <c r="G28" s="4">
        <f t="shared" si="0"/>
        <v>21.052738925755111</v>
      </c>
      <c r="H28" s="4">
        <f t="shared" si="0"/>
        <v>25.263286710906137</v>
      </c>
      <c r="I28" s="4">
        <f t="shared" si="0"/>
        <v>46.316025636661244</v>
      </c>
      <c r="K28" t="s">
        <v>134</v>
      </c>
      <c r="N28" t="s">
        <v>126</v>
      </c>
      <c r="O28" s="4">
        <f>+F54</f>
        <v>1425.9721832378129</v>
      </c>
      <c r="P28">
        <v>4.5</v>
      </c>
      <c r="Q28" s="22">
        <f>+O28/O32</f>
        <v>0.22821203953279423</v>
      </c>
      <c r="R28" t="s">
        <v>141</v>
      </c>
      <c r="W28">
        <v>0.6</v>
      </c>
    </row>
    <row r="29" spans="1:23" x14ac:dyDescent="0.3">
      <c r="A29" t="s">
        <v>90</v>
      </c>
      <c r="B29">
        <v>18</v>
      </c>
      <c r="C29">
        <v>36</v>
      </c>
      <c r="D29" s="6">
        <v>2</v>
      </c>
      <c r="E29" s="6">
        <v>3</v>
      </c>
      <c r="F29" s="4">
        <f t="shared" si="0"/>
        <v>1591.5870627870866</v>
      </c>
      <c r="G29" s="4">
        <f t="shared" si="0"/>
        <v>25.263286710906137</v>
      </c>
      <c r="H29" s="4">
        <f t="shared" si="0"/>
        <v>54.737121206963295</v>
      </c>
      <c r="I29" s="4">
        <f t="shared" si="0"/>
        <v>16.84219114060409</v>
      </c>
      <c r="K29" t="s">
        <v>134</v>
      </c>
      <c r="N29" t="s">
        <v>128</v>
      </c>
      <c r="O29" s="4">
        <f>+G54</f>
        <v>46.316025636661244</v>
      </c>
      <c r="P29">
        <v>5.5</v>
      </c>
      <c r="Q29" s="22"/>
      <c r="W29">
        <v>1.4</v>
      </c>
    </row>
    <row r="30" spans="1:23" x14ac:dyDescent="0.3">
      <c r="A30" t="s">
        <v>90</v>
      </c>
      <c r="B30">
        <v>18</v>
      </c>
      <c r="C30">
        <v>36</v>
      </c>
      <c r="D30" s="6">
        <v>3</v>
      </c>
      <c r="E30" s="6">
        <v>1</v>
      </c>
      <c r="F30" s="4">
        <f t="shared" si="0"/>
        <v>1326.3225523225722</v>
      </c>
      <c r="G30" s="4">
        <f t="shared" si="0"/>
        <v>63.158216777265338</v>
      </c>
      <c r="H30" s="4">
        <f t="shared" si="0"/>
        <v>50.526573421812273</v>
      </c>
      <c r="I30" s="4">
        <f t="shared" si="0"/>
        <v>21.052738925755111</v>
      </c>
      <c r="K30" t="s">
        <v>134</v>
      </c>
      <c r="N30" t="s">
        <v>127</v>
      </c>
      <c r="O30" s="4">
        <f>+H54</f>
        <v>35.55573685238641</v>
      </c>
      <c r="P30">
        <v>6.5</v>
      </c>
      <c r="Q30" s="22"/>
      <c r="W30">
        <v>1.5</v>
      </c>
    </row>
    <row r="31" spans="1:23" x14ac:dyDescent="0.3">
      <c r="A31" t="s">
        <v>90</v>
      </c>
      <c r="B31">
        <v>18</v>
      </c>
      <c r="C31">
        <v>36</v>
      </c>
      <c r="D31" s="6">
        <v>3</v>
      </c>
      <c r="E31" s="6">
        <v>2</v>
      </c>
      <c r="F31" s="4">
        <f t="shared" si="0"/>
        <v>1675.7980184901069</v>
      </c>
      <c r="G31" s="4">
        <f t="shared" si="0"/>
        <v>58.947668992114316</v>
      </c>
      <c r="H31" s="4">
        <f t="shared" si="0"/>
        <v>16.84219114060409</v>
      </c>
      <c r="I31" s="4">
        <f t="shared" si="0"/>
        <v>16.84219114060409</v>
      </c>
      <c r="K31" t="s">
        <v>134</v>
      </c>
      <c r="N31" t="s">
        <v>129</v>
      </c>
      <c r="O31" s="4">
        <f>+I54</f>
        <v>29.473834496057155</v>
      </c>
      <c r="P31">
        <v>7.5</v>
      </c>
      <c r="Q31" s="22"/>
      <c r="W31">
        <v>1.6</v>
      </c>
    </row>
    <row r="32" spans="1:23" x14ac:dyDescent="0.3">
      <c r="A32" t="s">
        <v>90</v>
      </c>
      <c r="B32">
        <v>18</v>
      </c>
      <c r="C32">
        <v>36</v>
      </c>
      <c r="D32" s="6">
        <v>3</v>
      </c>
      <c r="E32" s="6">
        <v>3</v>
      </c>
      <c r="F32" s="4">
        <f t="shared" si="0"/>
        <v>1406.3229602404415</v>
      </c>
      <c r="G32" s="4">
        <f t="shared" si="0"/>
        <v>88.421503488171467</v>
      </c>
      <c r="H32" s="4">
        <f t="shared" si="0"/>
        <v>37.894930066359201</v>
      </c>
      <c r="I32" s="4">
        <f t="shared" si="0"/>
        <v>46.316025636661244</v>
      </c>
      <c r="K32" t="s">
        <v>134</v>
      </c>
      <c r="N32" t="s">
        <v>133</v>
      </c>
      <c r="O32" s="4">
        <f>+F55</f>
        <v>6248.4529131641175</v>
      </c>
      <c r="P32">
        <v>0.5</v>
      </c>
      <c r="Q32" s="22">
        <f>+(O32-O34)/O34</f>
        <v>0.20748576078112282</v>
      </c>
      <c r="R32" t="s">
        <v>140</v>
      </c>
      <c r="W32">
        <v>2.4</v>
      </c>
    </row>
    <row r="33" spans="1:23" x14ac:dyDescent="0.3">
      <c r="A33" t="s">
        <v>91</v>
      </c>
      <c r="B33">
        <v>1</v>
      </c>
      <c r="C33">
        <v>5</v>
      </c>
      <c r="D33" s="6">
        <v>1</v>
      </c>
      <c r="E33" s="6">
        <v>1</v>
      </c>
      <c r="F33" s="4">
        <f t="shared" si="0"/>
        <v>5658.976223242973</v>
      </c>
      <c r="G33" s="4">
        <f t="shared" si="0"/>
        <v>67.368764562416359</v>
      </c>
      <c r="H33" s="4">
        <f t="shared" si="0"/>
        <v>4951.6041953376034</v>
      </c>
      <c r="I33" s="4">
        <f t="shared" si="0"/>
        <v>530.52902092902877</v>
      </c>
      <c r="K33" t="s">
        <v>134</v>
      </c>
      <c r="N33" t="s">
        <v>132</v>
      </c>
      <c r="O33" s="4">
        <f>+G55</f>
        <v>127.25211084011978</v>
      </c>
      <c r="P33">
        <v>1.5</v>
      </c>
      <c r="Q33" s="22"/>
      <c r="W33">
        <v>2.5</v>
      </c>
    </row>
    <row r="34" spans="1:23" x14ac:dyDescent="0.3">
      <c r="A34" t="s">
        <v>91</v>
      </c>
      <c r="B34">
        <v>1</v>
      </c>
      <c r="C34">
        <v>5</v>
      </c>
      <c r="D34" s="6">
        <v>1</v>
      </c>
      <c r="E34" s="6">
        <v>2</v>
      </c>
      <c r="F34" s="4">
        <f t="shared" si="0"/>
        <v>6277.9267476601754</v>
      </c>
      <c r="G34" s="4">
        <f t="shared" si="0"/>
        <v>189.474650331796</v>
      </c>
      <c r="H34" s="4">
        <f t="shared" si="0"/>
        <v>4951.6041953376034</v>
      </c>
      <c r="I34" s="4">
        <f t="shared" si="0"/>
        <v>176.84300697634293</v>
      </c>
      <c r="K34" t="s">
        <v>134</v>
      </c>
      <c r="N34" t="s">
        <v>130</v>
      </c>
      <c r="O34" s="4">
        <f>+H55</f>
        <v>5174.763227950607</v>
      </c>
      <c r="P34">
        <v>2.5</v>
      </c>
      <c r="Q34" s="22"/>
      <c r="R34">
        <v>0.5</v>
      </c>
      <c r="W34">
        <v>2.6</v>
      </c>
    </row>
    <row r="35" spans="1:23" x14ac:dyDescent="0.3">
      <c r="A35" t="s">
        <v>91</v>
      </c>
      <c r="B35">
        <v>1</v>
      </c>
      <c r="C35">
        <v>5</v>
      </c>
      <c r="D35" s="6">
        <v>1</v>
      </c>
      <c r="E35" s="6">
        <v>3</v>
      </c>
      <c r="F35" s="4">
        <f t="shared" si="0"/>
        <v>6012.662237195661</v>
      </c>
      <c r="G35" s="4">
        <f t="shared" si="0"/>
        <v>130.5269813396817</v>
      </c>
      <c r="H35" s="4">
        <f t="shared" si="0"/>
        <v>5835.8192302193174</v>
      </c>
      <c r="I35" s="4">
        <f t="shared" si="0"/>
        <v>12.631643355453068</v>
      </c>
      <c r="K35" t="s">
        <v>134</v>
      </c>
      <c r="N35" t="s">
        <v>131</v>
      </c>
      <c r="O35" s="4">
        <f>+I55</f>
        <v>154.38675212220417</v>
      </c>
      <c r="P35">
        <v>3.5</v>
      </c>
      <c r="R35">
        <v>1.5</v>
      </c>
      <c r="W35">
        <v>3.4</v>
      </c>
    </row>
    <row r="36" spans="1:23" x14ac:dyDescent="0.3">
      <c r="A36" t="s">
        <v>91</v>
      </c>
      <c r="B36">
        <v>1</v>
      </c>
      <c r="C36">
        <v>5</v>
      </c>
      <c r="D36" s="6">
        <v>2</v>
      </c>
      <c r="E36" s="6">
        <v>1</v>
      </c>
      <c r="F36" s="4">
        <f t="shared" si="0"/>
        <v>6454.7697546365162</v>
      </c>
      <c r="G36" s="4">
        <f t="shared" si="0"/>
        <v>88.421503488171453</v>
      </c>
      <c r="H36" s="4">
        <f t="shared" si="0"/>
        <v>5924.2407337074883</v>
      </c>
      <c r="I36" s="4">
        <f t="shared" si="0"/>
        <v>75.789860132718402</v>
      </c>
      <c r="R36">
        <v>2.5</v>
      </c>
      <c r="W36">
        <v>3.5</v>
      </c>
    </row>
    <row r="37" spans="1:23" x14ac:dyDescent="0.3">
      <c r="A37" t="s">
        <v>91</v>
      </c>
      <c r="B37">
        <v>1</v>
      </c>
      <c r="C37">
        <v>5</v>
      </c>
      <c r="D37" s="6">
        <v>2</v>
      </c>
      <c r="E37" s="6">
        <v>2</v>
      </c>
      <c r="F37" s="4">
        <f t="shared" si="0"/>
        <v>5924.2407337074874</v>
      </c>
      <c r="G37" s="4">
        <f t="shared" si="0"/>
        <v>71.579312347567381</v>
      </c>
      <c r="H37" s="4">
        <f t="shared" si="0"/>
        <v>4509.4966778967455</v>
      </c>
      <c r="I37" s="4">
        <f t="shared" si="0"/>
        <v>353.68601395268581</v>
      </c>
      <c r="K37" t="s">
        <v>138</v>
      </c>
      <c r="M37" t="s">
        <v>100</v>
      </c>
      <c r="N37" t="s">
        <v>99</v>
      </c>
      <c r="R37">
        <v>3.5</v>
      </c>
      <c r="W37">
        <v>3.6</v>
      </c>
    </row>
    <row r="38" spans="1:23" x14ac:dyDescent="0.3">
      <c r="A38" t="s">
        <v>91</v>
      </c>
      <c r="B38">
        <v>1</v>
      </c>
      <c r="C38">
        <v>5</v>
      </c>
      <c r="D38" s="6">
        <v>2</v>
      </c>
      <c r="E38" s="6">
        <v>3</v>
      </c>
      <c r="F38" s="4">
        <f t="shared" si="0"/>
        <v>5747.3977267311466</v>
      </c>
      <c r="G38" s="4">
        <f t="shared" si="0"/>
        <v>80.000407917869424</v>
      </c>
      <c r="H38" s="4">
        <f t="shared" si="0"/>
        <v>5482.1332162666322</v>
      </c>
      <c r="I38" s="4">
        <f t="shared" si="0"/>
        <v>96.84259905847351</v>
      </c>
      <c r="K38" t="s">
        <v>95</v>
      </c>
      <c r="L38" t="s">
        <v>90</v>
      </c>
      <c r="M38" s="19">
        <f>+_xlfn.T.TEST(O3:O5,O6:O8,2,3)</f>
        <v>3.759520065837195E-4</v>
      </c>
      <c r="N38" s="20">
        <f>+_xlfn.T.TEST(O9:O11,O12:O14,2,3)</f>
        <v>8.5808448589671127E-2</v>
      </c>
      <c r="O38" s="20"/>
    </row>
    <row r="39" spans="1:23" x14ac:dyDescent="0.3">
      <c r="A39" t="s">
        <v>91</v>
      </c>
      <c r="B39">
        <v>1</v>
      </c>
      <c r="C39">
        <v>5</v>
      </c>
      <c r="D39" s="6">
        <v>3</v>
      </c>
      <c r="E39" s="6">
        <v>1</v>
      </c>
      <c r="F39" s="4">
        <f t="shared" si="0"/>
        <v>6720.0342651010305</v>
      </c>
      <c r="G39" s="4">
        <f t="shared" si="0"/>
        <v>223.1590326130042</v>
      </c>
      <c r="H39" s="4">
        <f t="shared" si="0"/>
        <v>4395.8118876976678</v>
      </c>
      <c r="I39" s="4">
        <f t="shared" si="0"/>
        <v>50.526573421812273</v>
      </c>
      <c r="L39" t="s">
        <v>91</v>
      </c>
      <c r="M39" s="19">
        <f>+_xlfn.T.TEST(O15:O17,O18:O20,2,3)</f>
        <v>1.3200394296429493E-3</v>
      </c>
      <c r="N39" s="19">
        <f>+_xlfn.T.TEST(O21:O23,O24:O26,2,3)</f>
        <v>2.0223129038833325E-5</v>
      </c>
      <c r="O39" s="19"/>
    </row>
    <row r="40" spans="1:23" x14ac:dyDescent="0.3">
      <c r="A40" t="s">
        <v>91</v>
      </c>
      <c r="B40">
        <v>1</v>
      </c>
      <c r="C40">
        <v>5</v>
      </c>
      <c r="D40" s="6">
        <v>3</v>
      </c>
      <c r="E40" s="6">
        <v>2</v>
      </c>
      <c r="F40" s="4">
        <f t="shared" si="0"/>
        <v>6101.0837406838318</v>
      </c>
      <c r="G40" s="4">
        <f t="shared" si="0"/>
        <v>113.68479019907761</v>
      </c>
      <c r="H40" s="4">
        <f t="shared" si="0"/>
        <v>4863.1826918494298</v>
      </c>
      <c r="I40" s="4">
        <f t="shared" si="0"/>
        <v>33.68438228120818</v>
      </c>
      <c r="M40" t="s">
        <v>97</v>
      </c>
      <c r="N40" t="s">
        <v>98</v>
      </c>
    </row>
    <row r="41" spans="1:23" x14ac:dyDescent="0.3">
      <c r="A41" t="s">
        <v>91</v>
      </c>
      <c r="B41">
        <v>1</v>
      </c>
      <c r="C41">
        <v>5</v>
      </c>
      <c r="D41" s="6">
        <v>3</v>
      </c>
      <c r="E41" s="6">
        <v>3</v>
      </c>
      <c r="F41" s="4">
        <f t="shared" si="0"/>
        <v>7338.9847895182329</v>
      </c>
      <c r="G41" s="4">
        <f t="shared" si="0"/>
        <v>181.05355476149396</v>
      </c>
      <c r="H41" s="4">
        <f t="shared" si="0"/>
        <v>5658.976223242973</v>
      </c>
      <c r="I41" s="4">
        <f t="shared" si="0"/>
        <v>58.947668992114316</v>
      </c>
      <c r="K41" t="s">
        <v>96</v>
      </c>
      <c r="L41" t="s">
        <v>90</v>
      </c>
      <c r="M41" s="19">
        <f>+_xlfn.T.TEST(O3:O5,O9:O11,2,3)</f>
        <v>9.0794071268326547E-4</v>
      </c>
      <c r="N41" s="20">
        <f>+_xlfn.T.TEST(O6:O8,O12:O14,2,3)</f>
        <v>0.31611456196352367</v>
      </c>
      <c r="O41" s="20"/>
    </row>
    <row r="42" spans="1:23" x14ac:dyDescent="0.3">
      <c r="L42" t="s">
        <v>91</v>
      </c>
      <c r="M42" s="19">
        <f>+_xlfn.T.TEST(O15:O17,O21:O23,2,3)</f>
        <v>3.0250354170303979E-2</v>
      </c>
      <c r="N42" s="20">
        <f>+_xlfn.T.TEST(O18:O20,O24:O26,2,3)</f>
        <v>0.69494214131629395</v>
      </c>
      <c r="O42" s="20"/>
    </row>
    <row r="43" spans="1:23" x14ac:dyDescent="0.3">
      <c r="A43" s="13" t="s">
        <v>109</v>
      </c>
    </row>
    <row r="44" spans="1:23" x14ac:dyDescent="0.3">
      <c r="A44" t="s">
        <v>101</v>
      </c>
      <c r="B44" t="s">
        <v>102</v>
      </c>
      <c r="C44" t="s">
        <v>103</v>
      </c>
      <c r="D44" t="s">
        <v>92</v>
      </c>
      <c r="E44" t="s">
        <v>93</v>
      </c>
      <c r="F44" t="s">
        <v>80</v>
      </c>
      <c r="G44" t="s">
        <v>79</v>
      </c>
      <c r="H44" t="s">
        <v>81</v>
      </c>
      <c r="I44" t="s">
        <v>82</v>
      </c>
      <c r="K44" t="s">
        <v>139</v>
      </c>
    </row>
    <row r="45" spans="1:23" x14ac:dyDescent="0.3">
      <c r="A45" t="s">
        <v>90</v>
      </c>
      <c r="B45">
        <v>18</v>
      </c>
      <c r="C45">
        <v>36</v>
      </c>
      <c r="D45" s="6">
        <v>1</v>
      </c>
      <c r="E45" s="6" t="s">
        <v>105</v>
      </c>
      <c r="F45" s="4">
        <f>+AVERAGE(F24:F26)</f>
        <v>1341.7612275347926</v>
      </c>
      <c r="G45" s="4">
        <f>+AVERAGE(G24:G26)</f>
        <v>42.105477851510223</v>
      </c>
      <c r="H45" s="4">
        <f>+AVERAGE(H24:H26)</f>
        <v>33.68438228120818</v>
      </c>
      <c r="I45" s="4">
        <f>+AVERAGE(I24:I26)</f>
        <v>26.666802639289809</v>
      </c>
    </row>
    <row r="46" spans="1:23" x14ac:dyDescent="0.3">
      <c r="A46" t="s">
        <v>90</v>
      </c>
      <c r="B46">
        <v>18</v>
      </c>
      <c r="C46">
        <v>36</v>
      </c>
      <c r="D46" s="6">
        <v>2</v>
      </c>
      <c r="E46" s="6" t="s">
        <v>105</v>
      </c>
      <c r="F46" s="4">
        <f>+AVERAGE(F27:F29)</f>
        <v>1466.6741451609396</v>
      </c>
      <c r="G46" s="4">
        <f>+AVERAGE(G27:G29)</f>
        <v>26.666802639289813</v>
      </c>
      <c r="H46" s="4">
        <f>+AVERAGE(H27:H29)</f>
        <v>37.894930066359201</v>
      </c>
      <c r="I46" s="4">
        <f>+AVERAGE(I27:I29)</f>
        <v>33.68438228120818</v>
      </c>
    </row>
    <row r="47" spans="1:23" x14ac:dyDescent="0.3">
      <c r="A47" t="s">
        <v>90</v>
      </c>
      <c r="B47">
        <v>18</v>
      </c>
      <c r="C47">
        <v>36</v>
      </c>
      <c r="D47" s="6">
        <v>3</v>
      </c>
      <c r="E47" s="6" t="s">
        <v>105</v>
      </c>
      <c r="F47" s="4">
        <f>+AVERAGE(F30:F32)</f>
        <v>1469.4811770177068</v>
      </c>
      <c r="G47" s="4">
        <f>+AVERAGE(G30:G32)</f>
        <v>70.175796419183712</v>
      </c>
      <c r="H47" s="4">
        <f>+AVERAGE(H30:H32)</f>
        <v>35.087898209591856</v>
      </c>
      <c r="I47" s="4">
        <f>+AVERAGE(I30:I32)</f>
        <v>28.070318567673482</v>
      </c>
    </row>
    <row r="48" spans="1:23" x14ac:dyDescent="0.3">
      <c r="A48" t="s">
        <v>91</v>
      </c>
      <c r="B48">
        <v>1</v>
      </c>
      <c r="C48">
        <v>5</v>
      </c>
      <c r="D48" s="6">
        <v>1</v>
      </c>
      <c r="E48" s="6" t="s">
        <v>105</v>
      </c>
      <c r="F48" s="4">
        <f>+AVERAGE(F33:F35)</f>
        <v>5983.188402699604</v>
      </c>
      <c r="G48" s="4">
        <f>+AVERAGE(G33:G35)</f>
        <v>129.12346541129801</v>
      </c>
      <c r="H48" s="4">
        <f>+AVERAGE(H33:H35)</f>
        <v>5246.3425402981748</v>
      </c>
      <c r="I48" s="4">
        <f>+AVERAGE(I33:I35)</f>
        <v>240.00122375360829</v>
      </c>
    </row>
    <row r="49" spans="1:15" x14ac:dyDescent="0.3">
      <c r="A49" t="s">
        <v>91</v>
      </c>
      <c r="B49">
        <v>1</v>
      </c>
      <c r="C49">
        <v>5</v>
      </c>
      <c r="D49" s="6">
        <v>2</v>
      </c>
      <c r="E49" s="6" t="s">
        <v>105</v>
      </c>
      <c r="F49" s="4">
        <f>+AVERAGE(F36:F38)</f>
        <v>6042.1360716917161</v>
      </c>
      <c r="G49" s="4">
        <f>+AVERAGE(G36:G38)</f>
        <v>80.000407917869424</v>
      </c>
      <c r="H49" s="4">
        <f>+AVERAGE(H36:H38)</f>
        <v>5305.2902092902887</v>
      </c>
      <c r="I49" s="4">
        <f>+AVERAGE(I36:I38)</f>
        <v>175.43949104795922</v>
      </c>
    </row>
    <row r="50" spans="1:15" x14ac:dyDescent="0.3">
      <c r="A50" t="s">
        <v>91</v>
      </c>
      <c r="B50">
        <v>1</v>
      </c>
      <c r="C50">
        <v>5</v>
      </c>
      <c r="D50" s="6">
        <v>3</v>
      </c>
      <c r="E50" s="6" t="s">
        <v>105</v>
      </c>
      <c r="F50" s="4">
        <f>+AVERAGE(F39:F41)</f>
        <v>6720.0342651010315</v>
      </c>
      <c r="G50" s="4">
        <f>+AVERAGE(G39:G41)</f>
        <v>172.63245919119194</v>
      </c>
      <c r="H50" s="4">
        <f>+AVERAGE(H39:H41)</f>
        <v>4972.6569342633566</v>
      </c>
      <c r="I50" s="4">
        <f>+AVERAGE(I39:I41)</f>
        <v>47.719541565044928</v>
      </c>
    </row>
    <row r="51" spans="1:15" x14ac:dyDescent="0.3">
      <c r="D51" s="6"/>
      <c r="E51" s="6"/>
      <c r="F51" s="4"/>
      <c r="G51" s="4"/>
      <c r="H51" s="4"/>
      <c r="I51" s="4"/>
    </row>
    <row r="52" spans="1:15" x14ac:dyDescent="0.3">
      <c r="A52" s="13" t="s">
        <v>107</v>
      </c>
      <c r="D52" s="6"/>
      <c r="E52" s="6"/>
      <c r="F52" s="4"/>
      <c r="G52" s="4"/>
      <c r="H52" s="4"/>
      <c r="I52" s="4"/>
    </row>
    <row r="53" spans="1:15" x14ac:dyDescent="0.3">
      <c r="A53" t="s">
        <v>101</v>
      </c>
      <c r="B53" t="s">
        <v>102</v>
      </c>
      <c r="C53" t="s">
        <v>103</v>
      </c>
      <c r="D53" t="s">
        <v>92</v>
      </c>
      <c r="E53" t="s">
        <v>93</v>
      </c>
      <c r="F53" t="s">
        <v>80</v>
      </c>
      <c r="G53" t="s">
        <v>79</v>
      </c>
      <c r="H53" t="s">
        <v>81</v>
      </c>
      <c r="I53" t="s">
        <v>82</v>
      </c>
    </row>
    <row r="54" spans="1:15" x14ac:dyDescent="0.3">
      <c r="A54" t="s">
        <v>90</v>
      </c>
      <c r="B54">
        <v>18</v>
      </c>
      <c r="C54">
        <v>36</v>
      </c>
      <c r="D54" s="6" t="s">
        <v>105</v>
      </c>
      <c r="E54" s="6"/>
      <c r="F54" s="8">
        <f>+AVERAGE(F45:F47)</f>
        <v>1425.9721832378129</v>
      </c>
      <c r="G54" s="8">
        <f>+AVERAGE(G45:G47)</f>
        <v>46.316025636661244</v>
      </c>
      <c r="H54" s="8">
        <f>+AVERAGE(H45:H47)</f>
        <v>35.55573685238641</v>
      </c>
      <c r="I54" s="8">
        <f>+AVERAGE(I45:I47)</f>
        <v>29.473834496057155</v>
      </c>
    </row>
    <row r="55" spans="1:15" x14ac:dyDescent="0.3">
      <c r="A55" t="s">
        <v>91</v>
      </c>
      <c r="B55">
        <v>1</v>
      </c>
      <c r="C55">
        <v>5</v>
      </c>
      <c r="D55" s="6" t="s">
        <v>105</v>
      </c>
      <c r="F55" s="8">
        <f>+AVERAGE(F48:F50)</f>
        <v>6248.4529131641175</v>
      </c>
      <c r="G55" s="8">
        <f>+AVERAGE(G48:G50)</f>
        <v>127.25211084011978</v>
      </c>
      <c r="H55" s="8">
        <f>+AVERAGE(H48:H50)</f>
        <v>5174.763227950607</v>
      </c>
      <c r="I55" s="8">
        <f>+AVERAGE(I48:I50)</f>
        <v>154.38675212220417</v>
      </c>
    </row>
    <row r="56" spans="1:15" x14ac:dyDescent="0.3">
      <c r="A56" t="s">
        <v>90</v>
      </c>
      <c r="B56">
        <v>18</v>
      </c>
      <c r="C56">
        <v>36</v>
      </c>
      <c r="D56" s="6" t="s">
        <v>106</v>
      </c>
      <c r="E56" s="6"/>
      <c r="F56" s="8">
        <f>+STDEV(F45:F47)</f>
        <v>72.942331003836671</v>
      </c>
      <c r="G56" s="8">
        <f t="shared" ref="G56:I56" si="1">+STDEV(G45:G47)</f>
        <v>22.057984255661086</v>
      </c>
      <c r="H56" s="8">
        <f t="shared" si="1"/>
        <v>2.1439059936314679</v>
      </c>
      <c r="I56" s="8">
        <f t="shared" si="1"/>
        <v>3.7133541076211207</v>
      </c>
    </row>
    <row r="57" spans="1:15" x14ac:dyDescent="0.3">
      <c r="A57" t="s">
        <v>91</v>
      </c>
      <c r="B57">
        <v>1</v>
      </c>
      <c r="C57">
        <v>5</v>
      </c>
      <c r="D57" s="6" t="s">
        <v>106</v>
      </c>
      <c r="F57" s="8">
        <f>+STDEV(F48:F50)</f>
        <v>409.46359489078725</v>
      </c>
      <c r="G57" s="8">
        <f t="shared" ref="G57:I57" si="2">+STDEV(G48:G50)</f>
        <v>46.344370820242744</v>
      </c>
      <c r="H57" s="8">
        <f t="shared" si="2"/>
        <v>177.49344320537224</v>
      </c>
      <c r="I57" s="8">
        <f t="shared" si="2"/>
        <v>97.854354468888658</v>
      </c>
    </row>
    <row r="58" spans="1:15" x14ac:dyDescent="0.3">
      <c r="D58" s="6"/>
      <c r="E58" s="6"/>
      <c r="F58" s="4"/>
      <c r="G58" s="4"/>
      <c r="H58" s="4"/>
      <c r="I58" s="4"/>
    </row>
    <row r="59" spans="1:15" x14ac:dyDescent="0.3">
      <c r="A59" s="4"/>
      <c r="B59" s="4"/>
      <c r="C59" s="4"/>
      <c r="D59" s="4"/>
    </row>
    <row r="60" spans="1:15" x14ac:dyDescent="0.3">
      <c r="C60" t="s">
        <v>100</v>
      </c>
      <c r="D60" t="s">
        <v>99</v>
      </c>
      <c r="E60" s="4"/>
    </row>
    <row r="61" spans="1:15" x14ac:dyDescent="0.3">
      <c r="A61" t="s">
        <v>95</v>
      </c>
      <c r="B61" t="s">
        <v>90</v>
      </c>
      <c r="C61" s="11">
        <f>TTEST(F45:F47,G45:G47,2,1)</f>
        <v>9.1186659621717264E-4</v>
      </c>
      <c r="D61" s="11">
        <f>TTEST(H45:H47,I45:I47,2,1)</f>
        <v>2.2860163596322515E-2</v>
      </c>
      <c r="M61" s="4"/>
      <c r="N61" s="4"/>
      <c r="O61" s="4"/>
    </row>
    <row r="62" spans="1:15" x14ac:dyDescent="0.3">
      <c r="B62" t="s">
        <v>91</v>
      </c>
      <c r="C62" s="11">
        <f>TTEST(F48:F50,G48:G50,2,1)</f>
        <v>1.2356619597436015E-3</v>
      </c>
      <c r="D62" s="11">
        <f>TTEST(H48:H50,I48:I50,2,1)</f>
        <v>1.4075521807559551E-4</v>
      </c>
      <c r="K62" s="4"/>
      <c r="L62" s="4"/>
      <c r="M62" s="4"/>
      <c r="N62" s="4"/>
      <c r="O62" s="4"/>
    </row>
    <row r="63" spans="1:15" x14ac:dyDescent="0.3">
      <c r="C63" t="s">
        <v>97</v>
      </c>
      <c r="D63" s="6" t="s">
        <v>98</v>
      </c>
      <c r="E63" s="6"/>
      <c r="K63" s="4"/>
      <c r="L63" s="4"/>
      <c r="M63" s="4"/>
      <c r="N63" s="4"/>
      <c r="O63" s="4"/>
    </row>
    <row r="64" spans="1:15" x14ac:dyDescent="0.3">
      <c r="A64" s="6" t="s">
        <v>96</v>
      </c>
      <c r="B64" s="6" t="s">
        <v>90</v>
      </c>
      <c r="C64" s="11">
        <f>TTEST(F45:F47,H45:H47,2,1)</f>
        <v>8.7693746403466502E-4</v>
      </c>
      <c r="D64" s="12">
        <f>TTEST(G45:G47,I45:I47,2,1)</f>
        <v>0.35734775185494827</v>
      </c>
      <c r="E64" s="6"/>
      <c r="K64" s="4"/>
      <c r="L64" s="4"/>
      <c r="M64" s="4"/>
      <c r="N64" s="4"/>
      <c r="O64" s="4"/>
    </row>
    <row r="65" spans="1:15" x14ac:dyDescent="0.3">
      <c r="A65" s="6"/>
      <c r="B65" s="6" t="s">
        <v>91</v>
      </c>
      <c r="C65" s="10">
        <f>TTEST(F48:F50,H48:H50,2,1)</f>
        <v>8.592755803054386E-2</v>
      </c>
      <c r="D65" s="10">
        <f>TTEST(G48:G50,I48:I50,2,1)</f>
        <v>0.75568495758194265</v>
      </c>
      <c r="E65" s="6"/>
      <c r="K65" s="4"/>
      <c r="L65" s="4"/>
      <c r="M65" s="4"/>
      <c r="N65" s="4"/>
      <c r="O65" s="4"/>
    </row>
    <row r="66" spans="1:15" x14ac:dyDescent="0.3">
      <c r="F66" s="4"/>
    </row>
    <row r="67" spans="1:15" x14ac:dyDescent="0.3">
      <c r="A67" s="6"/>
      <c r="B67" s="6"/>
      <c r="C67" s="4"/>
      <c r="D67" s="4"/>
      <c r="E67" s="4"/>
      <c r="F67" s="4"/>
    </row>
    <row r="75" spans="1:15" x14ac:dyDescent="0.3">
      <c r="D75" s="6"/>
      <c r="E75" s="6"/>
      <c r="F75" s="6"/>
      <c r="G75" s="6"/>
      <c r="H75" s="6"/>
      <c r="I75" s="6"/>
    </row>
    <row r="76" spans="1:15" x14ac:dyDescent="0.3">
      <c r="D76" s="6"/>
      <c r="E76" s="6"/>
      <c r="F76" s="6"/>
      <c r="G76" s="6"/>
      <c r="H76" s="6"/>
      <c r="I76" s="6"/>
    </row>
    <row r="77" spans="1:15" x14ac:dyDescent="0.3">
      <c r="D77" s="6"/>
      <c r="E77" s="6"/>
      <c r="F77" s="6"/>
      <c r="G77" s="6"/>
      <c r="H77" s="6"/>
      <c r="I77" s="6"/>
    </row>
    <row r="78" spans="1:15" x14ac:dyDescent="0.3">
      <c r="D78" s="6"/>
      <c r="E78" s="6"/>
      <c r="F78" s="6"/>
      <c r="G78" s="6"/>
      <c r="H78" s="6"/>
      <c r="I78" s="9"/>
    </row>
    <row r="79" spans="1:15" x14ac:dyDescent="0.3">
      <c r="D79" s="6"/>
      <c r="E79" s="6"/>
      <c r="F79" s="6"/>
      <c r="G79" s="6"/>
      <c r="H79" s="6"/>
      <c r="I79" s="6"/>
    </row>
    <row r="80" spans="1:15" x14ac:dyDescent="0.3">
      <c r="D80" s="6"/>
      <c r="E80" s="6"/>
      <c r="F80" s="6"/>
      <c r="G80" s="6"/>
      <c r="H80" s="6"/>
      <c r="I80" s="6"/>
    </row>
    <row r="81" spans="4:19" x14ac:dyDescent="0.3">
      <c r="D81" s="6"/>
      <c r="E81" s="6"/>
      <c r="F81" s="6"/>
      <c r="G81" s="6"/>
      <c r="H81" s="6"/>
      <c r="I81" s="6"/>
    </row>
    <row r="82" spans="4:19" x14ac:dyDescent="0.3">
      <c r="D82" s="6"/>
      <c r="E82" s="6"/>
      <c r="F82" s="6"/>
      <c r="G82" s="6"/>
      <c r="H82" s="6"/>
      <c r="I82" s="6"/>
    </row>
    <row r="83" spans="4:19" x14ac:dyDescent="0.3">
      <c r="D83" s="6"/>
      <c r="E83" s="6"/>
      <c r="F83" s="6"/>
      <c r="G83" s="6"/>
      <c r="H83" s="6"/>
      <c r="I83" s="6"/>
    </row>
    <row r="84" spans="4:19" x14ac:dyDescent="0.3">
      <c r="D84" s="6"/>
      <c r="E84" s="6"/>
      <c r="F84" s="6"/>
      <c r="G84" s="6"/>
      <c r="H84" s="6"/>
      <c r="I84" s="6"/>
      <c r="K84" s="6"/>
      <c r="L84" s="6"/>
      <c r="M84" s="6"/>
      <c r="N84" s="6"/>
      <c r="O84" s="6"/>
      <c r="P84" s="6"/>
      <c r="Q84" s="6"/>
      <c r="R84" s="6"/>
      <c r="S84" s="6"/>
    </row>
    <row r="85" spans="4:19" x14ac:dyDescent="0.3">
      <c r="D85" s="6"/>
      <c r="E85" s="6"/>
      <c r="F85" s="6"/>
      <c r="G85" s="6"/>
      <c r="H85" s="6"/>
      <c r="I85" s="6"/>
      <c r="K85" s="6"/>
      <c r="L85" s="6"/>
      <c r="M85" s="6"/>
      <c r="N85" s="6"/>
      <c r="O85" s="6"/>
      <c r="P85" s="6"/>
      <c r="Q85" s="6"/>
      <c r="R85" s="6"/>
      <c r="S85" s="6"/>
    </row>
    <row r="86" spans="4:19" x14ac:dyDescent="0.3">
      <c r="D86" s="6"/>
      <c r="E86" s="6"/>
      <c r="F86" s="6"/>
      <c r="G86" s="6"/>
      <c r="H86" s="6"/>
      <c r="I86" s="6"/>
      <c r="K86" s="6"/>
      <c r="L86" s="6"/>
      <c r="M86" s="6"/>
      <c r="N86" s="6"/>
      <c r="O86" s="6"/>
      <c r="P86" s="6"/>
      <c r="Q86" s="6"/>
      <c r="R86" s="6"/>
      <c r="S86" s="6"/>
    </row>
    <row r="87" spans="4:19" x14ac:dyDescent="0.3">
      <c r="D87" s="6"/>
      <c r="E87" s="6"/>
      <c r="F87" s="6"/>
      <c r="G87" s="6"/>
      <c r="H87" s="6"/>
      <c r="I87" s="6"/>
      <c r="K87" s="6"/>
      <c r="L87" s="6"/>
      <c r="M87" s="6"/>
      <c r="N87" s="6"/>
      <c r="O87" s="6"/>
      <c r="P87" s="6"/>
      <c r="Q87" s="6"/>
      <c r="R87" s="6"/>
      <c r="S87" s="6"/>
    </row>
    <row r="88" spans="4:19" x14ac:dyDescent="0.3">
      <c r="D88" s="6"/>
      <c r="E88" s="6"/>
      <c r="F88" s="6"/>
      <c r="G88" s="6"/>
      <c r="H88" s="6"/>
      <c r="I88" s="6"/>
      <c r="K88" s="6"/>
      <c r="L88" s="6"/>
      <c r="M88" s="6"/>
      <c r="N88" s="6"/>
      <c r="O88" s="6"/>
      <c r="P88" s="6"/>
      <c r="Q88" s="6"/>
      <c r="R88" s="6"/>
      <c r="S88" s="6"/>
    </row>
    <row r="89" spans="4:19" x14ac:dyDescent="0.3">
      <c r="D89" s="6"/>
      <c r="E89" s="6"/>
      <c r="F89" s="6"/>
      <c r="G89" s="6"/>
      <c r="H89" s="6"/>
      <c r="I89" s="6"/>
      <c r="K89" s="6"/>
      <c r="L89" s="6"/>
      <c r="M89" s="6"/>
      <c r="N89" s="6"/>
      <c r="O89" s="6"/>
      <c r="P89" s="6"/>
      <c r="Q89" s="6"/>
      <c r="R89" s="6"/>
      <c r="S89" s="6"/>
    </row>
    <row r="90" spans="4:19" x14ac:dyDescent="0.3">
      <c r="D90" s="6"/>
      <c r="E90" s="6"/>
      <c r="F90" s="6"/>
      <c r="G90" s="6"/>
      <c r="H90" s="6"/>
      <c r="I90" s="6"/>
      <c r="K90" s="6"/>
      <c r="L90" s="6"/>
      <c r="M90" s="6"/>
      <c r="N90" s="6"/>
      <c r="O90" s="6"/>
      <c r="P90" s="6"/>
      <c r="Q90" s="6"/>
      <c r="R90" s="6"/>
      <c r="S90" s="6"/>
    </row>
    <row r="91" spans="4:19" x14ac:dyDescent="0.3">
      <c r="D91" s="6"/>
      <c r="E91" s="6"/>
      <c r="F91" s="6"/>
      <c r="G91" s="6"/>
      <c r="H91" s="6"/>
      <c r="I91" s="6"/>
      <c r="K91" s="6"/>
      <c r="L91" s="6"/>
      <c r="M91" s="6"/>
      <c r="N91" s="6"/>
      <c r="O91" s="6"/>
      <c r="P91" s="6"/>
      <c r="Q91" s="6"/>
      <c r="R91" s="6"/>
      <c r="S91" s="6"/>
    </row>
    <row r="92" spans="4:19" x14ac:dyDescent="0.3">
      <c r="D92" s="6"/>
      <c r="E92" s="6"/>
      <c r="F92" s="6"/>
      <c r="G92" s="6"/>
      <c r="H92" s="6"/>
      <c r="I92" s="6"/>
      <c r="K92" s="6"/>
      <c r="L92" s="6"/>
      <c r="M92" s="6"/>
      <c r="N92" s="6"/>
      <c r="O92" s="6"/>
      <c r="P92" s="6"/>
      <c r="Q92" s="6"/>
      <c r="R92" s="6"/>
      <c r="S92" s="6"/>
    </row>
    <row r="93" spans="4:19" x14ac:dyDescent="0.3">
      <c r="D93" s="6"/>
      <c r="E93" s="6"/>
      <c r="F93" s="6"/>
      <c r="G93" s="6"/>
      <c r="H93" s="6"/>
      <c r="I93" s="6"/>
      <c r="K93" s="6"/>
      <c r="L93" s="6"/>
      <c r="M93" s="6"/>
      <c r="N93" s="6"/>
      <c r="O93" s="6"/>
      <c r="P93" s="6"/>
      <c r="Q93" s="6"/>
      <c r="R93" s="6"/>
      <c r="S93" s="6"/>
    </row>
    <row r="94" spans="4:19" x14ac:dyDescent="0.3">
      <c r="D94" s="6"/>
      <c r="E94" s="6"/>
      <c r="F94" s="6"/>
      <c r="G94" s="6"/>
      <c r="H94" s="6"/>
      <c r="I94" s="6"/>
      <c r="K94" s="6"/>
      <c r="L94" s="6"/>
      <c r="M94" s="6"/>
      <c r="N94" s="6"/>
      <c r="O94" s="6"/>
      <c r="P94" s="6"/>
      <c r="Q94" s="6"/>
      <c r="R94" s="6"/>
      <c r="S94" s="6"/>
    </row>
    <row r="95" spans="4:19" x14ac:dyDescent="0.3">
      <c r="D95" s="6"/>
      <c r="E95" s="6"/>
      <c r="F95" s="6"/>
      <c r="G95" s="6"/>
      <c r="H95" s="15"/>
      <c r="I95" s="6"/>
      <c r="K95" s="6"/>
      <c r="L95" s="6"/>
      <c r="M95" s="6"/>
      <c r="N95" s="6"/>
      <c r="O95" s="6"/>
      <c r="P95" s="6"/>
      <c r="Q95" s="6"/>
      <c r="R95" s="6"/>
      <c r="S95" s="6"/>
    </row>
    <row r="96" spans="4:19" x14ac:dyDescent="0.3">
      <c r="D96" s="6"/>
      <c r="E96" s="6"/>
      <c r="F96" s="6"/>
      <c r="G96" s="6"/>
      <c r="H96" s="6"/>
      <c r="I96" s="6"/>
      <c r="K96" s="6"/>
      <c r="L96" s="6"/>
      <c r="M96" s="6"/>
      <c r="N96" s="6"/>
      <c r="O96" s="6"/>
      <c r="P96" s="6"/>
      <c r="Q96" s="6"/>
      <c r="R96" s="6"/>
      <c r="S96" s="6"/>
    </row>
    <row r="97" spans="4:19" x14ac:dyDescent="0.3">
      <c r="D97" s="6"/>
      <c r="E97" s="6"/>
      <c r="F97" s="6"/>
      <c r="G97" s="6"/>
      <c r="H97" s="6"/>
      <c r="I97" s="6"/>
      <c r="K97" s="6"/>
      <c r="L97" s="6"/>
      <c r="M97" s="6"/>
      <c r="N97" s="6"/>
      <c r="O97" s="6"/>
      <c r="P97" s="6"/>
      <c r="Q97" s="6"/>
      <c r="R97" s="6"/>
      <c r="S97" s="6"/>
    </row>
    <row r="98" spans="4:19" x14ac:dyDescent="0.3">
      <c r="D98" s="6"/>
      <c r="E98" s="6"/>
      <c r="F98" s="6"/>
      <c r="G98" s="6"/>
      <c r="H98" s="6"/>
      <c r="I98" s="6"/>
      <c r="K98" s="6"/>
      <c r="L98" s="6"/>
      <c r="M98" s="6"/>
      <c r="N98" s="6"/>
      <c r="O98" s="6"/>
      <c r="P98" s="6"/>
      <c r="Q98" s="6"/>
      <c r="R98" s="6"/>
      <c r="S98" s="6"/>
    </row>
    <row r="99" spans="4:19" x14ac:dyDescent="0.3">
      <c r="D99" s="6"/>
      <c r="E99" s="6"/>
      <c r="F99" s="6"/>
      <c r="G99" s="6"/>
      <c r="H99" s="6"/>
      <c r="I99" s="6"/>
      <c r="K99" s="6"/>
      <c r="L99" s="6"/>
      <c r="M99" s="6"/>
      <c r="N99" s="6"/>
      <c r="O99" s="6"/>
      <c r="P99" s="6"/>
      <c r="Q99" s="6"/>
      <c r="R99" s="6"/>
      <c r="S99" s="6"/>
    </row>
    <row r="100" spans="4:19" x14ac:dyDescent="0.3">
      <c r="D100" s="6"/>
      <c r="E100" s="6"/>
      <c r="F100" s="6"/>
      <c r="G100" s="6"/>
      <c r="H100" s="6"/>
      <c r="I100" s="6"/>
      <c r="K100" s="6"/>
      <c r="L100" s="6"/>
      <c r="M100" s="6"/>
      <c r="N100" s="6"/>
      <c r="O100" s="6"/>
      <c r="P100" s="6"/>
      <c r="Q100" s="6"/>
      <c r="R100" s="6"/>
      <c r="S100" s="6"/>
    </row>
    <row r="101" spans="4:19" x14ac:dyDescent="0.3">
      <c r="D101" s="6"/>
      <c r="E101" s="6"/>
      <c r="F101" s="6"/>
      <c r="G101" s="6"/>
      <c r="H101" s="6"/>
      <c r="I101" s="6"/>
      <c r="K101" s="6"/>
      <c r="L101" s="6"/>
      <c r="M101" s="6"/>
      <c r="N101" s="6"/>
      <c r="O101" s="6"/>
      <c r="P101" s="6"/>
      <c r="Q101" s="6"/>
      <c r="R101" s="6"/>
      <c r="S101" s="6"/>
    </row>
    <row r="102" spans="4:19" x14ac:dyDescent="0.3">
      <c r="D102" s="6"/>
      <c r="E102" s="6"/>
      <c r="F102" s="6"/>
      <c r="G102" s="6"/>
      <c r="H102" s="6"/>
      <c r="I102" s="6"/>
      <c r="K102" s="6"/>
      <c r="L102" s="6"/>
      <c r="M102" s="6"/>
      <c r="N102" s="6"/>
      <c r="O102" s="6"/>
      <c r="P102" s="6"/>
      <c r="Q102" s="6"/>
      <c r="R102" s="6"/>
      <c r="S102" s="6"/>
    </row>
    <row r="103" spans="4:19" x14ac:dyDescent="0.3">
      <c r="D103" s="6"/>
      <c r="E103" s="6"/>
      <c r="F103" s="6"/>
      <c r="G103" s="6"/>
      <c r="H103" s="6"/>
      <c r="I103" s="6"/>
      <c r="K103" s="6"/>
      <c r="L103" s="6"/>
      <c r="M103" s="6"/>
      <c r="N103" s="6"/>
      <c r="O103" s="6"/>
      <c r="P103" s="6"/>
      <c r="Q103" s="6"/>
      <c r="R103" s="6"/>
      <c r="S103" s="6"/>
    </row>
    <row r="104" spans="4:19" x14ac:dyDescent="0.3">
      <c r="D104" s="6"/>
      <c r="E104" s="6"/>
      <c r="F104" s="6"/>
      <c r="G104" s="6"/>
      <c r="H104" s="6"/>
      <c r="I104" s="6"/>
      <c r="K104" s="6"/>
      <c r="L104" s="6"/>
      <c r="M104" s="6"/>
      <c r="N104" s="6"/>
      <c r="O104" s="6"/>
      <c r="P104" s="6"/>
      <c r="Q104" s="6"/>
      <c r="R104" s="6"/>
      <c r="S104" s="6"/>
    </row>
    <row r="105" spans="4:19" x14ac:dyDescent="0.3">
      <c r="D105" s="6"/>
      <c r="E105" s="6"/>
      <c r="F105" s="6"/>
      <c r="G105" s="6"/>
      <c r="H105" s="6"/>
      <c r="I105" s="6"/>
      <c r="K105" s="6"/>
      <c r="L105" s="6"/>
      <c r="M105" s="6"/>
      <c r="N105" s="6"/>
      <c r="O105" s="6"/>
      <c r="P105" s="6"/>
      <c r="Q105" s="6"/>
      <c r="R105" s="6"/>
      <c r="S105" s="6"/>
    </row>
    <row r="106" spans="4:19" x14ac:dyDescent="0.3">
      <c r="D106" s="6"/>
      <c r="E106" s="6"/>
      <c r="F106" s="6"/>
      <c r="G106" s="6"/>
      <c r="H106" s="6"/>
      <c r="I106" s="6"/>
      <c r="K106" s="6"/>
      <c r="L106" s="6"/>
      <c r="M106" s="6"/>
      <c r="N106" s="6"/>
      <c r="O106" s="6"/>
      <c r="P106" s="6"/>
      <c r="Q106" s="6"/>
      <c r="R106" s="6"/>
      <c r="S106" s="6"/>
    </row>
    <row r="107" spans="4:19" x14ac:dyDescent="0.3">
      <c r="D107" s="6"/>
      <c r="E107" s="6"/>
      <c r="F107" s="6"/>
      <c r="G107" s="6"/>
      <c r="H107" s="6"/>
      <c r="I107" s="6"/>
      <c r="K107" s="6"/>
      <c r="L107" s="6"/>
      <c r="M107" s="6"/>
      <c r="N107" s="6"/>
      <c r="O107" s="6"/>
      <c r="P107" s="6"/>
      <c r="Q107" s="6"/>
      <c r="R107" s="6"/>
      <c r="S107" s="6"/>
    </row>
    <row r="108" spans="4:19" x14ac:dyDescent="0.3">
      <c r="D108" s="6"/>
      <c r="E108" s="6"/>
      <c r="F108" s="6"/>
      <c r="G108" s="6"/>
      <c r="H108" s="6"/>
      <c r="I108" s="6"/>
      <c r="K108" s="6"/>
      <c r="L108" s="6"/>
      <c r="M108" s="6"/>
      <c r="N108" s="6"/>
      <c r="O108" s="6"/>
      <c r="P108" s="6"/>
      <c r="Q108" s="6"/>
      <c r="R108" s="6"/>
      <c r="S108" s="6"/>
    </row>
    <row r="109" spans="4:19" x14ac:dyDescent="0.3">
      <c r="D109" s="6"/>
      <c r="E109" s="6"/>
      <c r="F109" s="6"/>
      <c r="G109" s="6"/>
      <c r="H109" s="6"/>
      <c r="I109" s="6"/>
      <c r="K109" s="6"/>
      <c r="L109" s="6"/>
      <c r="M109" s="6"/>
      <c r="N109" s="6"/>
      <c r="O109" s="6"/>
      <c r="P109" s="6"/>
      <c r="Q109" s="6"/>
      <c r="R109" s="6"/>
      <c r="S109" s="6"/>
    </row>
    <row r="110" spans="4:19" x14ac:dyDescent="0.3">
      <c r="D110" s="6"/>
      <c r="E110" s="6"/>
      <c r="F110" s="6"/>
      <c r="G110" s="6"/>
      <c r="H110" s="6"/>
      <c r="I110" s="6"/>
      <c r="K110" s="6"/>
      <c r="L110" s="6"/>
      <c r="M110" s="6"/>
      <c r="N110" s="6"/>
      <c r="O110" s="6"/>
      <c r="P110" s="6"/>
      <c r="Q110" s="6"/>
      <c r="R110" s="6"/>
      <c r="S110" s="6"/>
    </row>
    <row r="111" spans="4:19" x14ac:dyDescent="0.3">
      <c r="D111" s="6"/>
      <c r="E111" s="6"/>
      <c r="F111" s="6"/>
      <c r="G111" s="6"/>
      <c r="H111" s="6"/>
      <c r="I111" s="6"/>
      <c r="K111" s="6"/>
      <c r="L111" s="6"/>
      <c r="M111" s="6"/>
      <c r="N111" s="6"/>
      <c r="O111" s="6"/>
      <c r="P111" s="6"/>
      <c r="Q111" s="6"/>
      <c r="R111" s="6"/>
      <c r="S111" s="6"/>
    </row>
  </sheetData>
  <phoneticPr fontId="9" type="noConversion"/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workbookViewId="0">
      <selection activeCell="E13" sqref="E13"/>
    </sheetView>
  </sheetViews>
  <sheetFormatPr defaultRowHeight="15.6" x14ac:dyDescent="0.3"/>
  <cols>
    <col min="1" max="1" width="13" customWidth="1"/>
    <col min="2" max="2" width="11.19921875" customWidth="1"/>
    <col min="3" max="3" width="13.8984375" bestFit="1" customWidth="1"/>
  </cols>
  <sheetData>
    <row r="1" spans="1:5" x14ac:dyDescent="0.3">
      <c r="A1" t="s">
        <v>89</v>
      </c>
      <c r="C1" t="s">
        <v>83</v>
      </c>
    </row>
    <row r="3" spans="1:5" x14ac:dyDescent="0.3">
      <c r="A3" s="23" t="s">
        <v>89</v>
      </c>
      <c r="B3" s="23" t="s">
        <v>85</v>
      </c>
      <c r="C3" s="23" t="s">
        <v>87</v>
      </c>
      <c r="D3" s="23" t="s">
        <v>87</v>
      </c>
    </row>
    <row r="4" spans="1:5" x14ac:dyDescent="0.3">
      <c r="A4" s="23" t="s">
        <v>84</v>
      </c>
      <c r="B4" s="23" t="s">
        <v>86</v>
      </c>
      <c r="C4" s="23" t="s">
        <v>142</v>
      </c>
      <c r="D4" s="23" t="s">
        <v>88</v>
      </c>
    </row>
    <row r="5" spans="1:5" x14ac:dyDescent="0.3">
      <c r="A5" s="24">
        <f>176.1*B5*D5</f>
        <v>0.52829999999999999</v>
      </c>
      <c r="B5" s="23">
        <v>0.01</v>
      </c>
      <c r="C5" s="23">
        <v>18</v>
      </c>
      <c r="D5" s="23">
        <f>+C5/60</f>
        <v>0.3</v>
      </c>
    </row>
    <row r="6" spans="1:5" x14ac:dyDescent="0.3">
      <c r="A6" s="24">
        <f t="shared" ref="A6:A8" si="0">176.1*B6*D6</f>
        <v>1.0566</v>
      </c>
      <c r="B6" s="23">
        <v>0.01</v>
      </c>
      <c r="C6" s="23">
        <v>36</v>
      </c>
      <c r="D6" s="23">
        <f t="shared" ref="D6:D8" si="1">+C6/60</f>
        <v>0.6</v>
      </c>
    </row>
    <row r="7" spans="1:5" x14ac:dyDescent="0.3">
      <c r="A7" s="24">
        <f t="shared" si="0"/>
        <v>2.9349999999999998E-2</v>
      </c>
      <c r="B7" s="23">
        <v>0.01</v>
      </c>
      <c r="C7" s="23">
        <v>1</v>
      </c>
      <c r="D7" s="25">
        <f t="shared" si="1"/>
        <v>1.6666666666666666E-2</v>
      </c>
    </row>
    <row r="8" spans="1:5" x14ac:dyDescent="0.3">
      <c r="A8" s="24">
        <f t="shared" si="0"/>
        <v>0.14674999999999999</v>
      </c>
      <c r="B8" s="23">
        <v>0.01</v>
      </c>
      <c r="C8" s="23">
        <v>5</v>
      </c>
      <c r="D8" s="25">
        <f t="shared" si="1"/>
        <v>8.3333333333333329E-2</v>
      </c>
    </row>
    <row r="9" spans="1:5" x14ac:dyDescent="0.3">
      <c r="A9" s="3"/>
    </row>
    <row r="10" spans="1:5" x14ac:dyDescent="0.3">
      <c r="A10" s="26"/>
      <c r="B10" s="26"/>
      <c r="C10" s="26"/>
      <c r="D10" s="26"/>
      <c r="E10" s="26"/>
    </row>
    <row r="11" spans="1:5" x14ac:dyDescent="0.3">
      <c r="A11" s="27"/>
      <c r="B11" s="27"/>
      <c r="C11" s="27"/>
      <c r="D11" s="26"/>
      <c r="E11" s="26"/>
    </row>
    <row r="12" spans="1:5" x14ac:dyDescent="0.3">
      <c r="A12" s="28"/>
      <c r="B12" s="28"/>
      <c r="C12" s="29"/>
      <c r="D12" s="26"/>
      <c r="E12" s="26"/>
    </row>
    <row r="13" spans="1:5" x14ac:dyDescent="0.3">
      <c r="A13" s="28"/>
      <c r="B13" s="28"/>
      <c r="C13" s="30"/>
      <c r="D13" s="26"/>
      <c r="E13" s="26"/>
    </row>
    <row r="14" spans="1:5" x14ac:dyDescent="0.3">
      <c r="A14" s="28"/>
      <c r="B14" s="28"/>
      <c r="C14" s="29"/>
      <c r="D14" s="26"/>
      <c r="E14" s="26"/>
    </row>
    <row r="15" spans="1:5" x14ac:dyDescent="0.3">
      <c r="A15" s="28"/>
      <c r="B15" s="28"/>
      <c r="C15" s="30"/>
      <c r="D15" s="26"/>
      <c r="E15" s="26"/>
    </row>
    <row r="16" spans="1:5" x14ac:dyDescent="0.3">
      <c r="A16" s="28"/>
      <c r="B16" s="28"/>
      <c r="C16" s="29"/>
      <c r="D16" s="26"/>
      <c r="E16" s="26"/>
    </row>
    <row r="17" spans="1:5" x14ac:dyDescent="0.3">
      <c r="A17" s="28"/>
      <c r="B17" s="28"/>
      <c r="C17" s="30"/>
      <c r="D17" s="26"/>
      <c r="E17" s="26"/>
    </row>
    <row r="18" spans="1:5" x14ac:dyDescent="0.3">
      <c r="A18" s="28"/>
      <c r="B18" s="28"/>
      <c r="C18" s="29"/>
      <c r="D18" s="26"/>
      <c r="E18" s="26"/>
    </row>
    <row r="19" spans="1:5" x14ac:dyDescent="0.3">
      <c r="A19" s="28"/>
      <c r="B19" s="28"/>
      <c r="C19" s="30"/>
      <c r="D19" s="26"/>
      <c r="E19" s="26"/>
    </row>
    <row r="20" spans="1:5" x14ac:dyDescent="0.3">
      <c r="A20" s="26"/>
      <c r="B20" s="26"/>
      <c r="C20" s="26"/>
      <c r="D20" s="26"/>
      <c r="E20" s="26"/>
    </row>
    <row r="21" spans="1:5" x14ac:dyDescent="0.3">
      <c r="A21" s="26"/>
      <c r="B21" s="26"/>
      <c r="C21" s="26"/>
      <c r="D21" s="26"/>
      <c r="E21" s="26"/>
    </row>
    <row r="22" spans="1:5" x14ac:dyDescent="0.3">
      <c r="A22" s="26"/>
      <c r="B22" s="26"/>
      <c r="C22" s="26"/>
      <c r="D22" s="26"/>
      <c r="E22" s="26"/>
    </row>
  </sheetData>
  <mergeCells count="8">
    <mergeCell ref="A18:A19"/>
    <mergeCell ref="B18:B19"/>
    <mergeCell ref="A12:A13"/>
    <mergeCell ref="B12:B13"/>
    <mergeCell ref="A14:A15"/>
    <mergeCell ref="B14:B15"/>
    <mergeCell ref="A16:A17"/>
    <mergeCell ref="B16:B17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9"/>
  <sheetViews>
    <sheetView workbookViewId="0">
      <selection activeCell="F14" sqref="F14"/>
    </sheetView>
  </sheetViews>
  <sheetFormatPr defaultColWidth="10.69921875" defaultRowHeight="15.6" x14ac:dyDescent="0.3"/>
  <cols>
    <col min="3" max="3" width="23.5" customWidth="1"/>
    <col min="4" max="4" width="30.5" customWidth="1"/>
    <col min="12" max="12" width="12.19921875" bestFit="1" customWidth="1"/>
    <col min="14" max="14" width="18.69921875" bestFit="1" customWidth="1"/>
  </cols>
  <sheetData>
    <row r="1" spans="1:18" x14ac:dyDescent="0.3">
      <c r="A1" s="21"/>
      <c r="B1" s="21"/>
      <c r="C1" s="21"/>
      <c r="D1" s="21" t="s">
        <v>136</v>
      </c>
      <c r="E1" s="21"/>
      <c r="F1" s="21"/>
      <c r="G1" s="21"/>
      <c r="H1" s="21"/>
      <c r="I1" s="21"/>
      <c r="K1" s="21"/>
      <c r="L1" s="21"/>
      <c r="M1" s="21" t="s">
        <v>137</v>
      </c>
      <c r="N1" s="21"/>
      <c r="O1" s="21"/>
      <c r="P1" s="21"/>
      <c r="Q1" s="21"/>
      <c r="R1" s="21"/>
    </row>
    <row r="3" spans="1:18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G3" t="s">
        <v>5</v>
      </c>
      <c r="H3" t="s">
        <v>6</v>
      </c>
      <c r="I3" t="s">
        <v>7</v>
      </c>
      <c r="K3" t="s">
        <v>8</v>
      </c>
      <c r="L3" t="s">
        <v>9</v>
      </c>
      <c r="M3" t="s">
        <v>10</v>
      </c>
      <c r="N3" t="s">
        <v>11</v>
      </c>
      <c r="O3" t="s">
        <v>12</v>
      </c>
      <c r="P3" t="s">
        <v>13</v>
      </c>
      <c r="Q3" t="s">
        <v>14</v>
      </c>
    </row>
    <row r="4" spans="1:18" x14ac:dyDescent="0.3">
      <c r="A4">
        <v>1</v>
      </c>
      <c r="B4" t="s">
        <v>17</v>
      </c>
      <c r="C4" t="s">
        <v>15</v>
      </c>
      <c r="D4" t="s">
        <v>16</v>
      </c>
      <c r="E4">
        <v>25</v>
      </c>
      <c r="G4">
        <v>-10.3</v>
      </c>
      <c r="H4">
        <v>-0.80600000000000005</v>
      </c>
      <c r="I4">
        <v>15.8</v>
      </c>
      <c r="K4">
        <v>1</v>
      </c>
      <c r="L4" t="s">
        <v>17</v>
      </c>
      <c r="M4" t="s">
        <v>18</v>
      </c>
      <c r="N4" t="s">
        <v>19</v>
      </c>
      <c r="P4">
        <v>1902</v>
      </c>
      <c r="R4">
        <v>1676</v>
      </c>
    </row>
    <row r="5" spans="1:18" x14ac:dyDescent="0.3">
      <c r="A5">
        <v>2</v>
      </c>
      <c r="B5" t="s">
        <v>22</v>
      </c>
      <c r="C5" t="s">
        <v>20</v>
      </c>
      <c r="D5" t="s">
        <v>21</v>
      </c>
      <c r="E5">
        <v>25</v>
      </c>
      <c r="G5">
        <v>-11.1</v>
      </c>
      <c r="H5">
        <v>-0.8679</v>
      </c>
      <c r="I5">
        <v>17.2</v>
      </c>
      <c r="K5">
        <v>2</v>
      </c>
      <c r="L5" t="s">
        <v>22</v>
      </c>
      <c r="M5" t="s">
        <v>18</v>
      </c>
      <c r="N5" t="s">
        <v>19</v>
      </c>
      <c r="P5">
        <v>2034</v>
      </c>
      <c r="R5">
        <v>2317</v>
      </c>
    </row>
    <row r="6" spans="1:18" x14ac:dyDescent="0.3">
      <c r="A6">
        <v>3</v>
      </c>
      <c r="B6" t="s">
        <v>25</v>
      </c>
      <c r="C6" t="s">
        <v>23</v>
      </c>
      <c r="D6" t="s">
        <v>24</v>
      </c>
      <c r="E6">
        <v>25</v>
      </c>
      <c r="G6">
        <v>-13.6</v>
      </c>
      <c r="H6">
        <v>-1.0680000000000001</v>
      </c>
      <c r="I6">
        <v>17.600000000000001</v>
      </c>
      <c r="K6">
        <v>3</v>
      </c>
      <c r="L6" t="s">
        <v>25</v>
      </c>
      <c r="M6" t="s">
        <v>18</v>
      </c>
      <c r="N6" t="s">
        <v>19</v>
      </c>
      <c r="P6">
        <v>2036</v>
      </c>
      <c r="R6">
        <v>1262</v>
      </c>
    </row>
    <row r="7" spans="1:18" x14ac:dyDescent="0.3">
      <c r="A7">
        <v>4</v>
      </c>
      <c r="B7" t="s">
        <v>28</v>
      </c>
      <c r="C7" t="s">
        <v>26</v>
      </c>
      <c r="D7" t="s">
        <v>27</v>
      </c>
      <c r="E7">
        <v>25</v>
      </c>
      <c r="G7">
        <v>-10.6</v>
      </c>
      <c r="H7">
        <v>-0.82830000000000004</v>
      </c>
      <c r="I7">
        <v>16.2</v>
      </c>
      <c r="K7">
        <v>4</v>
      </c>
      <c r="L7" t="s">
        <v>28</v>
      </c>
      <c r="M7" t="s">
        <v>18</v>
      </c>
      <c r="N7" t="s">
        <v>19</v>
      </c>
      <c r="P7">
        <v>2906</v>
      </c>
      <c r="R7">
        <v>1137</v>
      </c>
    </row>
    <row r="8" spans="1:18" x14ac:dyDescent="0.3">
      <c r="A8">
        <v>5</v>
      </c>
      <c r="B8" t="s">
        <v>31</v>
      </c>
      <c r="C8" t="s">
        <v>29</v>
      </c>
      <c r="D8" t="s">
        <v>30</v>
      </c>
      <c r="E8">
        <v>25</v>
      </c>
      <c r="G8">
        <v>-10.8</v>
      </c>
      <c r="H8">
        <v>-0.84770000000000001</v>
      </c>
      <c r="I8">
        <v>16.899999999999999</v>
      </c>
      <c r="K8">
        <v>5</v>
      </c>
      <c r="L8" t="s">
        <v>31</v>
      </c>
      <c r="M8" t="s">
        <v>18</v>
      </c>
      <c r="N8" t="s">
        <v>19</v>
      </c>
      <c r="P8">
        <v>2599</v>
      </c>
      <c r="R8">
        <v>1002</v>
      </c>
    </row>
    <row r="9" spans="1:18" x14ac:dyDescent="0.3">
      <c r="A9">
        <v>6</v>
      </c>
      <c r="B9" t="s">
        <v>34</v>
      </c>
      <c r="C9" t="s">
        <v>32</v>
      </c>
      <c r="D9" t="s">
        <v>33</v>
      </c>
      <c r="E9">
        <v>25</v>
      </c>
      <c r="G9">
        <v>-13.7</v>
      </c>
      <c r="H9">
        <v>-1.071</v>
      </c>
      <c r="I9">
        <v>17.399999999999999</v>
      </c>
      <c r="K9">
        <v>6</v>
      </c>
      <c r="L9" t="s">
        <v>34</v>
      </c>
      <c r="M9" t="s">
        <v>18</v>
      </c>
      <c r="N9" t="s">
        <v>19</v>
      </c>
      <c r="P9">
        <v>2563</v>
      </c>
      <c r="R9">
        <v>1167</v>
      </c>
    </row>
    <row r="10" spans="1:18" x14ac:dyDescent="0.3">
      <c r="A10">
        <v>7</v>
      </c>
      <c r="B10" t="s">
        <v>37</v>
      </c>
      <c r="C10" t="s">
        <v>35</v>
      </c>
      <c r="D10" t="s">
        <v>36</v>
      </c>
      <c r="E10">
        <v>25</v>
      </c>
      <c r="F10" s="16">
        <f>+AVERAGE(G4:G6)</f>
        <v>-11.666666666666666</v>
      </c>
      <c r="G10">
        <v>-11.2</v>
      </c>
      <c r="H10">
        <v>-0.87880000000000003</v>
      </c>
      <c r="I10">
        <v>15.6</v>
      </c>
      <c r="K10">
        <v>7</v>
      </c>
      <c r="L10" t="s">
        <v>37</v>
      </c>
      <c r="M10" t="s">
        <v>18</v>
      </c>
      <c r="N10" t="s">
        <v>19</v>
      </c>
      <c r="O10" s="4">
        <f>+AVERAGE(P4:P6)</f>
        <v>1990.6666666666667</v>
      </c>
      <c r="P10">
        <v>2133</v>
      </c>
      <c r="R10">
        <v>2053</v>
      </c>
    </row>
    <row r="11" spans="1:18" x14ac:dyDescent="0.3">
      <c r="A11">
        <v>8</v>
      </c>
      <c r="B11" t="s">
        <v>40</v>
      </c>
      <c r="C11" t="s">
        <v>38</v>
      </c>
      <c r="D11" t="s">
        <v>39</v>
      </c>
      <c r="E11">
        <v>25</v>
      </c>
      <c r="F11" s="16">
        <f>+AVERAGE(G7:G9)</f>
        <v>-11.699999999999998</v>
      </c>
      <c r="G11">
        <v>-10.6</v>
      </c>
      <c r="H11">
        <v>-0.83420000000000005</v>
      </c>
      <c r="I11">
        <v>16.3</v>
      </c>
      <c r="K11">
        <v>8</v>
      </c>
      <c r="L11" t="s">
        <v>40</v>
      </c>
      <c r="M11" t="s">
        <v>18</v>
      </c>
      <c r="N11" t="s">
        <v>19</v>
      </c>
      <c r="O11" s="4">
        <f>+AVERAGE(P7:P9)</f>
        <v>2689.3333333333335</v>
      </c>
      <c r="P11">
        <v>2780</v>
      </c>
      <c r="R11">
        <v>2605</v>
      </c>
    </row>
    <row r="12" spans="1:18" x14ac:dyDescent="0.3">
      <c r="A12">
        <v>9</v>
      </c>
      <c r="B12" t="s">
        <v>43</v>
      </c>
      <c r="C12" t="s">
        <v>41</v>
      </c>
      <c r="D12" t="s">
        <v>42</v>
      </c>
      <c r="E12">
        <v>25</v>
      </c>
      <c r="F12" s="16">
        <f>+AVERAGE(G10:G12)</f>
        <v>-11.1</v>
      </c>
      <c r="G12">
        <v>-11.5</v>
      </c>
      <c r="H12">
        <v>-0.90069999999999995</v>
      </c>
      <c r="I12">
        <v>16.8</v>
      </c>
      <c r="K12">
        <v>9</v>
      </c>
      <c r="L12" t="s">
        <v>43</v>
      </c>
      <c r="M12" t="s">
        <v>18</v>
      </c>
      <c r="N12" t="s">
        <v>19</v>
      </c>
      <c r="O12" s="4">
        <f>+AVERAGE(P10:P12)</f>
        <v>2329</v>
      </c>
      <c r="P12">
        <v>2074</v>
      </c>
      <c r="R12">
        <v>2129</v>
      </c>
    </row>
    <row r="13" spans="1:18" x14ac:dyDescent="0.3">
      <c r="A13">
        <v>10</v>
      </c>
      <c r="B13" t="s">
        <v>46</v>
      </c>
      <c r="C13" t="s">
        <v>44</v>
      </c>
      <c r="D13" t="s">
        <v>45</v>
      </c>
      <c r="E13">
        <v>25</v>
      </c>
      <c r="F13" s="16"/>
      <c r="G13">
        <v>-14.8</v>
      </c>
      <c r="H13">
        <v>-1.1639999999999999</v>
      </c>
      <c r="I13">
        <v>15.7</v>
      </c>
      <c r="K13">
        <v>10</v>
      </c>
      <c r="L13" t="s">
        <v>46</v>
      </c>
      <c r="M13" t="s">
        <v>18</v>
      </c>
      <c r="N13" t="s">
        <v>47</v>
      </c>
      <c r="P13">
        <v>1195</v>
      </c>
      <c r="R13">
        <v>1350</v>
      </c>
    </row>
    <row r="14" spans="1:18" x14ac:dyDescent="0.3">
      <c r="A14">
        <v>11</v>
      </c>
      <c r="B14" t="s">
        <v>50</v>
      </c>
      <c r="C14" t="s">
        <v>48</v>
      </c>
      <c r="D14" t="s">
        <v>49</v>
      </c>
      <c r="E14">
        <v>25</v>
      </c>
      <c r="F14" s="16"/>
      <c r="G14">
        <v>-16.2</v>
      </c>
      <c r="H14">
        <v>-1.268</v>
      </c>
      <c r="I14">
        <v>16.8</v>
      </c>
      <c r="K14">
        <v>11</v>
      </c>
      <c r="L14" t="s">
        <v>50</v>
      </c>
      <c r="M14" t="s">
        <v>18</v>
      </c>
      <c r="N14" t="s">
        <v>47</v>
      </c>
      <c r="P14">
        <v>1253</v>
      </c>
      <c r="R14">
        <v>1471</v>
      </c>
    </row>
    <row r="15" spans="1:18" x14ac:dyDescent="0.3">
      <c r="A15">
        <v>12</v>
      </c>
      <c r="B15" t="s">
        <v>53</v>
      </c>
      <c r="C15" t="s">
        <v>51</v>
      </c>
      <c r="D15" t="s">
        <v>52</v>
      </c>
      <c r="E15">
        <v>25</v>
      </c>
      <c r="F15" s="16"/>
      <c r="G15">
        <v>-17.3</v>
      </c>
      <c r="H15">
        <v>-1.353</v>
      </c>
      <c r="I15">
        <v>17.2</v>
      </c>
      <c r="K15">
        <v>12</v>
      </c>
      <c r="L15" t="s">
        <v>53</v>
      </c>
      <c r="M15" t="s">
        <v>18</v>
      </c>
      <c r="N15" t="s">
        <v>47</v>
      </c>
      <c r="P15">
        <v>1050</v>
      </c>
      <c r="R15">
        <v>1071</v>
      </c>
    </row>
    <row r="16" spans="1:18" x14ac:dyDescent="0.3">
      <c r="A16">
        <v>13</v>
      </c>
      <c r="B16" t="s">
        <v>56</v>
      </c>
      <c r="C16" t="s">
        <v>54</v>
      </c>
      <c r="D16" t="s">
        <v>55</v>
      </c>
      <c r="E16">
        <v>25</v>
      </c>
      <c r="F16" s="16"/>
      <c r="G16">
        <v>-12.8</v>
      </c>
      <c r="H16">
        <v>-1.006</v>
      </c>
      <c r="I16">
        <v>15.5</v>
      </c>
      <c r="K16">
        <v>13</v>
      </c>
      <c r="L16" t="s">
        <v>56</v>
      </c>
      <c r="M16" t="s">
        <v>18</v>
      </c>
      <c r="N16" t="s">
        <v>47</v>
      </c>
      <c r="P16">
        <v>1367</v>
      </c>
      <c r="R16">
        <v>1493</v>
      </c>
    </row>
    <row r="17" spans="1:18" x14ac:dyDescent="0.3">
      <c r="A17">
        <v>14</v>
      </c>
      <c r="B17" t="s">
        <v>59</v>
      </c>
      <c r="C17" t="s">
        <v>57</v>
      </c>
      <c r="D17" t="s">
        <v>58</v>
      </c>
      <c r="E17">
        <v>25</v>
      </c>
      <c r="F17" s="16"/>
      <c r="G17">
        <v>-14.2</v>
      </c>
      <c r="H17">
        <v>-1.117</v>
      </c>
      <c r="I17">
        <v>16.100000000000001</v>
      </c>
      <c r="K17">
        <v>14</v>
      </c>
      <c r="L17" t="s">
        <v>59</v>
      </c>
      <c r="M17" t="s">
        <v>18</v>
      </c>
      <c r="N17" t="s">
        <v>47</v>
      </c>
      <c r="P17">
        <v>1429</v>
      </c>
      <c r="R17">
        <v>1559</v>
      </c>
    </row>
    <row r="18" spans="1:18" x14ac:dyDescent="0.3">
      <c r="A18">
        <v>15</v>
      </c>
      <c r="B18" t="s">
        <v>62</v>
      </c>
      <c r="C18" t="s">
        <v>60</v>
      </c>
      <c r="D18" t="s">
        <v>61</v>
      </c>
      <c r="E18">
        <v>25</v>
      </c>
      <c r="F18" s="16"/>
      <c r="G18">
        <v>-13.2</v>
      </c>
      <c r="H18">
        <v>-1.036</v>
      </c>
      <c r="I18">
        <v>16.7</v>
      </c>
      <c r="K18">
        <v>15</v>
      </c>
      <c r="L18" t="s">
        <v>62</v>
      </c>
      <c r="M18" t="s">
        <v>18</v>
      </c>
      <c r="N18" t="s">
        <v>47</v>
      </c>
      <c r="P18">
        <v>1120</v>
      </c>
      <c r="R18">
        <v>1260</v>
      </c>
    </row>
    <row r="19" spans="1:18" x14ac:dyDescent="0.3">
      <c r="A19">
        <v>16</v>
      </c>
      <c r="B19" t="s">
        <v>65</v>
      </c>
      <c r="C19" t="s">
        <v>63</v>
      </c>
      <c r="D19" t="s">
        <v>64</v>
      </c>
      <c r="E19">
        <v>25</v>
      </c>
      <c r="F19" s="16">
        <f>+AVERAGE(G13:G15)</f>
        <v>-16.099999999999998</v>
      </c>
      <c r="G19">
        <v>-13.8</v>
      </c>
      <c r="H19">
        <v>-1.08</v>
      </c>
      <c r="I19">
        <v>15.4</v>
      </c>
      <c r="K19">
        <v>16</v>
      </c>
      <c r="L19" t="s">
        <v>65</v>
      </c>
      <c r="M19" t="s">
        <v>18</v>
      </c>
      <c r="N19" t="s">
        <v>47</v>
      </c>
      <c r="O19" s="4">
        <f>+AVERAGE(P13:P15)</f>
        <v>1166</v>
      </c>
      <c r="P19">
        <v>1359</v>
      </c>
      <c r="R19">
        <v>1493</v>
      </c>
    </row>
    <row r="20" spans="1:18" x14ac:dyDescent="0.3">
      <c r="A20">
        <v>17</v>
      </c>
      <c r="B20" t="s">
        <v>68</v>
      </c>
      <c r="C20" t="s">
        <v>66</v>
      </c>
      <c r="D20" t="s">
        <v>67</v>
      </c>
      <c r="E20">
        <v>25</v>
      </c>
      <c r="F20" s="16">
        <f>+AVERAGE(G16:G18)</f>
        <v>-13.4</v>
      </c>
      <c r="G20">
        <v>-14.1</v>
      </c>
      <c r="H20">
        <v>-1.107</v>
      </c>
      <c r="I20">
        <v>16.100000000000001</v>
      </c>
      <c r="K20">
        <v>17</v>
      </c>
      <c r="L20" t="s">
        <v>68</v>
      </c>
      <c r="M20" t="s">
        <v>18</v>
      </c>
      <c r="N20" t="s">
        <v>47</v>
      </c>
      <c r="O20" s="4">
        <f>+AVERAGE(P16:P18)</f>
        <v>1305.3333333333333</v>
      </c>
      <c r="P20">
        <v>1599</v>
      </c>
      <c r="R20">
        <v>1592</v>
      </c>
    </row>
    <row r="21" spans="1:18" x14ac:dyDescent="0.3">
      <c r="A21">
        <v>18</v>
      </c>
      <c r="B21" t="s">
        <v>71</v>
      </c>
      <c r="C21" t="s">
        <v>69</v>
      </c>
      <c r="D21" t="s">
        <v>70</v>
      </c>
      <c r="E21">
        <v>25</v>
      </c>
      <c r="F21" s="16">
        <f>+AVERAGE(G19:G21)</f>
        <v>-14.299999999999999</v>
      </c>
      <c r="G21">
        <v>-15</v>
      </c>
      <c r="H21">
        <v>-1.175</v>
      </c>
      <c r="I21">
        <v>16.7</v>
      </c>
      <c r="K21">
        <v>18</v>
      </c>
      <c r="L21" t="s">
        <v>71</v>
      </c>
      <c r="M21" t="s">
        <v>18</v>
      </c>
      <c r="N21" t="s">
        <v>47</v>
      </c>
      <c r="O21" s="4">
        <f>+AVERAGE(P19:P21)</f>
        <v>1364.6666666666667</v>
      </c>
      <c r="P21">
        <v>1136</v>
      </c>
      <c r="R21">
        <v>1216</v>
      </c>
    </row>
    <row r="23" spans="1:18" x14ac:dyDescent="0.3">
      <c r="N23" t="s">
        <v>111</v>
      </c>
      <c r="O23" t="s">
        <v>110</v>
      </c>
      <c r="P23" t="s">
        <v>78</v>
      </c>
    </row>
    <row r="24" spans="1:18" x14ac:dyDescent="0.3">
      <c r="B24" t="s">
        <v>73</v>
      </c>
      <c r="C24" t="s">
        <v>74</v>
      </c>
      <c r="D24" t="s">
        <v>7</v>
      </c>
      <c r="E24" t="s">
        <v>5</v>
      </c>
      <c r="F24" t="s">
        <v>110</v>
      </c>
      <c r="G24" t="s">
        <v>78</v>
      </c>
      <c r="L24" t="s">
        <v>75</v>
      </c>
      <c r="N24" s="4">
        <f>+AVERAGE(O10,O11,O12)</f>
        <v>2336.3333333333335</v>
      </c>
      <c r="O24">
        <f>+STDEV(O10,O11,O12)</f>
        <v>349.3910575717573</v>
      </c>
      <c r="P24" s="18">
        <f>TTEST(O10:O12,O19:O21,2,1)</f>
        <v>2.4334519129612646E-2</v>
      </c>
    </row>
    <row r="25" spans="1:18" x14ac:dyDescent="0.3">
      <c r="A25" t="s">
        <v>72</v>
      </c>
      <c r="B25">
        <f>(G4+G5+G6+G7+G8+G9+G10+G11+G12)/9</f>
        <v>-11.488888888888889</v>
      </c>
      <c r="C25">
        <v>-0.90028889999999995</v>
      </c>
      <c r="D25">
        <v>16.644444400000001</v>
      </c>
      <c r="E25" s="5">
        <f>+AVERAGE(F10:F12)</f>
        <v>-11.488888888888887</v>
      </c>
      <c r="F25" s="5">
        <f>+STDEV(F11,F12,F13)</f>
        <v>0.42426406871192701</v>
      </c>
      <c r="G25" s="17">
        <f>TTEST(F10:F12,F19:F21,2,1)</f>
        <v>5.8885998008799012E-2</v>
      </c>
      <c r="L25" t="s">
        <v>76</v>
      </c>
      <c r="N25" s="4">
        <f>+AVERAGE(O19,O20,O21)</f>
        <v>1278.6666666666667</v>
      </c>
      <c r="O25">
        <f>STDEV(P13:P21)</f>
        <v>174.98071322291494</v>
      </c>
    </row>
    <row r="26" spans="1:18" x14ac:dyDescent="0.3">
      <c r="A26" t="s">
        <v>77</v>
      </c>
      <c r="B26">
        <f>(G13+G14+G15+G17+G18+G19+G20+G21+G16)/9</f>
        <v>-14.600000000000001</v>
      </c>
      <c r="C26">
        <v>-1.1451111</v>
      </c>
      <c r="D26">
        <v>16.244444399999999</v>
      </c>
      <c r="E26" s="5">
        <f>+AVERAGE(F19:F21)</f>
        <v>-14.6</v>
      </c>
      <c r="F26" s="5">
        <f>STDEV(G14:G22)</f>
        <v>1.5238578861373056</v>
      </c>
      <c r="G26" s="5"/>
    </row>
    <row r="29" spans="1:18" x14ac:dyDescent="0.3">
      <c r="J29" s="2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Adhesion</vt:lpstr>
      <vt:lpstr>Shear stress calculation</vt:lpstr>
      <vt:lpstr>DLS measurements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Cecilie bach</dc:creator>
  <cp:lastModifiedBy>Rikke Louise Meyer</cp:lastModifiedBy>
  <dcterms:created xsi:type="dcterms:W3CDTF">2021-02-16T15:30:33Z</dcterms:created>
  <dcterms:modified xsi:type="dcterms:W3CDTF">2022-06-03T13:45:33Z</dcterms:modified>
</cp:coreProperties>
</file>