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Articles\Article tension de surface\Données Elife\Surface tension and Young's modulus measurements\Blebbistatin\"/>
    </mc:Choice>
  </mc:AlternateContent>
  <bookViews>
    <workbookView xWindow="-105" yWindow="-105" windowWidth="23250" windowHeight="12570" activeTab="1"/>
  </bookViews>
  <sheets>
    <sheet name="Surface tension" sheetId="1" r:id="rId1"/>
    <sheet name="Young's modulus" sheetId="2" r:id="rId2"/>
  </sheets>
  <externalReferences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19" i="2" l="1"/>
  <c r="I19" i="2"/>
  <c r="L55" i="2" l="1"/>
  <c r="I55" i="2"/>
  <c r="I54" i="2"/>
  <c r="I53" i="2"/>
  <c r="I52" i="2"/>
  <c r="I51" i="2"/>
  <c r="I50" i="2"/>
  <c r="L49" i="2"/>
  <c r="I49" i="2"/>
  <c r="I48" i="2"/>
  <c r="I47" i="2"/>
  <c r="L42" i="2"/>
  <c r="I42" i="2"/>
  <c r="I41" i="2"/>
  <c r="I40" i="2"/>
  <c r="I39" i="2"/>
  <c r="I38" i="2"/>
  <c r="J42" i="2" s="1"/>
  <c r="L37" i="2"/>
  <c r="I37" i="2"/>
  <c r="I36" i="2"/>
  <c r="I35" i="2"/>
  <c r="I34" i="2"/>
  <c r="I33" i="2"/>
  <c r="J37" i="2" s="1"/>
  <c r="L32" i="2"/>
  <c r="I32" i="2"/>
  <c r="I31" i="2"/>
  <c r="I30" i="2"/>
  <c r="I29" i="2"/>
  <c r="I28" i="2"/>
  <c r="L27" i="2"/>
  <c r="I27" i="2"/>
  <c r="I26" i="2"/>
  <c r="I25" i="2"/>
  <c r="I24" i="2"/>
  <c r="I23" i="2"/>
  <c r="I22" i="2"/>
  <c r="I21" i="2"/>
  <c r="I20" i="2"/>
  <c r="I18" i="2"/>
  <c r="I17" i="2"/>
  <c r="I16" i="2"/>
  <c r="I15" i="2"/>
  <c r="L14" i="2"/>
  <c r="I14" i="2"/>
  <c r="I13" i="2"/>
  <c r="I12" i="2"/>
  <c r="I11" i="2"/>
  <c r="I10" i="2"/>
  <c r="K14" i="2" s="1"/>
  <c r="L9" i="2"/>
  <c r="I9" i="2"/>
  <c r="I8" i="2"/>
  <c r="I7" i="2"/>
  <c r="I6" i="2"/>
  <c r="I5" i="2"/>
  <c r="I4" i="2"/>
  <c r="I3" i="2"/>
  <c r="J9" i="2" s="1"/>
  <c r="K42" i="2" l="1"/>
  <c r="K55" i="2"/>
  <c r="J27" i="2"/>
  <c r="K27" i="2"/>
  <c r="K37" i="2"/>
  <c r="J14" i="2"/>
  <c r="J32" i="2"/>
  <c r="K32" i="2"/>
  <c r="K49" i="2"/>
  <c r="K19" i="2"/>
  <c r="J19" i="2"/>
  <c r="K9" i="2"/>
  <c r="J49" i="2"/>
  <c r="J55" i="2"/>
  <c r="D55" i="1"/>
  <c r="D54" i="1"/>
  <c r="D53" i="1"/>
  <c r="D52" i="1"/>
  <c r="D51" i="1"/>
  <c r="D50" i="1"/>
  <c r="D49" i="1"/>
  <c r="D48" i="1"/>
  <c r="D47" i="1"/>
  <c r="K49" i="1" s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E33" i="1" s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E55" i="1" l="1"/>
  <c r="K20" i="1"/>
  <c r="K28" i="1"/>
  <c r="K33" i="1"/>
  <c r="E49" i="1"/>
  <c r="F20" i="1"/>
  <c r="E28" i="1"/>
  <c r="F43" i="1"/>
  <c r="K55" i="1"/>
  <c r="E15" i="1"/>
  <c r="E38" i="1"/>
  <c r="F10" i="1"/>
  <c r="E20" i="1"/>
  <c r="F38" i="1"/>
  <c r="F55" i="1"/>
  <c r="F33" i="1"/>
  <c r="K15" i="1"/>
  <c r="F28" i="1"/>
  <c r="F49" i="1"/>
  <c r="K10" i="1"/>
  <c r="K43" i="1"/>
  <c r="F15" i="1"/>
  <c r="E43" i="1"/>
  <c r="K38" i="1"/>
  <c r="E10" i="1"/>
  <c r="H52" i="1"/>
  <c r="H35" i="1"/>
  <c r="J10" i="1"/>
  <c r="H25" i="1"/>
  <c r="H12" i="1"/>
  <c r="H33" i="1"/>
  <c r="H36" i="1"/>
  <c r="H17" i="1"/>
  <c r="H40" i="1"/>
  <c r="H48" i="1"/>
  <c r="H22" i="1"/>
  <c r="H31" i="1"/>
  <c r="H9" i="1"/>
  <c r="H5" i="1"/>
  <c r="H28" i="1"/>
  <c r="H30" i="1"/>
  <c r="H32" i="1"/>
  <c r="H8" i="1"/>
  <c r="H18" i="1"/>
  <c r="H49" i="1"/>
  <c r="H23" i="1"/>
  <c r="H26" i="1"/>
  <c r="H7" i="1"/>
  <c r="H15" i="1"/>
  <c r="H20" i="1"/>
  <c r="H14" i="1"/>
  <c r="H43" i="1"/>
  <c r="H24" i="1"/>
  <c r="H51" i="1"/>
  <c r="H6" i="1"/>
  <c r="H41" i="1"/>
  <c r="H19" i="1"/>
  <c r="H27" i="1"/>
  <c r="H55" i="1"/>
  <c r="H38" i="1"/>
  <c r="H54" i="1"/>
  <c r="H42" i="1"/>
  <c r="H13" i="1"/>
  <c r="H53" i="1"/>
  <c r="I10" i="1"/>
  <c r="H37" i="1"/>
  <c r="J49" i="1"/>
  <c r="H47" i="1"/>
  <c r="I49" i="1"/>
  <c r="I20" i="1"/>
  <c r="H16" i="1"/>
  <c r="J20" i="1"/>
  <c r="I28" i="1"/>
  <c r="H21" i="1"/>
  <c r="J28" i="1"/>
  <c r="J43" i="1"/>
  <c r="H39" i="1"/>
  <c r="I43" i="1"/>
  <c r="J55" i="1"/>
  <c r="H50" i="1"/>
  <c r="I55" i="1"/>
  <c r="I15" i="1"/>
  <c r="H11" i="1"/>
  <c r="J15" i="1"/>
  <c r="I33" i="1"/>
  <c r="H29" i="1"/>
  <c r="J33" i="1"/>
  <c r="J38" i="1"/>
  <c r="H4" i="1"/>
  <c r="H34" i="1"/>
  <c r="I38" i="1"/>
</calcChain>
</file>

<file path=xl/sharedStrings.xml><?xml version="1.0" encoding="utf-8"?>
<sst xmlns="http://schemas.openxmlformats.org/spreadsheetml/2006/main" count="46" uniqueCount="22">
  <si>
    <t>Date</t>
  </si>
  <si>
    <r>
      <t>[(</t>
    </r>
    <r>
      <rPr>
        <b/>
        <sz val="11"/>
        <color theme="1"/>
        <rFont val="Calibri"/>
        <family val="2"/>
      </rPr>
      <t>±</t>
    </r>
    <r>
      <rPr>
        <b/>
        <sz val="9.35"/>
        <color theme="1"/>
        <rFont val="Calibri"/>
        <family val="2"/>
      </rPr>
      <t>)-</t>
    </r>
    <r>
      <rPr>
        <b/>
        <sz val="11"/>
        <color theme="1"/>
        <rFont val="Calibri"/>
        <family val="2"/>
        <scheme val="minor"/>
      </rPr>
      <t>Blebbistatin] (µM)</t>
    </r>
  </si>
  <si>
    <t>c (m^-2)</t>
  </si>
  <si>
    <t>Mv (A.m-1)</t>
  </si>
  <si>
    <t>Gamma (mN/m)</t>
  </si>
  <si>
    <t>N</t>
  </si>
  <si>
    <r>
      <t>[(+</t>
    </r>
    <r>
      <rPr>
        <b/>
        <sz val="9.35"/>
        <color theme="1"/>
        <rFont val="Calibri"/>
        <family val="2"/>
      </rPr>
      <t>)-</t>
    </r>
    <r>
      <rPr>
        <b/>
        <sz val="11"/>
        <color theme="1"/>
        <rFont val="Calibri"/>
        <family val="2"/>
        <scheme val="minor"/>
      </rPr>
      <t>Blebbistatin] (µM)</t>
    </r>
  </si>
  <si>
    <t>[(+/-)-Blebbistatin] (µM)</t>
  </si>
  <si>
    <t>2L (pixels)</t>
  </si>
  <si>
    <t>2 L ( µm)</t>
  </si>
  <si>
    <t>L ( µm)</t>
  </si>
  <si>
    <t>R (µm)</t>
  </si>
  <si>
    <t>fv</t>
  </si>
  <si>
    <t>E (Pa)</t>
  </si>
  <si>
    <t>Aggregate</t>
  </si>
  <si>
    <t>c Average</t>
  </si>
  <si>
    <t>c standard deviation</t>
  </si>
  <si>
    <t>Gamma avg</t>
  </si>
  <si>
    <t>Gamma std</t>
  </si>
  <si>
    <t>fv (N.m^-3)</t>
  </si>
  <si>
    <t>E avg</t>
  </si>
  <si>
    <t>E std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</si>
</sst>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9.35"/>
      <color theme="1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6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1" fontId="4" fillId="0" borderId="7" xfId="0" applyNumberFormat="1" applyFont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1" fontId="4" fillId="0" borderId="12" xfId="0" applyNumberFormat="1" applyFont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1" fontId="1" fillId="2" borderId="13" xfId="0" applyNumberFormat="1" applyFont="1" applyFill="1" applyBorder="1" applyAlignment="1">
      <alignment horizontal="center" vertical="center"/>
    </xf>
    <xf numFmtId="1" fontId="1" fillId="2" borderId="14" xfId="0" applyNumberFormat="1" applyFont="1" applyFill="1" applyBorder="1" applyAlignment="1">
      <alignment horizontal="center" vertical="center"/>
    </xf>
    <xf numFmtId="1" fontId="1" fillId="2" borderId="10" xfId="0" applyNumberFormat="1" applyFont="1" applyFill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1" fontId="4" fillId="0" borderId="17" xfId="0" applyNumberFormat="1" applyFont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1" fontId="1" fillId="0" borderId="23" xfId="0" applyNumberFormat="1" applyFont="1" applyBorder="1" applyAlignment="1">
      <alignment horizontal="center" vertical="center"/>
    </xf>
    <xf numFmtId="1" fontId="1" fillId="0" borderId="24" xfId="0" applyNumberFormat="1" applyFont="1" applyBorder="1" applyAlignment="1">
      <alignment horizontal="center" vertical="center"/>
    </xf>
    <xf numFmtId="1" fontId="4" fillId="0" borderId="25" xfId="0" applyNumberFormat="1" applyFont="1" applyBorder="1" applyAlignment="1">
      <alignment horizontal="center" vertical="center"/>
    </xf>
    <xf numFmtId="1" fontId="1" fillId="0" borderId="26" xfId="0" applyNumberFormat="1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1" fontId="1" fillId="0" borderId="27" xfId="0" applyNumberFormat="1" applyFont="1" applyBorder="1" applyAlignment="1">
      <alignment horizontal="center" vertical="center"/>
    </xf>
    <xf numFmtId="1" fontId="4" fillId="0" borderId="23" xfId="0" applyNumberFormat="1" applyFont="1" applyBorder="1" applyAlignment="1">
      <alignment horizontal="center" vertical="center"/>
    </xf>
    <xf numFmtId="14" fontId="0" fillId="0" borderId="5" xfId="0" applyNumberFormat="1" applyBorder="1" applyAlignment="1">
      <alignment horizontal="center" vertical="center"/>
    </xf>
    <xf numFmtId="14" fontId="0" fillId="0" borderId="15" xfId="0" applyNumberForma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1" fontId="1" fillId="0" borderId="17" xfId="0" applyNumberFormat="1" applyFont="1" applyBorder="1" applyAlignment="1">
      <alignment horizontal="center" vertical="center"/>
    </xf>
    <xf numFmtId="1" fontId="1" fillId="0" borderId="28" xfId="0" applyNumberFormat="1" applyFont="1" applyBorder="1" applyAlignment="1">
      <alignment horizontal="center" vertical="center"/>
    </xf>
    <xf numFmtId="1" fontId="1" fillId="0" borderId="29" xfId="0" applyNumberFormat="1" applyFont="1" applyBorder="1" applyAlignment="1">
      <alignment horizontal="center" vertical="center"/>
    </xf>
    <xf numFmtId="1" fontId="1" fillId="0" borderId="15" xfId="0" applyNumberFormat="1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1" fontId="4" fillId="0" borderId="6" xfId="0" applyNumberFormat="1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1" fontId="4" fillId="0" borderId="11" xfId="0" applyNumberFormat="1" applyFont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1" fontId="4" fillId="0" borderId="22" xfId="0" applyNumberFormat="1" applyFont="1" applyBorder="1" applyAlignment="1">
      <alignment horizontal="center" vertical="center"/>
    </xf>
    <xf numFmtId="1" fontId="5" fillId="0" borderId="23" xfId="0" applyNumberFormat="1" applyFont="1" applyBorder="1" applyAlignment="1">
      <alignment horizontal="center" vertical="center"/>
    </xf>
    <xf numFmtId="1" fontId="5" fillId="0" borderId="24" xfId="0" applyNumberFormat="1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0" fillId="2" borderId="36" xfId="0" applyFill="1" applyBorder="1" applyAlignment="1">
      <alignment horizontal="center" vertical="center"/>
    </xf>
    <xf numFmtId="1" fontId="4" fillId="0" borderId="19" xfId="0" applyNumberFormat="1" applyFont="1" applyBorder="1" applyAlignment="1">
      <alignment horizontal="center" vertical="center"/>
    </xf>
    <xf numFmtId="0" fontId="0" fillId="2" borderId="37" xfId="0" applyFill="1" applyBorder="1" applyAlignment="1">
      <alignment horizontal="center" vertical="center"/>
    </xf>
    <xf numFmtId="0" fontId="0" fillId="2" borderId="35" xfId="0" applyFill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5" fillId="0" borderId="0" xfId="0" applyFont="1"/>
    <xf numFmtId="1" fontId="0" fillId="0" borderId="17" xfId="0" applyNumberFormat="1" applyBorder="1" applyAlignment="1">
      <alignment horizontal="center" vertical="center"/>
    </xf>
    <xf numFmtId="1" fontId="0" fillId="2" borderId="7" xfId="0" applyNumberFormat="1" applyFill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1" fontId="0" fillId="0" borderId="23" xfId="0" applyNumberFormat="1" applyBorder="1" applyAlignment="1">
      <alignment horizontal="center" vertical="center"/>
    </xf>
    <xf numFmtId="0" fontId="0" fillId="2" borderId="41" xfId="0" applyFill="1" applyBorder="1" applyAlignment="1">
      <alignment horizontal="center" vertical="center"/>
    </xf>
    <xf numFmtId="0" fontId="4" fillId="2" borderId="41" xfId="0" applyFont="1" applyFill="1" applyBorder="1" applyAlignment="1">
      <alignment horizontal="center" vertical="center"/>
    </xf>
    <xf numFmtId="1" fontId="0" fillId="0" borderId="12" xfId="0" applyNumberFormat="1" applyBorder="1" applyAlignment="1">
      <alignment horizontal="center" vertical="center"/>
    </xf>
    <xf numFmtId="1" fontId="4" fillId="0" borderId="18" xfId="0" applyNumberFormat="1" applyFont="1" applyBorder="1" applyAlignment="1">
      <alignment horizontal="center" vertical="center"/>
    </xf>
    <xf numFmtId="1" fontId="1" fillId="0" borderId="42" xfId="0" applyNumberFormat="1" applyFont="1" applyBorder="1" applyAlignment="1">
      <alignment horizontal="center" vertical="center"/>
    </xf>
    <xf numFmtId="0" fontId="4" fillId="2" borderId="43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35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1" fontId="0" fillId="0" borderId="7" xfId="0" applyNumberFormat="1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1" fontId="0" fillId="0" borderId="40" xfId="0" applyNumberFormat="1" applyBorder="1" applyAlignment="1">
      <alignment horizontal="center" vertical="center"/>
    </xf>
    <xf numFmtId="1" fontId="4" fillId="0" borderId="40" xfId="0" applyNumberFormat="1" applyFont="1" applyBorder="1" applyAlignment="1">
      <alignment horizontal="center" vertical="center"/>
    </xf>
    <xf numFmtId="14" fontId="0" fillId="0" borderId="26" xfId="0" applyNumberFormat="1" applyBorder="1" applyAlignment="1">
      <alignment horizontal="center" vertical="center"/>
    </xf>
    <xf numFmtId="1" fontId="0" fillId="0" borderId="19" xfId="0" applyNumberFormat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1" fontId="1" fillId="0" borderId="12" xfId="0" applyNumberFormat="1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1" fontId="0" fillId="0" borderId="18" xfId="0" applyNumberFormat="1" applyBorder="1" applyAlignment="1">
      <alignment horizontal="center" vertical="center"/>
    </xf>
    <xf numFmtId="1" fontId="0" fillId="0" borderId="22" xfId="0" applyNumberFormat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1" fontId="0" fillId="0" borderId="14" xfId="0" applyNumberFormat="1" applyBorder="1" applyAlignment="1">
      <alignment horizontal="center" vertical="center"/>
    </xf>
    <xf numFmtId="1" fontId="0" fillId="0" borderId="11" xfId="0" applyNumberFormat="1" applyBorder="1" applyAlignment="1">
      <alignment horizontal="center" vertical="center"/>
    </xf>
    <xf numFmtId="1" fontId="1" fillId="0" borderId="43" xfId="0" applyNumberFormat="1" applyFont="1" applyBorder="1" applyAlignment="1">
      <alignment horizontal="center" vertical="center"/>
    </xf>
    <xf numFmtId="1" fontId="0" fillId="0" borderId="48" xfId="0" applyNumberFormat="1" applyBorder="1" applyAlignment="1">
      <alignment horizontal="center" vertical="center"/>
    </xf>
    <xf numFmtId="0" fontId="0" fillId="2" borderId="49" xfId="0" applyFill="1" applyBorder="1" applyAlignment="1">
      <alignment horizontal="center" vertical="center"/>
    </xf>
    <xf numFmtId="0" fontId="0" fillId="2" borderId="50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1" fontId="1" fillId="0" borderId="7" xfId="0" applyNumberFormat="1" applyFont="1" applyBorder="1" applyAlignment="1">
      <alignment horizontal="center" vertical="center"/>
    </xf>
    <xf numFmtId="1" fontId="1" fillId="0" borderId="19" xfId="0" applyNumberFormat="1" applyFont="1" applyBorder="1" applyAlignment="1">
      <alignment horizontal="center" vertical="center"/>
    </xf>
    <xf numFmtId="1" fontId="1" fillId="0" borderId="37" xfId="0" applyNumberFormat="1" applyFont="1" applyBorder="1" applyAlignment="1">
      <alignment horizontal="center" vertical="center"/>
    </xf>
    <xf numFmtId="1" fontId="1" fillId="0" borderId="4" xfId="0" applyNumberFormat="1" applyFont="1" applyBorder="1" applyAlignment="1">
      <alignment horizontal="center" vertical="center"/>
    </xf>
    <xf numFmtId="1" fontId="1" fillId="0" borderId="53" xfId="0" applyNumberFormat="1" applyFont="1" applyBorder="1" applyAlignment="1">
      <alignment horizontal="center" vertical="center"/>
    </xf>
    <xf numFmtId="1" fontId="1" fillId="0" borderId="30" xfId="0" applyNumberFormat="1" applyFont="1" applyBorder="1" applyAlignment="1">
      <alignment horizontal="center" vertical="center"/>
    </xf>
    <xf numFmtId="1" fontId="0" fillId="0" borderId="31" xfId="0" applyNumberFormat="1" applyBorder="1" applyAlignment="1">
      <alignment horizontal="center" vertical="center"/>
    </xf>
    <xf numFmtId="1" fontId="0" fillId="0" borderId="8" xfId="0" applyNumberFormat="1" applyBorder="1" applyAlignment="1">
      <alignment horizontal="center" vertical="center"/>
    </xf>
    <xf numFmtId="1" fontId="1" fillId="0" borderId="54" xfId="0" applyNumberFormat="1" applyFont="1" applyBorder="1" applyAlignment="1">
      <alignment horizontal="center" vertical="center"/>
    </xf>
    <xf numFmtId="1" fontId="1" fillId="0" borderId="32" xfId="0" applyNumberFormat="1" applyFont="1" applyBorder="1" applyAlignment="1">
      <alignment horizontal="center" vertical="center"/>
    </xf>
    <xf numFmtId="1" fontId="0" fillId="0" borderId="20" xfId="0" applyNumberFormat="1" applyBorder="1" applyAlignment="1">
      <alignment horizontal="center" vertical="center"/>
    </xf>
    <xf numFmtId="1" fontId="0" fillId="0" borderId="13" xfId="0" applyNumberFormat="1" applyBorder="1" applyAlignment="1">
      <alignment horizontal="center" vertical="center"/>
    </xf>
    <xf numFmtId="1" fontId="1" fillId="0" borderId="55" xfId="0" applyNumberFormat="1" applyFont="1" applyBorder="1" applyAlignment="1">
      <alignment horizontal="center" vertical="center"/>
    </xf>
    <xf numFmtId="1" fontId="1" fillId="0" borderId="56" xfId="0" applyNumberFormat="1" applyFont="1" applyBorder="1" applyAlignment="1">
      <alignment horizontal="center" vertical="center"/>
    </xf>
    <xf numFmtId="1" fontId="0" fillId="0" borderId="25" xfId="0" applyNumberFormat="1" applyBorder="1" applyAlignment="1">
      <alignment horizontal="center" vertical="center"/>
    </xf>
    <xf numFmtId="1" fontId="0" fillId="0" borderId="27" xfId="0" applyNumberFormat="1" applyBorder="1" applyAlignment="1">
      <alignment horizontal="center" vertical="center"/>
    </xf>
    <xf numFmtId="1" fontId="1" fillId="0" borderId="48" xfId="0" applyNumberFormat="1" applyFont="1" applyBorder="1" applyAlignment="1">
      <alignment horizontal="center" vertical="center"/>
    </xf>
    <xf numFmtId="1" fontId="0" fillId="0" borderId="39" xfId="0" applyNumberFormat="1" applyBorder="1" applyAlignment="1">
      <alignment horizontal="center" vertical="center"/>
    </xf>
    <xf numFmtId="1" fontId="1" fillId="0" borderId="11" xfId="0" applyNumberFormat="1" applyFont="1" applyBorder="1" applyAlignment="1">
      <alignment horizontal="center" vertical="center"/>
    </xf>
    <xf numFmtId="1" fontId="0" fillId="0" borderId="36" xfId="0" applyNumberFormat="1" applyBorder="1" applyAlignment="1">
      <alignment horizontal="center" vertical="center"/>
    </xf>
    <xf numFmtId="1" fontId="1" fillId="0" borderId="22" xfId="0" applyNumberFormat="1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56" xfId="0" applyFont="1" applyBorder="1" applyAlignment="1">
      <alignment horizontal="center" vertical="center"/>
    </xf>
    <xf numFmtId="14" fontId="0" fillId="0" borderId="26" xfId="0" applyNumberFormat="1" applyBorder="1" applyAlignment="1">
      <alignment horizontal="center" vertical="center"/>
    </xf>
    <xf numFmtId="14" fontId="0" fillId="0" borderId="5" xfId="0" applyNumberFormat="1" applyBorder="1" applyAlignment="1">
      <alignment horizontal="center" vertical="center"/>
    </xf>
    <xf numFmtId="14" fontId="0" fillId="0" borderId="10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4" fontId="0" fillId="0" borderId="15" xfId="0" applyNumberFormat="1" applyBorder="1" applyAlignment="1">
      <alignment horizontal="center" vertical="center"/>
    </xf>
    <xf numFmtId="14" fontId="0" fillId="0" borderId="26" xfId="0" applyNumberFormat="1" applyBorder="1" applyAlignment="1">
      <alignment horizontal="center" vertical="center"/>
    </xf>
    <xf numFmtId="14" fontId="0" fillId="0" borderId="30" xfId="0" applyNumberFormat="1" applyBorder="1" applyAlignment="1">
      <alignment horizontal="center" vertical="center"/>
    </xf>
    <xf numFmtId="14" fontId="0" fillId="0" borderId="32" xfId="0" applyNumberFormat="1" applyBorder="1" applyAlignment="1">
      <alignment horizontal="center" vertical="center"/>
    </xf>
    <xf numFmtId="14" fontId="0" fillId="0" borderId="33" xfId="0" applyNumberFormat="1" applyBorder="1" applyAlignment="1">
      <alignment horizontal="center" vertical="center"/>
    </xf>
    <xf numFmtId="14" fontId="0" fillId="0" borderId="21" xfId="0" applyNumberFormat="1" applyBorder="1" applyAlignment="1">
      <alignment horizontal="center" vertical="center"/>
    </xf>
    <xf numFmtId="14" fontId="0" fillId="0" borderId="34" xfId="0" applyNumberFormat="1" applyBorder="1" applyAlignment="1">
      <alignment horizontal="center" vertical="center"/>
    </xf>
    <xf numFmtId="14" fontId="0" fillId="0" borderId="35" xfId="0" applyNumberForma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14" fontId="0" fillId="0" borderId="51" xfId="0" applyNumberFormat="1" applyBorder="1" applyAlignment="1">
      <alignment horizontal="center" vertical="center"/>
    </xf>
    <xf numFmtId="14" fontId="0" fillId="0" borderId="52" xfId="0" applyNumberFormat="1" applyBorder="1" applyAlignment="1">
      <alignment horizontal="center" vertical="center"/>
    </xf>
    <xf numFmtId="0" fontId="0" fillId="0" borderId="26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v>(+/-)-Blebbistatin</c:v>
          </c:tx>
          <c:spPr>
            <a:ln w="28575" cap="rnd">
              <a:noFill/>
              <a:round/>
            </a:ln>
            <a:effectLst/>
          </c:spPr>
          <c:marker>
            <c:symbol val="x"/>
            <c:size val="6"/>
            <c:spPr>
              <a:noFill/>
              <a:ln w="9525">
                <a:solidFill>
                  <a:srgbClr val="FF0000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'[1]Tension de surface'!$J$428:$J$468</c:f>
                <c:numCache>
                  <c:formatCode>General</c:formatCode>
                  <c:ptCount val="41"/>
                  <c:pt idx="7">
                    <c:v>57.988767103122917</c:v>
                  </c:pt>
                  <c:pt idx="12">
                    <c:v>19.606246932543836</c:v>
                  </c:pt>
                  <c:pt idx="17">
                    <c:v>21.000515291823344</c:v>
                  </c:pt>
                  <c:pt idx="25">
                    <c:v>14.018353770383673</c:v>
                  </c:pt>
                  <c:pt idx="30">
                    <c:v>3.5902512992755553</c:v>
                  </c:pt>
                  <c:pt idx="35">
                    <c:v>5.2218415440517383</c:v>
                  </c:pt>
                  <c:pt idx="40">
                    <c:v>4.0915023251850497</c:v>
                  </c:pt>
                </c:numCache>
              </c:numRef>
            </c:plus>
            <c:minus>
              <c:numRef>
                <c:f>'[1]Tension de surface'!$J$428:$J$468</c:f>
                <c:numCache>
                  <c:formatCode>General</c:formatCode>
                  <c:ptCount val="41"/>
                  <c:pt idx="7">
                    <c:v>57.988767103122917</c:v>
                  </c:pt>
                  <c:pt idx="12">
                    <c:v>19.606246932543836</c:v>
                  </c:pt>
                  <c:pt idx="17">
                    <c:v>21.000515291823344</c:v>
                  </c:pt>
                  <c:pt idx="25">
                    <c:v>14.018353770383673</c:v>
                  </c:pt>
                  <c:pt idx="30">
                    <c:v>3.5902512992755553</c:v>
                  </c:pt>
                  <c:pt idx="35">
                    <c:v>5.2218415440517383</c:v>
                  </c:pt>
                  <c:pt idx="40">
                    <c:v>4.0915023251850497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'[1]Tension de surface'!$B$428:$B$468</c:f>
              <c:numCache>
                <c:formatCode>General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5</c:v>
                </c:pt>
                <c:pt idx="9">
                  <c:v>5</c:v>
                </c:pt>
                <c:pt idx="10">
                  <c:v>5</c:v>
                </c:pt>
                <c:pt idx="11">
                  <c:v>5</c:v>
                </c:pt>
                <c:pt idx="12">
                  <c:v>5</c:v>
                </c:pt>
                <c:pt idx="13">
                  <c:v>10</c:v>
                </c:pt>
                <c:pt idx="14">
                  <c:v>10</c:v>
                </c:pt>
                <c:pt idx="15">
                  <c:v>10</c:v>
                </c:pt>
                <c:pt idx="16">
                  <c:v>10</c:v>
                </c:pt>
                <c:pt idx="17">
                  <c:v>10</c:v>
                </c:pt>
                <c:pt idx="18">
                  <c:v>20</c:v>
                </c:pt>
                <c:pt idx="19">
                  <c:v>20</c:v>
                </c:pt>
                <c:pt idx="20">
                  <c:v>20</c:v>
                </c:pt>
                <c:pt idx="21">
                  <c:v>20</c:v>
                </c:pt>
                <c:pt idx="22">
                  <c:v>20</c:v>
                </c:pt>
                <c:pt idx="23">
                  <c:v>20</c:v>
                </c:pt>
                <c:pt idx="24">
                  <c:v>20</c:v>
                </c:pt>
                <c:pt idx="25">
                  <c:v>20</c:v>
                </c:pt>
                <c:pt idx="26">
                  <c:v>40</c:v>
                </c:pt>
                <c:pt idx="27">
                  <c:v>40</c:v>
                </c:pt>
                <c:pt idx="28">
                  <c:v>40</c:v>
                </c:pt>
                <c:pt idx="29">
                  <c:v>40</c:v>
                </c:pt>
                <c:pt idx="30">
                  <c:v>40</c:v>
                </c:pt>
                <c:pt idx="31">
                  <c:v>80</c:v>
                </c:pt>
                <c:pt idx="32">
                  <c:v>80</c:v>
                </c:pt>
                <c:pt idx="33">
                  <c:v>80</c:v>
                </c:pt>
                <c:pt idx="34">
                  <c:v>80</c:v>
                </c:pt>
                <c:pt idx="35">
                  <c:v>80</c:v>
                </c:pt>
                <c:pt idx="36">
                  <c:v>160</c:v>
                </c:pt>
                <c:pt idx="37">
                  <c:v>160</c:v>
                </c:pt>
                <c:pt idx="38">
                  <c:v>160</c:v>
                </c:pt>
                <c:pt idx="39">
                  <c:v>160</c:v>
                </c:pt>
                <c:pt idx="40">
                  <c:v>160</c:v>
                </c:pt>
              </c:numCache>
            </c:numRef>
          </c:xVal>
          <c:yVal>
            <c:numRef>
              <c:f>'[1]Tension de surface'!$I$428:$I$468</c:f>
              <c:numCache>
                <c:formatCode>General</c:formatCode>
                <c:ptCount val="41"/>
                <c:pt idx="7" formatCode="0">
                  <c:v>178.83809433916522</c:v>
                </c:pt>
                <c:pt idx="12" formatCode="0">
                  <c:v>160.41835141599151</c:v>
                </c:pt>
                <c:pt idx="17" formatCode="0">
                  <c:v>92.306712787158418</c:v>
                </c:pt>
                <c:pt idx="25" formatCode="0">
                  <c:v>52.965375847382219</c:v>
                </c:pt>
                <c:pt idx="30" formatCode="0">
                  <c:v>28.738200200300962</c:v>
                </c:pt>
                <c:pt idx="35" formatCode="0">
                  <c:v>16.147299756759978</c:v>
                </c:pt>
                <c:pt idx="40" formatCode="0">
                  <c:v>14.959842315577419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6FE-443B-A959-642807078BC5}"/>
            </c:ext>
          </c:extLst>
        </c:ser>
        <c:ser>
          <c:idx val="1"/>
          <c:order val="1"/>
          <c:tx>
            <c:v>(+)-Blebbistatin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7"/>
            <c:spPr>
              <a:solidFill>
                <a:schemeClr val="accent1"/>
              </a:solidFill>
              <a:ln w="9525">
                <a:noFill/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'[1]Tension de surface'!$J$476:$J$484</c:f>
                <c:numCache>
                  <c:formatCode>General</c:formatCode>
                  <c:ptCount val="9"/>
                  <c:pt idx="2">
                    <c:v>81.774573519909552</c:v>
                  </c:pt>
                  <c:pt idx="8">
                    <c:v>80.075550317604879</c:v>
                  </c:pt>
                </c:numCache>
              </c:numRef>
            </c:plus>
            <c:minus>
              <c:numRef>
                <c:f>'[1]Tension de surface'!$J$476:$J$484</c:f>
                <c:numCache>
                  <c:formatCode>General</c:formatCode>
                  <c:ptCount val="9"/>
                  <c:pt idx="2">
                    <c:v>81.774573519909552</c:v>
                  </c:pt>
                  <c:pt idx="8">
                    <c:v>80.075550317604879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errBars>
            <c:errDir val="x"/>
            <c:errBarType val="both"/>
            <c:errValType val="fixedVal"/>
            <c:noEndCap val="0"/>
            <c:val val="0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'[1]Tension de surface'!$B$476:$B$484</c:f>
              <c:numCache>
                <c:formatCode>General</c:formatCode>
                <c:ptCount val="9"/>
                <c:pt idx="0">
                  <c:v>80</c:v>
                </c:pt>
                <c:pt idx="1">
                  <c:v>80</c:v>
                </c:pt>
                <c:pt idx="2">
                  <c:v>80</c:v>
                </c:pt>
                <c:pt idx="3">
                  <c:v>160</c:v>
                </c:pt>
                <c:pt idx="4">
                  <c:v>160</c:v>
                </c:pt>
                <c:pt idx="5">
                  <c:v>160</c:v>
                </c:pt>
                <c:pt idx="6">
                  <c:v>160</c:v>
                </c:pt>
                <c:pt idx="7">
                  <c:v>160</c:v>
                </c:pt>
                <c:pt idx="8">
                  <c:v>160</c:v>
                </c:pt>
              </c:numCache>
            </c:numRef>
          </c:xVal>
          <c:yVal>
            <c:numRef>
              <c:f>'[1]Tension de surface'!$I$476:$I$484</c:f>
              <c:numCache>
                <c:formatCode>General</c:formatCode>
                <c:ptCount val="9"/>
                <c:pt idx="2" formatCode="0">
                  <c:v>179.29048760697572</c:v>
                </c:pt>
                <c:pt idx="8" formatCode="0">
                  <c:v>226.35607391008782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6FE-443B-A959-642807078B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44660880"/>
        <c:axId val="78471040"/>
      </c:scatterChart>
      <c:valAx>
        <c:axId val="7446608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 b="0" i="0" u="none" strike="noStrike" baseline="0">
                    <a:effectLst/>
                  </a:rPr>
                  <a:t>[Blebbistatin] (µM)</a:t>
                </a:r>
                <a:endParaRPr lang="fr-FR" sz="1600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78471040"/>
        <c:crosses val="autoZero"/>
        <c:crossBetween val="midCat"/>
      </c:valAx>
      <c:valAx>
        <c:axId val="78471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 baseline="0"/>
                  <a:t>Surface tension </a:t>
                </a:r>
                <a:r>
                  <a:rPr lang="el-GR" sz="1600" baseline="0"/>
                  <a:t>γ</a:t>
                </a:r>
                <a:r>
                  <a:rPr lang="fr-FR" sz="1600" baseline="0"/>
                  <a:t> (mN/m)</a:t>
                </a:r>
                <a:endParaRPr lang="en-US" sz="1600" baseline="0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74466088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v>(+/-)-Blebbistatin</c:v>
          </c:tx>
          <c:spPr>
            <a:ln w="19050" cap="rnd">
              <a:solidFill>
                <a:srgbClr val="00B050"/>
              </a:solidFill>
              <a:round/>
            </a:ln>
            <a:effectLst/>
          </c:spPr>
          <c:marker>
            <c:symbol val="x"/>
            <c:size val="8"/>
            <c:spPr>
              <a:noFill/>
              <a:ln w="19050">
                <a:solidFill>
                  <a:srgbClr val="00B050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'[1]Module d''Young E'!$K$28:$K$68</c:f>
                <c:numCache>
                  <c:formatCode>General</c:formatCode>
                  <c:ptCount val="41"/>
                  <c:pt idx="7">
                    <c:v>448.246939587349</c:v>
                  </c:pt>
                  <c:pt idx="12">
                    <c:v>172.56787065897723</c:v>
                  </c:pt>
                  <c:pt idx="17">
                    <c:v>155.28118453215845</c:v>
                  </c:pt>
                  <c:pt idx="25">
                    <c:v>172.73705925883698</c:v>
                  </c:pt>
                  <c:pt idx="30">
                    <c:v>16.58641741245933</c:v>
                  </c:pt>
                  <c:pt idx="35">
                    <c:v>17.728482668613452</c:v>
                  </c:pt>
                  <c:pt idx="40">
                    <c:v>21.271572952985878</c:v>
                  </c:pt>
                </c:numCache>
              </c:numRef>
            </c:plus>
            <c:minus>
              <c:numRef>
                <c:f>'[1]Module d''Young E'!$K$28:$K$68</c:f>
                <c:numCache>
                  <c:formatCode>General</c:formatCode>
                  <c:ptCount val="41"/>
                  <c:pt idx="7">
                    <c:v>448.246939587349</c:v>
                  </c:pt>
                  <c:pt idx="12">
                    <c:v>172.56787065897723</c:v>
                  </c:pt>
                  <c:pt idx="17">
                    <c:v>155.28118453215845</c:v>
                  </c:pt>
                  <c:pt idx="25">
                    <c:v>172.73705925883698</c:v>
                  </c:pt>
                  <c:pt idx="30">
                    <c:v>16.58641741245933</c:v>
                  </c:pt>
                  <c:pt idx="35">
                    <c:v>17.728482668613452</c:v>
                  </c:pt>
                  <c:pt idx="40">
                    <c:v>21.271572952985878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'[1]Module d''Young E'!$B$28:$B$68</c:f>
              <c:numCache>
                <c:formatCode>General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5</c:v>
                </c:pt>
                <c:pt idx="9">
                  <c:v>5</c:v>
                </c:pt>
                <c:pt idx="10">
                  <c:v>5</c:v>
                </c:pt>
                <c:pt idx="11">
                  <c:v>5</c:v>
                </c:pt>
                <c:pt idx="12">
                  <c:v>5</c:v>
                </c:pt>
                <c:pt idx="13">
                  <c:v>10</c:v>
                </c:pt>
                <c:pt idx="14">
                  <c:v>10</c:v>
                </c:pt>
                <c:pt idx="15">
                  <c:v>10</c:v>
                </c:pt>
                <c:pt idx="16">
                  <c:v>10</c:v>
                </c:pt>
                <c:pt idx="17">
                  <c:v>10</c:v>
                </c:pt>
                <c:pt idx="18">
                  <c:v>20</c:v>
                </c:pt>
                <c:pt idx="19">
                  <c:v>20</c:v>
                </c:pt>
                <c:pt idx="20">
                  <c:v>20</c:v>
                </c:pt>
                <c:pt idx="21">
                  <c:v>20</c:v>
                </c:pt>
                <c:pt idx="22">
                  <c:v>20</c:v>
                </c:pt>
                <c:pt idx="23">
                  <c:v>20</c:v>
                </c:pt>
                <c:pt idx="24">
                  <c:v>20</c:v>
                </c:pt>
                <c:pt idx="25">
                  <c:v>20</c:v>
                </c:pt>
                <c:pt idx="26">
                  <c:v>40</c:v>
                </c:pt>
                <c:pt idx="27">
                  <c:v>40</c:v>
                </c:pt>
                <c:pt idx="28">
                  <c:v>40</c:v>
                </c:pt>
                <c:pt idx="29">
                  <c:v>40</c:v>
                </c:pt>
                <c:pt idx="30">
                  <c:v>40</c:v>
                </c:pt>
                <c:pt idx="31">
                  <c:v>80</c:v>
                </c:pt>
                <c:pt idx="32">
                  <c:v>80</c:v>
                </c:pt>
                <c:pt idx="33">
                  <c:v>80</c:v>
                </c:pt>
                <c:pt idx="34">
                  <c:v>80</c:v>
                </c:pt>
                <c:pt idx="35">
                  <c:v>80</c:v>
                </c:pt>
                <c:pt idx="36">
                  <c:v>160</c:v>
                </c:pt>
                <c:pt idx="37">
                  <c:v>160</c:v>
                </c:pt>
                <c:pt idx="38">
                  <c:v>160</c:v>
                </c:pt>
                <c:pt idx="39">
                  <c:v>160</c:v>
                </c:pt>
                <c:pt idx="40">
                  <c:v>160</c:v>
                </c:pt>
              </c:numCache>
            </c:numRef>
          </c:xVal>
          <c:yVal>
            <c:numRef>
              <c:f>'[1]Module d''Young E'!$J$28:$J$68</c:f>
              <c:numCache>
                <c:formatCode>General</c:formatCode>
                <c:ptCount val="41"/>
                <c:pt idx="7" formatCode="0">
                  <c:v>1323.6278458649433</c:v>
                </c:pt>
                <c:pt idx="12" formatCode="0">
                  <c:v>751.47509373599587</c:v>
                </c:pt>
                <c:pt idx="17" formatCode="0">
                  <c:v>596.57444101035821</c:v>
                </c:pt>
                <c:pt idx="25" formatCode="0">
                  <c:v>379.44564074569155</c:v>
                </c:pt>
                <c:pt idx="30" formatCode="0">
                  <c:v>165.02104324843884</c:v>
                </c:pt>
                <c:pt idx="35" formatCode="0">
                  <c:v>88.119951698081039</c:v>
                </c:pt>
                <c:pt idx="40" formatCode="0">
                  <c:v>79.81807963148988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B9F-410F-9247-C76777A2CD89}"/>
            </c:ext>
          </c:extLst>
        </c:ser>
        <c:ser>
          <c:idx val="1"/>
          <c:order val="1"/>
          <c:tx>
            <c:v>(+)-Blebbistatin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'[1]Module d''Young E'!$K$73:$K$81</c:f>
                <c:numCache>
                  <c:formatCode>General</c:formatCode>
                  <c:ptCount val="9"/>
                  <c:pt idx="2">
                    <c:v>295.93692626424041</c:v>
                  </c:pt>
                  <c:pt idx="8">
                    <c:v>343.47871091388527</c:v>
                  </c:pt>
                </c:numCache>
              </c:numRef>
            </c:plus>
            <c:minus>
              <c:numRef>
                <c:f>'[1]Module d''Young E'!$K$73:$K$81</c:f>
                <c:numCache>
                  <c:formatCode>General</c:formatCode>
                  <c:ptCount val="9"/>
                  <c:pt idx="2">
                    <c:v>295.93692626424041</c:v>
                  </c:pt>
                  <c:pt idx="8">
                    <c:v>343.47871091388527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'[1]Module d''Young E'!$B$73:$B$81</c:f>
              <c:numCache>
                <c:formatCode>0</c:formatCode>
                <c:ptCount val="9"/>
                <c:pt idx="0">
                  <c:v>80</c:v>
                </c:pt>
                <c:pt idx="1">
                  <c:v>80</c:v>
                </c:pt>
                <c:pt idx="2">
                  <c:v>80</c:v>
                </c:pt>
                <c:pt idx="3">
                  <c:v>160</c:v>
                </c:pt>
                <c:pt idx="4">
                  <c:v>160</c:v>
                </c:pt>
                <c:pt idx="5">
                  <c:v>160</c:v>
                </c:pt>
                <c:pt idx="6">
                  <c:v>160</c:v>
                </c:pt>
                <c:pt idx="7">
                  <c:v>160</c:v>
                </c:pt>
                <c:pt idx="8">
                  <c:v>160</c:v>
                </c:pt>
              </c:numCache>
            </c:numRef>
          </c:xVal>
          <c:yVal>
            <c:numRef>
              <c:f>'[1]Module d''Young E'!$J$73:$J$81</c:f>
              <c:numCache>
                <c:formatCode>General</c:formatCode>
                <c:ptCount val="9"/>
                <c:pt idx="2" formatCode="0">
                  <c:v>1854.8541548028904</c:v>
                </c:pt>
                <c:pt idx="8" formatCode="0">
                  <c:v>1850.7065230911467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B9F-410F-9247-C76777A2CD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53590928"/>
        <c:axId val="954019696"/>
      </c:scatterChart>
      <c:valAx>
        <c:axId val="9535909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400"/>
                  <a:t>[Blebbistatin] (µM)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954019696"/>
        <c:crosses val="autoZero"/>
        <c:crossBetween val="midCat"/>
      </c:valAx>
      <c:valAx>
        <c:axId val="9540196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400"/>
                  <a:t>Young modulus</a:t>
                </a:r>
                <a:r>
                  <a:rPr lang="fr-FR" sz="1400" baseline="0"/>
                  <a:t> E (Pa)</a:t>
                </a:r>
                <a:endParaRPr lang="fr-FR" sz="1400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95359092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98611</xdr:colOff>
      <xdr:row>14</xdr:row>
      <xdr:rowOff>56713</xdr:rowOff>
    </xdr:from>
    <xdr:to>
      <xdr:col>20</xdr:col>
      <xdr:colOff>322728</xdr:colOff>
      <xdr:row>40</xdr:row>
      <xdr:rowOff>71719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206FC1DE-C3D8-46BB-A8CF-91B16D8165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68580</xdr:colOff>
      <xdr:row>7</xdr:row>
      <xdr:rowOff>26670</xdr:rowOff>
    </xdr:from>
    <xdr:to>
      <xdr:col>21</xdr:col>
      <xdr:colOff>335280</xdr:colOff>
      <xdr:row>27</xdr:row>
      <xdr:rowOff>147066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AD72D308-70C9-48C2-B0F9-9BE066CBC1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anip/Cahier%202%20Z060470%20IN/200313%20-%20Tension%20surf%20C2C12%20WT%2010-20-40-80-160%20&#181;M%20Blebbistatin/200313%20-%20Tension%20surf%20C2C12%20WT%2010-20-40-80-160%20&#181;M%20Blebbistati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nsion de surface"/>
      <sheetName val="Module d'Young E"/>
      <sheetName val="Recap erreur"/>
    </sheetNames>
    <sheetDataSet>
      <sheetData sheetId="0">
        <row r="428">
          <cell r="B428">
            <v>0</v>
          </cell>
        </row>
        <row r="429">
          <cell r="B429">
            <v>0</v>
          </cell>
        </row>
        <row r="430">
          <cell r="B430">
            <v>0</v>
          </cell>
        </row>
        <row r="431">
          <cell r="B431">
            <v>0</v>
          </cell>
        </row>
        <row r="432">
          <cell r="B432">
            <v>0</v>
          </cell>
        </row>
        <row r="433">
          <cell r="B433">
            <v>0</v>
          </cell>
        </row>
        <row r="434">
          <cell r="B434">
            <v>0</v>
          </cell>
        </row>
        <row r="435">
          <cell r="B435">
            <v>0</v>
          </cell>
          <cell r="I435">
            <v>178.83809433916522</v>
          </cell>
          <cell r="J435">
            <v>57.988767103122917</v>
          </cell>
        </row>
        <row r="436">
          <cell r="B436">
            <v>5</v>
          </cell>
        </row>
        <row r="437">
          <cell r="B437">
            <v>5</v>
          </cell>
        </row>
        <row r="438">
          <cell r="B438">
            <v>5</v>
          </cell>
        </row>
        <row r="439">
          <cell r="B439">
            <v>5</v>
          </cell>
        </row>
        <row r="440">
          <cell r="B440">
            <v>5</v>
          </cell>
          <cell r="I440">
            <v>160.41835141599151</v>
          </cell>
          <cell r="J440">
            <v>19.606246932543836</v>
          </cell>
        </row>
        <row r="441">
          <cell r="B441">
            <v>10</v>
          </cell>
        </row>
        <row r="442">
          <cell r="B442">
            <v>10</v>
          </cell>
        </row>
        <row r="443">
          <cell r="B443">
            <v>10</v>
          </cell>
        </row>
        <row r="444">
          <cell r="B444">
            <v>10</v>
          </cell>
        </row>
        <row r="445">
          <cell r="B445">
            <v>10</v>
          </cell>
          <cell r="I445">
            <v>92.306712787158418</v>
          </cell>
          <cell r="J445">
            <v>21.000515291823344</v>
          </cell>
        </row>
        <row r="446">
          <cell r="B446">
            <v>20</v>
          </cell>
        </row>
        <row r="447">
          <cell r="B447">
            <v>20</v>
          </cell>
        </row>
        <row r="448">
          <cell r="B448">
            <v>20</v>
          </cell>
        </row>
        <row r="449">
          <cell r="B449">
            <v>20</v>
          </cell>
        </row>
        <row r="450">
          <cell r="B450">
            <v>20</v>
          </cell>
        </row>
        <row r="451">
          <cell r="B451">
            <v>20</v>
          </cell>
        </row>
        <row r="452">
          <cell r="B452">
            <v>20</v>
          </cell>
        </row>
        <row r="453">
          <cell r="B453">
            <v>20</v>
          </cell>
          <cell r="I453">
            <v>52.965375847382219</v>
          </cell>
          <cell r="J453">
            <v>14.018353770383673</v>
          </cell>
        </row>
        <row r="454">
          <cell r="B454">
            <v>40</v>
          </cell>
        </row>
        <row r="455">
          <cell r="B455">
            <v>40</v>
          </cell>
        </row>
        <row r="456">
          <cell r="B456">
            <v>40</v>
          </cell>
        </row>
        <row r="457">
          <cell r="B457">
            <v>40</v>
          </cell>
        </row>
        <row r="458">
          <cell r="B458">
            <v>40</v>
          </cell>
          <cell r="I458">
            <v>28.738200200300962</v>
          </cell>
          <cell r="J458">
            <v>3.5902512992755553</v>
          </cell>
        </row>
        <row r="459">
          <cell r="B459">
            <v>80</v>
          </cell>
        </row>
        <row r="460">
          <cell r="B460">
            <v>80</v>
          </cell>
        </row>
        <row r="461">
          <cell r="B461">
            <v>80</v>
          </cell>
        </row>
        <row r="462">
          <cell r="B462">
            <v>80</v>
          </cell>
        </row>
        <row r="463">
          <cell r="B463">
            <v>80</v>
          </cell>
          <cell r="I463">
            <v>16.147299756759978</v>
          </cell>
          <cell r="J463">
            <v>5.2218415440517383</v>
          </cell>
        </row>
        <row r="464">
          <cell r="B464">
            <v>160</v>
          </cell>
        </row>
        <row r="465">
          <cell r="B465">
            <v>160</v>
          </cell>
        </row>
        <row r="466">
          <cell r="B466">
            <v>160</v>
          </cell>
        </row>
        <row r="467">
          <cell r="B467">
            <v>160</v>
          </cell>
        </row>
        <row r="468">
          <cell r="B468">
            <v>160</v>
          </cell>
          <cell r="I468">
            <v>14.959842315577419</v>
          </cell>
          <cell r="J468">
            <v>4.0915023251850497</v>
          </cell>
        </row>
        <row r="476">
          <cell r="B476">
            <v>80</v>
          </cell>
        </row>
        <row r="477">
          <cell r="B477">
            <v>80</v>
          </cell>
        </row>
        <row r="478">
          <cell r="B478">
            <v>80</v>
          </cell>
          <cell r="I478">
            <v>179.29048760697572</v>
          </cell>
          <cell r="J478">
            <v>81.774573519909552</v>
          </cell>
        </row>
        <row r="479">
          <cell r="B479">
            <v>160</v>
          </cell>
        </row>
        <row r="480">
          <cell r="B480">
            <v>160</v>
          </cell>
        </row>
        <row r="481">
          <cell r="B481">
            <v>160</v>
          </cell>
        </row>
        <row r="482">
          <cell r="B482">
            <v>160</v>
          </cell>
        </row>
        <row r="483">
          <cell r="B483">
            <v>160</v>
          </cell>
        </row>
        <row r="484">
          <cell r="B484">
            <v>160</v>
          </cell>
          <cell r="I484">
            <v>226.35607391008782</v>
          </cell>
          <cell r="J484">
            <v>80.075550317604879</v>
          </cell>
        </row>
      </sheetData>
      <sheetData sheetId="1">
        <row r="28">
          <cell r="B28">
            <v>0</v>
          </cell>
        </row>
        <row r="29">
          <cell r="B29">
            <v>0</v>
          </cell>
        </row>
        <row r="30">
          <cell r="B30">
            <v>0</v>
          </cell>
        </row>
        <row r="31">
          <cell r="B31">
            <v>0</v>
          </cell>
        </row>
        <row r="32">
          <cell r="B32">
            <v>0</v>
          </cell>
        </row>
        <row r="33">
          <cell r="B33">
            <v>0</v>
          </cell>
        </row>
        <row r="34">
          <cell r="B34">
            <v>0</v>
          </cell>
        </row>
        <row r="35">
          <cell r="B35">
            <v>0</v>
          </cell>
          <cell r="J35">
            <v>1323.6278458649433</v>
          </cell>
          <cell r="K35">
            <v>448.246939587349</v>
          </cell>
        </row>
        <row r="36">
          <cell r="B36">
            <v>5</v>
          </cell>
        </row>
        <row r="37">
          <cell r="B37">
            <v>5</v>
          </cell>
        </row>
        <row r="38">
          <cell r="B38">
            <v>5</v>
          </cell>
        </row>
        <row r="39">
          <cell r="B39">
            <v>5</v>
          </cell>
        </row>
        <row r="40">
          <cell r="B40">
            <v>5</v>
          </cell>
          <cell r="J40">
            <v>751.47509373599587</v>
          </cell>
          <cell r="K40">
            <v>172.56787065897723</v>
          </cell>
        </row>
        <row r="41">
          <cell r="B41">
            <v>10</v>
          </cell>
        </row>
        <row r="42">
          <cell r="B42">
            <v>10</v>
          </cell>
        </row>
        <row r="43">
          <cell r="B43">
            <v>10</v>
          </cell>
        </row>
        <row r="44">
          <cell r="B44">
            <v>10</v>
          </cell>
        </row>
        <row r="45">
          <cell r="B45">
            <v>10</v>
          </cell>
          <cell r="J45">
            <v>596.57444101035821</v>
          </cell>
          <cell r="K45">
            <v>155.28118453215845</v>
          </cell>
        </row>
        <row r="46">
          <cell r="B46">
            <v>20</v>
          </cell>
        </row>
        <row r="47">
          <cell r="B47">
            <v>20</v>
          </cell>
        </row>
        <row r="48">
          <cell r="B48">
            <v>20</v>
          </cell>
        </row>
        <row r="49">
          <cell r="B49">
            <v>20</v>
          </cell>
        </row>
        <row r="50">
          <cell r="B50">
            <v>20</v>
          </cell>
        </row>
        <row r="51">
          <cell r="B51">
            <v>20</v>
          </cell>
        </row>
        <row r="52">
          <cell r="B52">
            <v>20</v>
          </cell>
        </row>
        <row r="53">
          <cell r="B53">
            <v>20</v>
          </cell>
          <cell r="J53">
            <v>379.44564074569155</v>
          </cell>
          <cell r="K53">
            <v>172.73705925883698</v>
          </cell>
        </row>
        <row r="54">
          <cell r="B54">
            <v>40</v>
          </cell>
        </row>
        <row r="55">
          <cell r="B55">
            <v>40</v>
          </cell>
        </row>
        <row r="56">
          <cell r="B56">
            <v>40</v>
          </cell>
        </row>
        <row r="57">
          <cell r="B57">
            <v>40</v>
          </cell>
        </row>
        <row r="58">
          <cell r="B58">
            <v>40</v>
          </cell>
          <cell r="J58">
            <v>165.02104324843884</v>
          </cell>
          <cell r="K58">
            <v>16.58641741245933</v>
          </cell>
        </row>
        <row r="59">
          <cell r="B59">
            <v>80</v>
          </cell>
        </row>
        <row r="60">
          <cell r="B60">
            <v>80</v>
          </cell>
        </row>
        <row r="61">
          <cell r="B61">
            <v>80</v>
          </cell>
        </row>
        <row r="62">
          <cell r="B62">
            <v>80</v>
          </cell>
        </row>
        <row r="63">
          <cell r="B63">
            <v>80</v>
          </cell>
          <cell r="J63">
            <v>88.119951698081039</v>
          </cell>
          <cell r="K63">
            <v>17.728482668613452</v>
          </cell>
        </row>
        <row r="64">
          <cell r="B64">
            <v>160</v>
          </cell>
        </row>
        <row r="65">
          <cell r="B65">
            <v>160</v>
          </cell>
        </row>
        <row r="66">
          <cell r="B66">
            <v>160</v>
          </cell>
        </row>
        <row r="67">
          <cell r="B67">
            <v>160</v>
          </cell>
        </row>
        <row r="68">
          <cell r="B68">
            <v>160</v>
          </cell>
          <cell r="J68">
            <v>79.81807963148988</v>
          </cell>
          <cell r="K68">
            <v>21.271572952985878</v>
          </cell>
        </row>
        <row r="73">
          <cell r="B73">
            <v>80</v>
          </cell>
        </row>
        <row r="74">
          <cell r="B74">
            <v>80</v>
          </cell>
        </row>
        <row r="75">
          <cell r="B75">
            <v>80</v>
          </cell>
          <cell r="J75">
            <v>1854.8541548028904</v>
          </cell>
          <cell r="K75">
            <v>295.93692626424041</v>
          </cell>
        </row>
        <row r="76">
          <cell r="B76">
            <v>160</v>
          </cell>
        </row>
        <row r="77">
          <cell r="B77">
            <v>160</v>
          </cell>
        </row>
        <row r="78">
          <cell r="B78">
            <v>160</v>
          </cell>
        </row>
        <row r="79">
          <cell r="B79">
            <v>160</v>
          </cell>
        </row>
        <row r="80">
          <cell r="B80">
            <v>160</v>
          </cell>
        </row>
        <row r="81">
          <cell r="B81">
            <v>160</v>
          </cell>
          <cell r="J81">
            <v>1850.7065230911467</v>
          </cell>
          <cell r="K81">
            <v>343.47871091388527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55"/>
  <sheetViews>
    <sheetView workbookViewId="0">
      <selection activeCell="A8" sqref="A8:A10"/>
    </sheetView>
  </sheetViews>
  <sheetFormatPr baseColWidth="10" defaultColWidth="8.85546875" defaultRowHeight="15" x14ac:dyDescent="0.25"/>
  <cols>
    <col min="1" max="1" width="13.5703125" customWidth="1"/>
    <col min="2" max="2" width="19.7109375" bestFit="1" customWidth="1"/>
    <col min="3" max="3" width="10" bestFit="1" customWidth="1"/>
    <col min="5" max="5" width="10.42578125" bestFit="1" customWidth="1"/>
    <col min="6" max="6" width="19" bestFit="1" customWidth="1"/>
    <col min="7" max="7" width="10.7109375" bestFit="1" customWidth="1"/>
    <col min="8" max="8" width="14.85546875" bestFit="1" customWidth="1"/>
    <col min="9" max="9" width="11.7109375" bestFit="1" customWidth="1"/>
    <col min="10" max="10" width="16.7109375" bestFit="1" customWidth="1"/>
    <col min="11" max="11" width="10.28515625" customWidth="1"/>
  </cols>
  <sheetData>
    <row r="2" spans="1:11" ht="15.75" thickBot="1" x14ac:dyDescent="0.3"/>
    <row r="3" spans="1:11" ht="15.75" thickBot="1" x14ac:dyDescent="0.3">
      <c r="A3" s="1" t="s">
        <v>0</v>
      </c>
      <c r="B3" s="2" t="s">
        <v>1</v>
      </c>
      <c r="C3" s="3" t="s">
        <v>14</v>
      </c>
      <c r="D3" s="3" t="s">
        <v>2</v>
      </c>
      <c r="E3" s="3" t="s">
        <v>15</v>
      </c>
      <c r="F3" s="3" t="s">
        <v>16</v>
      </c>
      <c r="G3" s="3" t="s">
        <v>3</v>
      </c>
      <c r="H3" s="3" t="s">
        <v>4</v>
      </c>
      <c r="I3" s="3" t="s">
        <v>17</v>
      </c>
      <c r="J3" s="4" t="s">
        <v>18</v>
      </c>
      <c r="K3" s="1" t="s">
        <v>5</v>
      </c>
    </row>
    <row r="4" spans="1:11" x14ac:dyDescent="0.25">
      <c r="A4" s="128">
        <v>43894</v>
      </c>
      <c r="B4" s="5">
        <v>0</v>
      </c>
      <c r="C4" s="6">
        <v>2</v>
      </c>
      <c r="D4" s="7">
        <f>10^5*1.6611</f>
        <v>166110</v>
      </c>
      <c r="E4" s="8"/>
      <c r="F4" s="9"/>
      <c r="G4" s="10">
        <v>274.705839617614</v>
      </c>
      <c r="H4" s="10">
        <f ca="1">G4*$H$4/D4*10^3</f>
        <v>281.1389605381641</v>
      </c>
      <c r="I4" s="8"/>
      <c r="J4" s="11"/>
      <c r="K4" s="12"/>
    </row>
    <row r="5" spans="1:11" x14ac:dyDescent="0.25">
      <c r="A5" s="130"/>
      <c r="B5" s="13">
        <v>0</v>
      </c>
      <c r="C5" s="14">
        <v>6</v>
      </c>
      <c r="D5" s="15">
        <f>10^5*3.4345</f>
        <v>343450</v>
      </c>
      <c r="E5" s="16"/>
      <c r="F5" s="17"/>
      <c r="G5" s="18">
        <v>274.70583961761434</v>
      </c>
      <c r="H5" s="18">
        <f t="shared" ref="H5:H43" ca="1" si="0">G5*$H$4/D5*10^3</f>
        <v>135.97319183285614</v>
      </c>
      <c r="I5" s="16"/>
      <c r="J5" s="19"/>
      <c r="K5" s="20"/>
    </row>
    <row r="6" spans="1:11" x14ac:dyDescent="0.25">
      <c r="A6" s="129">
        <v>43901</v>
      </c>
      <c r="B6" s="13">
        <v>0</v>
      </c>
      <c r="C6" s="14">
        <v>1</v>
      </c>
      <c r="D6" s="15">
        <f>10^5*3.0668</f>
        <v>306680</v>
      </c>
      <c r="E6" s="16"/>
      <c r="F6" s="17"/>
      <c r="G6" s="18">
        <v>252.85386825137098</v>
      </c>
      <c r="H6" s="18">
        <f t="shared" ca="1" si="0"/>
        <v>140.16289814377549</v>
      </c>
      <c r="I6" s="16"/>
      <c r="J6" s="19"/>
      <c r="K6" s="20"/>
    </row>
    <row r="7" spans="1:11" x14ac:dyDescent="0.25">
      <c r="A7" s="130"/>
      <c r="B7" s="13">
        <v>0</v>
      </c>
      <c r="C7" s="14">
        <v>11</v>
      </c>
      <c r="D7" s="15">
        <f>10^5*2.1545</f>
        <v>215450</v>
      </c>
      <c r="E7" s="21"/>
      <c r="F7" s="22"/>
      <c r="G7" s="18">
        <v>252.85386825137098</v>
      </c>
      <c r="H7" s="18">
        <f t="shared" ca="1" si="0"/>
        <v>199.51337945107016</v>
      </c>
      <c r="I7" s="21"/>
      <c r="J7" s="23"/>
      <c r="K7" s="24"/>
    </row>
    <row r="8" spans="1:11" x14ac:dyDescent="0.25">
      <c r="A8" s="131">
        <v>43903</v>
      </c>
      <c r="B8" s="13">
        <v>0</v>
      </c>
      <c r="C8" s="14">
        <v>15</v>
      </c>
      <c r="D8" s="15">
        <f>10^5*1.8572</f>
        <v>185720</v>
      </c>
      <c r="E8" s="21"/>
      <c r="F8" s="22"/>
      <c r="G8" s="18">
        <v>226.21431996658148</v>
      </c>
      <c r="H8" s="18">
        <f t="shared" ca="1" si="0"/>
        <v>207.06673699288632</v>
      </c>
      <c r="I8" s="21"/>
      <c r="J8" s="23"/>
      <c r="K8" s="24"/>
    </row>
    <row r="9" spans="1:11" x14ac:dyDescent="0.25">
      <c r="A9" s="136"/>
      <c r="B9" s="25">
        <v>0</v>
      </c>
      <c r="C9" s="14">
        <v>16</v>
      </c>
      <c r="D9" s="26">
        <f>10^5*2.1255</f>
        <v>212550.00000000003</v>
      </c>
      <c r="E9" s="21"/>
      <c r="F9" s="22"/>
      <c r="G9" s="27">
        <v>226.21431996658148</v>
      </c>
      <c r="H9" s="18">
        <f t="shared" ca="1" si="0"/>
        <v>180.92888447103667</v>
      </c>
      <c r="I9" s="21"/>
      <c r="J9" s="23"/>
      <c r="K9" s="24"/>
    </row>
    <row r="10" spans="1:11" ht="15.75" thickBot="1" x14ac:dyDescent="0.3">
      <c r="A10" s="127">
        <v>43980</v>
      </c>
      <c r="B10" s="25">
        <v>0</v>
      </c>
      <c r="C10" s="29">
        <v>17</v>
      </c>
      <c r="D10" s="30">
        <f>10^5*6.3996</f>
        <v>639960</v>
      </c>
      <c r="E10" s="31">
        <f>AVERAGE(D4:D9,D10)</f>
        <v>295702.85714285716</v>
      </c>
      <c r="F10" s="32">
        <f>STDEV(D4:D9,D10)</f>
        <v>164903.3676343296</v>
      </c>
      <c r="G10" s="33">
        <v>403.10933188257439</v>
      </c>
      <c r="H10" s="18">
        <v>107</v>
      </c>
      <c r="I10" s="31">
        <f ca="1">AVERAGE(H4:H10)</f>
        <v>178.83809433916522</v>
      </c>
      <c r="J10" s="32">
        <f ca="1">STDEV(H4:H10)</f>
        <v>57.988767103122917</v>
      </c>
      <c r="K10" s="34">
        <f>COUNTA(D4:D9,D10)</f>
        <v>7</v>
      </c>
    </row>
    <row r="11" spans="1:11" x14ac:dyDescent="0.25">
      <c r="A11" s="128">
        <v>43894</v>
      </c>
      <c r="B11" s="5">
        <v>5</v>
      </c>
      <c r="C11" s="6">
        <v>1</v>
      </c>
      <c r="D11" s="7">
        <f>10^5*2.695</f>
        <v>269500</v>
      </c>
      <c r="E11" s="8"/>
      <c r="F11" s="9"/>
      <c r="G11" s="10">
        <v>274.70583961761434</v>
      </c>
      <c r="H11" s="10">
        <f t="shared" ca="1" si="0"/>
        <v>173.28383204079569</v>
      </c>
      <c r="I11" s="8"/>
      <c r="J11" s="11"/>
      <c r="K11" s="12"/>
    </row>
    <row r="12" spans="1:11" x14ac:dyDescent="0.25">
      <c r="A12" s="129"/>
      <c r="B12" s="13">
        <v>5</v>
      </c>
      <c r="C12" s="14">
        <v>4</v>
      </c>
      <c r="D12" s="15">
        <f>10^5*2.553</f>
        <v>255300</v>
      </c>
      <c r="E12" s="16"/>
      <c r="F12" s="17"/>
      <c r="G12" s="18">
        <v>274.70583961761434</v>
      </c>
      <c r="H12" s="18">
        <f t="shared" ca="1" si="0"/>
        <v>182.92202403053051</v>
      </c>
      <c r="I12" s="16"/>
      <c r="J12" s="19"/>
      <c r="K12" s="20"/>
    </row>
    <row r="13" spans="1:11" x14ac:dyDescent="0.25">
      <c r="A13" s="129">
        <v>43901</v>
      </c>
      <c r="B13" s="13">
        <v>5</v>
      </c>
      <c r="C13" s="14">
        <v>2</v>
      </c>
      <c r="D13" s="15">
        <f>10^5*3.0478</f>
        <v>304780</v>
      </c>
      <c r="E13" s="16"/>
      <c r="F13" s="17"/>
      <c r="G13" s="18">
        <v>252.85386825137098</v>
      </c>
      <c r="H13" s="18">
        <f t="shared" ca="1" si="0"/>
        <v>141.03667433142945</v>
      </c>
      <c r="I13" s="16"/>
      <c r="J13" s="19"/>
      <c r="K13" s="20"/>
    </row>
    <row r="14" spans="1:11" x14ac:dyDescent="0.25">
      <c r="A14" s="129"/>
      <c r="B14" s="13">
        <v>5</v>
      </c>
      <c r="C14" s="14">
        <v>9</v>
      </c>
      <c r="D14" s="15">
        <f>10^5*3.0932</f>
        <v>309320</v>
      </c>
      <c r="E14" s="21"/>
      <c r="F14" s="22"/>
      <c r="G14" s="18">
        <v>252.85386825137098</v>
      </c>
      <c r="H14" s="18">
        <f t="shared" ca="1" si="0"/>
        <v>138.96662874283288</v>
      </c>
      <c r="I14" s="21"/>
      <c r="J14" s="23"/>
      <c r="K14" s="24"/>
    </row>
    <row r="15" spans="1:11" ht="15.75" thickBot="1" x14ac:dyDescent="0.3">
      <c r="A15" s="132"/>
      <c r="B15" s="35">
        <v>5</v>
      </c>
      <c r="C15" s="36">
        <v>10</v>
      </c>
      <c r="D15" s="30">
        <f>10^5*2.5913</f>
        <v>259130</v>
      </c>
      <c r="E15" s="31">
        <f>AVERAGE(D11:D15)</f>
        <v>279606</v>
      </c>
      <c r="F15" s="37">
        <f>STDEV(D11:D15)</f>
        <v>25636.066000851224</v>
      </c>
      <c r="G15" s="38">
        <v>252.85386825137098</v>
      </c>
      <c r="H15" s="38">
        <f t="shared" ca="1" si="0"/>
        <v>165.8825979343691</v>
      </c>
      <c r="I15" s="31">
        <f ca="1">AVERAGE(H11:H15)</f>
        <v>160.41835141599151</v>
      </c>
      <c r="J15" s="32">
        <f ca="1">STDEV(H11:H15)</f>
        <v>19.606246932543836</v>
      </c>
      <c r="K15" s="34">
        <f>COUNTA(D11:D15)</f>
        <v>5</v>
      </c>
    </row>
    <row r="16" spans="1:11" x14ac:dyDescent="0.25">
      <c r="A16" s="39">
        <v>43894</v>
      </c>
      <c r="B16" s="5">
        <v>10</v>
      </c>
      <c r="C16" s="6">
        <v>3</v>
      </c>
      <c r="D16" s="7">
        <f>10^5*5.52529</f>
        <v>552529</v>
      </c>
      <c r="E16" s="8"/>
      <c r="F16" s="9"/>
      <c r="G16" s="10">
        <v>274.70583961761434</v>
      </c>
      <c r="H16" s="10">
        <f t="shared" ca="1" si="0"/>
        <v>84.520437361648789</v>
      </c>
      <c r="I16" s="8"/>
      <c r="J16" s="11"/>
      <c r="K16" s="12"/>
    </row>
    <row r="17" spans="1:11" x14ac:dyDescent="0.25">
      <c r="A17" s="129">
        <v>43901</v>
      </c>
      <c r="B17" s="13">
        <v>10</v>
      </c>
      <c r="C17" s="14">
        <v>3</v>
      </c>
      <c r="D17" s="15">
        <f>10^5*4.2727</f>
        <v>427270.00000000006</v>
      </c>
      <c r="E17" s="16"/>
      <c r="F17" s="17"/>
      <c r="G17" s="18">
        <v>252.85386825137098</v>
      </c>
      <c r="H17" s="18">
        <f t="shared" ca="1" si="0"/>
        <v>100.6042025013061</v>
      </c>
      <c r="I17" s="16"/>
      <c r="J17" s="19"/>
      <c r="K17" s="20"/>
    </row>
    <row r="18" spans="1:11" x14ac:dyDescent="0.25">
      <c r="A18" s="129"/>
      <c r="B18" s="13">
        <v>10</v>
      </c>
      <c r="C18" s="14">
        <v>7</v>
      </c>
      <c r="D18" s="15">
        <f>10^5*3.849</f>
        <v>384900</v>
      </c>
      <c r="E18" s="16"/>
      <c r="F18" s="17"/>
      <c r="G18" s="18">
        <v>252.85386825137098</v>
      </c>
      <c r="H18" s="18">
        <f t="shared" ca="1" si="0"/>
        <v>111.67876747917138</v>
      </c>
      <c r="I18" s="16"/>
      <c r="J18" s="19"/>
      <c r="K18" s="20"/>
    </row>
    <row r="19" spans="1:11" x14ac:dyDescent="0.25">
      <c r="A19" s="129"/>
      <c r="B19" s="13">
        <v>10</v>
      </c>
      <c r="C19" s="14">
        <v>8</v>
      </c>
      <c r="D19" s="15">
        <f>10^5*4.0781</f>
        <v>407810</v>
      </c>
      <c r="E19" s="21"/>
      <c r="F19" s="22"/>
      <c r="G19" s="18">
        <v>252.85386825137098</v>
      </c>
      <c r="H19" s="18">
        <f t="shared" ca="1" si="0"/>
        <v>105.40486403651963</v>
      </c>
      <c r="I19" s="21"/>
      <c r="J19" s="23"/>
      <c r="K19" s="24"/>
    </row>
    <row r="20" spans="1:11" ht="15.75" thickBot="1" x14ac:dyDescent="0.3">
      <c r="A20" s="40">
        <v>43903</v>
      </c>
      <c r="B20" s="25">
        <v>10</v>
      </c>
      <c r="C20" s="41">
        <v>1</v>
      </c>
      <c r="D20" s="26">
        <f>10^5*6.4823</f>
        <v>648230</v>
      </c>
      <c r="E20" s="42">
        <f>AVERAGE(D16:D20)</f>
        <v>484147.8</v>
      </c>
      <c r="F20" s="43">
        <f>STDEV(D16:D20)</f>
        <v>112373.95885702351</v>
      </c>
      <c r="G20" s="27">
        <v>226.21431996658148</v>
      </c>
      <c r="H20" s="27">
        <f t="shared" ca="1" si="0"/>
        <v>59.325292557146149</v>
      </c>
      <c r="I20" s="42">
        <f ca="1">AVERAGE(H16:H20)</f>
        <v>92.306712787158418</v>
      </c>
      <c r="J20" s="44">
        <f ca="1">STDEV(H16:H20)</f>
        <v>21.000515291823344</v>
      </c>
      <c r="K20" s="45">
        <f>COUNTA(D16:D20)</f>
        <v>5</v>
      </c>
    </row>
    <row r="21" spans="1:11" x14ac:dyDescent="0.25">
      <c r="A21" s="133">
        <v>43903</v>
      </c>
      <c r="B21" s="46">
        <v>20</v>
      </c>
      <c r="C21" s="6">
        <v>2</v>
      </c>
      <c r="D21" s="7">
        <f>10^5*7.7121</f>
        <v>771210</v>
      </c>
      <c r="E21" s="8"/>
      <c r="F21" s="9"/>
      <c r="G21" s="47">
        <v>226.21431996658148</v>
      </c>
      <c r="H21" s="10">
        <f t="shared" ca="1" si="0"/>
        <v>49.865061908324392</v>
      </c>
      <c r="I21" s="8"/>
      <c r="J21" s="11"/>
      <c r="K21" s="12"/>
    </row>
    <row r="22" spans="1:11" x14ac:dyDescent="0.25">
      <c r="A22" s="134"/>
      <c r="B22" s="48">
        <v>20</v>
      </c>
      <c r="C22" s="14">
        <v>3</v>
      </c>
      <c r="D22" s="15">
        <f>10^5*8.4933</f>
        <v>849330</v>
      </c>
      <c r="E22" s="16"/>
      <c r="F22" s="17"/>
      <c r="G22" s="49">
        <v>226.21431996658148</v>
      </c>
      <c r="H22" s="18">
        <f t="shared" ca="1" si="0"/>
        <v>45.278554147762179</v>
      </c>
      <c r="I22" s="16"/>
      <c r="J22" s="19"/>
      <c r="K22" s="20"/>
    </row>
    <row r="23" spans="1:11" x14ac:dyDescent="0.25">
      <c r="A23" s="134"/>
      <c r="B23" s="48">
        <v>20</v>
      </c>
      <c r="C23" s="14">
        <v>12</v>
      </c>
      <c r="D23" s="15">
        <f>10^5*5.351</f>
        <v>535100</v>
      </c>
      <c r="E23" s="16"/>
      <c r="F23" s="17"/>
      <c r="G23" s="49">
        <v>226.21431996658148</v>
      </c>
      <c r="H23" s="18">
        <f t="shared" ca="1" si="0"/>
        <v>71.867752558996173</v>
      </c>
      <c r="I23" s="16"/>
      <c r="J23" s="19"/>
      <c r="K23" s="20"/>
    </row>
    <row r="24" spans="1:11" x14ac:dyDescent="0.25">
      <c r="A24" s="134"/>
      <c r="B24" s="48">
        <v>20</v>
      </c>
      <c r="C24" s="14">
        <v>13</v>
      </c>
      <c r="D24" s="15">
        <f>10^5*7.2486</f>
        <v>724860</v>
      </c>
      <c r="E24" s="21"/>
      <c r="F24" s="22"/>
      <c r="G24" s="49">
        <v>226.21431996658148</v>
      </c>
      <c r="H24" s="18">
        <f t="shared" ca="1" si="0"/>
        <v>53.053602618876546</v>
      </c>
      <c r="I24" s="21"/>
      <c r="J24" s="23"/>
      <c r="K24" s="24"/>
    </row>
    <row r="25" spans="1:11" x14ac:dyDescent="0.25">
      <c r="A25" s="135"/>
      <c r="B25" s="48">
        <v>20</v>
      </c>
      <c r="C25" s="14">
        <v>14</v>
      </c>
      <c r="D25" s="15">
        <f>10^5*5.3557</f>
        <v>535570</v>
      </c>
      <c r="E25" s="21"/>
      <c r="F25" s="22"/>
      <c r="G25" s="49">
        <v>226.21431996658148</v>
      </c>
      <c r="H25" s="18">
        <f t="shared" ca="1" si="0"/>
        <v>71.804683597510788</v>
      </c>
      <c r="I25" s="16"/>
      <c r="J25" s="19"/>
      <c r="K25" s="20"/>
    </row>
    <row r="26" spans="1:11" x14ac:dyDescent="0.25">
      <c r="A26" s="131">
        <v>43987</v>
      </c>
      <c r="B26" s="48">
        <v>20</v>
      </c>
      <c r="C26" s="14">
        <v>6</v>
      </c>
      <c r="D26" s="15">
        <f>10^6*2.3082</f>
        <v>2308200</v>
      </c>
      <c r="E26" s="16"/>
      <c r="F26" s="17"/>
      <c r="G26" s="49">
        <v>445.51593942095741</v>
      </c>
      <c r="H26" s="18">
        <f ca="1">G26*$H$4/D26*10^3</f>
        <v>32.812455463808497</v>
      </c>
      <c r="I26" s="50"/>
      <c r="J26" s="51"/>
      <c r="K26" s="52"/>
    </row>
    <row r="27" spans="1:11" x14ac:dyDescent="0.25">
      <c r="A27" s="136"/>
      <c r="B27" s="48">
        <v>20</v>
      </c>
      <c r="C27" s="14">
        <v>7</v>
      </c>
      <c r="D27" s="15">
        <f>10^6*1.8727</f>
        <v>1872700</v>
      </c>
      <c r="E27" s="16"/>
      <c r="F27" s="17"/>
      <c r="G27" s="49">
        <v>445.51593942095741</v>
      </c>
      <c r="H27" s="18">
        <f t="shared" ref="H27:H28" ca="1" si="1">G27*$H$4/D27*10^3</f>
        <v>40.443055322028499</v>
      </c>
      <c r="I27" s="50"/>
      <c r="J27" s="51"/>
      <c r="K27" s="52"/>
    </row>
    <row r="28" spans="1:11" ht="15.75" thickBot="1" x14ac:dyDescent="0.3">
      <c r="A28" s="137"/>
      <c r="B28" s="53">
        <v>20</v>
      </c>
      <c r="C28" s="36">
        <v>8</v>
      </c>
      <c r="D28" s="30">
        <f>10^6*1.2925</f>
        <v>1292500</v>
      </c>
      <c r="E28" s="31">
        <f>AVERAGE(D21:D28)</f>
        <v>1111183.75</v>
      </c>
      <c r="F28" s="37">
        <f>STDEV(D21:D28)</f>
        <v>659245.21097859659</v>
      </c>
      <c r="G28" s="54">
        <v>445.51593942095741</v>
      </c>
      <c r="H28" s="38">
        <f t="shared" ca="1" si="1"/>
        <v>58.597841161750686</v>
      </c>
      <c r="I28" s="55">
        <f ca="1">AVERAGE(H21:H28)</f>
        <v>52.965375847382219</v>
      </c>
      <c r="J28" s="56">
        <f ca="1">STDEV(H21:H28)</f>
        <v>14.018353770383673</v>
      </c>
      <c r="K28" s="34">
        <f>COUNTA(D21:D28)</f>
        <v>8</v>
      </c>
    </row>
    <row r="29" spans="1:11" x14ac:dyDescent="0.25">
      <c r="A29" s="138">
        <v>43901</v>
      </c>
      <c r="B29" s="57">
        <v>40</v>
      </c>
      <c r="C29" s="58">
        <v>4</v>
      </c>
      <c r="D29" s="59">
        <f>10^6*1.6283</f>
        <v>1628300</v>
      </c>
      <c r="E29" s="28"/>
      <c r="F29" s="60"/>
      <c r="G29" s="61">
        <v>252.85386825137098</v>
      </c>
      <c r="H29" s="61">
        <f t="shared" ca="1" si="0"/>
        <v>26.39879481835845</v>
      </c>
      <c r="I29" s="28"/>
      <c r="J29" s="62"/>
      <c r="K29" s="63"/>
    </row>
    <row r="30" spans="1:11" x14ac:dyDescent="0.25">
      <c r="A30" s="129"/>
      <c r="B30" s="13">
        <v>40</v>
      </c>
      <c r="C30" s="14">
        <v>5</v>
      </c>
      <c r="D30" s="15">
        <f>10^6*1.5789</f>
        <v>1578900</v>
      </c>
      <c r="E30" s="16"/>
      <c r="F30" s="17"/>
      <c r="G30" s="18">
        <v>252.85386825137098</v>
      </c>
      <c r="H30" s="18">
        <f t="shared" ca="1" si="0"/>
        <v>27.224749890894337</v>
      </c>
      <c r="I30" s="16"/>
      <c r="J30" s="19"/>
      <c r="K30" s="20"/>
    </row>
    <row r="31" spans="1:11" x14ac:dyDescent="0.25">
      <c r="A31" s="129"/>
      <c r="B31" s="13">
        <v>40</v>
      </c>
      <c r="C31" s="14">
        <v>6</v>
      </c>
      <c r="D31" s="15">
        <f>10^6*1.7166</f>
        <v>1716600</v>
      </c>
      <c r="E31" s="16"/>
      <c r="F31" s="17"/>
      <c r="G31" s="18">
        <v>252.85386825137098</v>
      </c>
      <c r="H31" s="18">
        <f t="shared" ca="1" si="0"/>
        <v>25.040870093634549</v>
      </c>
      <c r="I31" s="16"/>
      <c r="J31" s="19"/>
      <c r="K31" s="20"/>
    </row>
    <row r="32" spans="1:11" x14ac:dyDescent="0.25">
      <c r="A32" s="129">
        <v>43903</v>
      </c>
      <c r="B32" s="13">
        <v>40</v>
      </c>
      <c r="C32" s="14">
        <v>4</v>
      </c>
      <c r="D32" s="15">
        <f>10^6*1.2165</f>
        <v>1216500</v>
      </c>
      <c r="E32" s="21"/>
      <c r="F32" s="22"/>
      <c r="G32" s="18">
        <v>226.21431996658148</v>
      </c>
      <c r="H32" s="18">
        <f t="shared" ca="1" si="0"/>
        <v>31.612358729403081</v>
      </c>
      <c r="I32" s="21"/>
      <c r="J32" s="23"/>
      <c r="K32" s="24"/>
    </row>
    <row r="33" spans="1:12" ht="15.75" thickBot="1" x14ac:dyDescent="0.3">
      <c r="A33" s="132"/>
      <c r="B33" s="35">
        <v>40</v>
      </c>
      <c r="C33" s="36">
        <v>5</v>
      </c>
      <c r="D33" s="30">
        <f>10^6*1.1509</f>
        <v>1150900</v>
      </c>
      <c r="E33" s="31">
        <f>AVERAGE(D29:D33)</f>
        <v>1458240</v>
      </c>
      <c r="F33" s="37">
        <f>STDEV(D29:D33)</f>
        <v>256478.66967839646</v>
      </c>
      <c r="G33" s="38">
        <v>226.21431996658148</v>
      </c>
      <c r="H33" s="38">
        <f t="shared" ca="1" si="0"/>
        <v>33.414227469214403</v>
      </c>
      <c r="I33" s="31">
        <f ca="1">AVERAGE(H29:H33)</f>
        <v>28.738200200300962</v>
      </c>
      <c r="J33" s="32">
        <f ca="1">STDEV(H29:H33)</f>
        <v>3.5902512992755553</v>
      </c>
      <c r="K33" s="34">
        <f>COUNTA(D29:D33)</f>
        <v>5</v>
      </c>
    </row>
    <row r="34" spans="1:12" x14ac:dyDescent="0.25">
      <c r="A34" s="128">
        <v>43903</v>
      </c>
      <c r="B34" s="5">
        <v>80</v>
      </c>
      <c r="C34" s="6">
        <v>6</v>
      </c>
      <c r="D34" s="7">
        <f>10^6*1.6737</f>
        <v>1673700</v>
      </c>
      <c r="E34" s="8"/>
      <c r="F34" s="9"/>
      <c r="G34" s="10">
        <v>226.21431996658148</v>
      </c>
      <c r="H34" s="10">
        <f t="shared" ca="1" si="0"/>
        <v>22.976898126497492</v>
      </c>
      <c r="I34" s="8"/>
      <c r="J34" s="11"/>
      <c r="K34" s="12"/>
    </row>
    <row r="35" spans="1:12" x14ac:dyDescent="0.25">
      <c r="A35" s="129"/>
      <c r="B35" s="13">
        <v>80</v>
      </c>
      <c r="C35" s="14">
        <v>7</v>
      </c>
      <c r="D35" s="15">
        <f>10^6*2.0771</f>
        <v>2077100.0000000002</v>
      </c>
      <c r="E35" s="16"/>
      <c r="F35" s="17"/>
      <c r="G35" s="18">
        <v>226.21431996658148</v>
      </c>
      <c r="H35" s="18">
        <f t="shared" ca="1" si="0"/>
        <v>18.514483844937097</v>
      </c>
      <c r="I35" s="16"/>
      <c r="J35" s="19"/>
      <c r="K35" s="20"/>
    </row>
    <row r="36" spans="1:12" x14ac:dyDescent="0.25">
      <c r="A36" s="129"/>
      <c r="B36" s="13">
        <v>80</v>
      </c>
      <c r="C36" s="14">
        <v>8</v>
      </c>
      <c r="D36" s="15">
        <f>10^6*2.2042</f>
        <v>2204200</v>
      </c>
      <c r="E36" s="16"/>
      <c r="F36" s="17"/>
      <c r="G36" s="18">
        <v>226.21431996658148</v>
      </c>
      <c r="H36" s="18">
        <f t="shared" ca="1" si="0"/>
        <v>17.446889753343097</v>
      </c>
      <c r="I36" s="16"/>
      <c r="J36" s="19"/>
      <c r="K36" s="20"/>
    </row>
    <row r="37" spans="1:12" x14ac:dyDescent="0.25">
      <c r="A37" s="129">
        <v>43980</v>
      </c>
      <c r="B37" s="13">
        <v>80</v>
      </c>
      <c r="C37" s="14">
        <v>6</v>
      </c>
      <c r="D37" s="15">
        <f>10^6*6.1997</f>
        <v>6199700</v>
      </c>
      <c r="E37" s="21"/>
      <c r="F37" s="22"/>
      <c r="G37" s="18">
        <v>403.10933188257439</v>
      </c>
      <c r="H37" s="18">
        <f t="shared" ca="1" si="0"/>
        <v>11.053532658037915</v>
      </c>
      <c r="I37" s="21"/>
      <c r="J37" s="23"/>
      <c r="K37" s="24"/>
    </row>
    <row r="38" spans="1:12" ht="15.75" thickBot="1" x14ac:dyDescent="0.3">
      <c r="A38" s="132"/>
      <c r="B38" s="35">
        <v>80</v>
      </c>
      <c r="C38" s="36">
        <v>7</v>
      </c>
      <c r="D38" s="30">
        <f>10^6*6.3779</f>
        <v>6377900</v>
      </c>
      <c r="E38" s="31">
        <f>AVERAGE(D34:D38)</f>
        <v>3706520</v>
      </c>
      <c r="F38" s="37">
        <f>STDEV(D34:D38)</f>
        <v>2366249.6533544385</v>
      </c>
      <c r="G38" s="38">
        <v>403.10933188257439</v>
      </c>
      <c r="H38" s="38">
        <f t="shared" ca="1" si="0"/>
        <v>10.744694400984281</v>
      </c>
      <c r="I38" s="31">
        <f ca="1">AVERAGE(H34:H38)</f>
        <v>16.147299756759978</v>
      </c>
      <c r="J38" s="32">
        <f ca="1">STDEV(H34:H38)</f>
        <v>5.2218415440517383</v>
      </c>
      <c r="K38" s="34">
        <f>COUNTA(D34:D38)</f>
        <v>5</v>
      </c>
    </row>
    <row r="39" spans="1:12" x14ac:dyDescent="0.25">
      <c r="A39" s="128">
        <v>43903</v>
      </c>
      <c r="B39" s="5">
        <v>160</v>
      </c>
      <c r="C39" s="6">
        <v>9</v>
      </c>
      <c r="D39" s="7">
        <f>10^6*1.8239</f>
        <v>1823900</v>
      </c>
      <c r="E39" s="8"/>
      <c r="F39" s="9"/>
      <c r="G39" s="10">
        <v>226.21431996658148</v>
      </c>
      <c r="H39" s="10">
        <f t="shared" ca="1" si="0"/>
        <v>21.084727449048113</v>
      </c>
      <c r="I39" s="8"/>
      <c r="J39" s="11"/>
      <c r="K39" s="12"/>
    </row>
    <row r="40" spans="1:12" x14ac:dyDescent="0.25">
      <c r="A40" s="129"/>
      <c r="B40" s="13">
        <v>160</v>
      </c>
      <c r="C40" s="14">
        <v>10</v>
      </c>
      <c r="D40" s="15">
        <f>10^6*2.3609</f>
        <v>2360900</v>
      </c>
      <c r="E40" s="16"/>
      <c r="F40" s="17"/>
      <c r="G40" s="18">
        <v>226.21431996658148</v>
      </c>
      <c r="H40" s="18">
        <f t="shared" ca="1" si="0"/>
        <v>16.288887455766382</v>
      </c>
      <c r="I40" s="16"/>
      <c r="J40" s="19"/>
      <c r="K40" s="20"/>
    </row>
    <row r="41" spans="1:12" x14ac:dyDescent="0.25">
      <c r="A41" s="129"/>
      <c r="B41" s="13">
        <v>160</v>
      </c>
      <c r="C41" s="14">
        <v>11</v>
      </c>
      <c r="D41" s="15">
        <f>10^6*2.7229</f>
        <v>2722900</v>
      </c>
      <c r="E41" s="16"/>
      <c r="F41" s="17"/>
      <c r="G41" s="18">
        <v>226.21431996658148</v>
      </c>
      <c r="H41" s="18">
        <f t="shared" ca="1" si="0"/>
        <v>14.123337028285595</v>
      </c>
      <c r="I41" s="16"/>
      <c r="J41" s="19"/>
      <c r="K41" s="20"/>
    </row>
    <row r="42" spans="1:12" x14ac:dyDescent="0.25">
      <c r="A42" s="129">
        <v>43980</v>
      </c>
      <c r="B42" s="13">
        <v>160</v>
      </c>
      <c r="C42" s="14">
        <v>8</v>
      </c>
      <c r="D42" s="15">
        <f>10^6*5.1736</f>
        <v>5173600</v>
      </c>
      <c r="E42" s="21"/>
      <c r="F42" s="22"/>
      <c r="G42" s="18">
        <v>403.10933188257439</v>
      </c>
      <c r="H42" s="18">
        <f t="shared" ca="1" si="0"/>
        <v>13.245822332618999</v>
      </c>
      <c r="I42" s="21"/>
      <c r="J42" s="23"/>
      <c r="K42" s="24"/>
    </row>
    <row r="43" spans="1:12" ht="15.75" thickBot="1" x14ac:dyDescent="0.3">
      <c r="A43" s="132"/>
      <c r="B43" s="35">
        <v>160</v>
      </c>
      <c r="C43" s="36">
        <v>9</v>
      </c>
      <c r="D43" s="30">
        <f>10^6*6.8144</f>
        <v>6814400</v>
      </c>
      <c r="E43" s="31">
        <f>AVERAGE(D39:D43)</f>
        <v>3779140</v>
      </c>
      <c r="F43" s="37">
        <f>STDEV(D39:D43)</f>
        <v>2127635.6039040145</v>
      </c>
      <c r="G43" s="38">
        <v>403.10933188257439</v>
      </c>
      <c r="H43" s="38">
        <f t="shared" ca="1" si="0"/>
        <v>10.056437312168004</v>
      </c>
      <c r="I43" s="31">
        <f ca="1">AVERAGE(H39:H43)</f>
        <v>14.959842315577419</v>
      </c>
      <c r="J43" s="32">
        <f ca="1">STDEV(H39:H43)</f>
        <v>4.0915023251850497</v>
      </c>
      <c r="K43" s="34">
        <f>COUNTA(D39:D43)</f>
        <v>5</v>
      </c>
    </row>
    <row r="45" spans="1:12" ht="15.75" thickBot="1" x14ac:dyDescent="0.3"/>
    <row r="46" spans="1:12" ht="15.75" thickBot="1" x14ac:dyDescent="0.3">
      <c r="A46" s="1" t="s">
        <v>0</v>
      </c>
      <c r="B46" s="64" t="s">
        <v>6</v>
      </c>
      <c r="C46" s="3" t="s">
        <v>14</v>
      </c>
      <c r="D46" s="3" t="s">
        <v>2</v>
      </c>
      <c r="E46" s="3" t="s">
        <v>15</v>
      </c>
      <c r="F46" s="3" t="s">
        <v>16</v>
      </c>
      <c r="G46" s="3" t="s">
        <v>3</v>
      </c>
      <c r="H46" s="3" t="s">
        <v>4</v>
      </c>
      <c r="I46" s="3" t="s">
        <v>17</v>
      </c>
      <c r="J46" s="4" t="s">
        <v>18</v>
      </c>
      <c r="K46" s="1" t="s">
        <v>5</v>
      </c>
    </row>
    <row r="47" spans="1:12" x14ac:dyDescent="0.25">
      <c r="A47" s="141">
        <v>43980</v>
      </c>
      <c r="B47" s="124">
        <v>80</v>
      </c>
      <c r="C47" s="6">
        <v>3</v>
      </c>
      <c r="D47" s="7">
        <f>10^5*2.9239</f>
        <v>292390</v>
      </c>
      <c r="E47" s="8"/>
      <c r="F47" s="8"/>
      <c r="G47" s="10">
        <v>403.10933188257439</v>
      </c>
      <c r="H47" s="10">
        <f t="shared" ref="H47:H52" ca="1" si="2">G47*$H$4/D47*10^3</f>
        <v>234.37390615286998</v>
      </c>
      <c r="I47" s="8"/>
      <c r="J47" s="11"/>
      <c r="K47" s="77"/>
    </row>
    <row r="48" spans="1:12" x14ac:dyDescent="0.25">
      <c r="A48" s="136"/>
      <c r="B48" s="125">
        <v>80</v>
      </c>
      <c r="C48" s="14">
        <v>5</v>
      </c>
      <c r="D48" s="15">
        <f>10^5*8.031</f>
        <v>803100.00000000012</v>
      </c>
      <c r="E48" s="16"/>
      <c r="F48" s="16"/>
      <c r="G48" s="18">
        <v>403.10933188257439</v>
      </c>
      <c r="H48" s="18">
        <f t="shared" ca="1" si="2"/>
        <v>85.33007896904202</v>
      </c>
      <c r="I48" s="16"/>
      <c r="J48" s="19"/>
      <c r="K48" s="52"/>
      <c r="L48" s="66"/>
    </row>
    <row r="49" spans="1:12" ht="15.75" thickBot="1" x14ac:dyDescent="0.3">
      <c r="A49" s="136"/>
      <c r="B49" s="126">
        <v>80</v>
      </c>
      <c r="C49" s="36">
        <v>10</v>
      </c>
      <c r="D49" s="26">
        <f>10^5*3.1411</f>
        <v>314110</v>
      </c>
      <c r="E49" s="67">
        <f>AVERAGE(D47:D49)</f>
        <v>469866.66666666669</v>
      </c>
      <c r="F49" s="67">
        <f>STDEV(D47:D49)</f>
        <v>288792.79844437505</v>
      </c>
      <c r="G49" s="27">
        <v>403.10933188257439</v>
      </c>
      <c r="H49" s="27">
        <f t="shared" ca="1" si="2"/>
        <v>218.16747769901514</v>
      </c>
      <c r="I49" s="42">
        <f ca="1">AVERAGE(H47:H49)</f>
        <v>179.29048760697572</v>
      </c>
      <c r="J49" s="44">
        <f ca="1">STDEV(H47:H49)</f>
        <v>81.774573519909552</v>
      </c>
      <c r="K49" s="34">
        <f>COUNTA(D47:D49)</f>
        <v>3</v>
      </c>
      <c r="L49" s="66"/>
    </row>
    <row r="50" spans="1:12" x14ac:dyDescent="0.25">
      <c r="A50" s="141">
        <v>43980</v>
      </c>
      <c r="B50" s="124">
        <v>160</v>
      </c>
      <c r="C50" s="6">
        <v>2</v>
      </c>
      <c r="D50" s="7">
        <f>10^5*3.7085</f>
        <v>370850</v>
      </c>
      <c r="E50" s="68"/>
      <c r="F50" s="68"/>
      <c r="G50" s="10">
        <v>403.10933188257439</v>
      </c>
      <c r="H50" s="10">
        <f t="shared" ca="1" si="2"/>
        <v>184.78788302558351</v>
      </c>
      <c r="I50" s="8"/>
      <c r="J50" s="11"/>
      <c r="K50" s="77"/>
      <c r="L50" s="66"/>
    </row>
    <row r="51" spans="1:12" x14ac:dyDescent="0.25">
      <c r="A51" s="136"/>
      <c r="B51" s="125">
        <v>160</v>
      </c>
      <c r="C51" s="14">
        <v>4</v>
      </c>
      <c r="D51" s="15">
        <f>10^5*7.4218</f>
        <v>742180</v>
      </c>
      <c r="E51" s="16"/>
      <c r="F51" s="16"/>
      <c r="G51" s="18">
        <v>403.10933188257439</v>
      </c>
      <c r="H51" s="18">
        <f t="shared" ca="1" si="2"/>
        <v>92.334186342986399</v>
      </c>
      <c r="I51" s="16"/>
      <c r="J51" s="19"/>
      <c r="K51" s="52"/>
    </row>
    <row r="52" spans="1:12" x14ac:dyDescent="0.25">
      <c r="A52" s="138"/>
      <c r="B52" s="92">
        <v>160</v>
      </c>
      <c r="C52" s="14">
        <v>11</v>
      </c>
      <c r="D52" s="26">
        <f>10^5*3.1754</f>
        <v>317540</v>
      </c>
      <c r="E52" s="16"/>
      <c r="F52" s="16"/>
      <c r="G52" s="18">
        <v>403.10933188257439</v>
      </c>
      <c r="H52" s="18">
        <f t="shared" ca="1" si="2"/>
        <v>215.81087869256677</v>
      </c>
      <c r="I52" s="72"/>
      <c r="J52" s="76"/>
      <c r="K52" s="52"/>
    </row>
    <row r="53" spans="1:12" x14ac:dyDescent="0.25">
      <c r="A53" s="136">
        <v>43987</v>
      </c>
      <c r="B53" s="125">
        <v>160</v>
      </c>
      <c r="C53" s="14">
        <v>1</v>
      </c>
      <c r="D53" s="14">
        <f>10^5*2.5116</f>
        <v>251160</v>
      </c>
      <c r="E53" s="16"/>
      <c r="F53" s="28"/>
      <c r="G53" s="74">
        <v>445.51593942095741</v>
      </c>
      <c r="H53" s="18">
        <f ca="1">G53*$H$4/D53*10^3</f>
        <v>301.55163920036136</v>
      </c>
      <c r="I53" s="50"/>
      <c r="J53" s="51"/>
      <c r="K53" s="78"/>
    </row>
    <row r="54" spans="1:12" x14ac:dyDescent="0.25">
      <c r="A54" s="139"/>
      <c r="B54" s="125">
        <v>160</v>
      </c>
      <c r="C54" s="14">
        <v>2</v>
      </c>
      <c r="D54" s="15">
        <f>10^5*2.5514</f>
        <v>255140</v>
      </c>
      <c r="E54" s="71"/>
      <c r="F54" s="71"/>
      <c r="G54" s="49">
        <v>445.51593942095741</v>
      </c>
      <c r="H54" s="18">
        <f t="shared" ref="H54:H55" ca="1" si="3">G54*$H$4/D54*10^3</f>
        <v>296.84765109964241</v>
      </c>
      <c r="I54" s="72"/>
      <c r="J54" s="76"/>
      <c r="K54" s="79"/>
    </row>
    <row r="55" spans="1:12" ht="15.75" thickBot="1" x14ac:dyDescent="0.3">
      <c r="A55" s="140"/>
      <c r="B55" s="53">
        <v>160</v>
      </c>
      <c r="C55" s="29">
        <v>3</v>
      </c>
      <c r="D55" s="30">
        <f>10^5*2.8387</f>
        <v>283870</v>
      </c>
      <c r="E55" s="70">
        <f>AVERAGE(D53:D55)</f>
        <v>263390</v>
      </c>
      <c r="F55" s="70">
        <f>STDEV(D53:D55)</f>
        <v>17847.490019607798</v>
      </c>
      <c r="G55" s="54">
        <v>445.51593942095741</v>
      </c>
      <c r="H55" s="38">
        <f t="shared" ca="1" si="3"/>
        <v>266.80420509938625</v>
      </c>
      <c r="I55" s="55">
        <f ca="1">AVERAGE(H50:H55)</f>
        <v>226.35607391008782</v>
      </c>
      <c r="J55" s="56">
        <f ca="1">STDEV(H50:H55)</f>
        <v>80.075550317604879</v>
      </c>
      <c r="K55" s="34">
        <f>COUNTA(D50:D55)</f>
        <v>6</v>
      </c>
    </row>
  </sheetData>
  <mergeCells count="17">
    <mergeCell ref="A37:A38"/>
    <mergeCell ref="A39:A41"/>
    <mergeCell ref="A42:A43"/>
    <mergeCell ref="A53:A55"/>
    <mergeCell ref="A47:A49"/>
    <mergeCell ref="A50:A52"/>
    <mergeCell ref="A34:A36"/>
    <mergeCell ref="A4:A5"/>
    <mergeCell ref="A6:A7"/>
    <mergeCell ref="A8:A9"/>
    <mergeCell ref="A11:A12"/>
    <mergeCell ref="A13:A15"/>
    <mergeCell ref="A17:A19"/>
    <mergeCell ref="A21:A25"/>
    <mergeCell ref="A26:A28"/>
    <mergeCell ref="A29:A31"/>
    <mergeCell ref="A32:A33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5"/>
  <sheetViews>
    <sheetView tabSelected="1" workbookViewId="0">
      <selection activeCell="A10" sqref="A10:A11"/>
    </sheetView>
  </sheetViews>
  <sheetFormatPr baseColWidth="10" defaultRowHeight="15" x14ac:dyDescent="0.25"/>
  <cols>
    <col min="2" max="2" width="21.7109375" bestFit="1" customWidth="1"/>
  </cols>
  <sheetData>
    <row r="1" spans="1:12" ht="15.75" thickBot="1" x14ac:dyDescent="0.3"/>
    <row r="2" spans="1:12" ht="15.75" thickBot="1" x14ac:dyDescent="0.3">
      <c r="A2" s="64" t="s">
        <v>0</v>
      </c>
      <c r="B2" s="80" t="s">
        <v>7</v>
      </c>
      <c r="C2" s="81" t="s">
        <v>14</v>
      </c>
      <c r="D2" s="81" t="s">
        <v>8</v>
      </c>
      <c r="E2" s="81" t="s">
        <v>9</v>
      </c>
      <c r="F2" s="81" t="s">
        <v>10</v>
      </c>
      <c r="G2" s="81" t="s">
        <v>11</v>
      </c>
      <c r="H2" s="81" t="s">
        <v>19</v>
      </c>
      <c r="I2" s="82" t="s">
        <v>13</v>
      </c>
      <c r="J2" s="81" t="s">
        <v>20</v>
      </c>
      <c r="K2" s="83" t="s">
        <v>21</v>
      </c>
      <c r="L2" s="1" t="s">
        <v>5</v>
      </c>
    </row>
    <row r="3" spans="1:12" x14ac:dyDescent="0.25">
      <c r="A3" s="128">
        <v>43894</v>
      </c>
      <c r="B3" s="5">
        <v>0</v>
      </c>
      <c r="C3" s="6">
        <v>2</v>
      </c>
      <c r="D3" s="6">
        <v>188</v>
      </c>
      <c r="E3" s="84">
        <v>401.70940170940167</v>
      </c>
      <c r="F3" s="84">
        <v>200.85470085470084</v>
      </c>
      <c r="G3" s="84">
        <v>568.91025641025635</v>
      </c>
      <c r="H3" s="10">
        <v>46699.992734994441</v>
      </c>
      <c r="I3" s="103">
        <f t="shared" ref="I3:I42" si="0">(1-1/4)*PI()/(F3*10^-6)^3*H3*(G3*10^-6)^4</f>
        <v>1422.5154795461231</v>
      </c>
      <c r="J3" s="8"/>
      <c r="K3" s="11"/>
      <c r="L3" s="12"/>
    </row>
    <row r="4" spans="1:12" x14ac:dyDescent="0.25">
      <c r="A4" s="130"/>
      <c r="B4" s="13">
        <v>0</v>
      </c>
      <c r="C4" s="14">
        <v>6</v>
      </c>
      <c r="D4" s="14">
        <v>191</v>
      </c>
      <c r="E4" s="73">
        <v>408.11965811965808</v>
      </c>
      <c r="F4" s="73">
        <v>204.05982905982904</v>
      </c>
      <c r="G4" s="73">
        <v>531.517094017094</v>
      </c>
      <c r="H4" s="61">
        <v>46699.992734994441</v>
      </c>
      <c r="I4" s="91">
        <f t="shared" si="0"/>
        <v>1033.5329786431964</v>
      </c>
      <c r="J4" s="16"/>
      <c r="K4" s="19"/>
      <c r="L4" s="20"/>
    </row>
    <row r="5" spans="1:12" x14ac:dyDescent="0.25">
      <c r="A5" s="129">
        <v>43901</v>
      </c>
      <c r="B5" s="13">
        <v>0</v>
      </c>
      <c r="C5" s="14">
        <v>1</v>
      </c>
      <c r="D5" s="14">
        <v>210</v>
      </c>
      <c r="E5" s="73">
        <v>455.03791982665223</v>
      </c>
      <c r="F5" s="73">
        <v>227.51895991332611</v>
      </c>
      <c r="G5" s="73">
        <v>593.71614301191767</v>
      </c>
      <c r="H5" s="18">
        <v>42985.157602733067</v>
      </c>
      <c r="I5" s="91">
        <f t="shared" si="0"/>
        <v>1068.5437494033524</v>
      </c>
      <c r="J5" s="16"/>
      <c r="K5" s="19"/>
      <c r="L5" s="20"/>
    </row>
    <row r="6" spans="1:12" x14ac:dyDescent="0.25">
      <c r="A6" s="130"/>
      <c r="B6" s="13">
        <v>0</v>
      </c>
      <c r="C6" s="41">
        <v>11</v>
      </c>
      <c r="D6" s="41">
        <v>204</v>
      </c>
      <c r="E6" s="73">
        <v>442.03683640303359</v>
      </c>
      <c r="F6" s="67">
        <v>221.01841820151679</v>
      </c>
      <c r="G6" s="73">
        <v>584.50704225352115</v>
      </c>
      <c r="H6" s="27">
        <v>42985.157602733067</v>
      </c>
      <c r="I6" s="104">
        <f t="shared" si="0"/>
        <v>1094.9726012339495</v>
      </c>
      <c r="J6" s="21"/>
      <c r="K6" s="23"/>
      <c r="L6" s="24"/>
    </row>
    <row r="7" spans="1:12" x14ac:dyDescent="0.25">
      <c r="A7" s="129">
        <v>43903</v>
      </c>
      <c r="B7" s="13">
        <v>0</v>
      </c>
      <c r="C7" s="14">
        <v>15</v>
      </c>
      <c r="D7" s="14">
        <v>198</v>
      </c>
      <c r="E7" s="89">
        <v>438.0530973451327</v>
      </c>
      <c r="F7" s="73">
        <v>219.02654867256635</v>
      </c>
      <c r="G7" s="89">
        <v>591.2610619469026</v>
      </c>
      <c r="H7" s="73">
        <v>38456.434394318851</v>
      </c>
      <c r="I7" s="98">
        <f t="shared" si="0"/>
        <v>1053.9184025710958</v>
      </c>
      <c r="J7" s="21"/>
      <c r="K7" s="23"/>
      <c r="L7" s="24"/>
    </row>
    <row r="8" spans="1:12" x14ac:dyDescent="0.25">
      <c r="A8" s="142"/>
      <c r="B8" s="48">
        <v>0</v>
      </c>
      <c r="C8" s="14">
        <v>16</v>
      </c>
      <c r="D8" s="14">
        <v>176</v>
      </c>
      <c r="E8" s="67">
        <v>389.3805309734513</v>
      </c>
      <c r="F8" s="67">
        <v>194.69026548672565</v>
      </c>
      <c r="G8" s="73">
        <v>571.34955752212386</v>
      </c>
      <c r="H8" s="67">
        <v>38456.434394318851</v>
      </c>
      <c r="I8" s="91">
        <f t="shared" si="0"/>
        <v>1308.4436396258532</v>
      </c>
      <c r="J8" s="21"/>
      <c r="K8" s="23"/>
      <c r="L8" s="24"/>
    </row>
    <row r="9" spans="1:12" ht="15.75" thickBot="1" x14ac:dyDescent="0.3">
      <c r="A9" s="127">
        <v>43980</v>
      </c>
      <c r="B9" s="53">
        <v>0</v>
      </c>
      <c r="C9" s="85">
        <v>17</v>
      </c>
      <c r="D9" s="36">
        <v>156</v>
      </c>
      <c r="E9" s="70">
        <v>292.95774647887322</v>
      </c>
      <c r="F9" s="70">
        <v>146.47887323943661</v>
      </c>
      <c r="G9" s="86">
        <v>459.15492957746483</v>
      </c>
      <c r="H9" s="87">
        <v>68528.586420037653</v>
      </c>
      <c r="I9" s="105">
        <f t="shared" si="0"/>
        <v>2283.4680700310323</v>
      </c>
      <c r="J9" s="31">
        <f>AVERAGE(I3:I8,I9)</f>
        <v>1323.6278458649433</v>
      </c>
      <c r="K9" s="32">
        <f>STDEV(I3:I8,I9)</f>
        <v>448.246939587349</v>
      </c>
      <c r="L9" s="34">
        <f>COUNTA(E3:E8,E9)</f>
        <v>7</v>
      </c>
    </row>
    <row r="10" spans="1:12" x14ac:dyDescent="0.25">
      <c r="A10" s="128">
        <v>43894</v>
      </c>
      <c r="B10" s="5">
        <v>5</v>
      </c>
      <c r="C10" s="6">
        <v>1</v>
      </c>
      <c r="D10" s="6">
        <v>245</v>
      </c>
      <c r="E10" s="84">
        <v>523.50427350427344</v>
      </c>
      <c r="F10" s="84">
        <v>261.75213675213672</v>
      </c>
      <c r="G10" s="84">
        <v>627.67094017094018</v>
      </c>
      <c r="H10" s="10">
        <v>46699.992734994441</v>
      </c>
      <c r="I10" s="106">
        <f t="shared" si="0"/>
        <v>952.32531939035016</v>
      </c>
      <c r="J10" s="8"/>
      <c r="K10" s="11"/>
      <c r="L10" s="12"/>
    </row>
    <row r="11" spans="1:12" x14ac:dyDescent="0.25">
      <c r="A11" s="130"/>
      <c r="B11" s="13">
        <v>5</v>
      </c>
      <c r="C11" s="14">
        <v>4</v>
      </c>
      <c r="D11" s="14">
        <v>256</v>
      </c>
      <c r="E11" s="73">
        <v>547.008547008547</v>
      </c>
      <c r="F11" s="73">
        <v>273.5042735042735</v>
      </c>
      <c r="G11" s="73">
        <v>628.20512820512818</v>
      </c>
      <c r="H11" s="61">
        <v>46699.992734994441</v>
      </c>
      <c r="I11" s="42">
        <f t="shared" si="0"/>
        <v>837.60933479141465</v>
      </c>
      <c r="J11" s="16"/>
      <c r="K11" s="19"/>
      <c r="L11" s="20"/>
    </row>
    <row r="12" spans="1:12" x14ac:dyDescent="0.25">
      <c r="A12" s="131">
        <v>43901</v>
      </c>
      <c r="B12" s="13">
        <v>5</v>
      </c>
      <c r="C12" s="14">
        <v>2</v>
      </c>
      <c r="D12" s="14">
        <v>225</v>
      </c>
      <c r="E12" s="73">
        <v>487.54062838569882</v>
      </c>
      <c r="F12" s="73">
        <v>243.77031419284941</v>
      </c>
      <c r="G12" s="73">
        <v>586.13217768147342</v>
      </c>
      <c r="H12" s="18">
        <v>42985.157602733067</v>
      </c>
      <c r="I12" s="91">
        <f t="shared" si="0"/>
        <v>825.21946715053696</v>
      </c>
      <c r="J12" s="16"/>
      <c r="K12" s="19"/>
      <c r="L12" s="20"/>
    </row>
    <row r="13" spans="1:12" x14ac:dyDescent="0.25">
      <c r="A13" s="139"/>
      <c r="B13" s="13">
        <v>5</v>
      </c>
      <c r="C13" s="14">
        <v>9</v>
      </c>
      <c r="D13" s="14">
        <v>236</v>
      </c>
      <c r="E13" s="73">
        <v>511.37594799566631</v>
      </c>
      <c r="F13" s="73">
        <v>255.68797399783315</v>
      </c>
      <c r="G13" s="73">
        <v>559.04658721560133</v>
      </c>
      <c r="H13" s="18">
        <v>42985.157602733067</v>
      </c>
      <c r="I13" s="91">
        <f t="shared" si="0"/>
        <v>591.82152407254807</v>
      </c>
      <c r="J13" s="21"/>
      <c r="K13" s="23"/>
      <c r="L13" s="24"/>
    </row>
    <row r="14" spans="1:12" ht="15.75" thickBot="1" x14ac:dyDescent="0.3">
      <c r="A14" s="140"/>
      <c r="B14" s="35">
        <v>5</v>
      </c>
      <c r="C14" s="36">
        <v>10</v>
      </c>
      <c r="D14" s="36">
        <v>234</v>
      </c>
      <c r="E14" s="70">
        <v>507.04225352112678</v>
      </c>
      <c r="F14" s="70">
        <v>253.52112676056339</v>
      </c>
      <c r="G14" s="70">
        <v>545.50379198266523</v>
      </c>
      <c r="H14" s="38">
        <v>42985.157602733067</v>
      </c>
      <c r="I14" s="105">
        <f t="shared" si="0"/>
        <v>550.39982327512985</v>
      </c>
      <c r="J14" s="31">
        <f>AVERAGE(I10:I14)</f>
        <v>751.47509373599587</v>
      </c>
      <c r="K14" s="32">
        <f>STDEV(I10:I14)</f>
        <v>172.56787065897723</v>
      </c>
      <c r="L14" s="34">
        <f>COUNTA(E10:E14)</f>
        <v>5</v>
      </c>
    </row>
    <row r="15" spans="1:12" x14ac:dyDescent="0.25">
      <c r="A15" s="39">
        <v>43894</v>
      </c>
      <c r="B15" s="5">
        <v>10</v>
      </c>
      <c r="C15" s="6">
        <v>3</v>
      </c>
      <c r="D15" s="6">
        <v>229</v>
      </c>
      <c r="E15" s="84">
        <v>489.31623931623932</v>
      </c>
      <c r="F15" s="84">
        <v>244.65811965811966</v>
      </c>
      <c r="G15" s="84">
        <v>576.92307692307691</v>
      </c>
      <c r="H15" s="10">
        <v>46699.992734994441</v>
      </c>
      <c r="I15" s="106">
        <f t="shared" si="0"/>
        <v>832.37819063855534</v>
      </c>
      <c r="J15" s="8"/>
      <c r="K15" s="11"/>
      <c r="L15" s="12"/>
    </row>
    <row r="16" spans="1:12" x14ac:dyDescent="0.25">
      <c r="A16" s="129">
        <v>43901</v>
      </c>
      <c r="B16" s="13">
        <v>10</v>
      </c>
      <c r="C16" s="14">
        <v>3</v>
      </c>
      <c r="D16" s="14">
        <v>272</v>
      </c>
      <c r="E16" s="73">
        <v>589.38244853737808</v>
      </c>
      <c r="F16" s="73">
        <v>294.69122426868904</v>
      </c>
      <c r="G16" s="73">
        <v>609.96749729144096</v>
      </c>
      <c r="H16" s="18">
        <v>42985.157602733067</v>
      </c>
      <c r="I16" s="42">
        <f t="shared" si="0"/>
        <v>547.84137131685884</v>
      </c>
      <c r="J16" s="16"/>
      <c r="K16" s="19"/>
      <c r="L16" s="20"/>
    </row>
    <row r="17" spans="1:12" x14ac:dyDescent="0.25">
      <c r="A17" s="129"/>
      <c r="B17" s="13">
        <v>10</v>
      </c>
      <c r="C17" s="14">
        <v>7</v>
      </c>
      <c r="D17" s="14">
        <v>258</v>
      </c>
      <c r="E17" s="73">
        <v>559.04658721560133</v>
      </c>
      <c r="F17" s="73">
        <v>279.52329360780067</v>
      </c>
      <c r="G17" s="73">
        <v>602.38353196099683</v>
      </c>
      <c r="H17" s="18">
        <v>42985.157602733067</v>
      </c>
      <c r="I17" s="91">
        <f t="shared" si="0"/>
        <v>610.61575668133821</v>
      </c>
      <c r="J17" s="16"/>
      <c r="K17" s="19"/>
      <c r="L17" s="20"/>
    </row>
    <row r="18" spans="1:12" x14ac:dyDescent="0.25">
      <c r="A18" s="129"/>
      <c r="B18" s="13">
        <v>10</v>
      </c>
      <c r="C18" s="14">
        <v>8</v>
      </c>
      <c r="D18" s="14">
        <v>241</v>
      </c>
      <c r="E18" s="73">
        <v>522.21018418201515</v>
      </c>
      <c r="F18" s="73">
        <v>261.10509209100758</v>
      </c>
      <c r="G18" s="73">
        <v>567.71397616468039</v>
      </c>
      <c r="H18" s="18">
        <v>42985.157602733067</v>
      </c>
      <c r="I18" s="91">
        <f t="shared" si="0"/>
        <v>591.01972931552609</v>
      </c>
      <c r="J18" s="21"/>
      <c r="K18" s="23"/>
      <c r="L18" s="24"/>
    </row>
    <row r="19" spans="1:12" ht="15.75" thickBot="1" x14ac:dyDescent="0.3">
      <c r="A19" s="88">
        <v>43903</v>
      </c>
      <c r="B19" s="35">
        <v>10</v>
      </c>
      <c r="C19" s="36">
        <v>1</v>
      </c>
      <c r="D19" s="36">
        <v>256</v>
      </c>
      <c r="E19" s="70">
        <v>566.37168141592917</v>
      </c>
      <c r="F19" s="70">
        <v>283.18584070796459</v>
      </c>
      <c r="G19" s="70">
        <v>563.05309734513276</v>
      </c>
      <c r="H19" s="38">
        <v>38456.434394318851</v>
      </c>
      <c r="I19" s="91">
        <f t="shared" si="0"/>
        <v>401.01715709951259</v>
      </c>
      <c r="J19" s="31">
        <f>AVERAGE(I15:I19)</f>
        <v>596.57444101035821</v>
      </c>
      <c r="K19" s="32">
        <f>STDEV(I15:I19)</f>
        <v>155.28118453215845</v>
      </c>
      <c r="L19" s="34">
        <f>COUNTA(E15:E19)</f>
        <v>5</v>
      </c>
    </row>
    <row r="20" spans="1:12" x14ac:dyDescent="0.25">
      <c r="A20" s="128">
        <v>43903</v>
      </c>
      <c r="B20" s="5">
        <v>20</v>
      </c>
      <c r="C20" s="6">
        <v>2</v>
      </c>
      <c r="D20" s="6">
        <v>266</v>
      </c>
      <c r="E20" s="84">
        <v>588.49557522123894</v>
      </c>
      <c r="F20" s="84">
        <v>294.24778761061947</v>
      </c>
      <c r="G20" s="84">
        <v>549.2256637168141</v>
      </c>
      <c r="H20" s="10">
        <v>38456.434394318851</v>
      </c>
      <c r="I20" s="106">
        <f t="shared" si="0"/>
        <v>323.62631033966647</v>
      </c>
      <c r="J20" s="8"/>
      <c r="K20" s="11"/>
      <c r="L20" s="12"/>
    </row>
    <row r="21" spans="1:12" x14ac:dyDescent="0.25">
      <c r="A21" s="129"/>
      <c r="B21" s="13">
        <v>20</v>
      </c>
      <c r="C21" s="14">
        <v>3</v>
      </c>
      <c r="D21" s="14">
        <v>302</v>
      </c>
      <c r="E21" s="73">
        <v>668.1415929203539</v>
      </c>
      <c r="F21" s="73">
        <v>334.07079646017695</v>
      </c>
      <c r="G21" s="73">
        <v>573.56194690265488</v>
      </c>
      <c r="H21" s="18">
        <v>38456.434394318851</v>
      </c>
      <c r="I21" s="91">
        <f t="shared" si="0"/>
        <v>263.01828065758332</v>
      </c>
      <c r="J21" s="16"/>
      <c r="K21" s="19"/>
      <c r="L21" s="20"/>
    </row>
    <row r="22" spans="1:12" x14ac:dyDescent="0.25">
      <c r="A22" s="129"/>
      <c r="B22" s="13">
        <v>20</v>
      </c>
      <c r="C22" s="14">
        <v>12</v>
      </c>
      <c r="D22" s="14">
        <v>222</v>
      </c>
      <c r="E22" s="73">
        <v>491.15044247787608</v>
      </c>
      <c r="F22" s="73">
        <v>245.57522123893804</v>
      </c>
      <c r="G22" s="73">
        <v>567.47787610619457</v>
      </c>
      <c r="H22" s="18">
        <v>38456.434394318851</v>
      </c>
      <c r="I22" s="42">
        <f t="shared" si="0"/>
        <v>634.48631228471766</v>
      </c>
      <c r="J22" s="16"/>
      <c r="K22" s="19"/>
      <c r="L22" s="20"/>
    </row>
    <row r="23" spans="1:12" x14ac:dyDescent="0.25">
      <c r="A23" s="129"/>
      <c r="B23" s="13">
        <v>20</v>
      </c>
      <c r="C23" s="14">
        <v>13</v>
      </c>
      <c r="D23" s="14">
        <v>208</v>
      </c>
      <c r="E23" s="73">
        <v>460.17699115044246</v>
      </c>
      <c r="F23" s="73">
        <v>230.08849557522123</v>
      </c>
      <c r="G23" s="73">
        <v>519.91150442477874</v>
      </c>
      <c r="H23" s="18">
        <v>38456.434394318851</v>
      </c>
      <c r="I23" s="91">
        <f t="shared" si="0"/>
        <v>543.51701864465508</v>
      </c>
      <c r="J23" s="21"/>
      <c r="K23" s="23"/>
      <c r="L23" s="24"/>
    </row>
    <row r="24" spans="1:12" x14ac:dyDescent="0.25">
      <c r="A24" s="131"/>
      <c r="B24" s="48">
        <v>20</v>
      </c>
      <c r="C24" s="14">
        <v>14</v>
      </c>
      <c r="D24" s="41">
        <v>209</v>
      </c>
      <c r="E24" s="73">
        <v>462.38938053097343</v>
      </c>
      <c r="F24" s="73">
        <v>231.19469026548671</v>
      </c>
      <c r="G24" s="73">
        <v>527.65486725663709</v>
      </c>
      <c r="H24" s="18">
        <v>38456.434394318851</v>
      </c>
      <c r="I24" s="98">
        <f t="shared" si="0"/>
        <v>568.38993420723807</v>
      </c>
      <c r="J24" s="16"/>
      <c r="K24" s="19"/>
      <c r="L24" s="20"/>
    </row>
    <row r="25" spans="1:12" x14ac:dyDescent="0.25">
      <c r="A25" s="131">
        <v>43987</v>
      </c>
      <c r="B25" s="57">
        <v>20</v>
      </c>
      <c r="C25" s="58">
        <v>6</v>
      </c>
      <c r="D25" s="73">
        <v>360</v>
      </c>
      <c r="E25" s="89">
        <v>851.063829787234</v>
      </c>
      <c r="F25" s="89">
        <v>425.531914893617</v>
      </c>
      <c r="G25" s="89">
        <v>558.51063829787222</v>
      </c>
      <c r="H25" s="89">
        <v>75737.709701562766</v>
      </c>
      <c r="I25" s="42">
        <f t="shared" si="0"/>
        <v>225.34747183531312</v>
      </c>
      <c r="J25" s="16"/>
      <c r="K25" s="19"/>
      <c r="L25" s="20"/>
    </row>
    <row r="26" spans="1:12" x14ac:dyDescent="0.25">
      <c r="A26" s="136"/>
      <c r="B26" s="13">
        <v>20</v>
      </c>
      <c r="C26" s="14">
        <v>7</v>
      </c>
      <c r="D26" s="73">
        <v>382</v>
      </c>
      <c r="E26" s="73">
        <v>903.07328605200939</v>
      </c>
      <c r="F26" s="73">
        <v>451.5366430260047</v>
      </c>
      <c r="G26" s="73">
        <v>606.38297872340422</v>
      </c>
      <c r="H26" s="73">
        <v>75737.709701562766</v>
      </c>
      <c r="I26" s="42">
        <f t="shared" si="0"/>
        <v>262.07905416853043</v>
      </c>
      <c r="J26" s="21"/>
      <c r="K26" s="23"/>
      <c r="L26" s="24"/>
    </row>
    <row r="27" spans="1:12" ht="15.75" thickBot="1" x14ac:dyDescent="0.3">
      <c r="A27" s="137"/>
      <c r="B27" s="35">
        <v>20</v>
      </c>
      <c r="C27" s="36">
        <v>8</v>
      </c>
      <c r="D27" s="70">
        <v>408</v>
      </c>
      <c r="E27" s="70">
        <v>964.53900709219852</v>
      </c>
      <c r="F27" s="70">
        <v>482.26950354609926</v>
      </c>
      <c r="G27" s="70">
        <v>606.38297872340422</v>
      </c>
      <c r="H27" s="70">
        <v>75737.709701562766</v>
      </c>
      <c r="I27" s="31">
        <f t="shared" si="0"/>
        <v>215.10074382782781</v>
      </c>
      <c r="J27" s="31">
        <f>AVERAGE(I20:I27)</f>
        <v>379.44564074569155</v>
      </c>
      <c r="K27" s="32">
        <f>STDEV(I20:I27)</f>
        <v>172.73705925883698</v>
      </c>
      <c r="L27" s="34">
        <f>COUNTA(E20:E27)</f>
        <v>8</v>
      </c>
    </row>
    <row r="28" spans="1:12" x14ac:dyDescent="0.25">
      <c r="A28" s="128">
        <v>43901</v>
      </c>
      <c r="B28" s="5">
        <v>40</v>
      </c>
      <c r="C28" s="6">
        <v>4</v>
      </c>
      <c r="D28" s="6">
        <v>348</v>
      </c>
      <c r="E28" s="84">
        <v>754.0628385698808</v>
      </c>
      <c r="F28" s="84">
        <v>377.0314192849404</v>
      </c>
      <c r="G28" s="84">
        <v>532.5027085590466</v>
      </c>
      <c r="H28" s="10">
        <v>42985.157602733067</v>
      </c>
      <c r="I28" s="106">
        <f t="shared" si="0"/>
        <v>151.9442659157277</v>
      </c>
      <c r="J28" s="8"/>
      <c r="K28" s="11"/>
      <c r="L28" s="12"/>
    </row>
    <row r="29" spans="1:12" x14ac:dyDescent="0.25">
      <c r="A29" s="129"/>
      <c r="B29" s="13">
        <v>40</v>
      </c>
      <c r="C29" s="14">
        <v>5</v>
      </c>
      <c r="D29" s="14">
        <v>322</v>
      </c>
      <c r="E29" s="73">
        <v>697.72481040086677</v>
      </c>
      <c r="F29" s="73">
        <v>348.86240520043339</v>
      </c>
      <c r="G29" s="73">
        <v>528.16901408450701</v>
      </c>
      <c r="H29" s="18">
        <v>42985.157602733067</v>
      </c>
      <c r="I29" s="91">
        <f t="shared" si="0"/>
        <v>185.63455594896593</v>
      </c>
      <c r="J29" s="16"/>
      <c r="K29" s="19"/>
      <c r="L29" s="20"/>
    </row>
    <row r="30" spans="1:12" x14ac:dyDescent="0.25">
      <c r="A30" s="129"/>
      <c r="B30" s="13">
        <v>40</v>
      </c>
      <c r="C30" s="14">
        <v>6</v>
      </c>
      <c r="D30" s="14">
        <v>331</v>
      </c>
      <c r="E30" s="73">
        <v>717.22643553629473</v>
      </c>
      <c r="F30" s="73">
        <v>358.61321776814736</v>
      </c>
      <c r="G30" s="73">
        <v>514.08450704225356</v>
      </c>
      <c r="H30" s="18">
        <v>42985.157602733067</v>
      </c>
      <c r="I30" s="98">
        <f t="shared" si="0"/>
        <v>153.38710268691125</v>
      </c>
      <c r="J30" s="16"/>
      <c r="K30" s="19"/>
      <c r="L30" s="20"/>
    </row>
    <row r="31" spans="1:12" x14ac:dyDescent="0.25">
      <c r="A31" s="129">
        <v>43903</v>
      </c>
      <c r="B31" s="13">
        <v>40</v>
      </c>
      <c r="C31" s="14">
        <v>4</v>
      </c>
      <c r="D31" s="14">
        <v>397</v>
      </c>
      <c r="E31" s="73">
        <v>878.31858407079642</v>
      </c>
      <c r="F31" s="73">
        <v>439.15929203539821</v>
      </c>
      <c r="G31" s="73">
        <v>615.59734513274338</v>
      </c>
      <c r="H31" s="18">
        <v>38456.434394318851</v>
      </c>
      <c r="I31" s="91">
        <f t="shared" si="0"/>
        <v>153.63878881998926</v>
      </c>
      <c r="J31" s="21"/>
      <c r="K31" s="23"/>
      <c r="L31" s="24"/>
    </row>
    <row r="32" spans="1:12" ht="15.75" thickBot="1" x14ac:dyDescent="0.3">
      <c r="A32" s="145"/>
      <c r="B32" s="35">
        <v>40</v>
      </c>
      <c r="C32" s="36">
        <v>5</v>
      </c>
      <c r="D32" s="36">
        <v>349</v>
      </c>
      <c r="E32" s="70">
        <v>772.12389380530965</v>
      </c>
      <c r="F32" s="70">
        <v>386.06194690265482</v>
      </c>
      <c r="G32" s="70">
        <v>581.85840707964599</v>
      </c>
      <c r="H32" s="38">
        <v>38456.434394318851</v>
      </c>
      <c r="I32" s="105">
        <f t="shared" si="0"/>
        <v>180.50050287060006</v>
      </c>
      <c r="J32" s="31">
        <f>AVERAGE(I28:I32)</f>
        <v>165.02104324843884</v>
      </c>
      <c r="K32" s="32">
        <f>STDEV(I28:I32)</f>
        <v>16.58641741245933</v>
      </c>
      <c r="L32" s="34">
        <f>COUNTA(E28:E32)</f>
        <v>5</v>
      </c>
    </row>
    <row r="33" spans="1:12" x14ac:dyDescent="0.25">
      <c r="A33" s="128">
        <v>43903</v>
      </c>
      <c r="B33" s="5">
        <v>80</v>
      </c>
      <c r="C33" s="6">
        <v>6</v>
      </c>
      <c r="D33" s="6">
        <v>407</v>
      </c>
      <c r="E33" s="84">
        <v>900.44247787610618</v>
      </c>
      <c r="F33" s="84">
        <v>450.22123893805309</v>
      </c>
      <c r="G33" s="84">
        <v>584.07079646017701</v>
      </c>
      <c r="H33" s="10">
        <v>38456.434394318851</v>
      </c>
      <c r="I33" s="106">
        <f t="shared" si="0"/>
        <v>115.54846564358458</v>
      </c>
      <c r="J33" s="8"/>
      <c r="K33" s="11"/>
      <c r="L33" s="12"/>
    </row>
    <row r="34" spans="1:12" x14ac:dyDescent="0.25">
      <c r="A34" s="130"/>
      <c r="B34" s="13">
        <v>80</v>
      </c>
      <c r="C34" s="14">
        <v>7</v>
      </c>
      <c r="D34" s="14">
        <v>432</v>
      </c>
      <c r="E34" s="73">
        <v>955.75221238938047</v>
      </c>
      <c r="F34" s="73">
        <v>477.87610619469024</v>
      </c>
      <c r="G34" s="73">
        <v>570.24336283185835</v>
      </c>
      <c r="H34" s="18">
        <v>38456.434394318851</v>
      </c>
      <c r="I34" s="91">
        <f t="shared" si="0"/>
        <v>87.796086653923808</v>
      </c>
      <c r="J34" s="90"/>
      <c r="K34" s="17"/>
      <c r="L34" s="20"/>
    </row>
    <row r="35" spans="1:12" x14ac:dyDescent="0.25">
      <c r="A35" s="142"/>
      <c r="B35" s="25">
        <v>80</v>
      </c>
      <c r="C35" s="41">
        <v>8</v>
      </c>
      <c r="D35" s="41">
        <v>481</v>
      </c>
      <c r="E35" s="73">
        <v>1064.1592920353983</v>
      </c>
      <c r="F35" s="73">
        <v>532.07964601769913</v>
      </c>
      <c r="G35" s="73">
        <v>581.85840707964599</v>
      </c>
      <c r="H35" s="18">
        <v>38456.434394318851</v>
      </c>
      <c r="I35" s="91">
        <f t="shared" si="0"/>
        <v>68.947649934904675</v>
      </c>
      <c r="J35" s="16"/>
      <c r="K35" s="62"/>
      <c r="L35" s="63"/>
    </row>
    <row r="36" spans="1:12" x14ac:dyDescent="0.25">
      <c r="A36" s="131">
        <v>43980</v>
      </c>
      <c r="B36" s="92">
        <v>80</v>
      </c>
      <c r="C36" s="14">
        <v>6</v>
      </c>
      <c r="D36" s="73">
        <v>516</v>
      </c>
      <c r="E36" s="93">
        <v>969.0140845070423</v>
      </c>
      <c r="F36" s="93">
        <v>484.50704225352115</v>
      </c>
      <c r="G36" s="93">
        <v>503.75586854460096</v>
      </c>
      <c r="H36" s="93">
        <v>68528.586420037653</v>
      </c>
      <c r="I36" s="98">
        <f t="shared" si="0"/>
        <v>91.424606989630917</v>
      </c>
      <c r="J36" s="16"/>
      <c r="K36" s="19"/>
      <c r="L36" s="20"/>
    </row>
    <row r="37" spans="1:12" ht="15.75" thickBot="1" x14ac:dyDescent="0.3">
      <c r="A37" s="140"/>
      <c r="B37" s="53">
        <v>80</v>
      </c>
      <c r="C37" s="29">
        <v>7</v>
      </c>
      <c r="D37" s="94">
        <v>519</v>
      </c>
      <c r="E37" s="94">
        <v>974.64788732394368</v>
      </c>
      <c r="F37" s="94">
        <v>487.32394366197184</v>
      </c>
      <c r="G37" s="94">
        <v>484.50704225352115</v>
      </c>
      <c r="H37" s="94">
        <v>68528.586420037653</v>
      </c>
      <c r="I37" s="31">
        <f t="shared" si="0"/>
        <v>76.882949268361216</v>
      </c>
      <c r="J37" s="31">
        <f>AVERAGE(I33:I37)</f>
        <v>88.119951698081039</v>
      </c>
      <c r="K37" s="32">
        <f>STDEV(I33:I37)</f>
        <v>17.728482668613452</v>
      </c>
      <c r="L37" s="34">
        <f>COUNTA(E33:E37)</f>
        <v>5</v>
      </c>
    </row>
    <row r="38" spans="1:12" x14ac:dyDescent="0.25">
      <c r="A38" s="128">
        <v>43903</v>
      </c>
      <c r="B38" s="5">
        <v>160</v>
      </c>
      <c r="C38" s="6">
        <v>9</v>
      </c>
      <c r="D38" s="6">
        <v>456</v>
      </c>
      <c r="E38" s="84">
        <v>1008.8495575221239</v>
      </c>
      <c r="F38" s="84">
        <v>504.42477876106193</v>
      </c>
      <c r="G38" s="84">
        <v>612.27876106194685</v>
      </c>
      <c r="H38" s="10">
        <v>38456.434394318851</v>
      </c>
      <c r="I38" s="106">
        <f t="shared" si="0"/>
        <v>99.217366001032772</v>
      </c>
      <c r="J38" s="8"/>
      <c r="K38" s="11"/>
      <c r="L38" s="12"/>
    </row>
    <row r="39" spans="1:12" x14ac:dyDescent="0.25">
      <c r="A39" s="130"/>
      <c r="B39" s="13">
        <v>160</v>
      </c>
      <c r="C39" s="14">
        <v>10</v>
      </c>
      <c r="D39" s="14">
        <v>455</v>
      </c>
      <c r="E39" s="73">
        <v>1006.6371681415928</v>
      </c>
      <c r="F39" s="73">
        <v>503.31858407079642</v>
      </c>
      <c r="G39" s="73">
        <v>585.17699115044252</v>
      </c>
      <c r="H39" s="18">
        <v>38456.434394318851</v>
      </c>
      <c r="I39" s="42">
        <f t="shared" si="0"/>
        <v>83.329776809096288</v>
      </c>
      <c r="J39" s="90"/>
      <c r="K39" s="17"/>
      <c r="L39" s="95"/>
    </row>
    <row r="40" spans="1:12" x14ac:dyDescent="0.25">
      <c r="A40" s="142"/>
      <c r="B40" s="25">
        <v>160</v>
      </c>
      <c r="C40" s="41">
        <v>11</v>
      </c>
      <c r="D40" s="41">
        <v>475</v>
      </c>
      <c r="E40" s="67">
        <v>1050.8849557522124</v>
      </c>
      <c r="F40" s="67">
        <v>525.44247787610618</v>
      </c>
      <c r="G40" s="67">
        <v>633.84955752212386</v>
      </c>
      <c r="H40" s="18">
        <v>38456.434394318851</v>
      </c>
      <c r="I40" s="42">
        <f t="shared" si="0"/>
        <v>100.82062362532425</v>
      </c>
      <c r="J40" s="16"/>
      <c r="K40" s="62"/>
      <c r="L40" s="20"/>
    </row>
    <row r="41" spans="1:12" x14ac:dyDescent="0.25">
      <c r="A41" s="131">
        <v>43980</v>
      </c>
      <c r="B41" s="13">
        <v>160</v>
      </c>
      <c r="C41" s="96">
        <v>8</v>
      </c>
      <c r="D41" s="73">
        <v>593</v>
      </c>
      <c r="E41" s="73">
        <v>1113.6150234741783</v>
      </c>
      <c r="F41" s="73">
        <v>556.80751173708916</v>
      </c>
      <c r="G41" s="73">
        <v>504.69483568075123</v>
      </c>
      <c r="H41" s="97">
        <v>68528.586420037653</v>
      </c>
      <c r="I41" s="91">
        <f t="shared" si="0"/>
        <v>60.685243100034711</v>
      </c>
      <c r="J41" s="16"/>
      <c r="K41" s="19"/>
      <c r="L41" s="20"/>
    </row>
    <row r="42" spans="1:12" ht="15.75" thickBot="1" x14ac:dyDescent="0.3">
      <c r="A42" s="137"/>
      <c r="B42" s="35">
        <v>160</v>
      </c>
      <c r="C42" s="70">
        <v>9</v>
      </c>
      <c r="D42" s="99">
        <v>621</v>
      </c>
      <c r="E42" s="70">
        <v>1166.1971830985915</v>
      </c>
      <c r="F42" s="70">
        <v>583.09859154929575</v>
      </c>
      <c r="G42" s="70">
        <v>509.85915492957747</v>
      </c>
      <c r="H42" s="94">
        <v>68528.586420037653</v>
      </c>
      <c r="I42" s="107">
        <f t="shared" si="0"/>
        <v>55.037388621961355</v>
      </c>
      <c r="J42" s="31">
        <f>AVERAGE(I38:I42)</f>
        <v>79.81807963148988</v>
      </c>
      <c r="K42" s="32">
        <f>STDEV(I38:I42)</f>
        <v>21.271572952985878</v>
      </c>
      <c r="L42" s="34">
        <f>COUNTA(E38:E42)</f>
        <v>5</v>
      </c>
    </row>
    <row r="45" spans="1:12" ht="15.75" thickBot="1" x14ac:dyDescent="0.3"/>
    <row r="46" spans="1:12" ht="15.75" thickBot="1" x14ac:dyDescent="0.3">
      <c r="A46" s="64" t="s">
        <v>0</v>
      </c>
      <c r="B46" s="2" t="s">
        <v>7</v>
      </c>
      <c r="C46" s="81" t="s">
        <v>14</v>
      </c>
      <c r="D46" s="3" t="s">
        <v>8</v>
      </c>
      <c r="E46" s="3" t="s">
        <v>9</v>
      </c>
      <c r="F46" s="3" t="s">
        <v>10</v>
      </c>
      <c r="G46" s="3" t="s">
        <v>11</v>
      </c>
      <c r="H46" s="3" t="s">
        <v>12</v>
      </c>
      <c r="I46" s="82" t="s">
        <v>13</v>
      </c>
      <c r="J46" s="81" t="s">
        <v>20</v>
      </c>
      <c r="K46" s="83" t="s">
        <v>21</v>
      </c>
      <c r="L46" s="1" t="s">
        <v>5</v>
      </c>
    </row>
    <row r="47" spans="1:12" x14ac:dyDescent="0.25">
      <c r="A47" s="141">
        <v>43980</v>
      </c>
      <c r="B47" s="108">
        <v>80</v>
      </c>
      <c r="C47" s="109">
        <v>3</v>
      </c>
      <c r="D47" s="84">
        <v>204</v>
      </c>
      <c r="E47" s="84">
        <v>383.0985915492958</v>
      </c>
      <c r="F47" s="84">
        <v>191.5492957746479</v>
      </c>
      <c r="G47" s="84">
        <v>544.60093896713624</v>
      </c>
      <c r="H47" s="110">
        <v>68528.586420037653</v>
      </c>
      <c r="I47" s="111">
        <f t="shared" ref="I47:I55" si="1">(1-1/4)*PI()/(F47*10^-6)^3*H47*(G47*10^-6)^4</f>
        <v>2020.9463001053109</v>
      </c>
      <c r="J47" s="8"/>
      <c r="K47" s="9"/>
      <c r="L47" s="100"/>
    </row>
    <row r="48" spans="1:12" x14ac:dyDescent="0.25">
      <c r="A48" s="136"/>
      <c r="B48" s="112">
        <v>80</v>
      </c>
      <c r="C48" s="113">
        <v>5</v>
      </c>
      <c r="D48" s="73">
        <v>164</v>
      </c>
      <c r="E48" s="73">
        <v>307.98122065727699</v>
      </c>
      <c r="F48" s="73">
        <v>153.9906103286385</v>
      </c>
      <c r="G48" s="73">
        <v>462.91079812206573</v>
      </c>
      <c r="H48" s="114">
        <v>68528.586420037653</v>
      </c>
      <c r="I48" s="115">
        <f t="shared" si="1"/>
        <v>2030.4366068320744</v>
      </c>
      <c r="J48" s="16"/>
      <c r="K48" s="17"/>
      <c r="L48" s="100"/>
    </row>
    <row r="49" spans="1:12" ht="15.75" thickBot="1" x14ac:dyDescent="0.3">
      <c r="A49" s="137"/>
      <c r="B49" s="116">
        <v>80</v>
      </c>
      <c r="C49" s="117">
        <v>10</v>
      </c>
      <c r="D49" s="70">
        <v>234</v>
      </c>
      <c r="E49" s="70">
        <v>439.43661971830988</v>
      </c>
      <c r="F49" s="70">
        <v>219.71830985915494</v>
      </c>
      <c r="G49" s="70">
        <v>561.50234741784038</v>
      </c>
      <c r="H49" s="118">
        <v>68528.586420037653</v>
      </c>
      <c r="I49" s="119">
        <f t="shared" si="1"/>
        <v>1513.1795574712855</v>
      </c>
      <c r="J49" s="31">
        <f>AVERAGE(I47:I49)</f>
        <v>1854.8541548028904</v>
      </c>
      <c r="K49" s="37">
        <f>STDEV(I47:I49)</f>
        <v>295.93692626424041</v>
      </c>
      <c r="L49" s="75">
        <f>COUNTA(E47:E49)</f>
        <v>3</v>
      </c>
    </row>
    <row r="50" spans="1:12" x14ac:dyDescent="0.25">
      <c r="A50" s="141">
        <v>43980</v>
      </c>
      <c r="B50" s="108">
        <v>160</v>
      </c>
      <c r="C50" s="109">
        <v>2</v>
      </c>
      <c r="D50" s="84">
        <v>205</v>
      </c>
      <c r="E50" s="84">
        <v>384.97652582159623</v>
      </c>
      <c r="F50" s="84">
        <v>192.48826291079811</v>
      </c>
      <c r="G50" s="84">
        <v>569.95305164319257</v>
      </c>
      <c r="H50" s="110">
        <v>68528.586420037653</v>
      </c>
      <c r="I50" s="111">
        <f t="shared" si="1"/>
        <v>2389.0568420720151</v>
      </c>
      <c r="J50" s="8"/>
      <c r="K50" s="9"/>
      <c r="L50" s="101"/>
    </row>
    <row r="51" spans="1:12" x14ac:dyDescent="0.25">
      <c r="A51" s="136"/>
      <c r="B51" s="112">
        <v>160</v>
      </c>
      <c r="C51" s="113">
        <v>4</v>
      </c>
      <c r="D51" s="73">
        <v>174</v>
      </c>
      <c r="E51" s="73">
        <v>326.76056338028167</v>
      </c>
      <c r="F51" s="73">
        <v>163.38028169014083</v>
      </c>
      <c r="G51" s="73">
        <v>489.67136150234739</v>
      </c>
      <c r="H51" s="114">
        <v>68528.586420037653</v>
      </c>
      <c r="I51" s="115">
        <f t="shared" si="1"/>
        <v>2128.6428874261642</v>
      </c>
      <c r="J51" s="16"/>
      <c r="K51" s="17"/>
      <c r="L51" s="100"/>
    </row>
    <row r="52" spans="1:12" x14ac:dyDescent="0.25">
      <c r="A52" s="138"/>
      <c r="B52" s="112">
        <v>160</v>
      </c>
      <c r="C52" s="120">
        <v>11</v>
      </c>
      <c r="D52" s="73">
        <v>185</v>
      </c>
      <c r="E52" s="67">
        <v>347.41784037558688</v>
      </c>
      <c r="F52" s="73">
        <v>173.70892018779344</v>
      </c>
      <c r="G52" s="73">
        <v>486.38497652582157</v>
      </c>
      <c r="H52" s="114">
        <v>68528.586420037653</v>
      </c>
      <c r="I52" s="121">
        <f t="shared" si="1"/>
        <v>1723.99957942744</v>
      </c>
      <c r="J52" s="102"/>
      <c r="K52" s="17"/>
      <c r="L52" s="100"/>
    </row>
    <row r="53" spans="1:12" x14ac:dyDescent="0.25">
      <c r="A53" s="143">
        <v>43987</v>
      </c>
      <c r="B53" s="112">
        <v>160</v>
      </c>
      <c r="C53" s="65">
        <v>1</v>
      </c>
      <c r="D53" s="89">
        <v>220</v>
      </c>
      <c r="E53" s="73">
        <v>520.09456264775406</v>
      </c>
      <c r="F53" s="89">
        <v>260.04728132387703</v>
      </c>
      <c r="G53" s="89">
        <v>644.20803782505902</v>
      </c>
      <c r="H53" s="122">
        <v>75737.709701562766</v>
      </c>
      <c r="I53" s="121">
        <f t="shared" si="1"/>
        <v>1747.716183211729</v>
      </c>
      <c r="J53" s="16"/>
      <c r="K53" s="17"/>
      <c r="L53" s="100"/>
    </row>
    <row r="54" spans="1:12" x14ac:dyDescent="0.25">
      <c r="A54" s="143"/>
      <c r="B54" s="112">
        <v>160</v>
      </c>
      <c r="C54" s="65">
        <v>2</v>
      </c>
      <c r="D54" s="73">
        <v>232</v>
      </c>
      <c r="E54" s="73">
        <v>548.46335697399525</v>
      </c>
      <c r="F54" s="73">
        <v>274.23167848699762</v>
      </c>
      <c r="G54" s="73">
        <v>662.52955082742312</v>
      </c>
      <c r="H54" s="114">
        <v>75737.709701562766</v>
      </c>
      <c r="I54" s="121">
        <f t="shared" si="1"/>
        <v>1667.2144052435997</v>
      </c>
      <c r="J54" s="16"/>
      <c r="K54" s="17"/>
      <c r="L54" s="100"/>
    </row>
    <row r="55" spans="1:12" ht="15.75" thickBot="1" x14ac:dyDescent="0.3">
      <c r="A55" s="144"/>
      <c r="B55" s="116">
        <v>160</v>
      </c>
      <c r="C55" s="69">
        <v>3</v>
      </c>
      <c r="D55" s="70">
        <v>224</v>
      </c>
      <c r="E55" s="70">
        <v>529.55082742316779</v>
      </c>
      <c r="F55" s="70">
        <v>264.77541371158389</v>
      </c>
      <c r="G55" s="70">
        <v>622.93144208037825</v>
      </c>
      <c r="H55" s="118">
        <v>75737.709701562766</v>
      </c>
      <c r="I55" s="123">
        <f t="shared" si="1"/>
        <v>1447.6092411659326</v>
      </c>
      <c r="J55" s="31">
        <f>AVERAGE(I50:I55)</f>
        <v>1850.7065230911467</v>
      </c>
      <c r="K55" s="37">
        <f>STDEV(I50:I55)</f>
        <v>343.47871091388527</v>
      </c>
      <c r="L55" s="75">
        <f>COUNTA(E50:E55)</f>
        <v>6</v>
      </c>
    </row>
  </sheetData>
  <mergeCells count="17">
    <mergeCell ref="A53:A55"/>
    <mergeCell ref="A16:A18"/>
    <mergeCell ref="A20:A24"/>
    <mergeCell ref="A25:A27"/>
    <mergeCell ref="A28:A30"/>
    <mergeCell ref="A31:A32"/>
    <mergeCell ref="A33:A35"/>
    <mergeCell ref="A36:A37"/>
    <mergeCell ref="A38:A40"/>
    <mergeCell ref="A41:A42"/>
    <mergeCell ref="A47:A49"/>
    <mergeCell ref="A50:A52"/>
    <mergeCell ref="A12:A14"/>
    <mergeCell ref="A3:A4"/>
    <mergeCell ref="A5:A6"/>
    <mergeCell ref="A7:A8"/>
    <mergeCell ref="A10:A1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Surface tension</vt:lpstr>
      <vt:lpstr>Young's modulus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Irène Nagle</dc:creator>
  <cp:lastModifiedBy>Irene</cp:lastModifiedBy>
  <dcterms:created xsi:type="dcterms:W3CDTF">2015-06-05T18:19:34Z</dcterms:created>
  <dcterms:modified xsi:type="dcterms:W3CDTF">2021-12-23T18:25:35Z</dcterms:modified>
</cp:coreProperties>
</file>