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ennyf/Documents/RTF/papers/FatmaCraniofacMs1-6-21./eLifeCraniofacREV12-30-22/eLife Resubmission/Figuresourcefiles/"/>
    </mc:Choice>
  </mc:AlternateContent>
  <xr:revisionPtr revIDLastSave="0" documentId="13_ncr:1_{B76274D6-5298-BA43-8BE2-3A275A1F5DD4}" xr6:coauthVersionLast="47" xr6:coauthVersionMax="47" xr10:uidLastSave="{00000000-0000-0000-0000-000000000000}"/>
  <bookViews>
    <workbookView xWindow="2980" yWindow="480" windowWidth="32760" windowHeight="17180" tabRatio="500" activeTab="1" xr2:uid="{00000000-000D-0000-FFFF-FFFF00000000}"/>
  </bookViews>
  <sheets>
    <sheet name="Proliferation analysis" sheetId="2" r:id="rId1"/>
    <sheet name="TUNEL analysis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3" l="1"/>
  <c r="D20" i="3"/>
  <c r="C21" i="3"/>
  <c r="C20" i="3"/>
  <c r="D11" i="3"/>
  <c r="D10" i="3"/>
  <c r="C11" i="3"/>
  <c r="C10" i="3"/>
  <c r="C42" i="2"/>
  <c r="D42" i="2" s="1"/>
  <c r="F41" i="2"/>
  <c r="C41" i="2"/>
  <c r="D41" i="2" s="1"/>
  <c r="E42" i="2" l="1"/>
  <c r="F39" i="2"/>
  <c r="F37" i="2"/>
  <c r="F35" i="2"/>
  <c r="F33" i="2"/>
  <c r="F32" i="2"/>
  <c r="F30" i="2"/>
  <c r="C40" i="2"/>
  <c r="C39" i="2"/>
  <c r="C38" i="2"/>
  <c r="C37" i="2"/>
  <c r="C35" i="2"/>
  <c r="C34" i="2"/>
  <c r="C32" i="2"/>
  <c r="C30" i="2"/>
  <c r="D30" i="2" s="1"/>
  <c r="C21" i="2"/>
  <c r="C19" i="2"/>
  <c r="C13" i="2"/>
  <c r="C8" i="2"/>
  <c r="C7" i="2"/>
  <c r="C6" i="2"/>
  <c r="F24" i="2"/>
  <c r="F23" i="2"/>
  <c r="F22" i="2"/>
  <c r="F21" i="2"/>
  <c r="G21" i="2" s="1"/>
  <c r="C36" i="2"/>
  <c r="C31" i="2"/>
  <c r="F38" i="2"/>
  <c r="F34" i="2"/>
  <c r="C24" i="2"/>
  <c r="C23" i="2"/>
  <c r="C22" i="2"/>
  <c r="F40" i="2" l="1"/>
  <c r="F31" i="2"/>
  <c r="G34" i="2"/>
  <c r="G33" i="2"/>
  <c r="G32" i="2"/>
  <c r="G31" i="2"/>
  <c r="G30" i="2"/>
  <c r="D32" i="2"/>
  <c r="D31" i="2"/>
  <c r="C33" i="2"/>
  <c r="G22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D22" i="2"/>
  <c r="D21" i="2"/>
  <c r="D14" i="2"/>
  <c r="D13" i="2"/>
  <c r="D12" i="2"/>
  <c r="D11" i="2"/>
  <c r="D8" i="2"/>
  <c r="D6" i="2"/>
  <c r="C20" i="2"/>
  <c r="C18" i="2"/>
  <c r="C17" i="2"/>
  <c r="D17" i="2" s="1"/>
  <c r="C16" i="2"/>
  <c r="D16" i="2" s="1"/>
  <c r="C15" i="2"/>
  <c r="D15" i="2" s="1"/>
  <c r="C14" i="2"/>
  <c r="C12" i="2"/>
  <c r="C11" i="2"/>
  <c r="C10" i="2"/>
  <c r="D10" i="2" s="1"/>
  <c r="C9" i="2"/>
  <c r="D9" i="2" s="1"/>
  <c r="E15" i="2" l="1"/>
  <c r="G24" i="2"/>
  <c r="G23" i="2"/>
  <c r="H24" i="2" s="1"/>
  <c r="D23" i="2"/>
  <c r="D24" i="2"/>
  <c r="E24" i="2" l="1"/>
  <c r="D40" i="2"/>
  <c r="D38" i="2"/>
  <c r="D37" i="2"/>
  <c r="G36" i="2"/>
  <c r="D36" i="2"/>
  <c r="D35" i="2"/>
  <c r="D34" i="2"/>
  <c r="D33" i="2"/>
  <c r="D20" i="2"/>
  <c r="D19" i="2"/>
  <c r="E20" i="2" s="1"/>
  <c r="D7" i="2"/>
  <c r="G6" i="2"/>
  <c r="E35" i="2" l="1"/>
  <c r="E38" i="2"/>
  <c r="E32" i="2"/>
  <c r="E13" i="2"/>
  <c r="G37" i="2"/>
  <c r="G9" i="2"/>
  <c r="G38" i="2"/>
  <c r="G19" i="2"/>
  <c r="G16" i="2"/>
  <c r="G20" i="2"/>
  <c r="G11" i="2"/>
  <c r="G15" i="2"/>
  <c r="G10" i="2"/>
  <c r="G7" i="2"/>
  <c r="G17" i="2"/>
  <c r="G12" i="2"/>
  <c r="G8" i="2"/>
  <c r="G40" i="2"/>
  <c r="G39" i="2"/>
  <c r="H40" i="2" s="1"/>
  <c r="E8" i="2"/>
  <c r="D18" i="2"/>
  <c r="E18" i="2" s="1"/>
  <c r="G35" i="2"/>
  <c r="D39" i="2"/>
  <c r="E40" i="2" s="1"/>
  <c r="E11" i="2"/>
  <c r="G14" i="2"/>
  <c r="G18" i="2"/>
  <c r="G13" i="2"/>
  <c r="H38" i="2" l="1"/>
  <c r="E26" i="2"/>
  <c r="E25" i="2"/>
  <c r="E43" i="2"/>
  <c r="E44" i="2"/>
  <c r="H32" i="2"/>
  <c r="H44" i="2" s="1"/>
  <c r="H15" i="2"/>
  <c r="H8" i="2"/>
  <c r="H13" i="2"/>
  <c r="H18" i="2"/>
  <c r="H20" i="2"/>
  <c r="H11" i="2"/>
  <c r="H35" i="2"/>
  <c r="H26" i="2" l="1"/>
  <c r="H25" i="2"/>
</calcChain>
</file>

<file path=xl/sharedStrings.xml><?xml version="1.0" encoding="utf-8"?>
<sst xmlns="http://schemas.openxmlformats.org/spreadsheetml/2006/main" count="59" uniqueCount="40">
  <si>
    <t>2weeks</t>
  </si>
  <si>
    <t>WT</t>
  </si>
  <si>
    <t>ISS</t>
  </si>
  <si>
    <t>SOS</t>
  </si>
  <si>
    <t>Sample ID-Slide no</t>
  </si>
  <si>
    <t>Positive cells/ Total cells</t>
  </si>
  <si>
    <t>% EdU+cells</t>
  </si>
  <si>
    <t>AvG</t>
  </si>
  <si>
    <t>WTF5_33</t>
  </si>
  <si>
    <t>WTF5_37</t>
  </si>
  <si>
    <t>WTF6_21</t>
  </si>
  <si>
    <t>WTF6_39</t>
  </si>
  <si>
    <t>WTF6_43</t>
  </si>
  <si>
    <t>Ddr2-Slie  KO</t>
  </si>
  <si>
    <t>HF4_41</t>
  </si>
  <si>
    <t>HF4_44</t>
  </si>
  <si>
    <t>HF4_42</t>
  </si>
  <si>
    <t>KOM2</t>
  </si>
  <si>
    <t>KO-16</t>
  </si>
  <si>
    <t>Ave</t>
  </si>
  <si>
    <t>SD</t>
  </si>
  <si>
    <t>Proliferation 2 week cranial base</t>
  </si>
  <si>
    <t>TUNEL 2 week cranial base</t>
  </si>
  <si>
    <t>Sample/slide no.</t>
  </si>
  <si>
    <t>WT ISS</t>
  </si>
  <si>
    <t>WT SOS</t>
  </si>
  <si>
    <t>W1</t>
  </si>
  <si>
    <t>W2</t>
  </si>
  <si>
    <t>W3</t>
  </si>
  <si>
    <t>W4</t>
  </si>
  <si>
    <t>W5</t>
  </si>
  <si>
    <t>DDR2SLIE/SLIE ISS</t>
  </si>
  <si>
    <t>DDR2SLIE/SLIE SOS</t>
  </si>
  <si>
    <t>D1</t>
  </si>
  <si>
    <t>D2</t>
  </si>
  <si>
    <t>D3</t>
  </si>
  <si>
    <t>D4</t>
  </si>
  <si>
    <t>D5</t>
  </si>
  <si>
    <t>POSITIVE CELLS/FIELD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</si>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</sst>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00"/>
    <numFmt numFmtId="166" formatCode="0.0000"/>
  </numFmts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7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64" fontId="0" fillId="9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Font="1"/>
  </cellXfs>
  <cellStyles count="279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200" builtinId="9" hidden="1"/>
    <cellStyle name="Followed Hyperlink" xfId="204" builtinId="9" hidden="1"/>
    <cellStyle name="Followed Hyperlink" xfId="208" builtinId="9" hidden="1"/>
    <cellStyle name="Followed Hyperlink" xfId="212" builtinId="9" hidden="1"/>
    <cellStyle name="Followed Hyperlink" xfId="216" builtinId="9" hidden="1"/>
    <cellStyle name="Followed Hyperlink" xfId="220" builtinId="9" hidden="1"/>
    <cellStyle name="Followed Hyperlink" xfId="224" builtinId="9" hidden="1"/>
    <cellStyle name="Followed Hyperlink" xfId="228" builtinId="9" hidden="1"/>
    <cellStyle name="Followed Hyperlink" xfId="232" builtinId="9" hidden="1"/>
    <cellStyle name="Followed Hyperlink" xfId="236" builtinId="9" hidden="1"/>
    <cellStyle name="Followed Hyperlink" xfId="240" builtinId="9" hidden="1"/>
    <cellStyle name="Followed Hyperlink" xfId="244" builtinId="9" hidden="1"/>
    <cellStyle name="Followed Hyperlink" xfId="248" builtinId="9" hidden="1"/>
    <cellStyle name="Followed Hyperlink" xfId="252" builtinId="9" hidden="1"/>
    <cellStyle name="Followed Hyperlink" xfId="256" builtinId="9" hidden="1"/>
    <cellStyle name="Followed Hyperlink" xfId="260" builtinId="9" hidden="1"/>
    <cellStyle name="Followed Hyperlink" xfId="264" builtinId="9" hidden="1"/>
    <cellStyle name="Followed Hyperlink" xfId="268" builtinId="9" hidden="1"/>
    <cellStyle name="Followed Hyperlink" xfId="272" builtinId="9" hidden="1"/>
    <cellStyle name="Followed Hyperlink" xfId="276" builtinId="9" hidden="1"/>
    <cellStyle name="Followed Hyperlink" xfId="278" builtinId="9" hidden="1"/>
    <cellStyle name="Followed Hyperlink" xfId="274" builtinId="9" hidden="1"/>
    <cellStyle name="Followed Hyperlink" xfId="270" builtinId="9" hidden="1"/>
    <cellStyle name="Followed Hyperlink" xfId="266" builtinId="9" hidden="1"/>
    <cellStyle name="Followed Hyperlink" xfId="262" builtinId="9" hidden="1"/>
    <cellStyle name="Followed Hyperlink" xfId="258" builtinId="9" hidden="1"/>
    <cellStyle name="Followed Hyperlink" xfId="254" builtinId="9" hidden="1"/>
    <cellStyle name="Followed Hyperlink" xfId="250" builtinId="9" hidden="1"/>
    <cellStyle name="Followed Hyperlink" xfId="246" builtinId="9" hidden="1"/>
    <cellStyle name="Followed Hyperlink" xfId="242" builtinId="9" hidden="1"/>
    <cellStyle name="Followed Hyperlink" xfId="238" builtinId="9" hidden="1"/>
    <cellStyle name="Followed Hyperlink" xfId="234" builtinId="9" hidden="1"/>
    <cellStyle name="Followed Hyperlink" xfId="230" builtinId="9" hidden="1"/>
    <cellStyle name="Followed Hyperlink" xfId="226" builtinId="9" hidden="1"/>
    <cellStyle name="Followed Hyperlink" xfId="222" builtinId="9" hidden="1"/>
    <cellStyle name="Followed Hyperlink" xfId="218" builtinId="9" hidden="1"/>
    <cellStyle name="Followed Hyperlink" xfId="214" builtinId="9" hidden="1"/>
    <cellStyle name="Followed Hyperlink" xfId="210" builtinId="9" hidden="1"/>
    <cellStyle name="Followed Hyperlink" xfId="206" builtinId="9" hidden="1"/>
    <cellStyle name="Followed Hyperlink" xfId="202" builtinId="9" hidden="1"/>
    <cellStyle name="Followed Hyperlink" xfId="198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19" builtinId="8" hidden="1"/>
    <cellStyle name="Hyperlink" xfId="121" builtinId="8" hidden="1"/>
    <cellStyle name="Hyperlink" xfId="125" builtinId="8" hidden="1"/>
    <cellStyle name="Hyperlink" xfId="127" builtinId="8" hidden="1"/>
    <cellStyle name="Hyperlink" xfId="129" builtinId="8" hidden="1"/>
    <cellStyle name="Hyperlink" xfId="133" builtinId="8" hidden="1"/>
    <cellStyle name="Hyperlink" xfId="135" builtinId="8" hidden="1"/>
    <cellStyle name="Hyperlink" xfId="137" builtinId="8" hidden="1"/>
    <cellStyle name="Hyperlink" xfId="141" builtinId="8" hidden="1"/>
    <cellStyle name="Hyperlink" xfId="143" builtinId="8" hidden="1"/>
    <cellStyle name="Hyperlink" xfId="145" builtinId="8" hidden="1"/>
    <cellStyle name="Hyperlink" xfId="149" builtinId="8" hidden="1"/>
    <cellStyle name="Hyperlink" xfId="151" builtinId="8" hidden="1"/>
    <cellStyle name="Hyperlink" xfId="153" builtinId="8" hidden="1"/>
    <cellStyle name="Hyperlink" xfId="157" builtinId="8" hidden="1"/>
    <cellStyle name="Hyperlink" xfId="159" builtinId="8" hidden="1"/>
    <cellStyle name="Hyperlink" xfId="161" builtinId="8" hidden="1"/>
    <cellStyle name="Hyperlink" xfId="165" builtinId="8" hidden="1"/>
    <cellStyle name="Hyperlink" xfId="167" builtinId="8" hidden="1"/>
    <cellStyle name="Hyperlink" xfId="169" builtinId="8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63" builtinId="8" hidden="1"/>
    <cellStyle name="Hyperlink" xfId="265" builtinId="8" hidden="1"/>
    <cellStyle name="Hyperlink" xfId="269" builtinId="8" hidden="1"/>
    <cellStyle name="Hyperlink" xfId="271" builtinId="8" hidden="1"/>
    <cellStyle name="Hyperlink" xfId="273" builtinId="8" hidden="1"/>
    <cellStyle name="Hyperlink" xfId="277" builtinId="8" hidden="1"/>
    <cellStyle name="Hyperlink" xfId="275" builtinId="8" hidden="1"/>
    <cellStyle name="Hyperlink" xfId="267" builtinId="8" hidden="1"/>
    <cellStyle name="Hyperlink" xfId="259" builtinId="8" hidden="1"/>
    <cellStyle name="Hyperlink" xfId="251" builtinId="8" hidden="1"/>
    <cellStyle name="Hyperlink" xfId="243" builtinId="8" hidden="1"/>
    <cellStyle name="Hyperlink" xfId="235" builtinId="8" hidden="1"/>
    <cellStyle name="Hyperlink" xfId="227" builtinId="8" hidden="1"/>
    <cellStyle name="Hyperlink" xfId="219" builtinId="8" hidden="1"/>
    <cellStyle name="Hyperlink" xfId="211" builtinId="8" hidden="1"/>
    <cellStyle name="Hyperlink" xfId="203" builtinId="8" hidden="1"/>
    <cellStyle name="Hyperlink" xfId="195" builtinId="8" hidden="1"/>
    <cellStyle name="Hyperlink" xfId="187" builtinId="8" hidden="1"/>
    <cellStyle name="Hyperlink" xfId="179" builtinId="8" hidden="1"/>
    <cellStyle name="Hyperlink" xfId="171" builtinId="8" hidden="1"/>
    <cellStyle name="Hyperlink" xfId="163" builtinId="8" hidden="1"/>
    <cellStyle name="Hyperlink" xfId="155" builtinId="8" hidden="1"/>
    <cellStyle name="Hyperlink" xfId="147" builtinId="8" hidden="1"/>
    <cellStyle name="Hyperlink" xfId="139" builtinId="8" hidden="1"/>
    <cellStyle name="Hyperlink" xfId="131" builtinId="8" hidden="1"/>
    <cellStyle name="Hyperlink" xfId="123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07" builtinId="8" hidden="1"/>
    <cellStyle name="Hyperlink" xfId="91" builtinId="8" hidden="1"/>
    <cellStyle name="Hyperlink" xfId="75" builtinId="8" hidden="1"/>
    <cellStyle name="Hyperlink" xfId="59" builtinId="8" hidden="1"/>
    <cellStyle name="Hyperlink" xfId="23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27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ACFD4-5A81-4E42-B86D-4BE33AB581C7}">
  <dimension ref="A1:M44"/>
  <sheetViews>
    <sheetView zoomScale="144" zoomScaleNormal="90" workbookViewId="0">
      <selection activeCell="B5" sqref="B5"/>
    </sheetView>
  </sheetViews>
  <sheetFormatPr baseColWidth="10" defaultColWidth="10.83203125" defaultRowHeight="16" x14ac:dyDescent="0.2"/>
  <cols>
    <col min="1" max="1" width="10.83203125" style="2"/>
    <col min="2" max="2" width="19.6640625" style="2" customWidth="1"/>
    <col min="3" max="3" width="24.1640625" style="2" customWidth="1"/>
    <col min="4" max="4" width="14.33203125" style="2" customWidth="1"/>
    <col min="5" max="5" width="10.83203125" style="2"/>
    <col min="6" max="6" width="21.6640625" style="2" customWidth="1"/>
    <col min="7" max="7" width="16.83203125" style="2" customWidth="1"/>
    <col min="8" max="16384" width="10.83203125" style="2"/>
  </cols>
  <sheetData>
    <row r="1" spans="1:8" x14ac:dyDescent="0.2">
      <c r="A1" s="31"/>
      <c r="B1" s="31" t="s">
        <v>21</v>
      </c>
      <c r="C1" s="31"/>
    </row>
    <row r="2" spans="1:8" ht="24" x14ac:dyDescent="0.2">
      <c r="B2" s="35" t="s">
        <v>0</v>
      </c>
      <c r="C2" s="35"/>
      <c r="D2" s="35"/>
      <c r="E2" s="35"/>
      <c r="F2" s="35"/>
      <c r="G2" s="35"/>
      <c r="H2" s="35"/>
    </row>
    <row r="3" spans="1:8" ht="20" thickBot="1" x14ac:dyDescent="0.25">
      <c r="B3" s="36" t="s">
        <v>1</v>
      </c>
      <c r="C3" s="36"/>
      <c r="D3" s="36"/>
      <c r="E3" s="36"/>
      <c r="F3" s="36"/>
      <c r="G3" s="36"/>
      <c r="H3" s="36"/>
    </row>
    <row r="4" spans="1:8" ht="17" thickTop="1" x14ac:dyDescent="0.2">
      <c r="C4" s="33" t="s">
        <v>2</v>
      </c>
      <c r="D4" s="33"/>
      <c r="E4" s="33"/>
      <c r="F4" s="34" t="s">
        <v>3</v>
      </c>
      <c r="G4" s="34"/>
      <c r="H4" s="34"/>
    </row>
    <row r="5" spans="1:8" x14ac:dyDescent="0.2">
      <c r="B5" s="23" t="s">
        <v>4</v>
      </c>
      <c r="C5" s="23" t="s">
        <v>5</v>
      </c>
      <c r="D5" s="23" t="s">
        <v>6</v>
      </c>
      <c r="E5" s="2" t="s">
        <v>7</v>
      </c>
      <c r="F5" s="23" t="s">
        <v>5</v>
      </c>
      <c r="G5" s="23" t="s">
        <v>6</v>
      </c>
      <c r="H5" s="2" t="s">
        <v>7</v>
      </c>
    </row>
    <row r="6" spans="1:8" x14ac:dyDescent="0.2">
      <c r="B6" s="8" t="s">
        <v>8</v>
      </c>
      <c r="C6" s="9">
        <f>17/(238+17)</f>
        <v>6.6666666666666666E-2</v>
      </c>
      <c r="D6" s="8">
        <f>C6*100</f>
        <v>6.666666666666667</v>
      </c>
      <c r="E6" s="8"/>
      <c r="F6" s="9">
        <f>27/(326+27)</f>
        <v>7.6487252124645896E-2</v>
      </c>
      <c r="G6" s="8">
        <f t="shared" ref="G6:G20" si="0">F6*100</f>
        <v>7.6487252124645897</v>
      </c>
      <c r="H6" s="10"/>
    </row>
    <row r="7" spans="1:8" x14ac:dyDescent="0.2">
      <c r="B7" s="10"/>
      <c r="C7" s="9">
        <f>20/(235+20)</f>
        <v>7.8431372549019607E-2</v>
      </c>
      <c r="D7" s="8">
        <f t="shared" ref="D7:D20" si="1">C7*100</f>
        <v>7.8431372549019605</v>
      </c>
      <c r="E7" s="8"/>
      <c r="F7" s="9">
        <f>30/(355+30)</f>
        <v>7.792207792207792E-2</v>
      </c>
      <c r="G7" s="8">
        <f t="shared" si="0"/>
        <v>7.7922077922077921</v>
      </c>
      <c r="H7" s="10"/>
    </row>
    <row r="8" spans="1:8" x14ac:dyDescent="0.2">
      <c r="B8" s="10"/>
      <c r="C8" s="9">
        <f>17/(276+17)</f>
        <v>5.8020477815699661E-2</v>
      </c>
      <c r="D8" s="8">
        <f t="shared" ref="D8:D17" si="2">C8*100</f>
        <v>5.802047781569966</v>
      </c>
      <c r="E8" s="8">
        <f>AVERAGE(D6:D8)</f>
        <v>6.7706172343795314</v>
      </c>
      <c r="F8" s="9">
        <f>26/(346+26)</f>
        <v>6.9892473118279563E-2</v>
      </c>
      <c r="G8" s="8">
        <f t="shared" si="0"/>
        <v>6.9892473118279561</v>
      </c>
      <c r="H8" s="8">
        <f>AVERAGE(G6:G8)</f>
        <v>7.4767267721667787</v>
      </c>
    </row>
    <row r="9" spans="1:8" x14ac:dyDescent="0.2">
      <c r="B9" s="11" t="s">
        <v>9</v>
      </c>
      <c r="C9" s="12">
        <f>22/(262+22)</f>
        <v>7.746478873239436E-2</v>
      </c>
      <c r="D9" s="13">
        <f t="shared" si="2"/>
        <v>7.7464788732394361</v>
      </c>
      <c r="E9" s="13"/>
      <c r="F9" s="12">
        <f>16/(254+16)</f>
        <v>5.9259259259259262E-2</v>
      </c>
      <c r="G9" s="13">
        <f t="shared" si="0"/>
        <v>5.9259259259259265</v>
      </c>
      <c r="H9" s="11"/>
    </row>
    <row r="10" spans="1:8" x14ac:dyDescent="0.2">
      <c r="B10" s="11"/>
      <c r="C10" s="12">
        <f>14/(252+14)</f>
        <v>5.2631578947368418E-2</v>
      </c>
      <c r="D10" s="13">
        <f t="shared" si="2"/>
        <v>5.2631578947368416</v>
      </c>
      <c r="E10" s="13"/>
      <c r="F10" s="12">
        <f>34/(285+34)</f>
        <v>0.10658307210031348</v>
      </c>
      <c r="G10" s="13">
        <f t="shared" si="0"/>
        <v>10.658307210031348</v>
      </c>
      <c r="H10" s="11"/>
    </row>
    <row r="11" spans="1:8" x14ac:dyDescent="0.2">
      <c r="B11" s="11"/>
      <c r="C11" s="12">
        <f>12/(236+12)</f>
        <v>4.8387096774193547E-2</v>
      </c>
      <c r="D11" s="13">
        <f t="shared" si="2"/>
        <v>4.838709677419355</v>
      </c>
      <c r="E11" s="13">
        <f>AVERAGE(D9:D11)</f>
        <v>5.9494488151318778</v>
      </c>
      <c r="F11" s="12">
        <f>25/(314+25)</f>
        <v>7.3746312684365781E-2</v>
      </c>
      <c r="G11" s="13">
        <f t="shared" si="0"/>
        <v>7.3746312684365778</v>
      </c>
      <c r="H11" s="13">
        <f>AVERAGE(G9:G11)</f>
        <v>7.9862881347979497</v>
      </c>
    </row>
    <row r="12" spans="1:8" x14ac:dyDescent="0.2">
      <c r="B12" s="14" t="s">
        <v>9</v>
      </c>
      <c r="C12" s="15">
        <f>19/(244+19)</f>
        <v>7.2243346007604556E-2</v>
      </c>
      <c r="D12" s="16">
        <f t="shared" si="2"/>
        <v>7.2243346007604554</v>
      </c>
      <c r="E12" s="16"/>
      <c r="F12" s="15">
        <f>26/(370+26)</f>
        <v>6.5656565656565663E-2</v>
      </c>
      <c r="G12" s="16">
        <f t="shared" si="0"/>
        <v>6.5656565656565666</v>
      </c>
      <c r="H12" s="14"/>
    </row>
    <row r="13" spans="1:8" x14ac:dyDescent="0.2">
      <c r="B13" s="14"/>
      <c r="C13" s="15">
        <f>13/(247+13)</f>
        <v>0.05</v>
      </c>
      <c r="D13" s="16">
        <f t="shared" si="2"/>
        <v>5</v>
      </c>
      <c r="E13" s="16">
        <f>AVERAGE(D12:D13)</f>
        <v>6.1121673003802277</v>
      </c>
      <c r="F13" s="15">
        <f>23/(254+23)</f>
        <v>8.3032490974729242E-2</v>
      </c>
      <c r="G13" s="16">
        <f t="shared" si="0"/>
        <v>8.3032490974729249</v>
      </c>
      <c r="H13" s="16">
        <f>AVERAGE(G12:G13)</f>
        <v>7.4344528315647462</v>
      </c>
    </row>
    <row r="14" spans="1:8" x14ac:dyDescent="0.2">
      <c r="B14" s="17" t="s">
        <v>10</v>
      </c>
      <c r="C14" s="18">
        <f>16/(217+16)</f>
        <v>6.8669527896995708E-2</v>
      </c>
      <c r="D14" s="19">
        <f t="shared" si="2"/>
        <v>6.866952789699571</v>
      </c>
      <c r="E14" s="19"/>
      <c r="F14" s="18">
        <f>32/(302+32)</f>
        <v>9.580838323353294E-2</v>
      </c>
      <c r="G14" s="19">
        <f t="shared" si="0"/>
        <v>9.5808383233532943</v>
      </c>
      <c r="H14" s="17"/>
    </row>
    <row r="15" spans="1:8" x14ac:dyDescent="0.2">
      <c r="B15" s="17"/>
      <c r="C15" s="18">
        <f>23/(277+23)</f>
        <v>7.6666666666666661E-2</v>
      </c>
      <c r="D15" s="19">
        <f t="shared" si="2"/>
        <v>7.6666666666666661</v>
      </c>
      <c r="E15" s="19">
        <f>AVERAGE(D14:D15)</f>
        <v>7.2668097281831185</v>
      </c>
      <c r="F15" s="18">
        <f>33/(333+33)</f>
        <v>9.0163934426229511E-2</v>
      </c>
      <c r="G15" s="19">
        <f t="shared" si="0"/>
        <v>9.0163934426229506</v>
      </c>
      <c r="H15" s="19">
        <f>AVERAGE(G14:G15)</f>
        <v>9.2986158829881234</v>
      </c>
    </row>
    <row r="16" spans="1:8" x14ac:dyDescent="0.2">
      <c r="B16" s="20" t="s">
        <v>11</v>
      </c>
      <c r="C16" s="21">
        <f>13/(257+13)</f>
        <v>4.8148148148148148E-2</v>
      </c>
      <c r="D16" s="22">
        <f t="shared" si="2"/>
        <v>4.8148148148148149</v>
      </c>
      <c r="E16" s="22"/>
      <c r="F16" s="21">
        <f>22/(324+22)</f>
        <v>6.358381502890173E-2</v>
      </c>
      <c r="G16" s="22">
        <f t="shared" si="0"/>
        <v>6.3583815028901727</v>
      </c>
      <c r="H16" s="20"/>
    </row>
    <row r="17" spans="2:13" x14ac:dyDescent="0.2">
      <c r="B17" s="20"/>
      <c r="C17" s="21">
        <f>20/(263+20)</f>
        <v>7.0671378091872794E-2</v>
      </c>
      <c r="D17" s="22">
        <f t="shared" si="2"/>
        <v>7.0671378091872796</v>
      </c>
      <c r="E17" s="22"/>
      <c r="F17" s="21">
        <f>32/(296+32)</f>
        <v>9.7560975609756101E-2</v>
      </c>
      <c r="G17" s="22">
        <f t="shared" si="0"/>
        <v>9.7560975609756095</v>
      </c>
      <c r="H17" s="20"/>
    </row>
    <row r="18" spans="2:13" x14ac:dyDescent="0.2">
      <c r="B18" s="20"/>
      <c r="C18" s="21">
        <f>23/(300+23)</f>
        <v>7.1207430340557279E-2</v>
      </c>
      <c r="D18" s="22">
        <f t="shared" si="1"/>
        <v>7.1207430340557281</v>
      </c>
      <c r="E18" s="22">
        <f>AVERAGE(D16:D18)</f>
        <v>6.3342318860192748</v>
      </c>
      <c r="F18" s="21">
        <f>32/(332+32)</f>
        <v>8.7912087912087919E-2</v>
      </c>
      <c r="G18" s="22">
        <f t="shared" si="0"/>
        <v>8.791208791208792</v>
      </c>
      <c r="H18" s="22">
        <f>AVERAGE(G16:G18)</f>
        <v>8.3018959516915256</v>
      </c>
    </row>
    <row r="19" spans="2:13" x14ac:dyDescent="0.2">
      <c r="B19" s="25" t="s">
        <v>12</v>
      </c>
      <c r="C19" s="26">
        <f>19/(324+19)</f>
        <v>5.5393586005830907E-2</v>
      </c>
      <c r="D19" s="27">
        <f t="shared" si="1"/>
        <v>5.5393586005830908</v>
      </c>
      <c r="E19" s="27"/>
      <c r="F19" s="28">
        <f>29/(335+29)</f>
        <v>7.9670329670329665E-2</v>
      </c>
      <c r="G19" s="27">
        <f t="shared" si="0"/>
        <v>7.9670329670329663</v>
      </c>
      <c r="H19" s="25"/>
    </row>
    <row r="20" spans="2:13" x14ac:dyDescent="0.2">
      <c r="B20" s="25"/>
      <c r="C20" s="28">
        <f>17/(341+17)</f>
        <v>4.7486033519553071E-2</v>
      </c>
      <c r="D20" s="27">
        <f t="shared" si="1"/>
        <v>4.7486033519553068</v>
      </c>
      <c r="E20" s="27">
        <f>AVERAGE(D19:D20)</f>
        <v>5.1439809762691988</v>
      </c>
      <c r="F20" s="28">
        <f>31/(264+31)</f>
        <v>0.10508474576271186</v>
      </c>
      <c r="G20" s="27">
        <f t="shared" si="0"/>
        <v>10.508474576271185</v>
      </c>
      <c r="H20" s="27">
        <f>AVERAGE(G19:G20)</f>
        <v>9.2377537716520752</v>
      </c>
      <c r="I20" s="7"/>
      <c r="J20" s="3"/>
      <c r="K20" s="3"/>
      <c r="L20" s="7"/>
      <c r="M20" s="3"/>
    </row>
    <row r="21" spans="2:13" x14ac:dyDescent="0.2">
      <c r="B21" s="4" t="s">
        <v>1</v>
      </c>
      <c r="C21" s="5">
        <f>20/(218+20)</f>
        <v>8.4033613445378158E-2</v>
      </c>
      <c r="D21" s="6">
        <f>C21*100</f>
        <v>8.4033613445378155</v>
      </c>
      <c r="E21" s="6"/>
      <c r="F21" s="5">
        <f>26/(316+26)</f>
        <v>7.6023391812865493E-2</v>
      </c>
      <c r="G21" s="6">
        <f>F21*100</f>
        <v>7.6023391812865491</v>
      </c>
      <c r="H21" s="6"/>
      <c r="I21" s="7"/>
      <c r="J21" s="3"/>
      <c r="K21" s="3"/>
      <c r="L21" s="7"/>
      <c r="M21" s="3"/>
    </row>
    <row r="22" spans="2:13" x14ac:dyDescent="0.2">
      <c r="B22" s="4"/>
      <c r="C22" s="5">
        <f>10/(227+10)</f>
        <v>4.2194092827004218E-2</v>
      </c>
      <c r="D22" s="6">
        <f>C22*100</f>
        <v>4.2194092827004219</v>
      </c>
      <c r="E22" s="6"/>
      <c r="F22" s="5">
        <f>18/(285+18)</f>
        <v>5.9405940594059403E-2</v>
      </c>
      <c r="G22" s="6">
        <f>F22*100</f>
        <v>5.9405940594059405</v>
      </c>
      <c r="H22" s="6"/>
      <c r="I22" s="7"/>
      <c r="J22" s="3"/>
      <c r="K22" s="3"/>
      <c r="L22" s="7"/>
      <c r="M22" s="3"/>
    </row>
    <row r="23" spans="2:13" x14ac:dyDescent="0.2">
      <c r="B23" s="4"/>
      <c r="C23" s="5">
        <f>18/(307+18)</f>
        <v>5.5384615384615386E-2</v>
      </c>
      <c r="D23" s="6">
        <f t="shared" ref="D23:D24" si="3">C23*100</f>
        <v>5.5384615384615383</v>
      </c>
      <c r="E23" s="6"/>
      <c r="F23" s="5">
        <f>27/(290+27)</f>
        <v>8.5173501577287064E-2</v>
      </c>
      <c r="G23" s="6">
        <f t="shared" ref="G23:G24" si="4">F23*100</f>
        <v>8.517350157728707</v>
      </c>
      <c r="H23" s="6"/>
      <c r="I23" s="7"/>
      <c r="J23" s="3"/>
      <c r="K23" s="3"/>
      <c r="L23" s="7"/>
      <c r="M23" s="3"/>
    </row>
    <row r="24" spans="2:13" x14ac:dyDescent="0.2">
      <c r="B24" s="4"/>
      <c r="C24" s="5">
        <f>16/(315+16)</f>
        <v>4.8338368580060423E-2</v>
      </c>
      <c r="D24" s="6">
        <f t="shared" si="3"/>
        <v>4.833836858006042</v>
      </c>
      <c r="E24" s="6">
        <f>AVERAGE(D21:D24)</f>
        <v>5.7487672559264542</v>
      </c>
      <c r="F24" s="30">
        <f>28/(235+28)</f>
        <v>0.10646387832699619</v>
      </c>
      <c r="G24" s="6">
        <f t="shared" si="4"/>
        <v>10.646387832699618</v>
      </c>
      <c r="H24" s="6">
        <f>AVERAGE(G21:G24)</f>
        <v>8.1766678077802037</v>
      </c>
      <c r="I24" s="7"/>
      <c r="J24" s="3"/>
      <c r="K24" s="3"/>
      <c r="L24" s="7"/>
      <c r="M24" s="3"/>
    </row>
    <row r="25" spans="2:13" x14ac:dyDescent="0.2">
      <c r="B25" s="2" t="s">
        <v>19</v>
      </c>
      <c r="E25" s="1">
        <f>AVERAGE(E8:E24)</f>
        <v>6.1894318851842405</v>
      </c>
      <c r="H25" s="2">
        <f>AVERAGE(H8:H24)</f>
        <v>8.2732001646630575</v>
      </c>
    </row>
    <row r="26" spans="2:13" x14ac:dyDescent="0.2">
      <c r="B26" s="2" t="s">
        <v>20</v>
      </c>
      <c r="E26" s="2">
        <f>STDEV(E8:E24)</f>
        <v>0.69164069132183059</v>
      </c>
      <c r="H26" s="2">
        <f>STDEV(H8:H24)</f>
        <v>0.75411852150679359</v>
      </c>
    </row>
    <row r="27" spans="2:13" ht="22" thickBot="1" x14ac:dyDescent="0.25">
      <c r="B27" s="32" t="s">
        <v>13</v>
      </c>
      <c r="C27" s="32"/>
      <c r="D27" s="32"/>
      <c r="E27" s="32"/>
      <c r="F27" s="32"/>
      <c r="G27" s="32"/>
      <c r="H27" s="32"/>
    </row>
    <row r="28" spans="2:13" ht="17" thickTop="1" x14ac:dyDescent="0.2">
      <c r="C28" s="33" t="s">
        <v>2</v>
      </c>
      <c r="D28" s="33"/>
      <c r="E28" s="33"/>
      <c r="F28" s="34" t="s">
        <v>3</v>
      </c>
      <c r="G28" s="34"/>
      <c r="H28" s="34"/>
    </row>
    <row r="29" spans="2:13" x14ac:dyDescent="0.2">
      <c r="B29" s="23" t="s">
        <v>4</v>
      </c>
      <c r="C29" s="23" t="s">
        <v>5</v>
      </c>
      <c r="D29" s="23" t="s">
        <v>6</v>
      </c>
      <c r="E29" s="2" t="s">
        <v>7</v>
      </c>
      <c r="F29" s="23" t="s">
        <v>5</v>
      </c>
      <c r="G29" s="23" t="s">
        <v>6</v>
      </c>
      <c r="H29" s="2" t="s">
        <v>7</v>
      </c>
    </row>
    <row r="30" spans="2:13" x14ac:dyDescent="0.2">
      <c r="B30" s="10" t="s">
        <v>14</v>
      </c>
      <c r="C30" s="24">
        <f>10/(520+10)</f>
        <v>1.8867924528301886E-2</v>
      </c>
      <c r="D30" s="8">
        <f>C30*100</f>
        <v>1.8867924528301887</v>
      </c>
      <c r="E30" s="8"/>
      <c r="F30" s="9">
        <f>26/(392+26)</f>
        <v>6.2200956937799042E-2</v>
      </c>
      <c r="G30" s="8">
        <f>F30*100</f>
        <v>6.2200956937799043</v>
      </c>
      <c r="H30" s="10"/>
    </row>
    <row r="31" spans="2:13" x14ac:dyDescent="0.2">
      <c r="B31" s="10"/>
      <c r="C31" s="24">
        <f>11/(513+11)</f>
        <v>2.0992366412213741E-2</v>
      </c>
      <c r="D31" s="8">
        <f>C31*100</f>
        <v>2.0992366412213741</v>
      </c>
      <c r="E31" s="8"/>
      <c r="F31" s="9">
        <f>23/(331+23)</f>
        <v>6.4971751412429377E-2</v>
      </c>
      <c r="G31" s="8">
        <f>F31*100</f>
        <v>6.4971751412429377</v>
      </c>
      <c r="H31" s="10"/>
    </row>
    <row r="32" spans="2:13" x14ac:dyDescent="0.2">
      <c r="B32" s="10"/>
      <c r="C32" s="24">
        <f>8/(491+8)</f>
        <v>1.6032064128256512E-2</v>
      </c>
      <c r="D32" s="8">
        <f>C32*100</f>
        <v>1.6032064128256511</v>
      </c>
      <c r="E32" s="8">
        <f>AVERAGE(D30:D32)</f>
        <v>1.8630785022924048</v>
      </c>
      <c r="F32" s="9">
        <f>19/(311+19)</f>
        <v>5.7575757575757579E-2</v>
      </c>
      <c r="G32" s="8">
        <f>F32*100</f>
        <v>5.7575757575757578</v>
      </c>
      <c r="H32" s="8">
        <f>AVERAGE(G30:G32)</f>
        <v>6.1582821975328663</v>
      </c>
    </row>
    <row r="33" spans="2:8" x14ac:dyDescent="0.2">
      <c r="B33" s="11" t="s">
        <v>15</v>
      </c>
      <c r="C33" s="12">
        <f>18/(535+18)</f>
        <v>3.25497287522604E-2</v>
      </c>
      <c r="D33" s="13">
        <f t="shared" ref="D33:D40" si="5">C33*100</f>
        <v>3.2549728752260401</v>
      </c>
      <c r="E33" s="13"/>
      <c r="F33" s="12">
        <f>23/(317+23)</f>
        <v>6.7647058823529407E-2</v>
      </c>
      <c r="G33" s="13">
        <f>F33*100</f>
        <v>6.7647058823529411</v>
      </c>
      <c r="H33" s="11"/>
    </row>
    <row r="34" spans="2:8" x14ac:dyDescent="0.2">
      <c r="B34" s="11"/>
      <c r="C34" s="12">
        <f>21/(560+21)</f>
        <v>3.614457831325301E-2</v>
      </c>
      <c r="D34" s="13">
        <f t="shared" si="5"/>
        <v>3.6144578313253009</v>
      </c>
      <c r="E34" s="13"/>
      <c r="F34" s="12">
        <f>26/(353+26)</f>
        <v>6.860158311345646E-2</v>
      </c>
      <c r="G34" s="13">
        <f>F34*100</f>
        <v>6.8601583113456464</v>
      </c>
      <c r="H34" s="11"/>
    </row>
    <row r="35" spans="2:8" x14ac:dyDescent="0.2">
      <c r="B35" s="11"/>
      <c r="C35" s="12">
        <f>23/(526+23)</f>
        <v>4.1894353369763208E-2</v>
      </c>
      <c r="D35" s="13">
        <f t="shared" si="5"/>
        <v>4.1894353369763211</v>
      </c>
      <c r="E35" s="11">
        <f>AVERAGE(D33:D35)</f>
        <v>3.686288681175887</v>
      </c>
      <c r="F35" s="12">
        <f>21/(358+21)</f>
        <v>5.5408970976253295E-2</v>
      </c>
      <c r="G35" s="13">
        <f t="shared" ref="G35:G40" si="6">F35*100</f>
        <v>5.5408970976253293</v>
      </c>
      <c r="H35" s="11">
        <f>AVERAGE(G33:G35)</f>
        <v>6.3885870971079726</v>
      </c>
    </row>
    <row r="36" spans="2:8" x14ac:dyDescent="0.2">
      <c r="B36" s="14" t="s">
        <v>16</v>
      </c>
      <c r="C36" s="15">
        <f>17/(535+17)</f>
        <v>3.0797101449275364E-2</v>
      </c>
      <c r="D36" s="16">
        <f t="shared" si="5"/>
        <v>3.0797101449275366</v>
      </c>
      <c r="E36" s="16"/>
      <c r="F36" s="15">
        <v>6.2015503875968998E-2</v>
      </c>
      <c r="G36" s="16">
        <f t="shared" si="6"/>
        <v>6.2015503875968996</v>
      </c>
      <c r="H36" s="14"/>
    </row>
    <row r="37" spans="2:8" x14ac:dyDescent="0.2">
      <c r="B37" s="14"/>
      <c r="C37" s="15">
        <f>13/(513+13)</f>
        <v>2.4714828897338403E-2</v>
      </c>
      <c r="D37" s="16">
        <f t="shared" si="5"/>
        <v>2.4714828897338403</v>
      </c>
      <c r="E37" s="16"/>
      <c r="F37" s="15">
        <f>24/(351+24)</f>
        <v>6.4000000000000001E-2</v>
      </c>
      <c r="G37" s="16">
        <f t="shared" si="6"/>
        <v>6.4</v>
      </c>
      <c r="H37" s="14"/>
    </row>
    <row r="38" spans="2:8" x14ac:dyDescent="0.2">
      <c r="B38" s="14"/>
      <c r="C38" s="15">
        <f>14/(447+14)</f>
        <v>3.0368763557483729E-2</v>
      </c>
      <c r="D38" s="16">
        <f t="shared" si="5"/>
        <v>3.0368763557483729</v>
      </c>
      <c r="E38" s="14">
        <f>AVERAGE(D36:D38)</f>
        <v>2.8626897968032501</v>
      </c>
      <c r="F38" s="15">
        <f>23/(366+23)</f>
        <v>5.9125964010282778E-2</v>
      </c>
      <c r="G38" s="16">
        <f t="shared" si="6"/>
        <v>5.9125964010282779</v>
      </c>
      <c r="H38" s="14">
        <f>AVERAGE(G36:G38)</f>
        <v>6.171382262875059</v>
      </c>
    </row>
    <row r="39" spans="2:8" x14ac:dyDescent="0.2">
      <c r="B39" s="17" t="s">
        <v>17</v>
      </c>
      <c r="C39" s="18">
        <f>13/(450+13)</f>
        <v>2.8077753779697623E-2</v>
      </c>
      <c r="D39" s="19">
        <f t="shared" si="5"/>
        <v>2.8077753779697625</v>
      </c>
      <c r="E39" s="19"/>
      <c r="F39" s="18">
        <f>29/(422+29)</f>
        <v>6.4301552106430154E-2</v>
      </c>
      <c r="G39" s="19">
        <f t="shared" si="6"/>
        <v>6.4301552106430151</v>
      </c>
      <c r="H39" s="17"/>
    </row>
    <row r="40" spans="2:8" x14ac:dyDescent="0.2">
      <c r="B40" s="17"/>
      <c r="C40" s="18">
        <f>11/(326+11)</f>
        <v>3.2640949554896145E-2</v>
      </c>
      <c r="D40" s="19">
        <f t="shared" si="5"/>
        <v>3.2640949554896146</v>
      </c>
      <c r="E40" s="17">
        <f>AVERAGE(D39:D40)</f>
        <v>3.0359351667296886</v>
      </c>
      <c r="F40" s="18">
        <f>19/(400+19)</f>
        <v>4.5346062052505964E-2</v>
      </c>
      <c r="G40" s="19">
        <f t="shared" si="6"/>
        <v>4.5346062052505962</v>
      </c>
      <c r="H40" s="17">
        <f>AVERAGE(G39:G40)</f>
        <v>5.4823807079468061</v>
      </c>
    </row>
    <row r="41" spans="2:8" x14ac:dyDescent="0.2">
      <c r="B41" s="4" t="s">
        <v>18</v>
      </c>
      <c r="C41" s="5">
        <f>12/280</f>
        <v>4.2857142857142858E-2</v>
      </c>
      <c r="D41" s="29">
        <f>C41*100</f>
        <v>4.2857142857142856</v>
      </c>
      <c r="E41" s="5"/>
      <c r="F41" s="5">
        <f>13/209</f>
        <v>6.2200956937799042E-2</v>
      </c>
      <c r="G41" s="29">
        <v>6.2200956940000003</v>
      </c>
      <c r="H41" s="4">
        <v>6.2200956940000003</v>
      </c>
    </row>
    <row r="42" spans="2:8" x14ac:dyDescent="0.2">
      <c r="B42" s="4"/>
      <c r="C42" s="5">
        <f>7/322</f>
        <v>2.1739130434782608E-2</v>
      </c>
      <c r="D42" s="29">
        <f>C42*100</f>
        <v>2.1739130434782608</v>
      </c>
      <c r="E42" s="5">
        <f>(D41+D42)/2</f>
        <v>3.2298136645962732</v>
      </c>
      <c r="F42" s="4"/>
      <c r="G42" s="4"/>
      <c r="H42" s="4"/>
    </row>
    <row r="43" spans="2:8" x14ac:dyDescent="0.2">
      <c r="B43" s="2" t="s">
        <v>19</v>
      </c>
      <c r="E43" s="2">
        <f>AVERAGE(E32:E42)</f>
        <v>2.9355611623195008</v>
      </c>
      <c r="H43" s="2">
        <v>6.0841456000000003</v>
      </c>
    </row>
    <row r="44" spans="2:8" x14ac:dyDescent="0.2">
      <c r="B44" s="2" t="s">
        <v>20</v>
      </c>
      <c r="E44" s="2">
        <f>STDEV(E32:E42)</f>
        <v>0.6737545130455066</v>
      </c>
      <c r="H44" s="2">
        <f>STDEV(H32:H41)</f>
        <v>0.34870994715202464</v>
      </c>
    </row>
  </sheetData>
  <mergeCells count="7">
    <mergeCell ref="B27:H27"/>
    <mergeCell ref="C28:E28"/>
    <mergeCell ref="F28:H28"/>
    <mergeCell ref="B2:H2"/>
    <mergeCell ref="C4:E4"/>
    <mergeCell ref="F4:H4"/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1F53-65A7-E343-A66A-689AF2D72B03}">
  <dimension ref="A1:D21"/>
  <sheetViews>
    <sheetView tabSelected="1" workbookViewId="0">
      <selection activeCell="D22" sqref="D22"/>
    </sheetView>
  </sheetViews>
  <sheetFormatPr baseColWidth="10" defaultRowHeight="16" x14ac:dyDescent="0.2"/>
  <cols>
    <col min="1" max="1" width="14.6640625" customWidth="1"/>
    <col min="3" max="3" width="19.6640625" customWidth="1"/>
    <col min="4" max="4" width="18.83203125" customWidth="1"/>
  </cols>
  <sheetData>
    <row r="1" spans="1:4" x14ac:dyDescent="0.2">
      <c r="A1" t="s">
        <v>22</v>
      </c>
    </row>
    <row r="2" spans="1:4" x14ac:dyDescent="0.2">
      <c r="C2" s="37" t="s">
        <v>38</v>
      </c>
      <c r="D2" s="37"/>
    </row>
    <row r="3" spans="1:4" x14ac:dyDescent="0.2">
      <c r="A3" t="s">
        <v>23</v>
      </c>
      <c r="C3" t="s">
        <v>24</v>
      </c>
      <c r="D3" t="s">
        <v>25</v>
      </c>
    </row>
    <row r="5" spans="1:4" x14ac:dyDescent="0.2">
      <c r="A5" t="s">
        <v>26</v>
      </c>
      <c r="C5">
        <v>4</v>
      </c>
      <c r="D5">
        <v>5</v>
      </c>
    </row>
    <row r="6" spans="1:4" x14ac:dyDescent="0.2">
      <c r="A6" t="s">
        <v>27</v>
      </c>
      <c r="C6">
        <v>3</v>
      </c>
      <c r="D6">
        <v>5</v>
      </c>
    </row>
    <row r="7" spans="1:4" x14ac:dyDescent="0.2">
      <c r="A7" t="s">
        <v>28</v>
      </c>
      <c r="C7">
        <v>2</v>
      </c>
      <c r="D7">
        <v>4</v>
      </c>
    </row>
    <row r="8" spans="1:4" x14ac:dyDescent="0.2">
      <c r="A8" t="s">
        <v>29</v>
      </c>
      <c r="C8">
        <v>2</v>
      </c>
      <c r="D8">
        <v>4</v>
      </c>
    </row>
    <row r="9" spans="1:4" x14ac:dyDescent="0.2">
      <c r="A9" t="s">
        <v>30</v>
      </c>
      <c r="C9">
        <v>3</v>
      </c>
      <c r="D9">
        <v>4</v>
      </c>
    </row>
    <row r="10" spans="1:4" x14ac:dyDescent="0.2">
      <c r="B10" t="s">
        <v>39</v>
      </c>
      <c r="C10">
        <f>AVERAGE(C5:C9)</f>
        <v>2.8</v>
      </c>
      <c r="D10">
        <f>AVERAGE(D5:D9)</f>
        <v>4.4000000000000004</v>
      </c>
    </row>
    <row r="11" spans="1:4" x14ac:dyDescent="0.2">
      <c r="B11" t="s">
        <v>20</v>
      </c>
      <c r="C11">
        <f>STDEV(C5:C9)</f>
        <v>0.83666002653407512</v>
      </c>
      <c r="D11">
        <f>STDEV(D5:D9)</f>
        <v>0.54772255750516674</v>
      </c>
    </row>
    <row r="13" spans="1:4" x14ac:dyDescent="0.2">
      <c r="C13" t="s">
        <v>31</v>
      </c>
      <c r="D13" t="s">
        <v>32</v>
      </c>
    </row>
    <row r="15" spans="1:4" x14ac:dyDescent="0.2">
      <c r="A15" t="s">
        <v>33</v>
      </c>
      <c r="C15">
        <v>3</v>
      </c>
      <c r="D15">
        <v>3</v>
      </c>
    </row>
    <row r="16" spans="1:4" x14ac:dyDescent="0.2">
      <c r="A16" t="s">
        <v>34</v>
      </c>
      <c r="C16">
        <v>2</v>
      </c>
      <c r="D16">
        <v>4</v>
      </c>
    </row>
    <row r="17" spans="1:4" x14ac:dyDescent="0.2">
      <c r="A17" t="s">
        <v>35</v>
      </c>
      <c r="C17">
        <v>2</v>
      </c>
      <c r="D17">
        <v>4</v>
      </c>
    </row>
    <row r="18" spans="1:4" x14ac:dyDescent="0.2">
      <c r="A18" t="s">
        <v>36</v>
      </c>
      <c r="C18">
        <v>3</v>
      </c>
      <c r="D18">
        <v>4</v>
      </c>
    </row>
    <row r="19" spans="1:4" x14ac:dyDescent="0.2">
      <c r="A19" t="s">
        <v>37</v>
      </c>
      <c r="C19">
        <v>3</v>
      </c>
      <c r="D19">
        <v>2</v>
      </c>
    </row>
    <row r="20" spans="1:4" x14ac:dyDescent="0.2">
      <c r="B20" t="s">
        <v>39</v>
      </c>
      <c r="C20">
        <f>AVERAGE(C15:C19)</f>
        <v>2.6</v>
      </c>
      <c r="D20">
        <f>AVERAGE(D15:D19)</f>
        <v>3.4</v>
      </c>
    </row>
    <row r="21" spans="1:4" x14ac:dyDescent="0.2">
      <c r="B21" t="s">
        <v>20</v>
      </c>
      <c r="C21">
        <f>STDEV(C15:C19)</f>
        <v>0.54772255750516674</v>
      </c>
      <c r="D21">
        <f>STDEV(D15:D19)</f>
        <v>0.8944271909999163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Proliferation analysis</vt:lpstr>
      <vt:lpstr>TUNEL analysis</vt:lpstr>
    </vt:vector>
  </TitlesOfParts>
  <Manager/>
  <Company>University of Michigan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Fatma Mohamed</dc:creator>
  <cp:keywords/>
  <dc:description/>
  <cp:lastModifiedBy>Microsoft Office User</cp:lastModifiedBy>
  <cp:revision/>
  <dcterms:created xsi:type="dcterms:W3CDTF">2018-08-16T22:43:16Z</dcterms:created>
  <dcterms:modified xsi:type="dcterms:W3CDTF">2023-01-05T19:46:28Z</dcterms:modified>
  <cp:category/>
  <cp:contentStatus/>
</cp:coreProperties>
</file>