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pauls\Documents\Science\ASU\Manuscripts\20200406 Flagellar energy costs provide insight into the diversity of unicellular life\eLife submission\"/>
    </mc:Choice>
  </mc:AlternateContent>
  <xr:revisionPtr revIDLastSave="0" documentId="13_ncr:1_{C9152373-E2CB-4DF8-A0D0-236A1DB25D83}" xr6:coauthVersionLast="47" xr6:coauthVersionMax="47" xr10:uidLastSave="{00000000-0000-0000-0000-000000000000}"/>
  <bookViews>
    <workbookView xWindow="-108" yWindow="-108" windowWidth="23256" windowHeight="12576" xr2:uid="{C95366EB-F8C7-4D13-A89E-C93AE4114C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4" i="1" l="1"/>
  <c r="H93" i="1"/>
  <c r="I93" i="1" s="1"/>
  <c r="G93" i="1"/>
  <c r="J93" i="1" s="1"/>
  <c r="H92" i="1"/>
  <c r="I92" i="1" s="1"/>
  <c r="G92" i="1"/>
  <c r="J92" i="1" s="1"/>
  <c r="H91" i="1"/>
  <c r="I91" i="1" s="1"/>
  <c r="G91" i="1"/>
  <c r="J91" i="1" s="1"/>
  <c r="H94" i="1"/>
  <c r="I94" i="1" s="1"/>
  <c r="G94" i="1"/>
  <c r="J94" i="1" s="1"/>
  <c r="H128" i="1"/>
  <c r="I128" i="1" s="1"/>
  <c r="G128" i="1"/>
  <c r="J128" i="1" s="1"/>
  <c r="I119" i="1"/>
  <c r="G119" i="1"/>
  <c r="J119" i="1" s="1"/>
  <c r="H45" i="1"/>
  <c r="I45" i="1" s="1"/>
  <c r="G45" i="1"/>
  <c r="J45" i="1" s="1"/>
  <c r="H44" i="1"/>
  <c r="I44" i="1" s="1"/>
  <c r="G44" i="1"/>
  <c r="J44" i="1" s="1"/>
  <c r="H43" i="1"/>
  <c r="I43" i="1" s="1"/>
  <c r="G43" i="1"/>
  <c r="J43" i="1" s="1"/>
  <c r="H200" i="1"/>
  <c r="I200" i="1" s="1"/>
  <c r="G200" i="1"/>
  <c r="J200" i="1" s="1"/>
  <c r="H199" i="1"/>
  <c r="I199" i="1" s="1"/>
  <c r="G199" i="1"/>
  <c r="J199" i="1" s="1"/>
  <c r="H158" i="1"/>
  <c r="I158" i="1" s="1"/>
  <c r="G158" i="1"/>
  <c r="J158" i="1" s="1"/>
  <c r="H141" i="1"/>
  <c r="I141" i="1" s="1"/>
  <c r="G141" i="1"/>
  <c r="J141" i="1" s="1"/>
  <c r="H140" i="1"/>
  <c r="I140" i="1" s="1"/>
  <c r="G140" i="1"/>
  <c r="J140" i="1" s="1"/>
  <c r="H139" i="1"/>
  <c r="I139" i="1" s="1"/>
  <c r="G139" i="1"/>
  <c r="J139" i="1" s="1"/>
  <c r="H138" i="1"/>
  <c r="I138" i="1" s="1"/>
  <c r="G138" i="1"/>
  <c r="J138" i="1" s="1"/>
  <c r="H137" i="1"/>
  <c r="I137" i="1" s="1"/>
  <c r="G137" i="1"/>
  <c r="J137" i="1" s="1"/>
  <c r="H136" i="1"/>
  <c r="I136" i="1" s="1"/>
  <c r="G136" i="1"/>
  <c r="J136" i="1" s="1"/>
  <c r="H135" i="1"/>
  <c r="I135" i="1" s="1"/>
  <c r="G135" i="1"/>
  <c r="J135" i="1" s="1"/>
  <c r="H134" i="1"/>
  <c r="I134" i="1" s="1"/>
  <c r="G134" i="1"/>
  <c r="J134" i="1" s="1"/>
  <c r="H133" i="1"/>
  <c r="I133" i="1" s="1"/>
  <c r="G133" i="1"/>
  <c r="J133" i="1" s="1"/>
  <c r="H132" i="1"/>
  <c r="I132" i="1" s="1"/>
  <c r="G132" i="1"/>
  <c r="J132" i="1" s="1"/>
  <c r="H131" i="1"/>
  <c r="I131" i="1" s="1"/>
  <c r="G131" i="1"/>
  <c r="J131" i="1" s="1"/>
  <c r="H130" i="1"/>
  <c r="I130" i="1" s="1"/>
  <c r="G130" i="1"/>
  <c r="J130" i="1" s="1"/>
  <c r="H129" i="1"/>
  <c r="I129" i="1" s="1"/>
  <c r="G129" i="1"/>
  <c r="J129" i="1" s="1"/>
  <c r="H57" i="1"/>
  <c r="I57" i="1" s="1"/>
  <c r="G57" i="1"/>
  <c r="J57" i="1" s="1"/>
  <c r="H56" i="1"/>
  <c r="I56" i="1" s="1"/>
  <c r="G56" i="1"/>
  <c r="J56" i="1" s="1"/>
  <c r="H55" i="1"/>
  <c r="I55" i="1" s="1"/>
  <c r="G55" i="1"/>
  <c r="J55" i="1" s="1"/>
  <c r="H54" i="1"/>
  <c r="I54" i="1" s="1"/>
  <c r="G54" i="1"/>
  <c r="J54" i="1" s="1"/>
  <c r="H213" i="1"/>
  <c r="I213" i="1" s="1"/>
  <c r="G213" i="1"/>
  <c r="J213" i="1" s="1"/>
  <c r="H173" i="1"/>
  <c r="I173" i="1" s="1"/>
  <c r="G173" i="1"/>
  <c r="J173" i="1" s="1"/>
  <c r="H191" i="1"/>
  <c r="I191" i="1" s="1"/>
  <c r="G191" i="1"/>
  <c r="J191" i="1" s="1"/>
  <c r="H214" i="1"/>
  <c r="I214" i="1" s="1"/>
  <c r="G214" i="1"/>
  <c r="J214" i="1" s="1"/>
  <c r="H159" i="1"/>
  <c r="I159" i="1" s="1"/>
  <c r="G159" i="1"/>
  <c r="J159" i="1" s="1"/>
  <c r="H121" i="1"/>
  <c r="I121" i="1" s="1"/>
  <c r="G121" i="1"/>
  <c r="J121" i="1" s="1"/>
  <c r="H118" i="1"/>
  <c r="I118" i="1" s="1"/>
  <c r="G118" i="1"/>
  <c r="J118" i="1" s="1"/>
  <c r="I117" i="1"/>
  <c r="H117" i="1"/>
  <c r="G117" i="1"/>
  <c r="J117" i="1" s="1"/>
  <c r="H100" i="1"/>
  <c r="I100" i="1" s="1"/>
  <c r="G100" i="1"/>
  <c r="J100" i="1" s="1"/>
  <c r="H87" i="1"/>
  <c r="I87" i="1" s="1"/>
  <c r="G87" i="1"/>
  <c r="J87" i="1" s="1"/>
  <c r="H193" i="1"/>
  <c r="I193" i="1" s="1"/>
  <c r="G193" i="1"/>
  <c r="J193" i="1" s="1"/>
  <c r="H192" i="1"/>
  <c r="I192" i="1" s="1"/>
  <c r="G192" i="1"/>
  <c r="J192" i="1" s="1"/>
  <c r="H108" i="1"/>
  <c r="I108" i="1" s="1"/>
  <c r="G108" i="1"/>
  <c r="J108" i="1" s="1"/>
  <c r="H65" i="1"/>
  <c r="I65" i="1" s="1"/>
  <c r="G65" i="1"/>
  <c r="J65" i="1" s="1"/>
  <c r="I53" i="1"/>
  <c r="G53" i="1"/>
  <c r="J53" i="1" s="1"/>
  <c r="H71" i="1"/>
  <c r="I71" i="1" s="1"/>
  <c r="G71" i="1"/>
  <c r="J71" i="1" s="1"/>
  <c r="H70" i="1"/>
  <c r="I70" i="1" s="1"/>
  <c r="G70" i="1"/>
  <c r="J70" i="1" s="1"/>
  <c r="H69" i="1"/>
  <c r="I69" i="1" s="1"/>
  <c r="G69" i="1"/>
  <c r="J69" i="1" s="1"/>
  <c r="H68" i="1"/>
  <c r="I68" i="1" s="1"/>
  <c r="G68" i="1"/>
  <c r="J68" i="1" s="1"/>
  <c r="H67" i="1"/>
  <c r="I67" i="1" s="1"/>
  <c r="G67" i="1"/>
  <c r="J67" i="1" s="1"/>
  <c r="H66" i="1"/>
  <c r="I66" i="1" s="1"/>
  <c r="G66" i="1"/>
  <c r="J66" i="1" s="1"/>
  <c r="I156" i="1"/>
  <c r="G156" i="1"/>
  <c r="J156" i="1" s="1"/>
  <c r="I77" i="1"/>
  <c r="G77" i="1"/>
  <c r="J77" i="1" s="1"/>
  <c r="H98" i="1"/>
  <c r="I98" i="1" s="1"/>
  <c r="G98" i="1"/>
  <c r="J98" i="1" s="1"/>
  <c r="H122" i="1"/>
  <c r="I122" i="1" s="1"/>
  <c r="G122" i="1"/>
  <c r="J122" i="1" s="1"/>
  <c r="I120" i="1"/>
  <c r="G120" i="1"/>
  <c r="J120" i="1" s="1"/>
  <c r="H116" i="1"/>
  <c r="I116" i="1" s="1"/>
  <c r="G116" i="1"/>
  <c r="J116" i="1" s="1"/>
  <c r="H99" i="1"/>
  <c r="I99" i="1" s="1"/>
  <c r="G99" i="1"/>
  <c r="J99" i="1" s="1"/>
  <c r="H72" i="1"/>
  <c r="I72" i="1" s="1"/>
  <c r="G72" i="1"/>
  <c r="J72" i="1" s="1"/>
  <c r="G216" i="1"/>
  <c r="J216" i="1" s="1"/>
  <c r="G215" i="1"/>
  <c r="J215" i="1" s="1"/>
  <c r="G208" i="1"/>
  <c r="J208" i="1" s="1"/>
  <c r="H63" i="1"/>
  <c r="G63" i="1"/>
  <c r="J63" i="1" s="1"/>
  <c r="H62" i="1"/>
  <c r="G62" i="1"/>
  <c r="J62" i="1" s="1"/>
  <c r="H60" i="1"/>
  <c r="G60" i="1"/>
  <c r="J60" i="1" s="1"/>
  <c r="G202" i="1"/>
  <c r="J202" i="1" s="1"/>
  <c r="H201" i="1"/>
  <c r="G201" i="1"/>
  <c r="J201" i="1" s="1"/>
  <c r="H61" i="1"/>
  <c r="G61" i="1"/>
  <c r="J61" i="1" s="1"/>
  <c r="H59" i="1"/>
  <c r="G59" i="1"/>
  <c r="J59" i="1" s="1"/>
  <c r="H58" i="1"/>
  <c r="G58" i="1"/>
  <c r="J58" i="1" s="1"/>
  <c r="H206" i="1"/>
  <c r="I206" i="1" s="1"/>
  <c r="G206" i="1"/>
  <c r="J206" i="1" s="1"/>
  <c r="H176" i="1"/>
  <c r="I176" i="1" s="1"/>
  <c r="G176" i="1"/>
  <c r="J176" i="1" s="1"/>
  <c r="H175" i="1"/>
  <c r="I175" i="1" s="1"/>
  <c r="G175" i="1"/>
  <c r="J175" i="1" s="1"/>
  <c r="H174" i="1"/>
  <c r="I174" i="1" s="1"/>
  <c r="G174" i="1"/>
  <c r="J174" i="1" s="1"/>
  <c r="H207" i="1"/>
  <c r="I207" i="1" s="1"/>
  <c r="G207" i="1"/>
  <c r="J207" i="1" s="1"/>
  <c r="H205" i="1"/>
  <c r="I205" i="1" s="1"/>
  <c r="G205" i="1"/>
  <c r="J205" i="1" s="1"/>
  <c r="H204" i="1"/>
  <c r="I204" i="1" s="1"/>
  <c r="G204" i="1"/>
  <c r="J204" i="1" s="1"/>
  <c r="H203" i="1"/>
  <c r="I203" i="1" s="1"/>
  <c r="G203" i="1"/>
  <c r="J203" i="1" s="1"/>
  <c r="H111" i="1"/>
  <c r="I111" i="1" s="1"/>
  <c r="G111" i="1"/>
  <c r="J111" i="1" s="1"/>
  <c r="H110" i="1"/>
  <c r="I110" i="1" s="1"/>
  <c r="G110" i="1"/>
  <c r="J110" i="1" s="1"/>
  <c r="H89" i="1"/>
  <c r="I89" i="1" s="1"/>
  <c r="G89" i="1"/>
  <c r="J89" i="1" s="1"/>
  <c r="H88" i="1"/>
  <c r="I88" i="1" s="1"/>
  <c r="G88" i="1"/>
  <c r="J88" i="1" s="1"/>
  <c r="H96" i="1"/>
  <c r="G96" i="1"/>
  <c r="J96" i="1" s="1"/>
  <c r="G218" i="1"/>
  <c r="J218" i="1" s="1"/>
  <c r="G198" i="1"/>
  <c r="J198" i="1" s="1"/>
  <c r="H196" i="1"/>
  <c r="G196" i="1"/>
  <c r="J196" i="1" s="1"/>
  <c r="H195" i="1"/>
  <c r="G195" i="1"/>
  <c r="J195" i="1" s="1"/>
  <c r="H194" i="1"/>
  <c r="G194" i="1"/>
  <c r="J194" i="1" s="1"/>
  <c r="H187" i="1"/>
  <c r="G187" i="1"/>
  <c r="J187" i="1" s="1"/>
  <c r="H186" i="1"/>
  <c r="G186" i="1"/>
  <c r="J186" i="1" s="1"/>
  <c r="H185" i="1"/>
  <c r="G185" i="1"/>
  <c r="J185" i="1" s="1"/>
  <c r="H182" i="1"/>
  <c r="G182" i="1"/>
  <c r="J182" i="1" s="1"/>
  <c r="H181" i="1"/>
  <c r="G181" i="1"/>
  <c r="J181" i="1" s="1"/>
  <c r="H180" i="1"/>
  <c r="G180" i="1"/>
  <c r="J180" i="1" s="1"/>
  <c r="H179" i="1"/>
  <c r="G179" i="1"/>
  <c r="J179" i="1" s="1"/>
  <c r="H177" i="1"/>
  <c r="G177" i="1"/>
  <c r="J177" i="1" s="1"/>
  <c r="G172" i="1"/>
  <c r="J172" i="1" s="1"/>
  <c r="G171" i="1"/>
  <c r="J171" i="1" s="1"/>
  <c r="G170" i="1"/>
  <c r="J170" i="1" s="1"/>
  <c r="G168" i="1"/>
  <c r="J168" i="1" s="1"/>
  <c r="G167" i="1"/>
  <c r="J167" i="1" s="1"/>
  <c r="H164" i="1"/>
  <c r="G164" i="1"/>
  <c r="J164" i="1" s="1"/>
  <c r="H155" i="1"/>
  <c r="G155" i="1"/>
  <c r="J155" i="1" s="1"/>
  <c r="H154" i="1"/>
  <c r="G154" i="1"/>
  <c r="J154" i="1" s="1"/>
  <c r="H153" i="1"/>
  <c r="G153" i="1"/>
  <c r="J153" i="1" s="1"/>
  <c r="H152" i="1"/>
  <c r="G152" i="1"/>
  <c r="J152" i="1" s="1"/>
  <c r="H151" i="1"/>
  <c r="G151" i="1"/>
  <c r="J151" i="1" s="1"/>
  <c r="H150" i="1"/>
  <c r="G150" i="1"/>
  <c r="J150" i="1" s="1"/>
  <c r="H149" i="1"/>
  <c r="G149" i="1"/>
  <c r="J149" i="1" s="1"/>
  <c r="H148" i="1"/>
  <c r="G148" i="1"/>
  <c r="J148" i="1" s="1"/>
  <c r="H147" i="1"/>
  <c r="G147" i="1"/>
  <c r="J147" i="1" s="1"/>
  <c r="H146" i="1"/>
  <c r="G146" i="1"/>
  <c r="J146" i="1" s="1"/>
  <c r="H145" i="1"/>
  <c r="G145" i="1"/>
  <c r="J145" i="1" s="1"/>
  <c r="H144" i="1"/>
  <c r="G144" i="1"/>
  <c r="J144" i="1" s="1"/>
  <c r="H143" i="1"/>
  <c r="G143" i="1"/>
  <c r="J143" i="1" s="1"/>
  <c r="G126" i="1"/>
  <c r="J126" i="1" s="1"/>
  <c r="H115" i="1"/>
  <c r="G115" i="1"/>
  <c r="J115" i="1" s="1"/>
  <c r="H114" i="1"/>
  <c r="G114" i="1"/>
  <c r="J114" i="1" s="1"/>
  <c r="H113" i="1"/>
  <c r="G113" i="1"/>
  <c r="J113" i="1" s="1"/>
  <c r="H112" i="1"/>
  <c r="G112" i="1"/>
  <c r="J112" i="1" s="1"/>
  <c r="G102" i="1"/>
  <c r="J102" i="1" s="1"/>
  <c r="H50" i="1"/>
  <c r="G50" i="1"/>
  <c r="J50" i="1" s="1"/>
  <c r="H49" i="1"/>
  <c r="G49" i="1"/>
  <c r="J49" i="1" s="1"/>
  <c r="H48" i="1"/>
  <c r="G48" i="1"/>
  <c r="J48" i="1" s="1"/>
  <c r="H47" i="1"/>
  <c r="G47" i="1"/>
  <c r="J47" i="1" s="1"/>
  <c r="G217" i="1"/>
  <c r="J217" i="1" s="1"/>
  <c r="H188" i="1"/>
  <c r="G188" i="1"/>
  <c r="J188" i="1" s="1"/>
  <c r="H184" i="1"/>
  <c r="G184" i="1"/>
  <c r="J184" i="1" s="1"/>
  <c r="H183" i="1"/>
  <c r="G183" i="1"/>
  <c r="J183" i="1" s="1"/>
  <c r="H178" i="1"/>
  <c r="G178" i="1"/>
  <c r="J178" i="1" s="1"/>
  <c r="G169" i="1"/>
  <c r="J169" i="1" s="1"/>
  <c r="G166" i="1"/>
  <c r="J166" i="1" s="1"/>
  <c r="H165" i="1"/>
  <c r="G165" i="1"/>
  <c r="J165" i="1" s="1"/>
  <c r="G101" i="1"/>
  <c r="J101" i="1" s="1"/>
  <c r="G97" i="1"/>
  <c r="J97" i="1" s="1"/>
  <c r="H90" i="1"/>
  <c r="G90" i="1"/>
  <c r="J90" i="1" s="1"/>
  <c r="H95" i="1"/>
  <c r="G95" i="1"/>
  <c r="J95" i="1" s="1"/>
  <c r="H73" i="1"/>
  <c r="G73" i="1"/>
  <c r="J73" i="1" s="1"/>
  <c r="H107" i="1"/>
  <c r="I107" i="1" s="1"/>
  <c r="G107" i="1"/>
  <c r="J107" i="1" s="1"/>
  <c r="H106" i="1"/>
  <c r="I106" i="1" s="1"/>
  <c r="G106" i="1"/>
  <c r="J106" i="1" s="1"/>
  <c r="H105" i="1"/>
  <c r="I105" i="1" s="1"/>
  <c r="G105" i="1"/>
  <c r="J105" i="1" s="1"/>
  <c r="H85" i="1"/>
  <c r="I85" i="1" s="1"/>
  <c r="G85" i="1"/>
  <c r="J85" i="1" s="1"/>
  <c r="H84" i="1"/>
  <c r="I84" i="1" s="1"/>
  <c r="G84" i="1"/>
  <c r="J84" i="1" s="1"/>
  <c r="H83" i="1"/>
  <c r="I83" i="1" s="1"/>
  <c r="G83" i="1"/>
  <c r="J83" i="1" s="1"/>
  <c r="H82" i="1"/>
  <c r="I82" i="1" s="1"/>
  <c r="G82" i="1"/>
  <c r="J82" i="1" s="1"/>
  <c r="H81" i="1"/>
  <c r="I81" i="1" s="1"/>
  <c r="G81" i="1"/>
  <c r="J81" i="1" s="1"/>
  <c r="H160" i="1"/>
  <c r="I160" i="1" s="1"/>
  <c r="G160" i="1"/>
  <c r="J160" i="1" s="1"/>
  <c r="H86" i="1"/>
  <c r="I86" i="1" s="1"/>
  <c r="G86" i="1"/>
  <c r="J86" i="1" s="1"/>
  <c r="H42" i="1"/>
  <c r="I42" i="1" s="1"/>
  <c r="K42" i="1" s="1"/>
  <c r="G42" i="1"/>
  <c r="J42" i="1" s="1"/>
  <c r="H80" i="1"/>
  <c r="I80" i="1" s="1"/>
  <c r="G80" i="1"/>
  <c r="J80" i="1" s="1"/>
  <c r="H79" i="1"/>
  <c r="I79" i="1" s="1"/>
  <c r="G79" i="1"/>
  <c r="J79" i="1" s="1"/>
  <c r="H76" i="1"/>
  <c r="I76" i="1" s="1"/>
  <c r="G76" i="1"/>
  <c r="J76" i="1" s="1"/>
  <c r="H219" i="1"/>
  <c r="I219" i="1" s="1"/>
  <c r="G219" i="1"/>
  <c r="J219" i="1" s="1"/>
  <c r="H212" i="1"/>
  <c r="I212" i="1" s="1"/>
  <c r="G212" i="1"/>
  <c r="J212" i="1" s="1"/>
  <c r="H211" i="1"/>
  <c r="I211" i="1" s="1"/>
  <c r="G211" i="1"/>
  <c r="J211" i="1" s="1"/>
  <c r="H210" i="1"/>
  <c r="I210" i="1" s="1"/>
  <c r="G210" i="1"/>
  <c r="J210" i="1" s="1"/>
  <c r="H209" i="1"/>
  <c r="I209" i="1" s="1"/>
  <c r="G209" i="1"/>
  <c r="J209" i="1" s="1"/>
  <c r="H163" i="1"/>
  <c r="I163" i="1" s="1"/>
  <c r="G163" i="1"/>
  <c r="J163" i="1" s="1"/>
  <c r="H162" i="1"/>
  <c r="I162" i="1" s="1"/>
  <c r="G162" i="1"/>
  <c r="J162" i="1" s="1"/>
  <c r="H161" i="1"/>
  <c r="I161" i="1" s="1"/>
  <c r="G161" i="1"/>
  <c r="J161" i="1" s="1"/>
  <c r="H157" i="1"/>
  <c r="I157" i="1" s="1"/>
  <c r="G157" i="1"/>
  <c r="J157" i="1" s="1"/>
  <c r="H142" i="1"/>
  <c r="I142" i="1" s="1"/>
  <c r="G142" i="1"/>
  <c r="J142" i="1" s="1"/>
  <c r="H127" i="1"/>
  <c r="I127" i="1" s="1"/>
  <c r="G127" i="1"/>
  <c r="J127" i="1" s="1"/>
  <c r="H123" i="1"/>
  <c r="I123" i="1" s="1"/>
  <c r="G123" i="1"/>
  <c r="J123" i="1" s="1"/>
  <c r="H104" i="1"/>
  <c r="I104" i="1" s="1"/>
  <c r="G104" i="1"/>
  <c r="J104" i="1" s="1"/>
  <c r="H103" i="1"/>
  <c r="I103" i="1" s="1"/>
  <c r="G103" i="1"/>
  <c r="J103" i="1" s="1"/>
  <c r="H74" i="1"/>
  <c r="I74" i="1" s="1"/>
  <c r="F74" i="1"/>
  <c r="G74" i="1" s="1"/>
  <c r="J74" i="1" s="1"/>
  <c r="H51" i="1"/>
  <c r="I51" i="1" s="1"/>
  <c r="G51" i="1"/>
  <c r="J51" i="1" s="1"/>
  <c r="I78" i="1"/>
  <c r="G78" i="1"/>
  <c r="J78" i="1" s="1"/>
  <c r="H197" i="1"/>
  <c r="I197" i="1" s="1"/>
  <c r="G197" i="1"/>
  <c r="J197" i="1" s="1"/>
  <c r="H190" i="1"/>
  <c r="I190" i="1" s="1"/>
  <c r="G190" i="1"/>
  <c r="J190" i="1" s="1"/>
  <c r="H189" i="1"/>
  <c r="I189" i="1" s="1"/>
  <c r="G189" i="1"/>
  <c r="J189" i="1" s="1"/>
  <c r="H75" i="1"/>
  <c r="I75" i="1" s="1"/>
  <c r="G75" i="1"/>
  <c r="J75" i="1" s="1"/>
  <c r="H52" i="1"/>
  <c r="I52" i="1" s="1"/>
  <c r="G52" i="1"/>
  <c r="J52" i="1" s="1"/>
  <c r="I109" i="1"/>
  <c r="G109" i="1"/>
  <c r="J109" i="1" s="1"/>
  <c r="H46" i="1"/>
  <c r="I46" i="1" s="1"/>
  <c r="G46" i="1"/>
  <c r="J46" i="1" s="1"/>
  <c r="I125" i="1"/>
  <c r="G125" i="1"/>
  <c r="J125" i="1" s="1"/>
  <c r="I124" i="1"/>
  <c r="G124" i="1"/>
  <c r="J124" i="1" s="1"/>
  <c r="G64" i="1"/>
  <c r="J64" i="1" s="1"/>
  <c r="D40" i="1"/>
  <c r="I166" i="1" s="1"/>
  <c r="J33" i="1"/>
  <c r="G33" i="1"/>
  <c r="L33" i="1" s="1"/>
  <c r="J32" i="1"/>
  <c r="G32" i="1"/>
  <c r="L32" i="1" s="1"/>
  <c r="J31" i="1"/>
  <c r="K31" i="1" s="1"/>
  <c r="G31" i="1"/>
  <c r="L31" i="1" s="1"/>
  <c r="J30" i="1"/>
  <c r="K30" i="1" s="1"/>
  <c r="G30" i="1"/>
  <c r="L30" i="1" s="1"/>
  <c r="J29" i="1"/>
  <c r="K29" i="1" s="1"/>
  <c r="G29" i="1"/>
  <c r="L29" i="1" s="1"/>
  <c r="J28" i="1"/>
  <c r="K28" i="1" s="1"/>
  <c r="G28" i="1"/>
  <c r="L28" i="1" s="1"/>
  <c r="J27" i="1"/>
  <c r="K27" i="1" s="1"/>
  <c r="G27" i="1"/>
  <c r="L27" i="1" s="1"/>
  <c r="J26" i="1"/>
  <c r="K26" i="1" s="1"/>
  <c r="G26" i="1"/>
  <c r="L26" i="1" s="1"/>
  <c r="J25" i="1"/>
  <c r="K25" i="1" s="1"/>
  <c r="G25" i="1"/>
  <c r="L25" i="1" s="1"/>
  <c r="J24" i="1"/>
  <c r="K24" i="1" s="1"/>
  <c r="G24" i="1"/>
  <c r="L24" i="1" s="1"/>
  <c r="J23" i="1"/>
  <c r="K23" i="1" s="1"/>
  <c r="G23" i="1"/>
  <c r="L23" i="1" s="1"/>
  <c r="J22" i="1"/>
  <c r="K22" i="1" s="1"/>
  <c r="G22" i="1"/>
  <c r="L22" i="1" s="1"/>
  <c r="J21" i="1"/>
  <c r="K21" i="1" s="1"/>
  <c r="G21" i="1"/>
  <c r="L21" i="1" s="1"/>
  <c r="J20" i="1"/>
  <c r="K20" i="1" s="1"/>
  <c r="G20" i="1"/>
  <c r="L20" i="1" s="1"/>
  <c r="J19" i="1"/>
  <c r="K19" i="1" s="1"/>
  <c r="G19" i="1"/>
  <c r="L19" i="1" s="1"/>
  <c r="J18" i="1"/>
  <c r="K18" i="1" s="1"/>
  <c r="G18" i="1"/>
  <c r="L18" i="1" s="1"/>
  <c r="J17" i="1"/>
  <c r="K17" i="1" s="1"/>
  <c r="G17" i="1"/>
  <c r="L17" i="1" s="1"/>
  <c r="J16" i="1"/>
  <c r="K16" i="1" s="1"/>
  <c r="G16" i="1"/>
  <c r="L16" i="1" s="1"/>
  <c r="J15" i="1"/>
  <c r="K15" i="1" s="1"/>
  <c r="G15" i="1"/>
  <c r="L15" i="1" s="1"/>
  <c r="J14" i="1"/>
  <c r="K14" i="1" s="1"/>
  <c r="G14" i="1"/>
  <c r="L14" i="1" s="1"/>
  <c r="J13" i="1"/>
  <c r="K13" i="1" s="1"/>
  <c r="G13" i="1"/>
  <c r="L13" i="1" s="1"/>
  <c r="J12" i="1"/>
  <c r="K12" i="1" s="1"/>
  <c r="G12" i="1"/>
  <c r="L12" i="1" s="1"/>
  <c r="J11" i="1"/>
  <c r="K11" i="1" s="1"/>
  <c r="G11" i="1"/>
  <c r="L11" i="1" s="1"/>
  <c r="J10" i="1"/>
  <c r="G10" i="1"/>
  <c r="L10" i="1" s="1"/>
  <c r="J9" i="1"/>
  <c r="K9" i="1" s="1"/>
  <c r="G9" i="1"/>
  <c r="L9" i="1" s="1"/>
  <c r="J8" i="1"/>
  <c r="K8" i="1" s="1"/>
  <c r="G8" i="1"/>
  <c r="L8" i="1" s="1"/>
  <c r="J7" i="1"/>
  <c r="K7" i="1" s="1"/>
  <c r="G7" i="1"/>
  <c r="L7" i="1" s="1"/>
  <c r="J6" i="1"/>
  <c r="K6" i="1" s="1"/>
  <c r="G6" i="1"/>
  <c r="L6" i="1" s="1"/>
  <c r="J5" i="1"/>
  <c r="K5" i="1" s="1"/>
  <c r="G5" i="1"/>
  <c r="L5" i="1" s="1"/>
  <c r="E3" i="1"/>
  <c r="K10" i="1" s="1"/>
  <c r="M31" i="1" l="1"/>
  <c r="K53" i="1"/>
  <c r="K157" i="1"/>
  <c r="K88" i="1"/>
  <c r="K125" i="1"/>
  <c r="K163" i="1"/>
  <c r="K72" i="1"/>
  <c r="K173" i="1"/>
  <c r="K64" i="1"/>
  <c r="K131" i="1"/>
  <c r="K77" i="1"/>
  <c r="K139" i="1"/>
  <c r="M15" i="1"/>
  <c r="M23" i="1"/>
  <c r="K123" i="1"/>
  <c r="K209" i="1"/>
  <c r="K141" i="1"/>
  <c r="K92" i="1"/>
  <c r="K74" i="1"/>
  <c r="I182" i="1"/>
  <c r="K182" i="1" s="1"/>
  <c r="I62" i="1"/>
  <c r="K62" i="1" s="1"/>
  <c r="K85" i="1"/>
  <c r="I113" i="1"/>
  <c r="K113" i="1" s="1"/>
  <c r="I179" i="1"/>
  <c r="K179" i="1" s="1"/>
  <c r="K68" i="1"/>
  <c r="K76" i="1"/>
  <c r="K110" i="1"/>
  <c r="I165" i="1"/>
  <c r="K165" i="1" s="1"/>
  <c r="I183" i="1"/>
  <c r="K183" i="1" s="1"/>
  <c r="K205" i="1"/>
  <c r="K117" i="1"/>
  <c r="K133" i="1"/>
  <c r="K108" i="1"/>
  <c r="K79" i="1"/>
  <c r="K111" i="1"/>
  <c r="K65" i="1"/>
  <c r="K45" i="1"/>
  <c r="M6" i="1"/>
  <c r="K87" i="1"/>
  <c r="M7" i="1"/>
  <c r="M11" i="1"/>
  <c r="M19" i="1"/>
  <c r="M27" i="1"/>
  <c r="K190" i="1"/>
  <c r="K142" i="1"/>
  <c r="K86" i="1"/>
  <c r="K82" i="1"/>
  <c r="K107" i="1"/>
  <c r="I50" i="1"/>
  <c r="K50" i="1" s="1"/>
  <c r="I146" i="1"/>
  <c r="K146" i="1" s="1"/>
  <c r="I152" i="1"/>
  <c r="K152" i="1" s="1"/>
  <c r="K116" i="1"/>
  <c r="M8" i="1"/>
  <c r="M14" i="1"/>
  <c r="M22" i="1"/>
  <c r="M30" i="1"/>
  <c r="K33" i="1"/>
  <c r="M33" i="1" s="1"/>
  <c r="K52" i="1"/>
  <c r="K51" i="1"/>
  <c r="K104" i="1"/>
  <c r="K162" i="1"/>
  <c r="I90" i="1"/>
  <c r="K90" i="1" s="1"/>
  <c r="I149" i="1"/>
  <c r="K149" i="1" s="1"/>
  <c r="I194" i="1"/>
  <c r="K194" i="1" s="1"/>
  <c r="I58" i="1"/>
  <c r="K58" i="1" s="1"/>
  <c r="I201" i="1"/>
  <c r="K98" i="1"/>
  <c r="K69" i="1"/>
  <c r="M17" i="1"/>
  <c r="M25" i="1"/>
  <c r="K46" i="1"/>
  <c r="K197" i="1"/>
  <c r="K160" i="1"/>
  <c r="I184" i="1"/>
  <c r="K184" i="1" s="1"/>
  <c r="I114" i="1"/>
  <c r="K114" i="1" s="1"/>
  <c r="I185" i="1"/>
  <c r="K185" i="1" s="1"/>
  <c r="K192" i="1"/>
  <c r="K130" i="1"/>
  <c r="K132" i="1"/>
  <c r="K138" i="1"/>
  <c r="K140" i="1"/>
  <c r="K44" i="1"/>
  <c r="K119" i="1"/>
  <c r="K91" i="1"/>
  <c r="K93" i="1"/>
  <c r="M9" i="1"/>
  <c r="K75" i="1"/>
  <c r="K105" i="1"/>
  <c r="I48" i="1"/>
  <c r="K48" i="1" s="1"/>
  <c r="I144" i="1"/>
  <c r="K144" i="1" s="1"/>
  <c r="I150" i="1"/>
  <c r="K150" i="1" s="1"/>
  <c r="I153" i="1"/>
  <c r="K153" i="1" s="1"/>
  <c r="I164" i="1"/>
  <c r="I195" i="1"/>
  <c r="K195" i="1" s="1"/>
  <c r="I59" i="1"/>
  <c r="K59" i="1" s="1"/>
  <c r="K191" i="1"/>
  <c r="K56" i="1"/>
  <c r="K135" i="1"/>
  <c r="K199" i="1"/>
  <c r="M18" i="1"/>
  <c r="M26" i="1"/>
  <c r="K211" i="1"/>
  <c r="K81" i="1"/>
  <c r="I101" i="1"/>
  <c r="K101" i="1" s="1"/>
  <c r="I188" i="1"/>
  <c r="K188" i="1" s="1"/>
  <c r="I115" i="1"/>
  <c r="K115" i="1" s="1"/>
  <c r="K204" i="1"/>
  <c r="K207" i="1"/>
  <c r="K120" i="1"/>
  <c r="K193" i="1"/>
  <c r="K109" i="1"/>
  <c r="K84" i="1"/>
  <c r="I154" i="1"/>
  <c r="K154" i="1" s="1"/>
  <c r="I177" i="1"/>
  <c r="K177" i="1" s="1"/>
  <c r="I181" i="1"/>
  <c r="K181" i="1" s="1"/>
  <c r="I96" i="1"/>
  <c r="K96" i="1" s="1"/>
  <c r="I60" i="1"/>
  <c r="K60" i="1" s="1"/>
  <c r="K57" i="1"/>
  <c r="K136" i="1"/>
  <c r="K200" i="1"/>
  <c r="K128" i="1"/>
  <c r="M10" i="1"/>
  <c r="K78" i="1"/>
  <c r="K127" i="1"/>
  <c r="K212" i="1"/>
  <c r="I95" i="1"/>
  <c r="K95" i="1" s="1"/>
  <c r="I49" i="1"/>
  <c r="K49" i="1" s="1"/>
  <c r="I145" i="1"/>
  <c r="K145" i="1" s="1"/>
  <c r="I148" i="1"/>
  <c r="K148" i="1" s="1"/>
  <c r="I187" i="1"/>
  <c r="K187" i="1" s="1"/>
  <c r="K206" i="1"/>
  <c r="K71" i="1"/>
  <c r="K159" i="1"/>
  <c r="K54" i="1"/>
  <c r="K134" i="1"/>
  <c r="K158" i="1"/>
  <c r="K201" i="1"/>
  <c r="K156" i="1"/>
  <c r="K55" i="1"/>
  <c r="K137" i="1"/>
  <c r="K43" i="1"/>
  <c r="K94" i="1"/>
  <c r="K129" i="1"/>
  <c r="K80" i="1"/>
  <c r="K83" i="1"/>
  <c r="K164" i="1"/>
  <c r="K118" i="1"/>
  <c r="K214" i="1"/>
  <c r="K89" i="1"/>
  <c r="K176" i="1"/>
  <c r="K66" i="1"/>
  <c r="K210" i="1"/>
  <c r="K203" i="1"/>
  <c r="K213" i="1"/>
  <c r="K166" i="1"/>
  <c r="K219" i="1"/>
  <c r="K124" i="1"/>
  <c r="K189" i="1"/>
  <c r="K106" i="1"/>
  <c r="K99" i="1"/>
  <c r="K67" i="1"/>
  <c r="K70" i="1"/>
  <c r="K100" i="1"/>
  <c r="K121" i="1"/>
  <c r="K175" i="1"/>
  <c r="K103" i="1"/>
  <c r="K161" i="1"/>
  <c r="K174" i="1"/>
  <c r="K122" i="1"/>
  <c r="I112" i="1"/>
  <c r="K112" i="1" s="1"/>
  <c r="I198" i="1"/>
  <c r="K198" i="1" s="1"/>
  <c r="I208" i="1"/>
  <c r="K208" i="1" s="1"/>
  <c r="I168" i="1"/>
  <c r="K168" i="1" s="1"/>
  <c r="I171" i="1"/>
  <c r="K171" i="1" s="1"/>
  <c r="I97" i="1"/>
  <c r="K97" i="1" s="1"/>
  <c r="I216" i="1"/>
  <c r="K216" i="1" s="1"/>
  <c r="I169" i="1"/>
  <c r="K169" i="1" s="1"/>
  <c r="I217" i="1"/>
  <c r="K217" i="1" s="1"/>
  <c r="I102" i="1"/>
  <c r="K102" i="1" s="1"/>
  <c r="I126" i="1"/>
  <c r="K126" i="1" s="1"/>
  <c r="I178" i="1"/>
  <c r="K178" i="1" s="1"/>
  <c r="I47" i="1"/>
  <c r="K47" i="1" s="1"/>
  <c r="I73" i="1"/>
  <c r="K73" i="1" s="1"/>
  <c r="I147" i="1"/>
  <c r="K147" i="1" s="1"/>
  <c r="I155" i="1"/>
  <c r="K155" i="1" s="1"/>
  <c r="I180" i="1"/>
  <c r="K180" i="1" s="1"/>
  <c r="I196" i="1"/>
  <c r="K196" i="1" s="1"/>
  <c r="I218" i="1"/>
  <c r="K218" i="1" s="1"/>
  <c r="I61" i="1"/>
  <c r="K61" i="1" s="1"/>
  <c r="I63" i="1"/>
  <c r="K63" i="1" s="1"/>
  <c r="I215" i="1"/>
  <c r="K215" i="1" s="1"/>
  <c r="I143" i="1"/>
  <c r="K143" i="1" s="1"/>
  <c r="I151" i="1"/>
  <c r="K151" i="1" s="1"/>
  <c r="I186" i="1"/>
  <c r="K186" i="1" s="1"/>
  <c r="I167" i="1"/>
  <c r="K167" i="1" s="1"/>
  <c r="I170" i="1"/>
  <c r="K170" i="1" s="1"/>
  <c r="I172" i="1"/>
  <c r="K172" i="1" s="1"/>
  <c r="I202" i="1"/>
  <c r="K202" i="1" s="1"/>
  <c r="M12" i="1"/>
  <c r="M20" i="1"/>
  <c r="M28" i="1"/>
  <c r="M13" i="1"/>
  <c r="M21" i="1"/>
  <c r="M29" i="1"/>
  <c r="M5" i="1"/>
  <c r="M16" i="1"/>
  <c r="M24" i="1"/>
  <c r="K32" i="1"/>
  <c r="M32" i="1" s="1"/>
</calcChain>
</file>

<file path=xl/sharedStrings.xml><?xml version="1.0" encoding="utf-8"?>
<sst xmlns="http://schemas.openxmlformats.org/spreadsheetml/2006/main" count="972" uniqueCount="414">
  <si>
    <t>Species</t>
  </si>
  <si>
    <t>Domain</t>
  </si>
  <si>
    <t>Phylum</t>
  </si>
  <si>
    <t>Sheath (Y/N)</t>
  </si>
  <si>
    <t>Cell width (µm)</t>
  </si>
  <si>
    <t>Cell volume (µm^3)</t>
  </si>
  <si>
    <t>Flagellum number</t>
  </si>
  <si>
    <t>Flagellum length (µm)</t>
  </si>
  <si>
    <t>Total flagellar length (µm)</t>
  </si>
  <si>
    <t>Total flagellar cost (ATP)</t>
  </si>
  <si>
    <t>Cell cost (ATP)</t>
  </si>
  <si>
    <t>Relative cost</t>
  </si>
  <si>
    <t>Bacillus alcalophilus</t>
  </si>
  <si>
    <t>Bacteria</t>
  </si>
  <si>
    <t>Firmicutes</t>
  </si>
  <si>
    <t>Bacillus clausii</t>
  </si>
  <si>
    <t>Bacillus halodurans</t>
  </si>
  <si>
    <t>Bacillus megaterium</t>
  </si>
  <si>
    <t>Bacillus pseudofirmus</t>
  </si>
  <si>
    <t>Bdellovibrio bacteriovorus</t>
  </si>
  <si>
    <t>Proteobacteria</t>
  </si>
  <si>
    <t>Y</t>
  </si>
  <si>
    <t>Borrelia burgdorferi</t>
  </si>
  <si>
    <t>Spirochaetes</t>
  </si>
  <si>
    <t>Caulobacter crescentus</t>
  </si>
  <si>
    <t>Alpha-proteobacteria</t>
  </si>
  <si>
    <t>Clostridium tetani</t>
  </si>
  <si>
    <t>Cristispira balbiannii</t>
  </si>
  <si>
    <t>Escherichia coli</t>
  </si>
  <si>
    <t>Gamma-proteobacteria</t>
  </si>
  <si>
    <t>Leptospira interrogans</t>
  </si>
  <si>
    <t>Photobacterium phosphoreum</t>
  </si>
  <si>
    <t>Proteus mirabilis</t>
  </si>
  <si>
    <t>Pseudomonas aeruginosa</t>
  </si>
  <si>
    <t>N</t>
  </si>
  <si>
    <t>Salmonella typhimurium</t>
  </si>
  <si>
    <t>Salmonella typhosa</t>
  </si>
  <si>
    <t>Sarcina ureae</t>
  </si>
  <si>
    <t>Selenomonas ruminantium</t>
  </si>
  <si>
    <t>Serratia marcescens</t>
  </si>
  <si>
    <t>Spirillum serpens</t>
  </si>
  <si>
    <t>Beta-proteobacteria</t>
  </si>
  <si>
    <t>Spirillum volutans</t>
  </si>
  <si>
    <t>Spirochaeta litoralis</t>
  </si>
  <si>
    <t>Treponema denticola</t>
  </si>
  <si>
    <t>Treponema primitia</t>
  </si>
  <si>
    <t>Vibrio alginolyticus</t>
  </si>
  <si>
    <t>Vibrio cholera</t>
  </si>
  <si>
    <r>
      <t>Cell length (</t>
    </r>
    <r>
      <rPr>
        <b/>
        <sz val="16"/>
        <color theme="1"/>
        <rFont val="Calibri"/>
        <family val="2"/>
      </rPr>
      <t>µm)</t>
    </r>
  </si>
  <si>
    <r>
      <t xml:space="preserve">Cost per </t>
    </r>
    <r>
      <rPr>
        <sz val="11"/>
        <color theme="1"/>
        <rFont val="Calibri"/>
        <family val="2"/>
      </rPr>
      <t>µ</t>
    </r>
    <r>
      <rPr>
        <sz val="11"/>
        <color theme="1"/>
        <rFont val="Calibri"/>
        <family val="2"/>
        <scheme val="minor"/>
      </rPr>
      <t>m flagellum (ATP):</t>
    </r>
  </si>
  <si>
    <t xml:space="preserve">Cost per µm sheathed flagellum (ATP): </t>
  </si>
  <si>
    <t>Absolute construction cost (ATP)</t>
  </si>
  <si>
    <t>Relative construction cost</t>
  </si>
  <si>
    <t>Cell construction cost (ATP)</t>
  </si>
  <si>
    <t>References</t>
  </si>
  <si>
    <t>Cell depth (µm)</t>
  </si>
  <si>
    <t>Breviata anathema</t>
  </si>
  <si>
    <t>Eukaryota</t>
  </si>
  <si>
    <t>Amorphea</t>
  </si>
  <si>
    <t>Mastigamoeba psammobia</t>
  </si>
  <si>
    <t>Mastigella simplex</t>
  </si>
  <si>
    <t>Ancyromonas melba</t>
  </si>
  <si>
    <t>Ancyromonadida</t>
  </si>
  <si>
    <t>Helkesimastix marina</t>
  </si>
  <si>
    <t>Cercozoa</t>
  </si>
  <si>
    <t>Auranticordis quadriverberis</t>
  </si>
  <si>
    <t>Chlamydomonas sp.</t>
  </si>
  <si>
    <t>Chlorophyta</t>
  </si>
  <si>
    <t>Polytoma uvella</t>
  </si>
  <si>
    <t>Polytomella agilis</t>
  </si>
  <si>
    <t>Pyramimonas octopus</t>
  </si>
  <si>
    <t>Codonosiga botrytis</t>
  </si>
  <si>
    <t>Choanoflagellata</t>
  </si>
  <si>
    <t>Apocoleps caoi</t>
  </si>
  <si>
    <t>Ciliates</t>
  </si>
  <si>
    <t>Chilodonella acuta</t>
  </si>
  <si>
    <t>Eurystomatella sinica</t>
  </si>
  <si>
    <t>Fusiforma themisticola</t>
  </si>
  <si>
    <t>Kovalevaia sulcata</t>
  </si>
  <si>
    <t>Metanophrys orientalis</t>
  </si>
  <si>
    <t>Nolandia sinica</t>
  </si>
  <si>
    <t>Opalina ranarum</t>
  </si>
  <si>
    <t>Parafurgasonia zhangi</t>
  </si>
  <si>
    <t>Paramecium caudatum</t>
  </si>
  <si>
    <t>Paramecium tetraurelia</t>
  </si>
  <si>
    <t>Tetrahymena thermophila</t>
  </si>
  <si>
    <t>Tiarina fusa</t>
  </si>
  <si>
    <t>Trachelocerca ditis</t>
  </si>
  <si>
    <t>Tracheloraphis dragescoi</t>
  </si>
  <si>
    <t>Uronemella sinensis</t>
  </si>
  <si>
    <t>Chromera velia</t>
  </si>
  <si>
    <t>Colpodellida</t>
  </si>
  <si>
    <t>Colpodella pugnax</t>
  </si>
  <si>
    <t>Colpodella unguis</t>
  </si>
  <si>
    <t>Acavomonas peruviana</t>
  </si>
  <si>
    <t>Colponemida</t>
  </si>
  <si>
    <t>Colponema vietnamica</t>
  </si>
  <si>
    <t>Palustrimonas yorkeensis</t>
  </si>
  <si>
    <t>Colponema edaphicum</t>
  </si>
  <si>
    <t>Colponema globosum</t>
  </si>
  <si>
    <t>Colponema loxodes</t>
  </si>
  <si>
    <t>Colponema marisrubri</t>
  </si>
  <si>
    <t>Colponema symmetricum</t>
  </si>
  <si>
    <t>Glissandra innuerende</t>
  </si>
  <si>
    <t>CRuMs</t>
  </si>
  <si>
    <t>Goniomonas amphinema</t>
  </si>
  <si>
    <t>Cryptista</t>
  </si>
  <si>
    <t>Goniomonas pacifica</t>
  </si>
  <si>
    <t>Ceratium fusus</t>
  </si>
  <si>
    <t>Dinoflagellata</t>
  </si>
  <si>
    <t>Dinophysis acuta</t>
  </si>
  <si>
    <t>Dinema validum</t>
  </si>
  <si>
    <t>Euglenids</t>
  </si>
  <si>
    <t>Dolium sedentarium</t>
  </si>
  <si>
    <t>Euglena gracilis</t>
  </si>
  <si>
    <t>Peranema trichophorum</t>
  </si>
  <si>
    <t>Petalomonas marginalis</t>
  </si>
  <si>
    <t>Ploeotia azurina</t>
  </si>
  <si>
    <t>Ploeotia longifilum</t>
  </si>
  <si>
    <t>Ploeotia oblonga</t>
  </si>
  <si>
    <t>Ploeotia vitrea</t>
  </si>
  <si>
    <t>Urceolus cornutus</t>
  </si>
  <si>
    <t>Anisonema acinus</t>
  </si>
  <si>
    <t>Anisonema glaciale</t>
  </si>
  <si>
    <t>Anisonema prosgeobium</t>
  </si>
  <si>
    <t>Anisonema trepidum</t>
  </si>
  <si>
    <t>Euglena viridis</t>
  </si>
  <si>
    <t>Heteronema exaratum</t>
  </si>
  <si>
    <t>Heteronema globuliferum</t>
  </si>
  <si>
    <t>Heteronema splendens</t>
  </si>
  <si>
    <t>Heteronema vittatum</t>
  </si>
  <si>
    <t>Menoidium cultellus</t>
  </si>
  <si>
    <t>Notosolenus alatellus</t>
  </si>
  <si>
    <t>Notosolenus apocamptus</t>
  </si>
  <si>
    <t>Notosolenus canellatus</t>
  </si>
  <si>
    <t>Notosolenus esulcis</t>
  </si>
  <si>
    <t>Notosolenus navicula</t>
  </si>
  <si>
    <t>Notosolenus ostium</t>
  </si>
  <si>
    <t>Notosolenus scutulum</t>
  </si>
  <si>
    <t>Notosolenus similis</t>
  </si>
  <si>
    <t>Notosolenus tamanduensis</t>
  </si>
  <si>
    <t>Notosolenus triangularis</t>
  </si>
  <si>
    <t>Notosolenus urceolatus</t>
  </si>
  <si>
    <t>Peranema fusiforme</t>
  </si>
  <si>
    <t>Petalomonas abscissa</t>
  </si>
  <si>
    <t>Petalomonas boadicea</t>
  </si>
  <si>
    <t>Petalomonas minor</t>
  </si>
  <si>
    <t>Petalomonas minuta</t>
  </si>
  <si>
    <t>Petalomonas pusilla</t>
  </si>
  <si>
    <t>Ploeotia adhaerens</t>
  </si>
  <si>
    <t>Ploeotia corrugata</t>
  </si>
  <si>
    <t>Ploeotia costata</t>
  </si>
  <si>
    <t>Ploeotia decipiens</t>
  </si>
  <si>
    <t>Ploeotia heracleum</t>
  </si>
  <si>
    <t>Ploeotia pseudanisonema</t>
  </si>
  <si>
    <t>Ploeotia punctata</t>
  </si>
  <si>
    <t>Ploeotia tenuis</t>
  </si>
  <si>
    <t>Pseudoperanema (Peranema) fusiforme</t>
  </si>
  <si>
    <t>Pseudoperanema (Peranema) trichophorum</t>
  </si>
  <si>
    <t>Pseudoperanema dolichonema</t>
  </si>
  <si>
    <t>Rhabdomonas spiralis</t>
  </si>
  <si>
    <t>Urceolus cristatus</t>
  </si>
  <si>
    <t>Diplonema ambulator</t>
  </si>
  <si>
    <t>Euglenozoa</t>
  </si>
  <si>
    <t>Cyanophora cuspidata</t>
  </si>
  <si>
    <t>Glaucophyta</t>
  </si>
  <si>
    <t>Developayella elegans</t>
  </si>
  <si>
    <t>Gyrista</t>
  </si>
  <si>
    <t>Hemimastix amphikineta</t>
  </si>
  <si>
    <t>Hemimastigophora</t>
  </si>
  <si>
    <t>Hemimastix kukwesjijk</t>
  </si>
  <si>
    <t>Spironema goodeyi</t>
  </si>
  <si>
    <t>Spironema multiciliatum</t>
  </si>
  <si>
    <t>Spironema terricola</t>
  </si>
  <si>
    <t>Stereonema geiseri</t>
  </si>
  <si>
    <t>Pleurostomum flabellatum</t>
  </si>
  <si>
    <t>Heterolobosea</t>
  </si>
  <si>
    <t>Pleurostomum turgidum</t>
  </si>
  <si>
    <t>Stephanopogon minuta</t>
  </si>
  <si>
    <t>Bodo cygnus</t>
  </si>
  <si>
    <t>Kinetoplastea</t>
  </si>
  <si>
    <t xml:space="preserve">Bodo designis </t>
  </si>
  <si>
    <t>Bodo saliens</t>
  </si>
  <si>
    <t>Rhynchobodo simius</t>
  </si>
  <si>
    <t>Rhynchomonas nasuta</t>
  </si>
  <si>
    <t>Bodo platyrhynchus</t>
  </si>
  <si>
    <t>Bodo saltans</t>
  </si>
  <si>
    <t>Bordnamonas tropicana</t>
  </si>
  <si>
    <t>Strigomonas oncopelti</t>
  </si>
  <si>
    <t>Trypanosoma brucei</t>
  </si>
  <si>
    <t>Trypanosoma cruzi</t>
  </si>
  <si>
    <t>Carpediemonas membranifera</t>
  </si>
  <si>
    <t>Metamonada</t>
  </si>
  <si>
    <t>Ergobibamus cyprinoides</t>
  </si>
  <si>
    <t>Hicanonectes teleskopos</t>
  </si>
  <si>
    <t>Iotanema spirale</t>
  </si>
  <si>
    <t>Kipferlia bialata</t>
  </si>
  <si>
    <t>Dysnectes brevis</t>
  </si>
  <si>
    <t>Ciliophrys infusionum</t>
  </si>
  <si>
    <t>Ochrophyta</t>
  </si>
  <si>
    <t>Ochromonas malhamensis</t>
  </si>
  <si>
    <t>Cafeteria ligulifera</t>
  </si>
  <si>
    <t>Opalozoa</t>
  </si>
  <si>
    <t>Cafeteria marsupialis</t>
  </si>
  <si>
    <t>Cafeteria minuta</t>
  </si>
  <si>
    <t>Cafeteria roenbergensis</t>
  </si>
  <si>
    <t>Bicosoeca conica</t>
  </si>
  <si>
    <t>Caecitellus parvulus</t>
  </si>
  <si>
    <t>Halocafeteria</t>
  </si>
  <si>
    <t>Pseudobodo tremulans</t>
  </si>
  <si>
    <t>Cthulhu macrofasciculumque</t>
  </si>
  <si>
    <t>Parabasalids</t>
  </si>
  <si>
    <t>Eucomonympha imla</t>
  </si>
  <si>
    <t>Holomastigotes lanceolata</t>
  </si>
  <si>
    <t>Hoplonympha natator</t>
  </si>
  <si>
    <t>Joenopsis intermedia</t>
  </si>
  <si>
    <t>Pachyjoenia howa</t>
  </si>
  <si>
    <t>Tritrichomonas foetus</t>
  </si>
  <si>
    <t>Psammosa pacifica</t>
  </si>
  <si>
    <t>Perkinsidae</t>
  </si>
  <si>
    <t>Picomonas judraskeda</t>
  </si>
  <si>
    <t>Picozoa</t>
  </si>
  <si>
    <t>Trimastix convexa</t>
  </si>
  <si>
    <t>Preaxostyla</t>
  </si>
  <si>
    <t>Blattamonas junai gen. et sp. nov. Z98GC</t>
  </si>
  <si>
    <t>Blattamonas nauphoetae gen. et sp. nov. NAU3</t>
  </si>
  <si>
    <t>Blattamonas nauphoetae gen. et sp. nov. Z17NC</t>
  </si>
  <si>
    <t>Blattamonas varadinovae gen. et sp. Nov. Z31SE</t>
  </si>
  <si>
    <t>Monocercomonoides acer sp. nov. TENE79</t>
  </si>
  <si>
    <t>Monocercomonoides communis sp. nov. BAT1</t>
  </si>
  <si>
    <t>Monocercomonoides communis sp. nov. Z30BD_1</t>
  </si>
  <si>
    <t>Monocercomonoides exilis CAVIA-M</t>
  </si>
  <si>
    <t>Monocercomonoides exilis PA203</t>
  </si>
  <si>
    <t>Monocercomonoides melolonthae POTCUPRI</t>
  </si>
  <si>
    <t>Monocercomonoides merkovicensis sp. nov. MAREK 2</t>
  </si>
  <si>
    <t>Monocercomonoides merkovicensis sp. nov. VAV1B</t>
  </si>
  <si>
    <t>Monocercomonoides sp. B1-10</t>
  </si>
  <si>
    <t>Monocercomonoides sp. CYRT</t>
  </si>
  <si>
    <t>Monocercomonoides sp. LEI</t>
  </si>
  <si>
    <t>Monocercomonoides sp. MURAL 1</t>
  </si>
  <si>
    <t>Monocercomonoides sp. OEV</t>
  </si>
  <si>
    <t>Opisthomitus longiflagellatus</t>
  </si>
  <si>
    <t>Rhodelphis limneticus</t>
  </si>
  <si>
    <t>Rhodophyta</t>
  </si>
  <si>
    <t>Rhodelphis marinus</t>
  </si>
  <si>
    <t>Anaeramoeba gargantua sp. nov., strain SIPEK1</t>
  </si>
  <si>
    <t>Unclear</t>
  </si>
  <si>
    <t>Anaeramoeba ignava sp. nov., strain BMAN</t>
  </si>
  <si>
    <t>Ancoracysta twista</t>
  </si>
  <si>
    <t>Idionectes vortex</t>
  </si>
  <si>
    <t>Monas stigmata</t>
  </si>
  <si>
    <t>Dinematomonas valida</t>
  </si>
  <si>
    <t>Unclear (Excavata)</t>
  </si>
  <si>
    <t>Dinematomonas inaequalis</t>
  </si>
  <si>
    <t>Dinematomonas litoralis</t>
  </si>
  <si>
    <t>Dinematomonas maculata</t>
  </si>
  <si>
    <t>Eukaryotes</t>
  </si>
  <si>
    <t>Cost per µm flagellum for euglenozoa and dinoflagellates (ATP):</t>
  </si>
  <si>
    <t>Ciliates*</t>
  </si>
  <si>
    <t>* Because of its ciliated nature Opalina ranarum is grouped with ciliates here, but in reality it belongs to a different phylum.</t>
  </si>
  <si>
    <t>(Boone et al., 2001; Terahara et al., 2012)</t>
  </si>
  <si>
    <t>(Boone et al., 2001; Terahara et al., 2008)</t>
  </si>
  <si>
    <t>(Aono et al., 1992; Boone et al., 2001; Ito &amp; Takahashi, 2017)</t>
  </si>
  <si>
    <t>(Brennen &amp; Winet, 1977)</t>
  </si>
  <si>
    <t>(Boone et al., 2001; Fujinami et al., 2007)</t>
  </si>
  <si>
    <t>(Brennen &amp; Winet, 1977; McCarter, 2004; Thomashow &amp; Rittenberg, 1985)</t>
  </si>
  <si>
    <t>(Charon et al., 2012; Goldstein et al., 1996; Kudryashev et al., 2009)</t>
  </si>
  <si>
    <t>(Briegel et al., 2009; Brun et al., 1994; Chattopadhyay &amp; Wu, 2009; Driks et al., 1989; McCarter, 2004)</t>
  </si>
  <si>
    <t>(Guadayol et al., 2017)</t>
  </si>
  <si>
    <t>(Malmström et al., 2009; Wolgemuth et al., 2006)</t>
  </si>
  <si>
    <t>(Hoeniger, 1965; Jones et al., 2004)</t>
  </si>
  <si>
    <t>(Hoeniger, 1965)</t>
  </si>
  <si>
    <t>(Brennen &amp; Winet, 1977; Tsuda &amp; Iino, 1983)</t>
  </si>
  <si>
    <t>(Magariyama et al., 2001)</t>
  </si>
  <si>
    <t>(Chalcroft et al., 1973)</t>
  </si>
  <si>
    <t>(Brennen &amp; Winet, 1977; Krieg, 1976; Ramia &amp; Swan, 1994)</t>
  </si>
  <si>
    <t>(Charon et al., 1992; Izard et al., 2008; Slivienski-Gebhardt et al., 2004; Wolgemuth et al., 2006)</t>
  </si>
  <si>
    <t>(Briegel et al., 2009; Murphy et al., 2008)</t>
  </si>
  <si>
    <t>(Chattopadhyay &amp; Wu, 2009; Magariyama et al., 1995)</t>
  </si>
  <si>
    <t>(Brennen &amp; Winet, 1977; Briegel et al., 2009)</t>
  </si>
  <si>
    <t>(Tikhonenkov et al., 2014)</t>
  </si>
  <si>
    <t>(Taborsky et al., 2017)</t>
  </si>
  <si>
    <t>(Janouskovec et al., 2017)</t>
  </si>
  <si>
    <t>(Patterson &amp; Simpson, 1996)</t>
  </si>
  <si>
    <t>(Larsen &amp; Patterson, 1990)</t>
  </si>
  <si>
    <t>(Chen et al., 2012)</t>
  </si>
  <si>
    <t>(Chantangsi et al., 2008)</t>
  </si>
  <si>
    <t>(Treitli et al., 2018)</t>
  </si>
  <si>
    <t>(Larsen &amp; Patterson, 1990; Lisicki et al., 2019; Patterson &amp; Simpson, 1996)</t>
  </si>
  <si>
    <t>(Larsen &amp; Patterson, 1990; Patterson &amp; Simpson, 1996)</t>
  </si>
  <si>
    <t>(Heiss et al., 2013)</t>
  </si>
  <si>
    <t>(Simpson &amp; Patterson, 1999)</t>
  </si>
  <si>
    <t>(Brennen &amp; Winet, 1977; Lisicki et al., 2019)</t>
  </si>
  <si>
    <t>(Fan et al., 2014)</t>
  </si>
  <si>
    <t>(Weatherby et al., 2011)</t>
  </si>
  <si>
    <t>(James et al., 2013)</t>
  </si>
  <si>
    <t>(Heiss et al., 2017)</t>
  </si>
  <si>
    <t>(Tong, 1995)</t>
  </si>
  <si>
    <t>(Yubuki et al., 2007)</t>
  </si>
  <si>
    <t>(Park et al., 2010)</t>
  </si>
  <si>
    <t>(Carpenter &amp; Keeling, 2007)</t>
  </si>
  <si>
    <t>(Brennen &amp; Winet, 1977; Hyams, 1982; Lisicki et al., 2019)</t>
  </si>
  <si>
    <t>(Miao et al., 2010)</t>
  </si>
  <si>
    <t>(Chantangsi et al., 2013)</t>
  </si>
  <si>
    <t>(Park &amp; Simpson, 2015)</t>
  </si>
  <si>
    <t>(Cavalier-Smith et al., 2009)</t>
  </si>
  <si>
    <t>(Foissner &amp; Foissner, 1993; Lax et al., 2018)</t>
  </si>
  <si>
    <t>(Lax et al., 2018)</t>
  </si>
  <si>
    <t>(Park et al., 2009)</t>
  </si>
  <si>
    <t>(Brugerolle &amp; Bordereau, 2004)</t>
  </si>
  <si>
    <t>(Hess et al., 2019)</t>
  </si>
  <si>
    <t>(Yubuki et al., 2017)</t>
  </si>
  <si>
    <t>(Brugerolle &amp; Bordereau, 2003)</t>
  </si>
  <si>
    <t>(Yubuki et al., 2013)</t>
  </si>
  <si>
    <t>(Yan et al., 2013)</t>
  </si>
  <si>
    <t>(Pan et al., 2013)</t>
  </si>
  <si>
    <t>(Radek et al., 2014)</t>
  </si>
  <si>
    <t>(Brugerolle &amp; Bordereau, 2005)</t>
  </si>
  <si>
    <t>(Aubusson-Fleury et al., 2017; Bayless et al., 2019; Lisicki et al., 2019)</t>
  </si>
  <si>
    <t>(Saito et al., 2003)</t>
  </si>
  <si>
    <t>(Seenivasan et al., 2013)</t>
  </si>
  <si>
    <t>(Park et al., 2007)</t>
  </si>
  <si>
    <t>(Okamoto et al., 2012)</t>
  </si>
  <si>
    <t>(Wan &amp; Goldstein, 2018)</t>
  </si>
  <si>
    <t>(Gawryluk et al., 2019)</t>
  </si>
  <si>
    <t>(Foissner &amp; Foissner, 1993)</t>
  </si>
  <si>
    <t>(Yubuki &amp; Leander, 2008)</t>
  </si>
  <si>
    <t>(Bayless et al., 2019)</t>
  </si>
  <si>
    <t>(Xu et al., 2014)</t>
  </si>
  <si>
    <t>(Brugerolle &amp; Patterson, 1997)</t>
  </si>
  <si>
    <t>(Lenaghan et al., 2014)</t>
  </si>
  <si>
    <t>(Heddergott et al., 2012)</t>
  </si>
  <si>
    <t>(Brennen &amp; Winet, 1977; Portman &amp; Gull, 2010)</t>
  </si>
  <si>
    <t xml:space="preserve">Aono, R., Ogino, H., &amp; Horikoshi, K. (1992). pH-dependent flagella formation by facultative alkaliphilic Bacillus sp. C-125. Bioscience, biotechnology, and biochemistry, 56(1), 48-53. </t>
  </si>
  <si>
    <t xml:space="preserve">Aubusson-Fleury, A., Balavoine, G., Lemullois, M., Bouhouche, K., Beisson, J., &amp; Koll, F. (2017). Centrin diversity and basal body patterning across evolution: new insights from Paramecium. Biology open, 6(6), 765-776. </t>
  </si>
  <si>
    <t xml:space="preserve">Bayless, B. A., Navarro, F. M., &amp; Winey, M. (2019). Motile cilia: innovation and insight from ciliate model organisms. Frontiers in cell and developmental biology, 7, 265. </t>
  </si>
  <si>
    <t xml:space="preserve">Boone, D. R., Castenholz, R. W., &amp; Garrity, G. M. (Eds.). (2001). Bergey's Manual of Systematic Bacteriology (2nd ed.). Springer Science+Business Media. </t>
  </si>
  <si>
    <t xml:space="preserve">Brennen, C., &amp; Winet, H. (1977). Fluid mechanics of propulsion by cilia and flagella. Annual Review of Fluid Mechanics, 9(1), 339-398. </t>
  </si>
  <si>
    <t xml:space="preserve">Briegel, A., Ortega, D. R., Tocheva, E. I., Wuichet, K., Li, Z., Chen, S., . . . Dobro, M. J. (2009). Universal architecture of bacterial chemoreceptor arrays. Proceedings of the National Academy of Sciences, 106(40), 17181-17186. </t>
  </si>
  <si>
    <t xml:space="preserve">Brugerolle, G., &amp; Bordereau, C. (2003). Ultrastructure of Joenoides intermedia (Grassé 1952), a symbiotic parabasalid flagellate of Hodotermes mossambicus, and its comparison with other joeniid genera. European journal of protistology, 39(1), 1-10. </t>
  </si>
  <si>
    <t xml:space="preserve">Brugerolle, G., &amp; Bordereau, C. (2004). The flagellates of the termite Hodotermopsis sjoestedti with special reference to Hoplonympha, Holomastigotes and Trichomonoides trypanoides n. comb. European journal of protistology, 40(2), 163-174. </t>
  </si>
  <si>
    <t xml:space="preserve">Brugerolle, G., &amp; Bordereau, C. (2005). Pachyjoenia howa, a new symbiotic parabasalid joeniid flagellate of the termite Postelectrotermes howa. European journal of protistology, 41(1), 7-17. </t>
  </si>
  <si>
    <t xml:space="preserve">Brugerolle, G., &amp; Patterson, D. (1997). Ultrastructure of Trimastix convexa Hollande, an amitochondriate anaerobic flagellate with a previously undescribed organization. European Journal of Protistology, 33(2), 121-130. </t>
  </si>
  <si>
    <t xml:space="preserve">Brun, Y. V., Marczynski, G., &amp; Shapiro, L. (1994). The expression of asymmetry during Caulobacter cell differentiation. Annual review of biochemistry, 63(1), 419-450. </t>
  </si>
  <si>
    <t xml:space="preserve">Carpenter, K. J., &amp; Keeling, P. J. (2007). Morphology and phylogenetic position of Eucomonympha imla (Parabasalia: Hypermastigida). Journal of Eukaryotic Microbiology, 54(4), 325-332. </t>
  </si>
  <si>
    <t xml:space="preserve">Cavalier-Smith, T., Lewis, R., Chao, E. E., Oates, B., &amp; Bass, D. (2009). Helkesimastix marina n. sp.(Cercozoa: Sainouroidea superfam. n.) a gliding zooflagellate of novel ultrastructure and unusual ciliary behaviour. Protist, 160(3), 452-479. </t>
  </si>
  <si>
    <t xml:space="preserve">Chalcroft, J. P., Bullivant, S., &amp; Howard, B. (1973). Ultrastructural studies on Selenomonas ruminantium from the sheep rumen. Microbiology, 79(1), 135-146. </t>
  </si>
  <si>
    <t xml:space="preserve">Chantangsi, C., Esson, H. J., &amp; Leander, B. S. (2008). Morphology and molecular phylogeny of a marine interstitial tetraflagellate with putative endosymbionts: Auranticordis quadriverberis n. gen. et sp.(Cercozoa). BMC microbiology, 8(1), 1-16. </t>
  </si>
  <si>
    <t xml:space="preserve">Chantangsi, C., Lynn, D. H., Rueckert, S., Prokopowicz, A. J., Panha, S., &amp; Leander, B. S. (2013). Fusiforma themisticola n. gen., n. sp., a new genus and species of apostome ciliate infecting the hyperiid amphipod Themisto libellula in the Canadian Beaufort Sea (Arctic Ocean), and establishment of the Pseudocolliniidae (Ciliophora, Apostomatia). Protist, 164(6), 793-810. </t>
  </si>
  <si>
    <t xml:space="preserve">Charon, N. W., Cockburn, A., Li, C., Liu, J., Miller, K. A., Miller, M. R., . . . Wolgemuth, C. W. (2012). The unique paradigm of spirochete motility and chemotaxis. Annual review of microbiology, 66, 349-370. </t>
  </si>
  <si>
    <t xml:space="preserve">Charon, N. W., Goldstein, S., Block, S., Curci, K., Ruby, J., Kreiling, J., &amp; Limberger, R. (1992). Morphology and dynamics of protruding spirochete periplasmic flagella. Journal of bacteriology, 174(3), 832-840. </t>
  </si>
  <si>
    <t xml:space="preserve">Chattopadhyay, S., &amp; Wu, X.-L. (2009). The effect of long-range hydrodynamic interaction on the swimming of a single bacterium. Biophysical Journal, 96(5), 2023-2028. </t>
  </si>
  <si>
    <t xml:space="preserve">Chen, X., Gao, S., Liu, W., Song, W., Al-Rasheid, K. A., &amp; Warren, A. (2012). Taxonomic descriptions of three marine colepid ciliates, Nolandia sinica spec. nov., Apocoleps caoi spec. nov. and Tiarina fusa (Claparède &amp; Lachmann, 1858) Bergh, 1881 (Ciliophora, Prorodontida). International journal of systematic and evolutionary microbiology, 62(Pt_3), 735-744. </t>
  </si>
  <si>
    <t xml:space="preserve">Driks, A., Bryan, R., Shapiro, L., &amp; DeRosier, D. (1989). The organization of the Caulobacter crescentus flagellar filament. Journal of molecular biology, 206(4), 627-636. </t>
  </si>
  <si>
    <t xml:space="preserve">Fan, X., Ma, R., Al-Farraj, S. A., &amp; Gu, F. (2014). Morphological and molecular characterization of Parafurgasonia zhangi spec. nov. and Chilodonella acuta Kahl, 1931 (Protozoa, Ciliophora), from a soil habitat of Saudi Arabia. International journal of systematic and evolutionary microbiology, 64(Pt_7), 2385-2394. </t>
  </si>
  <si>
    <t xml:space="preserve">Foissner, I., &amp; FOISSNER, W. (1993). Revision of the Family Spironemidae Doflein (Protista, Hemimastigophora), With Description of Two New Species, Spironema Terricola N. Sp. and Stereonema Geiseri N, G., N. Sp. Journal of Eukaryotic Microbiology, 40(4), 422-438. </t>
  </si>
  <si>
    <t xml:space="preserve">Fujinami, S., Terahara, N., Lee, S., &amp; Ito, M. (2007). Na+ and flagella-dependent swimming of alkaliphilic Bacillus pseudofirmus OF4: a basis for poor motility at low pH and enhancement in viscous media in an “up-motile” variant. Archives of microbiology, 187(3), 239-247. </t>
  </si>
  <si>
    <t xml:space="preserve">Gawryluk, R. M., Tikhonenkov, D. V., Hehenberger, E., Husnik, F., Mylnikov, A. P., &amp; Keeling, P. J. (2019). Non-photosynthetic predators are sister to red algae. Nature, 572(7768), 240-243. </t>
  </si>
  <si>
    <t xml:space="preserve">Goldstein, S. F., Buttle, K. F., &amp; Charon, N. W. (1996). Structural analysis of the Leptospiraceae and Borrelia burgdorferi by high-voltage electron microscopy. Journal of bacteriology, 178(22), 6539-6545. </t>
  </si>
  <si>
    <t xml:space="preserve">Guadayol, Ò., Thornton, K. L., &amp; Humphries, S. (2017). Cell morphology governs directional control in swimming bacteria. Scientific reports, 7(1), 1-13. </t>
  </si>
  <si>
    <t xml:space="preserve">Heddergott, N., Krüger, T., Babu, S. B., Wei, A., Stellamanns, E., Uppaluri, S., . . . Engstler, M. (2012). Trypanosome motion represents an adaptation to the crowded environment of the vertebrate bloodstream. PLoS pathogens, 8(11), e1003023. </t>
  </si>
  <si>
    <t xml:space="preserve">Heiss, A. A., Heiss, A. W., Lukacs, K., &amp; Kim, E. (2017). The flagellar apparatus of the glaucophyte Cyanophora cuspidata. Journal of phycology, 53(6), 1120-1150. </t>
  </si>
  <si>
    <t xml:space="preserve">Heiss, A. A., Walker, G., &amp; Simpson, A. G. (2013). The flagellar apparatus of Breviata anathema, a eukaryote without a clear supergroup affinity. European journal of protistology, 49(3), 354-372. </t>
  </si>
  <si>
    <t xml:space="preserve">Hess, S., Eme, L., Roger, A. J., &amp; Simpson, A. G. (2019). A natural toroidal microswimmer with a rotary eukaryotic flagellum. Nature microbiology, 4(10), 1620-1626. </t>
  </si>
  <si>
    <t xml:space="preserve">Hoeniger, J. F. M. (1965). Development of flagella by Proteus mirabilis. Microbiology, 40(1), 29-42. </t>
  </si>
  <si>
    <t xml:space="preserve">Hyams, J. S. (1982). The Euglena paraflagellar rod: structure, relationship to other flagellar components and preliminary biochemical characterization. Journal of Cell Science, 55(1), 199-210. </t>
  </si>
  <si>
    <t xml:space="preserve">Ito, M., &amp; Takahashi, Y. (2017). Nonconventional cation-coupled flagellar motors derived from the alkaliphilic Bacillus and Paenibacillus species. Extremophiles, 21(1), 3-14. https://doi.org/10.1007/s00792-016-0886-y </t>
  </si>
  <si>
    <t xml:space="preserve">Izard, J., Hsieh, C.-E., Limberger, R. J., Mannella, C. A., &amp; Marko, M. (2008). Native cellular architecture of Treponema denticola revealed by cryo-electron tomography. Journal of structural biology, 163(1), 10-17. </t>
  </si>
  <si>
    <t xml:space="preserve">James, E. R., Okamoto, N., Burki, F., Scheffrahn, R. H., &amp; Keeling, P. J. (2013). Cthulhu macrofasciculumque ng, n. sp. and Cthylla microfasciculumque ng, n. sp., a newly identified lineage of parabasalian termite symbionts. PLoS One, 8(3), e58509. </t>
  </si>
  <si>
    <t xml:space="preserve">Janouskovec, J., Tikhonenkov, D. V., Burki, F., Howe, A. T., Rohwer, F. L., Mylnikov, A. P., &amp; Keeling, P. J. (2017). A New Lineage of Eukaryotes Illuminates Early Mitochondrial Genome Reduction. Current Biology, 27(23), 3717-3724. https://doi.org/10.1016/j.cub.2017.10.051 </t>
  </si>
  <si>
    <t xml:space="preserve">Jones, B. V., Young, R., Mahenthiralingam, E., &amp; Stickler, D. J. (2004). Ultrastructure of Proteus mirabilis swarmer cell rafts and role of swarming in catheter-associated urinary tract infection. Infection and immunity, 72(7), 3941-3950. </t>
  </si>
  <si>
    <t xml:space="preserve">Krieg, N. R. (1976). Biology of the chemoheterotrophic spirilla. Bacteriological Reviews, 40(1), 55--115. </t>
  </si>
  <si>
    <t xml:space="preserve">Kudryashev, M., Cyrklaff, M., Baumeister, W., Simon, M. M., Wallich, R., &amp; Frischknecht, F. (2009). Comparative cryo‐electron tomography of pathogenic Lyme disease spirochetes. Molecular microbiology, 71(6), 1415-1434. </t>
  </si>
  <si>
    <t xml:space="preserve">Larsen, J., &amp; Patterson, D. J. (1990). Some flagellates (protista) from tropical marine sediments. Journal of Natural History, 24(4), 801-937. https://doi.org/10.1080/00222939000770571 </t>
  </si>
  <si>
    <t xml:space="preserve">Lax, G., Eglit, Y., Eme, L., Bertrand, E. M., Roger, A. J., &amp; Simpson, A. G. (2018). Hemimastigophora is a novel supra-kingdom-level lineage of eukaryotes. Nature, 564(7736), 410-414. </t>
  </si>
  <si>
    <t xml:space="preserve">Lenaghan, S. C., Nwandu-Vincent, S., Reese, B. E., &amp; Zhang, M. (2014). Unlocking the secrets of multi-flagellated propulsion: drawing insights from Tritrichomonas foetus. Journal of The Royal Society Interface, 11(93), 20131149. </t>
  </si>
  <si>
    <t xml:space="preserve">Lisicki, M., Rodrigues, M. F. V., Goldstein, R. E., &amp; Lauga, E. (2019). Swimming eukaryotic microorganisms exhibit a universal speed distribution. Elife, 8, e44907. </t>
  </si>
  <si>
    <t xml:space="preserve">Magariyama, Y., Sugiyama, S., &amp; Kudo, S. (2001). Bacterial swimming speed and rotation rate of bundled flagella. Fems Microbiology Letters, 199(1), 125-129. </t>
  </si>
  <si>
    <t xml:space="preserve">Magariyama, Y., Sugiyama, S., Muramoto, K., Kawagishi, I., Imae, Y., &amp; Kudo, S. (1995). Simultaneous measurement of bacterial flagellar rotation rate and swimming speed. Biophysical journal, 69(5), 2154-2162. </t>
  </si>
  <si>
    <t xml:space="preserve">Malmström, J., Beck, M., Schmidt, A., Lange, V., Deutsch, E. W., &amp; Aebersold, R. (2009). Proteome-wide cellular protein concentrations of the human pathogen Leptospira interrogans. Nature, 460(7256), 762-765. </t>
  </si>
  <si>
    <t xml:space="preserve">McCarter, L. L. (2004). Dual flagellar systems enable motility under different circumstances. J Mol Microbiol Biotechnol, 7(1-2), 18-29. https://doi.org/10.1159/000077866 </t>
  </si>
  <si>
    <t xml:space="preserve">Miao, M., Wang, Y., Song, W., Clamp, J. C., &amp; Al-Rasheid, K. A. (2010). Description of Eurystomatella sinica n. gen., n. sp., with establishment of a new family Eurystomatellidae n. fam.(Protista, Ciliophora, Scuticociliatia) and analyses of its phylogeny inferred from sequences of the small-subunit rRNA gene. International journal of systematic and evolutionary microbiology, 60(2), 460-468. </t>
  </si>
  <si>
    <t xml:space="preserve">Murphy, G. E., Matson, E. G., Leadbetter, J. R., Berg, H. C., &amp; Jensen, G. J. (2008). Novel ultrastructures of Treponema primitia and their implications for motility. Molecular microbiology, 67(6), 1184-1195. </t>
  </si>
  <si>
    <t xml:space="preserve">Okamoto, N., Horak, A., &amp; Keeling, P. J. (2012). Description of Two Species of Early Branching Dinoflagellates, Psammosa pacifica n. g., n. sp and P. atlantica n. sp. Plos One, 7(6), Article e34900. https://doi.org/10.1371/journal.pone.0034900 </t>
  </si>
  <si>
    <t xml:space="preserve">Pan, X., Zhu, M., Ma, H., Al-Rasheid, K. A., &amp; Hu, X. (2013). Morphology and small-subunit rRNA gene sequences of two novel marine ciliates, Metanophrys orientalis spec. nov. and Uronemella sinensis spec. nov.(Protista, Ciliophora, Scuticociliatia), with an improved diagnosis of the genus Uronemella. International journal of systematic and evolutionary microbiology, 63(Pt_9), 3515-3523. </t>
  </si>
  <si>
    <t xml:space="preserve">Park, J. S., Kolisko, M., Heiss, A. A., &amp; Simpson, A. G. (2009). Light microscopic observations, ultrastructure, and molecular phylogeny of Hicanonectes teleskopos ng, n. sp., a deep‐branching relative of diplomonads. Journal of Eukaryotic Microbiology, 56(4), 373-384. </t>
  </si>
  <si>
    <t xml:space="preserve">Park, J. S., Kolisko, M., &amp; Simpson, A. G. (2010). Cell morphology and formal description of Ergobibamus cyprinoides ng, n. sp., another Carpediemonas‐like relative of diplomonads. Journal of Eukaryotic Microbiology, 57(6), 520-528. </t>
  </si>
  <si>
    <t xml:space="preserve">Park, J. S., &amp; Simpson, A. G. (2015). Diversity of heterotrophic protists from extremely hypersaline habitats. Protist, 166(4), 422-437. </t>
  </si>
  <si>
    <t xml:space="preserve">Park, J. S., Simpson, A. G., Lee, W. J., &amp; Cho, B. C. (2007). Ultrastructure and phylogenetic placement within Heterolobosea of the previously unclassified, extremely halophilic heterotrophic flagellate Pleurostomum flabellatum (Ruinen 1938). Protist, 158(3), 397-413. </t>
  </si>
  <si>
    <t xml:space="preserve">Patterson, D. J., &amp; Simpson, A. G. B. (1996). Heterotrophic flagellates from coastal marine and hypersaline sediments in Western Australia. European Journal of Protistology, 32(4), 423-448. https://doi.org/10.1016/s0932-4739(96)80003-4 </t>
  </si>
  <si>
    <t xml:space="preserve">Portman, N., &amp; Gull, K. (2010). The paraflagellar rod of kinetoplastid parasites: From structure to components and function. International Journal for Parasitology, 40(2), 135-148. https://doi.org/10.1016/j.ijpara.2009.10.005 </t>
  </si>
  <si>
    <t xml:space="preserve">Radek, R., Strassert, J. F., Krüger, J., Meuser, K., Scheffrahn, R. H., &amp; Brune, A. (2014). Phylogeny and Ultrastructure of Oxymonas jouteli, a Rostellum-free Species, and Opisthomitus longiflagellatus sp. nov., Oxymonadid Flagellates from the Gut of Neotermes jouteli. Protist, 165(3), 384-399. </t>
  </si>
  <si>
    <t xml:space="preserve">Ramia, M., &amp; Swan, M. (1994). The swimming of unipolar cells of Spirillum volutans: theory and observations. The Journal of experimental biology, 187(1), 75-100. </t>
  </si>
  <si>
    <t xml:space="preserve">Saito, A., Suetomo, Y., Arikawa, M., Omura, G., Khan, S., Kakuta, S., . . . Suzaki, T. (2003). Gliding movement in Peranema trichophorum is powered by flagellar surface motility. Cell Motility and the Cytoskeleton, 55(4), 244-253. https://doi.org/10.1002/cm.10127 </t>
  </si>
  <si>
    <t xml:space="preserve">Seenivasan, R., Sausen, N., Medlin, L. K., &amp; Melkonian, M. (2013). Picomonas judraskeda gen. et sp. nov.: the first identified member of the Picozoa phylum nov., a widespread group of picoeukaryotes, formerly known as ‘picobiliphytes’. PloS one, 8(3), e59565. </t>
  </si>
  <si>
    <t xml:space="preserve">Simpson, A. G., &amp; Patterson, D. J. (1999). The ultrastructure of Carpediemonas membranifera (Eukaryota) with reference to the “excavate hypothesis”. European Journal of Protistology, 35(4), 353-370. </t>
  </si>
  <si>
    <t xml:space="preserve">Slivienski-Gebhardt, L. L., Izard, J., Samsonoff, W. A., &amp; Limberger, R. J. (2004). Development of a novel chloramphenicol resistance expression plasmid used for genetic complementation of a fliG deletion mutant in Treponema denticola. Infection and immunity, 72(9), 5493-5497. </t>
  </si>
  <si>
    <t xml:space="preserve">Taborsky, P., Panek, T., &amp; Cepicka, I. (2017). Anaeramoebidae fam. nov., a Novel Lineage of Anaerobic Amoebae and Amoeboflagellates of Uncertain Phylogenetic Position. Protist, 168(5), 495-526. https://doi.org/10.1016/j.protis.2017.07.005 </t>
  </si>
  <si>
    <t xml:space="preserve">Terahara, N., Krulwich, T. A., &amp; Ito, M. (2008). Mutations alter the sodium versus proton use of a Bacillus clausii flagellar motor and confer dual ion use on Bacillus subtilis motors. Proceedings of the national academy of sciences, 105(38), 14359-14364. </t>
  </si>
  <si>
    <t xml:space="preserve">Terahara, N., Sano, M., &amp; Ito, M. (2012). A Bacillus flagellar motor that can use both Na+ and K+ as a coupling ion is converted by a single mutation to use only Na+. Plos One 7(9): e46248. https://doi.org/10.1371/journal.pone.0046248 </t>
  </si>
  <si>
    <t xml:space="preserve">Thomashow, L. S., &amp; Rittenberg, S. C. (1985). Waveform analysis and structure of flagella and basal complexes from Bdellovibrio bacteriovorus 109J. Journal of bacteriology, 163(3), 1038-1046. </t>
  </si>
  <si>
    <t xml:space="preserve">Tikhonenkov, D. V., Janouskovec, J., Mylnikov, A. P., Mikhailov, K. V., Simdyanov, T. G., Aleoshin, V. V., &amp; Keeling, P. J. (2014). Description of Colponema vietnamica sp.n. and Acavomonas peruviana n. gen. n. sp., Two New Alveolate Phyla (Colponemidia nom. nov and Acavomonidia nom. nov.) and Their Contributions to Reconstructing the Ancestral State of Alveolates and Eukaryotes. Plos One, 9(4), Article e95467. https://doi.org/10.1371/journal.pone.0095467 </t>
  </si>
  <si>
    <t xml:space="preserve">Tong, S. M. (1995). Developayella elegans nov. gen., nov. spec., a new type of heterotrophic flagellate from marine plankton. European journal of protistology, 31(1), 24-31. </t>
  </si>
  <si>
    <t xml:space="preserve">Treitli, S. C., Kotyk, M., Yubuki, N., Jirounková, E., Vlasáková, J., Smejkalová, P., . . . Hampl, V. (2018). Molecular and Morphological Diversity of the Oxymonad Genera Monocercomonoides and Blattamonas gen. nov. Protist, 169(5), 744-783. </t>
  </si>
  <si>
    <t xml:space="preserve">Tsuda, M., &amp; Iino, T. (1983). Transductional analysis of the flagellar genes in Pseudomonas aeruginosa. Journal of bacteriology, 153(2), 1018-1026. </t>
  </si>
  <si>
    <t xml:space="preserve">Wan, K. Y., &amp; Goldstein, R. E. (2018). Time irreversibility and criticality in the motility of a flagellate microorganism. Physical review letters, 121(5), 058103. </t>
  </si>
  <si>
    <t xml:space="preserve">Weatherby, K., Murray, S., Carter, D., &amp; Šlapeta, J. (2011). Surface and flagella morphology of the motile form of Chromera velia revealed by field-emission scanning electron microscopy. Protist, 162(1), 142-153. </t>
  </si>
  <si>
    <t xml:space="preserve">Wolgemuth, C. W., Charon, N. W., Goldstein, S. F., &amp; Goldstein, R. E. (2006). The flagellar cytoskeleton of the spirochetes. Journal of molecular microbiology and biotechnology, 11(3-5), 221-227. </t>
  </si>
  <si>
    <t xml:space="preserve">Xu, Y., Yan, Y., Li, L., Al-Rasheid, K. A., Al-Farraj, S. A., &amp; Song, W. (2014). Morphology and phylogeny of three karyorelictean ciliates (Protista, Ciliophora), including two novel species, Trachelocerca chinensis sp. n. and Tracheloraphis dragescoi sp. n. International journal of systematic and evolutionary microbiology, 64(Pt_12), 4084-4097. </t>
  </si>
  <si>
    <t xml:space="preserve">Yan, Y., Xu, Y., Yi, Z., &amp; Warren, A. (2013). Redescriptions of three trachelocercid ciliates (Protista, Ciliophora, Karyorelictea), with notes on their phylogeny based on small subunit rRNA gene sequences. International journal of systematic and evolutionary microbiology, 63(Pt_9), 3506-3514. </t>
  </si>
  <si>
    <t xml:space="preserve">Yubuki, N., Inagaki, Y., Nakayama, T., &amp; Inouye, I. (2007). Ultrastructure and ribosomal RNA phylogeny of the free‐living heterotrophic flagellate Dysnectes brevis n. gen., n. sp., a new member of the Fornicata. Journal of Eukaryotic Microbiology, 54(2), 191-200. </t>
  </si>
  <si>
    <t xml:space="preserve">Yubuki, N., &amp; Leander, B. S. (2008). Ultrastructure and molecular phylogeny of Stephanopogon minuta: an enigmatic microeukaryote from marine interstitial environments. European journal of protistology, 44(4), 241-253. </t>
  </si>
  <si>
    <t xml:space="preserve">Yubuki, N., Simpson, A. G., &amp; Leander, B. S. (2013). Comprehensive ultrastructure of Kipferlia bialata provides evidence for character evolution within the Fornicata (Excavata). Protist, 164(3), 423-439. </t>
  </si>
  <si>
    <t>Yubuki, N., Zadrobílková, E., &amp; Čepička, I. (2017). Ultrastructure and molecular phylogeny of Iotanema spirale gen. nov. et sp. nov., a new lineage of endobiotic Fornicata with strikingly simplified ultrastructure. Journal of Eukaryotic Microbiology, 64(4), 422-433.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</si>
</sst>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Calibri"/>
      <family val="2"/>
      <scheme val="minor"/>
    </font>
    <font>
      <b/>
      <sz val="16"/>
      <color theme="1"/>
      <name val="Calibri"/>
      <family val="2"/>
    </font>
    <font>
      <i/>
      <sz val="11"/>
      <color theme="1"/>
      <name val="Calibri"/>
      <family val="2"/>
      <scheme val="minor"/>
    </font>
    <font>
      <sz val="11"/>
      <color theme="1"/>
      <name val="Calibri"/>
      <family val="2"/>
    </font>
    <font>
      <b/>
      <sz val="22"/>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3" fillId="0" borderId="0" xfId="0" applyFont="1"/>
    <xf numFmtId="0" fontId="5" fillId="0" borderId="0" xfId="0" applyFont="1"/>
    <xf numFmtId="49" fontId="0" fillId="0" borderId="0" xfId="0" applyNumberFormat="1"/>
    <xf numFmtId="0" fontId="6"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E4138-57A7-443F-A953-FB3BA99FDD7D}">
  <dimension ref="A1:N304"/>
  <sheetViews>
    <sheetView tabSelected="1" topLeftCell="A222" zoomScale="83" zoomScaleNormal="83" workbookViewId="0">
      <selection activeCell="C305" sqref="C305"/>
    </sheetView>
  </sheetViews>
  <sheetFormatPr defaultRowHeight="14.4" x14ac:dyDescent="0.3"/>
  <cols>
    <col min="1" max="1" width="43.77734375" customWidth="1"/>
    <col min="2" max="2" width="11" bestFit="1" customWidth="1"/>
    <col min="3" max="3" width="55.77734375" customWidth="1"/>
    <col min="4" max="4" width="46.6640625" customWidth="1"/>
    <col min="5" max="5" width="21.21875" bestFit="1" customWidth="1"/>
    <col min="6" max="6" width="20.44140625" bestFit="1" customWidth="1"/>
    <col min="7" max="7" width="26" bestFit="1" customWidth="1"/>
    <col min="8" max="8" width="24.109375" bestFit="1" customWidth="1"/>
    <col min="9" max="9" width="28.88671875" bestFit="1" customWidth="1"/>
    <col min="10" max="10" width="34.33203125" bestFit="1" customWidth="1"/>
    <col min="11" max="11" width="42.44140625" bestFit="1" customWidth="1"/>
    <col min="12" max="12" width="35.77734375" bestFit="1" customWidth="1"/>
    <col min="13" max="13" width="34.109375" bestFit="1" customWidth="1"/>
    <col min="14" max="14" width="15.33203125" bestFit="1" customWidth="1"/>
  </cols>
  <sheetData>
    <row r="1" spans="1:14" ht="28.8" x14ac:dyDescent="0.55000000000000004">
      <c r="A1" s="3" t="s">
        <v>13</v>
      </c>
    </row>
    <row r="3" spans="1:14" x14ac:dyDescent="0.3">
      <c r="A3" t="s">
        <v>49</v>
      </c>
      <c r="B3">
        <v>30241548</v>
      </c>
      <c r="D3" t="s">
        <v>50</v>
      </c>
      <c r="E3">
        <f>B3+119491200</f>
        <v>149732748</v>
      </c>
    </row>
    <row r="4" spans="1:14" ht="21" x14ac:dyDescent="0.4">
      <c r="A4" s="1" t="s">
        <v>0</v>
      </c>
      <c r="B4" s="1" t="s">
        <v>1</v>
      </c>
      <c r="C4" s="1" t="s">
        <v>2</v>
      </c>
      <c r="D4" s="1" t="s">
        <v>3</v>
      </c>
      <c r="E4" s="1" t="s">
        <v>48</v>
      </c>
      <c r="F4" s="1" t="s">
        <v>4</v>
      </c>
      <c r="G4" s="1" t="s">
        <v>5</v>
      </c>
      <c r="H4" s="1" t="s">
        <v>6</v>
      </c>
      <c r="I4" s="1" t="s">
        <v>7</v>
      </c>
      <c r="J4" s="1" t="s">
        <v>8</v>
      </c>
      <c r="K4" s="1" t="s">
        <v>51</v>
      </c>
      <c r="L4" s="1" t="s">
        <v>53</v>
      </c>
      <c r="M4" s="1" t="s">
        <v>52</v>
      </c>
      <c r="N4" s="1" t="s">
        <v>54</v>
      </c>
    </row>
    <row r="5" spans="1:14" x14ac:dyDescent="0.3">
      <c r="A5" s="2" t="s">
        <v>12</v>
      </c>
      <c r="B5" t="s">
        <v>13</v>
      </c>
      <c r="C5" t="s">
        <v>14</v>
      </c>
      <c r="D5" t="s">
        <v>34</v>
      </c>
      <c r="E5">
        <v>4</v>
      </c>
      <c r="F5">
        <v>0.6</v>
      </c>
      <c r="G5">
        <f>(E5-2*(F5/2))*3.1416*(F5/2)*(F5/2)+4*3.1416/3*(F5/2)*(F5/2)*(F5/2)</f>
        <v>1.0744271999999999</v>
      </c>
      <c r="H5">
        <v>3</v>
      </c>
      <c r="I5">
        <v>6.7</v>
      </c>
      <c r="J5">
        <f>H5*I5</f>
        <v>20.100000000000001</v>
      </c>
      <c r="K5">
        <f>J5*B$3</f>
        <v>607855114.80000007</v>
      </c>
      <c r="L5">
        <f>26.92*(G5^0.97)*(10^9)</f>
        <v>28861356547.755798</v>
      </c>
      <c r="M5">
        <f>K5/L5</f>
        <v>2.1061210819879692E-2</v>
      </c>
      <c r="N5" s="5" t="s">
        <v>260</v>
      </c>
    </row>
    <row r="6" spans="1:14" x14ac:dyDescent="0.3">
      <c r="A6" s="2" t="s">
        <v>15</v>
      </c>
      <c r="B6" t="s">
        <v>13</v>
      </c>
      <c r="C6" t="s">
        <v>14</v>
      </c>
      <c r="D6" t="s">
        <v>34</v>
      </c>
      <c r="E6">
        <v>3</v>
      </c>
      <c r="F6">
        <v>0.6</v>
      </c>
      <c r="G6">
        <f t="shared" ref="G6:G33" si="0">(E6-2*(F6/2))*3.1416*(F6/2)*(F6/2)+4*3.1416/3*(F6/2)*(F6/2)*(F6/2)</f>
        <v>0.79168320000000003</v>
      </c>
      <c r="H6">
        <v>12</v>
      </c>
      <c r="I6">
        <v>6</v>
      </c>
      <c r="J6">
        <f t="shared" ref="J6:J33" si="1">H6*I6</f>
        <v>72</v>
      </c>
      <c r="K6">
        <f t="shared" ref="K6:K31" si="2">J6*B$3</f>
        <v>2177391456</v>
      </c>
      <c r="L6">
        <f t="shared" ref="L6:L33" si="3">26.92*(G6^0.97)*(10^9)</f>
        <v>21461987704.385349</v>
      </c>
      <c r="M6">
        <f t="shared" ref="M6:M33" si="4">K6/L6</f>
        <v>0.10145339220165014</v>
      </c>
      <c r="N6" s="5" t="s">
        <v>261</v>
      </c>
    </row>
    <row r="7" spans="1:14" x14ac:dyDescent="0.3">
      <c r="A7" s="2" t="s">
        <v>16</v>
      </c>
      <c r="B7" t="s">
        <v>13</v>
      </c>
      <c r="C7" t="s">
        <v>14</v>
      </c>
      <c r="D7" t="s">
        <v>34</v>
      </c>
      <c r="E7">
        <v>3.5</v>
      </c>
      <c r="F7">
        <v>0.55000000000000004</v>
      </c>
      <c r="G7">
        <f t="shared" si="0"/>
        <v>0.78798527500000015</v>
      </c>
      <c r="H7">
        <v>21</v>
      </c>
      <c r="I7">
        <v>10.8</v>
      </c>
      <c r="J7">
        <f t="shared" si="1"/>
        <v>226.8</v>
      </c>
      <c r="K7">
        <f t="shared" si="2"/>
        <v>6858783086.4000006</v>
      </c>
      <c r="L7">
        <f t="shared" si="3"/>
        <v>21364740120.04668</v>
      </c>
      <c r="M7">
        <f t="shared" si="4"/>
        <v>0.321032834841944</v>
      </c>
      <c r="N7" s="5" t="s">
        <v>262</v>
      </c>
    </row>
    <row r="8" spans="1:14" x14ac:dyDescent="0.3">
      <c r="A8" s="2" t="s">
        <v>17</v>
      </c>
      <c r="B8" t="s">
        <v>13</v>
      </c>
      <c r="C8" t="s">
        <v>14</v>
      </c>
      <c r="D8" t="s">
        <v>34</v>
      </c>
      <c r="E8">
        <v>3</v>
      </c>
      <c r="F8">
        <v>1.5</v>
      </c>
      <c r="G8">
        <f t="shared" si="0"/>
        <v>4.4178749999999996</v>
      </c>
      <c r="H8">
        <v>36</v>
      </c>
      <c r="I8">
        <v>17.7</v>
      </c>
      <c r="J8">
        <f t="shared" si="1"/>
        <v>637.19999999999993</v>
      </c>
      <c r="K8">
        <f t="shared" si="2"/>
        <v>19269914385.599998</v>
      </c>
      <c r="L8">
        <f t="shared" si="3"/>
        <v>113744937539.24883</v>
      </c>
      <c r="M8">
        <f t="shared" si="4"/>
        <v>0.16941338052034818</v>
      </c>
      <c r="N8" s="5" t="s">
        <v>263</v>
      </c>
    </row>
    <row r="9" spans="1:14" x14ac:dyDescent="0.3">
      <c r="A9" s="2" t="s">
        <v>18</v>
      </c>
      <c r="B9" t="s">
        <v>13</v>
      </c>
      <c r="C9" t="s">
        <v>14</v>
      </c>
      <c r="D9" t="s">
        <v>34</v>
      </c>
      <c r="E9">
        <v>4.5</v>
      </c>
      <c r="F9">
        <v>0.7</v>
      </c>
      <c r="G9">
        <f t="shared" si="0"/>
        <v>1.6420095999999997</v>
      </c>
      <c r="H9">
        <v>1</v>
      </c>
      <c r="I9">
        <v>6.2</v>
      </c>
      <c r="J9">
        <f t="shared" si="1"/>
        <v>6.2</v>
      </c>
      <c r="K9">
        <f t="shared" si="2"/>
        <v>187497597.59999999</v>
      </c>
      <c r="L9">
        <f t="shared" si="3"/>
        <v>43550132100.133636</v>
      </c>
      <c r="M9">
        <f t="shared" si="4"/>
        <v>4.3053278729187749E-3</v>
      </c>
      <c r="N9" s="5" t="s">
        <v>264</v>
      </c>
    </row>
    <row r="10" spans="1:14" x14ac:dyDescent="0.3">
      <c r="A10" s="2" t="s">
        <v>19</v>
      </c>
      <c r="B10" t="s">
        <v>13</v>
      </c>
      <c r="C10" t="s">
        <v>20</v>
      </c>
      <c r="D10" t="s">
        <v>21</v>
      </c>
      <c r="E10">
        <v>1.4</v>
      </c>
      <c r="F10">
        <v>0.25</v>
      </c>
      <c r="G10">
        <f t="shared" si="0"/>
        <v>6.4631874999999991E-2</v>
      </c>
      <c r="H10">
        <v>1</v>
      </c>
      <c r="I10">
        <v>3.4</v>
      </c>
      <c r="J10">
        <f t="shared" si="1"/>
        <v>3.4</v>
      </c>
      <c r="K10">
        <f>J10*E3</f>
        <v>509091343.19999999</v>
      </c>
      <c r="L10">
        <f t="shared" si="3"/>
        <v>1888897570.7869959</v>
      </c>
      <c r="M10">
        <f t="shared" si="4"/>
        <v>0.26951770761603056</v>
      </c>
      <c r="N10" s="5" t="s">
        <v>265</v>
      </c>
    </row>
    <row r="11" spans="1:14" x14ac:dyDescent="0.3">
      <c r="A11" s="2" t="s">
        <v>22</v>
      </c>
      <c r="B11" t="s">
        <v>13</v>
      </c>
      <c r="C11" t="s">
        <v>23</v>
      </c>
      <c r="D11" t="s">
        <v>34</v>
      </c>
      <c r="E11">
        <v>15</v>
      </c>
      <c r="F11">
        <v>0.33</v>
      </c>
      <c r="G11">
        <f t="shared" si="0"/>
        <v>1.2735425934000002</v>
      </c>
      <c r="H11">
        <v>18</v>
      </c>
      <c r="I11">
        <v>13.5</v>
      </c>
      <c r="J11">
        <f t="shared" si="1"/>
        <v>243</v>
      </c>
      <c r="K11">
        <f t="shared" si="2"/>
        <v>7348696164</v>
      </c>
      <c r="L11">
        <f t="shared" si="3"/>
        <v>34035969496.244213</v>
      </c>
      <c r="M11">
        <f t="shared" si="4"/>
        <v>0.21590970590130865</v>
      </c>
      <c r="N11" s="5" t="s">
        <v>266</v>
      </c>
    </row>
    <row r="12" spans="1:14" x14ac:dyDescent="0.3">
      <c r="A12" s="2" t="s">
        <v>24</v>
      </c>
      <c r="B12" t="s">
        <v>13</v>
      </c>
      <c r="C12" t="s">
        <v>25</v>
      </c>
      <c r="D12" t="s">
        <v>34</v>
      </c>
      <c r="E12">
        <v>1.92</v>
      </c>
      <c r="F12">
        <v>0.84</v>
      </c>
      <c r="G12">
        <f t="shared" si="0"/>
        <v>0.90885231359999996</v>
      </c>
      <c r="H12">
        <v>1</v>
      </c>
      <c r="I12">
        <v>6.1</v>
      </c>
      <c r="J12">
        <f t="shared" si="1"/>
        <v>6.1</v>
      </c>
      <c r="K12">
        <f t="shared" si="2"/>
        <v>184473442.79999998</v>
      </c>
      <c r="L12">
        <f t="shared" si="3"/>
        <v>24536554243.870316</v>
      </c>
      <c r="M12">
        <f t="shared" si="4"/>
        <v>7.5183108828773236E-3</v>
      </c>
      <c r="N12" s="5" t="s">
        <v>267</v>
      </c>
    </row>
    <row r="13" spans="1:14" x14ac:dyDescent="0.3">
      <c r="A13" s="2" t="s">
        <v>26</v>
      </c>
      <c r="B13" t="s">
        <v>13</v>
      </c>
      <c r="C13" t="s">
        <v>14</v>
      </c>
      <c r="D13" t="s">
        <v>34</v>
      </c>
      <c r="E13">
        <v>6</v>
      </c>
      <c r="F13">
        <v>0.5</v>
      </c>
      <c r="G13">
        <f t="shared" si="0"/>
        <v>1.145375</v>
      </c>
      <c r="H13">
        <v>15</v>
      </c>
      <c r="I13">
        <v>9.4</v>
      </c>
      <c r="J13">
        <f t="shared" si="1"/>
        <v>141</v>
      </c>
      <c r="K13">
        <f t="shared" si="2"/>
        <v>4264058268</v>
      </c>
      <c r="L13">
        <f t="shared" si="3"/>
        <v>30708197431.119011</v>
      </c>
      <c r="M13">
        <f t="shared" si="4"/>
        <v>0.13885732881471244</v>
      </c>
      <c r="N13" s="5" t="s">
        <v>263</v>
      </c>
    </row>
    <row r="14" spans="1:14" x14ac:dyDescent="0.3">
      <c r="A14" s="2" t="s">
        <v>27</v>
      </c>
      <c r="B14" t="s">
        <v>13</v>
      </c>
      <c r="C14" t="s">
        <v>23</v>
      </c>
      <c r="D14" t="s">
        <v>34</v>
      </c>
      <c r="E14">
        <v>80</v>
      </c>
      <c r="F14">
        <v>2</v>
      </c>
      <c r="G14">
        <f t="shared" si="0"/>
        <v>249.2336</v>
      </c>
      <c r="H14">
        <v>100</v>
      </c>
      <c r="I14">
        <v>21</v>
      </c>
      <c r="J14">
        <f t="shared" si="1"/>
        <v>2100</v>
      </c>
      <c r="K14">
        <f t="shared" si="2"/>
        <v>63507250800</v>
      </c>
      <c r="L14">
        <f t="shared" si="3"/>
        <v>5685693553168.9961</v>
      </c>
      <c r="M14">
        <f t="shared" si="4"/>
        <v>1.1169657704222099E-2</v>
      </c>
      <c r="N14" s="5" t="s">
        <v>263</v>
      </c>
    </row>
    <row r="15" spans="1:14" x14ac:dyDescent="0.3">
      <c r="A15" s="2" t="s">
        <v>28</v>
      </c>
      <c r="B15" t="s">
        <v>13</v>
      </c>
      <c r="C15" t="s">
        <v>29</v>
      </c>
      <c r="D15" t="s">
        <v>34</v>
      </c>
      <c r="E15">
        <v>1.7</v>
      </c>
      <c r="F15">
        <v>0.7</v>
      </c>
      <c r="G15">
        <f t="shared" si="0"/>
        <v>0.56444079999999985</v>
      </c>
      <c r="H15">
        <v>2.8</v>
      </c>
      <c r="I15">
        <v>6.8</v>
      </c>
      <c r="J15">
        <f t="shared" si="1"/>
        <v>19.04</v>
      </c>
      <c r="K15">
        <f t="shared" si="2"/>
        <v>575799073.91999996</v>
      </c>
      <c r="L15">
        <f t="shared" si="3"/>
        <v>15457700995.799755</v>
      </c>
      <c r="M15">
        <f t="shared" si="4"/>
        <v>3.7249981357283274E-2</v>
      </c>
      <c r="N15" s="5" t="s">
        <v>268</v>
      </c>
    </row>
    <row r="16" spans="1:14" x14ac:dyDescent="0.3">
      <c r="A16" s="2" t="s">
        <v>28</v>
      </c>
      <c r="B16" t="s">
        <v>13</v>
      </c>
      <c r="C16" t="s">
        <v>29</v>
      </c>
      <c r="D16" t="s">
        <v>34</v>
      </c>
      <c r="E16">
        <v>3</v>
      </c>
      <c r="F16">
        <v>1.5</v>
      </c>
      <c r="G16">
        <f t="shared" si="0"/>
        <v>4.4178749999999996</v>
      </c>
      <c r="H16">
        <v>6</v>
      </c>
      <c r="I16">
        <v>9.3000000000000007</v>
      </c>
      <c r="J16">
        <f t="shared" si="1"/>
        <v>55.800000000000004</v>
      </c>
      <c r="K16">
        <f t="shared" si="2"/>
        <v>1687478378.4000001</v>
      </c>
      <c r="L16">
        <f t="shared" si="3"/>
        <v>113744937539.24883</v>
      </c>
      <c r="M16">
        <f t="shared" si="4"/>
        <v>1.4835635017318629E-2</v>
      </c>
      <c r="N16" s="5" t="s">
        <v>263</v>
      </c>
    </row>
    <row r="17" spans="1:14" x14ac:dyDescent="0.3">
      <c r="A17" s="2" t="s">
        <v>30</v>
      </c>
      <c r="B17" t="s">
        <v>13</v>
      </c>
      <c r="C17" t="s">
        <v>23</v>
      </c>
      <c r="D17" t="s">
        <v>34</v>
      </c>
      <c r="E17">
        <v>11.5</v>
      </c>
      <c r="F17">
        <v>0.14000000000000001</v>
      </c>
      <c r="G17">
        <f t="shared" si="0"/>
        <v>0.17631078080000001</v>
      </c>
      <c r="H17">
        <v>2</v>
      </c>
      <c r="I17">
        <v>4.2</v>
      </c>
      <c r="J17">
        <f t="shared" si="1"/>
        <v>8.4</v>
      </c>
      <c r="K17">
        <f t="shared" si="2"/>
        <v>254029003.20000002</v>
      </c>
      <c r="L17">
        <f t="shared" si="3"/>
        <v>4999948812.4648018</v>
      </c>
      <c r="M17">
        <f t="shared" si="4"/>
        <v>5.0806320770066547E-2</v>
      </c>
      <c r="N17" s="5" t="s">
        <v>269</v>
      </c>
    </row>
    <row r="18" spans="1:14" x14ac:dyDescent="0.3">
      <c r="A18" s="2" t="s">
        <v>31</v>
      </c>
      <c r="B18" t="s">
        <v>13</v>
      </c>
      <c r="C18" t="s">
        <v>29</v>
      </c>
      <c r="D18" t="s">
        <v>34</v>
      </c>
      <c r="E18">
        <v>1.2</v>
      </c>
      <c r="F18">
        <v>1.2</v>
      </c>
      <c r="G18">
        <f t="shared" si="0"/>
        <v>0.90478079999999983</v>
      </c>
      <c r="H18">
        <v>1</v>
      </c>
      <c r="I18">
        <v>6</v>
      </c>
      <c r="J18">
        <f t="shared" si="1"/>
        <v>6</v>
      </c>
      <c r="K18">
        <f t="shared" si="2"/>
        <v>181449288</v>
      </c>
      <c r="L18">
        <f t="shared" si="3"/>
        <v>24429924808.955654</v>
      </c>
      <c r="M18">
        <f t="shared" si="4"/>
        <v>7.4273371456912273E-3</v>
      </c>
      <c r="N18" s="5" t="s">
        <v>263</v>
      </c>
    </row>
    <row r="19" spans="1:14" x14ac:dyDescent="0.3">
      <c r="A19" s="2" t="s">
        <v>32</v>
      </c>
      <c r="B19" t="s">
        <v>13</v>
      </c>
      <c r="C19" t="s">
        <v>29</v>
      </c>
      <c r="D19" t="s">
        <v>34</v>
      </c>
      <c r="E19">
        <v>1.35</v>
      </c>
      <c r="F19">
        <v>0.65</v>
      </c>
      <c r="G19">
        <f t="shared" si="0"/>
        <v>0.37607570000000001</v>
      </c>
      <c r="H19">
        <v>2</v>
      </c>
      <c r="I19">
        <v>8.125</v>
      </c>
      <c r="J19">
        <f t="shared" si="1"/>
        <v>16.25</v>
      </c>
      <c r="K19">
        <f t="shared" si="2"/>
        <v>491425155</v>
      </c>
      <c r="L19">
        <f t="shared" si="3"/>
        <v>10425384228.843502</v>
      </c>
      <c r="M19">
        <f t="shared" si="4"/>
        <v>4.7137366279546157E-2</v>
      </c>
      <c r="N19" s="5" t="s">
        <v>270</v>
      </c>
    </row>
    <row r="20" spans="1:14" x14ac:dyDescent="0.3">
      <c r="A20" s="2" t="s">
        <v>32</v>
      </c>
      <c r="B20" t="s">
        <v>13</v>
      </c>
      <c r="C20" t="s">
        <v>29</v>
      </c>
      <c r="D20" t="s">
        <v>34</v>
      </c>
      <c r="E20">
        <v>48</v>
      </c>
      <c r="F20">
        <v>0.7</v>
      </c>
      <c r="G20">
        <f t="shared" si="0"/>
        <v>18.382810599999996</v>
      </c>
      <c r="H20">
        <v>2750</v>
      </c>
      <c r="I20">
        <v>5.25</v>
      </c>
      <c r="J20">
        <f t="shared" si="1"/>
        <v>14437.5</v>
      </c>
      <c r="K20">
        <f t="shared" si="2"/>
        <v>436612349250</v>
      </c>
      <c r="L20">
        <f t="shared" si="3"/>
        <v>453476317047.18018</v>
      </c>
      <c r="M20">
        <f t="shared" si="4"/>
        <v>0.96281180038906944</v>
      </c>
      <c r="N20" s="5" t="s">
        <v>271</v>
      </c>
    </row>
    <row r="21" spans="1:14" x14ac:dyDescent="0.3">
      <c r="A21" s="2" t="s">
        <v>33</v>
      </c>
      <c r="B21" t="s">
        <v>13</v>
      </c>
      <c r="C21" t="s">
        <v>29</v>
      </c>
      <c r="D21" t="s">
        <v>34</v>
      </c>
      <c r="E21">
        <v>1.5</v>
      </c>
      <c r="F21">
        <v>0.5</v>
      </c>
      <c r="G21">
        <f t="shared" si="0"/>
        <v>0.26179999999999998</v>
      </c>
      <c r="H21">
        <v>1</v>
      </c>
      <c r="I21">
        <v>4</v>
      </c>
      <c r="J21">
        <f t="shared" si="1"/>
        <v>4</v>
      </c>
      <c r="K21">
        <f t="shared" si="2"/>
        <v>120966192</v>
      </c>
      <c r="L21">
        <f t="shared" si="3"/>
        <v>7336781891.1328983</v>
      </c>
      <c r="M21">
        <f t="shared" si="4"/>
        <v>1.6487636377223853E-2</v>
      </c>
      <c r="N21" s="5" t="s">
        <v>272</v>
      </c>
    </row>
    <row r="22" spans="1:14" x14ac:dyDescent="0.3">
      <c r="A22" s="2" t="s">
        <v>35</v>
      </c>
      <c r="B22" t="s">
        <v>13</v>
      </c>
      <c r="C22" t="s">
        <v>29</v>
      </c>
      <c r="D22" t="s">
        <v>34</v>
      </c>
      <c r="E22">
        <v>1.4</v>
      </c>
      <c r="F22">
        <v>0.73</v>
      </c>
      <c r="G22">
        <f t="shared" si="0"/>
        <v>0.48411087339999992</v>
      </c>
      <c r="H22">
        <v>4.9000000000000004</v>
      </c>
      <c r="I22">
        <v>5.7</v>
      </c>
      <c r="J22">
        <f t="shared" si="1"/>
        <v>27.930000000000003</v>
      </c>
      <c r="K22">
        <f t="shared" si="2"/>
        <v>844646435.6400001</v>
      </c>
      <c r="L22">
        <f t="shared" si="3"/>
        <v>13318997815.250944</v>
      </c>
      <c r="M22">
        <f t="shared" si="4"/>
        <v>6.3416665980141243E-2</v>
      </c>
      <c r="N22" s="5" t="s">
        <v>273</v>
      </c>
    </row>
    <row r="23" spans="1:14" x14ac:dyDescent="0.3">
      <c r="A23" s="2" t="s">
        <v>36</v>
      </c>
      <c r="B23" t="s">
        <v>13</v>
      </c>
      <c r="C23" t="s">
        <v>29</v>
      </c>
      <c r="D23" t="s">
        <v>34</v>
      </c>
      <c r="E23">
        <v>2.5</v>
      </c>
      <c r="F23">
        <v>0.65</v>
      </c>
      <c r="G23">
        <f t="shared" si="0"/>
        <v>0.75768192499999998</v>
      </c>
      <c r="H23">
        <v>6</v>
      </c>
      <c r="I23">
        <v>11.4</v>
      </c>
      <c r="J23">
        <f t="shared" si="1"/>
        <v>68.400000000000006</v>
      </c>
      <c r="K23">
        <f t="shared" si="2"/>
        <v>2068521883.2000003</v>
      </c>
      <c r="L23">
        <f t="shared" si="3"/>
        <v>20567304351.784267</v>
      </c>
      <c r="M23">
        <f t="shared" si="4"/>
        <v>0.10057331032885457</v>
      </c>
      <c r="N23" s="5" t="s">
        <v>263</v>
      </c>
    </row>
    <row r="24" spans="1:14" x14ac:dyDescent="0.3">
      <c r="A24" s="2" t="s">
        <v>37</v>
      </c>
      <c r="B24" t="s">
        <v>13</v>
      </c>
      <c r="C24" t="s">
        <v>14</v>
      </c>
      <c r="D24" t="s">
        <v>34</v>
      </c>
      <c r="E24">
        <v>2</v>
      </c>
      <c r="F24">
        <v>2</v>
      </c>
      <c r="G24">
        <f t="shared" si="0"/>
        <v>4.1887999999999996</v>
      </c>
      <c r="H24">
        <v>1</v>
      </c>
      <c r="I24">
        <v>16</v>
      </c>
      <c r="J24">
        <f t="shared" si="1"/>
        <v>16</v>
      </c>
      <c r="K24">
        <f t="shared" si="2"/>
        <v>483864768</v>
      </c>
      <c r="L24">
        <f t="shared" si="3"/>
        <v>108019457464.77934</v>
      </c>
      <c r="M24">
        <f t="shared" si="4"/>
        <v>4.4794223129455005E-3</v>
      </c>
      <c r="N24" s="5" t="s">
        <v>263</v>
      </c>
    </row>
    <row r="25" spans="1:14" x14ac:dyDescent="0.3">
      <c r="A25" s="2" t="s">
        <v>38</v>
      </c>
      <c r="B25" t="s">
        <v>13</v>
      </c>
      <c r="C25" t="s">
        <v>14</v>
      </c>
      <c r="D25" t="s">
        <v>34</v>
      </c>
      <c r="E25">
        <v>11</v>
      </c>
      <c r="F25">
        <v>3</v>
      </c>
      <c r="G25">
        <f t="shared" si="0"/>
        <v>70.685999999999993</v>
      </c>
      <c r="H25">
        <v>35</v>
      </c>
      <c r="I25">
        <v>10</v>
      </c>
      <c r="J25">
        <f t="shared" si="1"/>
        <v>350</v>
      </c>
      <c r="K25">
        <f t="shared" si="2"/>
        <v>10584541800</v>
      </c>
      <c r="L25">
        <f t="shared" si="3"/>
        <v>1674666989515.4319</v>
      </c>
      <c r="M25">
        <f t="shared" si="4"/>
        <v>6.3203860028689393E-3</v>
      </c>
      <c r="N25" s="5" t="s">
        <v>274</v>
      </c>
    </row>
    <row r="26" spans="1:14" x14ac:dyDescent="0.3">
      <c r="A26" s="2" t="s">
        <v>39</v>
      </c>
      <c r="B26" t="s">
        <v>13</v>
      </c>
      <c r="C26" t="s">
        <v>29</v>
      </c>
      <c r="D26" t="s">
        <v>34</v>
      </c>
      <c r="E26">
        <v>1</v>
      </c>
      <c r="F26">
        <v>0.5</v>
      </c>
      <c r="G26">
        <f t="shared" si="0"/>
        <v>0.16362499999999999</v>
      </c>
      <c r="H26">
        <v>4</v>
      </c>
      <c r="I26">
        <v>3.6</v>
      </c>
      <c r="J26">
        <f t="shared" si="1"/>
        <v>14.4</v>
      </c>
      <c r="K26">
        <f t="shared" si="2"/>
        <v>435478291.19999999</v>
      </c>
      <c r="L26">
        <f t="shared" si="3"/>
        <v>4650602549.1509705</v>
      </c>
      <c r="M26">
        <f t="shared" si="4"/>
        <v>9.363911161995607E-2</v>
      </c>
      <c r="N26" s="5" t="s">
        <v>263</v>
      </c>
    </row>
    <row r="27" spans="1:14" x14ac:dyDescent="0.3">
      <c r="A27" s="2" t="s">
        <v>40</v>
      </c>
      <c r="B27" t="s">
        <v>13</v>
      </c>
      <c r="C27" t="s">
        <v>41</v>
      </c>
      <c r="D27" t="s">
        <v>34</v>
      </c>
      <c r="E27">
        <v>3</v>
      </c>
      <c r="F27">
        <v>1</v>
      </c>
      <c r="G27">
        <f t="shared" si="0"/>
        <v>2.0943999999999998</v>
      </c>
      <c r="H27">
        <v>14</v>
      </c>
      <c r="I27">
        <v>4.8</v>
      </c>
      <c r="J27">
        <f t="shared" si="1"/>
        <v>67.2</v>
      </c>
      <c r="K27">
        <f t="shared" si="2"/>
        <v>2032232025.6000001</v>
      </c>
      <c r="L27">
        <f t="shared" si="3"/>
        <v>55144587941.926048</v>
      </c>
      <c r="M27">
        <f t="shared" si="4"/>
        <v>3.6852791932005864E-2</v>
      </c>
      <c r="N27" s="5" t="s">
        <v>263</v>
      </c>
    </row>
    <row r="28" spans="1:14" x14ac:dyDescent="0.3">
      <c r="A28" s="2" t="s">
        <v>42</v>
      </c>
      <c r="B28" t="s">
        <v>13</v>
      </c>
      <c r="C28" t="s">
        <v>41</v>
      </c>
      <c r="D28" t="s">
        <v>34</v>
      </c>
      <c r="E28">
        <v>19.25</v>
      </c>
      <c r="F28">
        <v>1.47</v>
      </c>
      <c r="G28">
        <f t="shared" si="0"/>
        <v>31.838925333600002</v>
      </c>
      <c r="H28">
        <v>150</v>
      </c>
      <c r="I28">
        <v>10.130000000000001</v>
      </c>
      <c r="J28">
        <f t="shared" si="1"/>
        <v>1519.5000000000002</v>
      </c>
      <c r="K28">
        <f t="shared" si="2"/>
        <v>45952032186.000008</v>
      </c>
      <c r="L28">
        <f t="shared" si="3"/>
        <v>772582210793.01013</v>
      </c>
      <c r="M28">
        <f t="shared" si="4"/>
        <v>5.9478501503203073E-2</v>
      </c>
      <c r="N28" s="5" t="s">
        <v>275</v>
      </c>
    </row>
    <row r="29" spans="1:14" x14ac:dyDescent="0.3">
      <c r="A29" s="2" t="s">
        <v>43</v>
      </c>
      <c r="B29" t="s">
        <v>13</v>
      </c>
      <c r="C29" t="s">
        <v>23</v>
      </c>
      <c r="D29" t="s">
        <v>34</v>
      </c>
      <c r="E29">
        <v>13</v>
      </c>
      <c r="F29">
        <v>0.45</v>
      </c>
      <c r="G29">
        <f t="shared" si="0"/>
        <v>2.0437089750000004</v>
      </c>
      <c r="H29">
        <v>3</v>
      </c>
      <c r="I29">
        <v>15.6</v>
      </c>
      <c r="J29">
        <f t="shared" si="1"/>
        <v>46.8</v>
      </c>
      <c r="K29">
        <f t="shared" si="2"/>
        <v>1415304446.3999999</v>
      </c>
      <c r="L29">
        <f t="shared" si="3"/>
        <v>53849482761.363609</v>
      </c>
      <c r="M29">
        <f t="shared" si="4"/>
        <v>2.6282600571522381E-2</v>
      </c>
      <c r="N29" s="5" t="s">
        <v>263</v>
      </c>
    </row>
    <row r="30" spans="1:14" x14ac:dyDescent="0.3">
      <c r="A30" s="2" t="s">
        <v>44</v>
      </c>
      <c r="B30" t="s">
        <v>13</v>
      </c>
      <c r="C30" t="s">
        <v>23</v>
      </c>
      <c r="D30" t="s">
        <v>34</v>
      </c>
      <c r="E30">
        <v>11</v>
      </c>
      <c r="F30">
        <v>0.23</v>
      </c>
      <c r="G30">
        <f t="shared" si="0"/>
        <v>0.45383893940000003</v>
      </c>
      <c r="H30">
        <v>4</v>
      </c>
      <c r="I30">
        <v>6</v>
      </c>
      <c r="J30">
        <f t="shared" si="1"/>
        <v>24</v>
      </c>
      <c r="K30">
        <f t="shared" si="2"/>
        <v>725797152</v>
      </c>
      <c r="L30">
        <f t="shared" si="3"/>
        <v>12510358597.679384</v>
      </c>
      <c r="M30">
        <f t="shared" si="4"/>
        <v>5.8015695260296707E-2</v>
      </c>
      <c r="N30" s="5" t="s">
        <v>276</v>
      </c>
    </row>
    <row r="31" spans="1:14" x14ac:dyDescent="0.3">
      <c r="A31" s="2" t="s">
        <v>45</v>
      </c>
      <c r="B31" t="s">
        <v>13</v>
      </c>
      <c r="C31" t="s">
        <v>23</v>
      </c>
      <c r="D31" t="s">
        <v>34</v>
      </c>
      <c r="E31">
        <v>5.5</v>
      </c>
      <c r="F31">
        <v>0.375</v>
      </c>
      <c r="G31">
        <f t="shared" si="0"/>
        <v>0.59365195312499996</v>
      </c>
      <c r="H31">
        <v>2</v>
      </c>
      <c r="I31">
        <v>5</v>
      </c>
      <c r="J31">
        <f t="shared" si="1"/>
        <v>10</v>
      </c>
      <c r="K31">
        <f t="shared" si="2"/>
        <v>302415480</v>
      </c>
      <c r="L31">
        <f t="shared" si="3"/>
        <v>16233082636.980217</v>
      </c>
      <c r="M31">
        <f t="shared" si="4"/>
        <v>1.8629578051372334E-2</v>
      </c>
      <c r="N31" s="5" t="s">
        <v>277</v>
      </c>
    </row>
    <row r="32" spans="1:14" x14ac:dyDescent="0.3">
      <c r="A32" s="2" t="s">
        <v>46</v>
      </c>
      <c r="B32" t="s">
        <v>13</v>
      </c>
      <c r="C32" t="s">
        <v>29</v>
      </c>
      <c r="D32" t="s">
        <v>21</v>
      </c>
      <c r="E32">
        <v>3.26</v>
      </c>
      <c r="F32">
        <v>0.75</v>
      </c>
      <c r="G32">
        <f t="shared" si="0"/>
        <v>1.3297803749999997</v>
      </c>
      <c r="H32">
        <v>1</v>
      </c>
      <c r="I32">
        <v>4.8099999999999996</v>
      </c>
      <c r="J32">
        <f t="shared" si="1"/>
        <v>4.8099999999999996</v>
      </c>
      <c r="K32">
        <f>J32*E3</f>
        <v>720214517.88</v>
      </c>
      <c r="L32">
        <f t="shared" si="3"/>
        <v>35492907503.421638</v>
      </c>
      <c r="M32">
        <f t="shared" si="4"/>
        <v>2.0291786966468408E-2</v>
      </c>
      <c r="N32" s="5" t="s">
        <v>278</v>
      </c>
    </row>
    <row r="33" spans="1:14" x14ac:dyDescent="0.3">
      <c r="A33" s="2" t="s">
        <v>47</v>
      </c>
      <c r="B33" t="s">
        <v>13</v>
      </c>
      <c r="C33" t="s">
        <v>29</v>
      </c>
      <c r="D33" t="s">
        <v>21</v>
      </c>
      <c r="E33">
        <v>3</v>
      </c>
      <c r="F33">
        <v>0.45</v>
      </c>
      <c r="G33">
        <f t="shared" si="0"/>
        <v>0.45327397499999994</v>
      </c>
      <c r="H33">
        <v>1</v>
      </c>
      <c r="I33">
        <v>2.6</v>
      </c>
      <c r="J33">
        <f t="shared" si="1"/>
        <v>2.6</v>
      </c>
      <c r="K33">
        <f>J33*E3</f>
        <v>389305144.80000001</v>
      </c>
      <c r="L33">
        <f t="shared" si="3"/>
        <v>12495251921.059265</v>
      </c>
      <c r="M33">
        <f t="shared" si="4"/>
        <v>3.1156246169304708E-2</v>
      </c>
      <c r="N33" s="5" t="s">
        <v>279</v>
      </c>
    </row>
    <row r="38" spans="1:14" ht="28.8" x14ac:dyDescent="0.55000000000000004">
      <c r="A38" s="3" t="s">
        <v>256</v>
      </c>
    </row>
    <row r="39" spans="1:14" x14ac:dyDescent="0.3">
      <c r="A39" t="s">
        <v>259</v>
      </c>
    </row>
    <row r="40" spans="1:14" x14ac:dyDescent="0.3">
      <c r="A40" t="s">
        <v>49</v>
      </c>
      <c r="B40">
        <v>2792113440.5992298</v>
      </c>
      <c r="C40" t="s">
        <v>257</v>
      </c>
      <c r="D40">
        <f>2*B40</f>
        <v>5584226881.1984596</v>
      </c>
    </row>
    <row r="41" spans="1:14" ht="21" x14ac:dyDescent="0.4">
      <c r="A41" s="1" t="s">
        <v>0</v>
      </c>
      <c r="B41" s="1" t="s">
        <v>1</v>
      </c>
      <c r="C41" s="1" t="s">
        <v>2</v>
      </c>
      <c r="D41" s="1" t="s">
        <v>48</v>
      </c>
      <c r="E41" s="1" t="s">
        <v>4</v>
      </c>
      <c r="F41" s="1" t="s">
        <v>55</v>
      </c>
      <c r="G41" s="1" t="s">
        <v>5</v>
      </c>
      <c r="H41" s="1" t="s">
        <v>8</v>
      </c>
      <c r="I41" s="1" t="s">
        <v>9</v>
      </c>
      <c r="J41" s="1" t="s">
        <v>10</v>
      </c>
      <c r="K41" s="1" t="s">
        <v>11</v>
      </c>
      <c r="L41" s="1" t="s">
        <v>54</v>
      </c>
    </row>
    <row r="42" spans="1:14" x14ac:dyDescent="0.3">
      <c r="A42" s="2" t="s">
        <v>94</v>
      </c>
      <c r="B42" t="s">
        <v>57</v>
      </c>
      <c r="C42" t="s">
        <v>95</v>
      </c>
      <c r="D42">
        <v>11.5</v>
      </c>
      <c r="E42">
        <v>8</v>
      </c>
      <c r="F42">
        <v>8</v>
      </c>
      <c r="G42">
        <f t="shared" ref="G42:G73" si="5">4/3*3.1416*(D42/2)*(E42/2)*(F42/2)</f>
        <v>385.36959999999999</v>
      </c>
      <c r="H42">
        <f>11.5+23</f>
        <v>34.5</v>
      </c>
      <c r="I42">
        <f>H42*B$40</f>
        <v>96327913700.673431</v>
      </c>
      <c r="J42">
        <f t="shared" ref="J42:J73" si="6">26.92*G42^0.97*10^9</f>
        <v>8677131601170.0742</v>
      </c>
      <c r="K42">
        <f t="shared" ref="K42:K73" si="7">I42/J42</f>
        <v>1.1101354471526515E-2</v>
      </c>
      <c r="L42" s="5" t="s">
        <v>280</v>
      </c>
    </row>
    <row r="43" spans="1:14" x14ac:dyDescent="0.3">
      <c r="A43" s="2" t="s">
        <v>245</v>
      </c>
      <c r="B43" t="s">
        <v>57</v>
      </c>
      <c r="C43" t="s">
        <v>246</v>
      </c>
      <c r="D43">
        <v>32.5</v>
      </c>
      <c r="E43">
        <v>32.5</v>
      </c>
      <c r="F43">
        <v>32.5</v>
      </c>
      <c r="G43">
        <f t="shared" si="5"/>
        <v>17974.206249999999</v>
      </c>
      <c r="H43">
        <f>3*40</f>
        <v>120</v>
      </c>
      <c r="I43">
        <f>H43*B$40</f>
        <v>335053612871.90759</v>
      </c>
      <c r="J43">
        <f t="shared" si="6"/>
        <v>360649458741780.75</v>
      </c>
      <c r="K43">
        <f t="shared" si="7"/>
        <v>9.2902846448412568E-4</v>
      </c>
      <c r="L43" s="5" t="s">
        <v>281</v>
      </c>
    </row>
    <row r="44" spans="1:14" x14ac:dyDescent="0.3">
      <c r="A44" s="2" t="s">
        <v>247</v>
      </c>
      <c r="B44" t="s">
        <v>57</v>
      </c>
      <c r="C44" t="s">
        <v>246</v>
      </c>
      <c r="D44">
        <v>15</v>
      </c>
      <c r="E44">
        <v>15</v>
      </c>
      <c r="F44">
        <v>15</v>
      </c>
      <c r="G44">
        <f t="shared" si="5"/>
        <v>1767.1499999999999</v>
      </c>
      <c r="H44">
        <f>2*16</f>
        <v>32</v>
      </c>
      <c r="I44">
        <f>H44*B$40</f>
        <v>89347630099.175354</v>
      </c>
      <c r="J44">
        <f t="shared" si="6"/>
        <v>38012835667074.883</v>
      </c>
      <c r="K44">
        <f t="shared" si="7"/>
        <v>2.3504594837833819E-3</v>
      </c>
      <c r="L44" s="5" t="s">
        <v>281</v>
      </c>
    </row>
    <row r="45" spans="1:14" x14ac:dyDescent="0.3">
      <c r="A45" s="2" t="s">
        <v>248</v>
      </c>
      <c r="B45" s="4" t="s">
        <v>57</v>
      </c>
      <c r="C45" s="4" t="s">
        <v>246</v>
      </c>
      <c r="D45">
        <v>10.5</v>
      </c>
      <c r="E45">
        <v>4</v>
      </c>
      <c r="F45">
        <v>4</v>
      </c>
      <c r="G45">
        <f t="shared" si="5"/>
        <v>87.964799999999997</v>
      </c>
      <c r="H45">
        <f>9+13</f>
        <v>22</v>
      </c>
      <c r="I45">
        <f>H45*B$40</f>
        <v>61426495693.18306</v>
      </c>
      <c r="J45">
        <f t="shared" si="6"/>
        <v>2070402138502.9927</v>
      </c>
      <c r="K45">
        <f t="shared" si="7"/>
        <v>2.9668871834530455E-2</v>
      </c>
      <c r="L45" s="5" t="s">
        <v>282</v>
      </c>
    </row>
    <row r="46" spans="1:14" x14ac:dyDescent="0.3">
      <c r="A46" s="2" t="s">
        <v>61</v>
      </c>
      <c r="B46" t="s">
        <v>57</v>
      </c>
      <c r="C46" t="s">
        <v>62</v>
      </c>
      <c r="D46">
        <v>6</v>
      </c>
      <c r="E46">
        <v>4.4000000000000004</v>
      </c>
      <c r="F46">
        <v>4.4000000000000004</v>
      </c>
      <c r="G46">
        <f t="shared" si="5"/>
        <v>60.821376000000001</v>
      </c>
      <c r="H46">
        <f>4.55+10.75</f>
        <v>15.3</v>
      </c>
      <c r="I46">
        <f>H46*B$40</f>
        <v>42719335641.168221</v>
      </c>
      <c r="J46">
        <f t="shared" si="6"/>
        <v>1447470127202.1387</v>
      </c>
      <c r="K46">
        <f t="shared" si="7"/>
        <v>2.9513103475055331E-2</v>
      </c>
      <c r="L46" s="5" t="s">
        <v>283</v>
      </c>
    </row>
    <row r="47" spans="1:14" x14ac:dyDescent="0.3">
      <c r="A47" s="2" t="s">
        <v>122</v>
      </c>
      <c r="B47" t="s">
        <v>57</v>
      </c>
      <c r="C47" t="s">
        <v>112</v>
      </c>
      <c r="D47">
        <v>26</v>
      </c>
      <c r="E47">
        <v>16.5</v>
      </c>
      <c r="F47">
        <v>16.5</v>
      </c>
      <c r="G47">
        <f t="shared" si="5"/>
        <v>3706.3025999999995</v>
      </c>
      <c r="H47">
        <f>39+67</f>
        <v>106</v>
      </c>
      <c r="I47">
        <f>H47*D$40</f>
        <v>591928049407.03674</v>
      </c>
      <c r="J47">
        <f t="shared" si="6"/>
        <v>77973621144556.828</v>
      </c>
      <c r="K47">
        <f t="shared" si="7"/>
        <v>7.5913884813640971E-3</v>
      </c>
      <c r="L47" s="5" t="s">
        <v>284</v>
      </c>
    </row>
    <row r="48" spans="1:14" x14ac:dyDescent="0.3">
      <c r="A48" s="2" t="s">
        <v>123</v>
      </c>
      <c r="B48" t="s">
        <v>57</v>
      </c>
      <c r="C48" t="s">
        <v>112</v>
      </c>
      <c r="D48">
        <v>27</v>
      </c>
      <c r="E48">
        <v>13.5</v>
      </c>
      <c r="F48">
        <v>13.5</v>
      </c>
      <c r="G48">
        <f t="shared" si="5"/>
        <v>2576.5047</v>
      </c>
      <c r="H48">
        <f>40.5+81</f>
        <v>121.5</v>
      </c>
      <c r="I48">
        <f>H48*D$40</f>
        <v>678483566065.61279</v>
      </c>
      <c r="J48">
        <f t="shared" si="6"/>
        <v>54799307005155.828</v>
      </c>
      <c r="K48">
        <f t="shared" si="7"/>
        <v>1.2381243543860459E-2</v>
      </c>
      <c r="L48" s="5" t="s">
        <v>284</v>
      </c>
    </row>
    <row r="49" spans="1:12" x14ac:dyDescent="0.3">
      <c r="A49" s="2" t="s">
        <v>124</v>
      </c>
      <c r="B49" t="s">
        <v>57</v>
      </c>
      <c r="C49" t="s">
        <v>112</v>
      </c>
      <c r="D49">
        <v>27.5</v>
      </c>
      <c r="E49">
        <v>14</v>
      </c>
      <c r="F49">
        <v>14</v>
      </c>
      <c r="G49">
        <f t="shared" si="5"/>
        <v>2822.2039999999997</v>
      </c>
      <c r="H49">
        <f>41.5+84</f>
        <v>125.5</v>
      </c>
      <c r="I49">
        <f>H49*D$40</f>
        <v>700820473590.40674</v>
      </c>
      <c r="J49">
        <f t="shared" si="6"/>
        <v>59861253467024.836</v>
      </c>
      <c r="K49">
        <f t="shared" si="7"/>
        <v>1.1707413944755779E-2</v>
      </c>
      <c r="L49" s="5" t="s">
        <v>284</v>
      </c>
    </row>
    <row r="50" spans="1:12" x14ac:dyDescent="0.3">
      <c r="A50" s="2" t="s">
        <v>125</v>
      </c>
      <c r="B50" t="s">
        <v>57</v>
      </c>
      <c r="C50" t="s">
        <v>112</v>
      </c>
      <c r="D50">
        <v>14.5</v>
      </c>
      <c r="E50">
        <v>7</v>
      </c>
      <c r="F50">
        <v>7</v>
      </c>
      <c r="G50">
        <f t="shared" si="5"/>
        <v>372.01779999999997</v>
      </c>
      <c r="H50">
        <f>22+49</f>
        <v>71</v>
      </c>
      <c r="I50">
        <f>H50*D$40</f>
        <v>396480108565.09064</v>
      </c>
      <c r="J50">
        <f t="shared" si="6"/>
        <v>8385362927694.5488</v>
      </c>
      <c r="K50">
        <f t="shared" si="7"/>
        <v>4.7282402918498112E-2</v>
      </c>
      <c r="L50" s="5" t="s">
        <v>284</v>
      </c>
    </row>
    <row r="51" spans="1:12" x14ac:dyDescent="0.3">
      <c r="A51" s="2" t="s">
        <v>73</v>
      </c>
      <c r="B51" t="s">
        <v>57</v>
      </c>
      <c r="C51" t="s">
        <v>74</v>
      </c>
      <c r="D51">
        <v>110</v>
      </c>
      <c r="E51">
        <v>47.5</v>
      </c>
      <c r="F51">
        <v>47.5</v>
      </c>
      <c r="G51">
        <f t="shared" si="5"/>
        <v>129950.97499999999</v>
      </c>
      <c r="H51">
        <f>546*6+1*30</f>
        <v>3306</v>
      </c>
      <c r="I51">
        <f t="shared" ref="I51:I57" si="8">H51*B$40</f>
        <v>9230727034621.0547</v>
      </c>
      <c r="J51">
        <f t="shared" si="6"/>
        <v>2457203988392712.5</v>
      </c>
      <c r="K51">
        <f t="shared" si="7"/>
        <v>3.7565977746353029E-3</v>
      </c>
      <c r="L51" s="5" t="s">
        <v>285</v>
      </c>
    </row>
    <row r="52" spans="1:12" x14ac:dyDescent="0.3">
      <c r="A52" s="2" t="s">
        <v>65</v>
      </c>
      <c r="B52" t="s">
        <v>57</v>
      </c>
      <c r="C52" t="s">
        <v>64</v>
      </c>
      <c r="D52">
        <v>55</v>
      </c>
      <c r="E52">
        <v>55</v>
      </c>
      <c r="F52">
        <v>55</v>
      </c>
      <c r="G52">
        <f t="shared" si="5"/>
        <v>87113.95</v>
      </c>
      <c r="H52">
        <f>4*55</f>
        <v>220</v>
      </c>
      <c r="I52">
        <f t="shared" si="8"/>
        <v>614264956931.83057</v>
      </c>
      <c r="J52">
        <f t="shared" si="6"/>
        <v>1667094162274296.5</v>
      </c>
      <c r="K52">
        <f t="shared" si="7"/>
        <v>3.6846446399514297E-4</v>
      </c>
      <c r="L52" s="5" t="s">
        <v>286</v>
      </c>
    </row>
    <row r="53" spans="1:12" x14ac:dyDescent="0.3">
      <c r="A53" s="2" t="s">
        <v>206</v>
      </c>
      <c r="B53" t="s">
        <v>57</v>
      </c>
      <c r="C53" t="s">
        <v>202</v>
      </c>
      <c r="D53">
        <v>3.75</v>
      </c>
      <c r="E53">
        <v>3.75</v>
      </c>
      <c r="F53">
        <v>3.75</v>
      </c>
      <c r="G53">
        <f t="shared" si="5"/>
        <v>27.611718749999998</v>
      </c>
      <c r="H53">
        <v>8.5</v>
      </c>
      <c r="I53">
        <f t="shared" si="8"/>
        <v>23732964245.093452</v>
      </c>
      <c r="J53">
        <f t="shared" si="6"/>
        <v>672877015025.41406</v>
      </c>
      <c r="K53">
        <f t="shared" si="7"/>
        <v>3.5270879692921413E-2</v>
      </c>
      <c r="L53" s="5" t="s">
        <v>284</v>
      </c>
    </row>
    <row r="54" spans="1:12" x14ac:dyDescent="0.3">
      <c r="A54" s="2" t="s">
        <v>224</v>
      </c>
      <c r="B54" t="s">
        <v>57</v>
      </c>
      <c r="C54" t="s">
        <v>223</v>
      </c>
      <c r="D54">
        <v>5.5</v>
      </c>
      <c r="E54">
        <v>3.8</v>
      </c>
      <c r="F54">
        <v>3.8</v>
      </c>
      <c r="G54">
        <f t="shared" si="5"/>
        <v>41.584311999999997</v>
      </c>
      <c r="H54">
        <f>20.9+9.5+9.7+9.7</f>
        <v>49.8</v>
      </c>
      <c r="I54">
        <f t="shared" si="8"/>
        <v>139047249341.84164</v>
      </c>
      <c r="J54">
        <f t="shared" si="6"/>
        <v>1001006022830.2325</v>
      </c>
      <c r="K54">
        <f t="shared" si="7"/>
        <v>0.13890750522029938</v>
      </c>
      <c r="L54" s="5" t="s">
        <v>287</v>
      </c>
    </row>
    <row r="55" spans="1:12" x14ac:dyDescent="0.3">
      <c r="A55" s="2" t="s">
        <v>225</v>
      </c>
      <c r="B55" t="s">
        <v>57</v>
      </c>
      <c r="C55" t="s">
        <v>223</v>
      </c>
      <c r="D55">
        <v>5.3</v>
      </c>
      <c r="E55">
        <v>3.4</v>
      </c>
      <c r="F55">
        <v>3.4</v>
      </c>
      <c r="G55">
        <f t="shared" si="5"/>
        <v>32.079924799999993</v>
      </c>
      <c r="H55">
        <f>17.9+9.2+10.1+10.1</f>
        <v>47.3</v>
      </c>
      <c r="I55">
        <f t="shared" si="8"/>
        <v>132066965740.34357</v>
      </c>
      <c r="J55">
        <f t="shared" si="6"/>
        <v>778254063366.74072</v>
      </c>
      <c r="K55">
        <f t="shared" si="7"/>
        <v>0.16969646797476334</v>
      </c>
      <c r="L55" s="5" t="s">
        <v>287</v>
      </c>
    </row>
    <row r="56" spans="1:12" x14ac:dyDescent="0.3">
      <c r="A56" s="2" t="s">
        <v>226</v>
      </c>
      <c r="B56" t="s">
        <v>57</v>
      </c>
      <c r="C56" t="s">
        <v>223</v>
      </c>
      <c r="D56">
        <v>5.7</v>
      </c>
      <c r="E56">
        <v>3.6</v>
      </c>
      <c r="F56">
        <v>3.6</v>
      </c>
      <c r="G56">
        <f t="shared" si="5"/>
        <v>38.6793792</v>
      </c>
      <c r="H56">
        <f>18.7+9.5+10.5+10.5</f>
        <v>49.2</v>
      </c>
      <c r="I56">
        <f t="shared" si="8"/>
        <v>137371981277.48212</v>
      </c>
      <c r="J56">
        <f t="shared" si="6"/>
        <v>933104246296.05286</v>
      </c>
      <c r="K56">
        <f t="shared" si="7"/>
        <v>0.14722040096032002</v>
      </c>
      <c r="L56" s="5" t="s">
        <v>287</v>
      </c>
    </row>
    <row r="57" spans="1:12" x14ac:dyDescent="0.3">
      <c r="A57" s="2" t="s">
        <v>227</v>
      </c>
      <c r="B57" t="s">
        <v>57</v>
      </c>
      <c r="C57" t="s">
        <v>223</v>
      </c>
      <c r="D57">
        <v>5.8</v>
      </c>
      <c r="E57">
        <v>3.3</v>
      </c>
      <c r="F57">
        <v>3.3</v>
      </c>
      <c r="G57">
        <f t="shared" si="5"/>
        <v>33.071623199999991</v>
      </c>
      <c r="H57">
        <f>16.9+8.9+9.7+9.7</f>
        <v>45.2</v>
      </c>
      <c r="I57">
        <f t="shared" si="8"/>
        <v>126203527515.08519</v>
      </c>
      <c r="J57">
        <f t="shared" si="6"/>
        <v>801580053001.52197</v>
      </c>
      <c r="K57">
        <f t="shared" si="7"/>
        <v>0.15744344815282668</v>
      </c>
      <c r="L57" s="5" t="s">
        <v>287</v>
      </c>
    </row>
    <row r="58" spans="1:12" x14ac:dyDescent="0.3">
      <c r="A58" s="2" t="s">
        <v>179</v>
      </c>
      <c r="B58" t="s">
        <v>57</v>
      </c>
      <c r="C58" t="s">
        <v>180</v>
      </c>
      <c r="D58">
        <v>10</v>
      </c>
      <c r="E58">
        <v>4.0999999999999996</v>
      </c>
      <c r="F58">
        <v>4.0999999999999996</v>
      </c>
      <c r="G58">
        <f t="shared" si="5"/>
        <v>88.017159999999976</v>
      </c>
      <c r="H58">
        <f>10+20</f>
        <v>30</v>
      </c>
      <c r="I58">
        <f t="shared" ref="I58:I63" si="9">H58*D$40</f>
        <v>167526806435.9538</v>
      </c>
      <c r="J58">
        <f t="shared" si="6"/>
        <v>2071597538590.4026</v>
      </c>
      <c r="K58">
        <f t="shared" si="7"/>
        <v>8.0868413538445164E-2</v>
      </c>
      <c r="L58" s="5" t="s">
        <v>283</v>
      </c>
    </row>
    <row r="59" spans="1:12" x14ac:dyDescent="0.3">
      <c r="A59" s="2" t="s">
        <v>181</v>
      </c>
      <c r="B59" t="s">
        <v>57</v>
      </c>
      <c r="C59" t="s">
        <v>180</v>
      </c>
      <c r="D59">
        <v>11</v>
      </c>
      <c r="E59">
        <v>3.5</v>
      </c>
      <c r="F59">
        <v>3.5</v>
      </c>
      <c r="G59">
        <f t="shared" si="5"/>
        <v>70.555099999999996</v>
      </c>
      <c r="H59">
        <f>25+11</f>
        <v>36</v>
      </c>
      <c r="I59">
        <f t="shared" si="9"/>
        <v>201032167723.14453</v>
      </c>
      <c r="J59">
        <f t="shared" si="6"/>
        <v>1671658707790.3987</v>
      </c>
      <c r="K59">
        <f t="shared" si="7"/>
        <v>0.12025909761740133</v>
      </c>
      <c r="L59" s="5" t="s">
        <v>288</v>
      </c>
    </row>
    <row r="60" spans="1:12" x14ac:dyDescent="0.3">
      <c r="A60" s="2" t="s">
        <v>185</v>
      </c>
      <c r="B60" t="s">
        <v>57</v>
      </c>
      <c r="C60" t="s">
        <v>180</v>
      </c>
      <c r="D60">
        <v>5.5</v>
      </c>
      <c r="E60">
        <v>3</v>
      </c>
      <c r="F60">
        <v>3</v>
      </c>
      <c r="G60">
        <f t="shared" si="5"/>
        <v>25.918199999999999</v>
      </c>
      <c r="H60">
        <f>2.8+17.55</f>
        <v>20.350000000000001</v>
      </c>
      <c r="I60">
        <f t="shared" si="9"/>
        <v>113639017032.38866</v>
      </c>
      <c r="J60">
        <f t="shared" si="6"/>
        <v>632807688701.17175</v>
      </c>
      <c r="K60">
        <f t="shared" si="7"/>
        <v>0.17957907127460956</v>
      </c>
      <c r="L60" s="5" t="s">
        <v>284</v>
      </c>
    </row>
    <row r="61" spans="1:12" x14ac:dyDescent="0.3">
      <c r="A61" s="2" t="s">
        <v>182</v>
      </c>
      <c r="B61" t="s">
        <v>57</v>
      </c>
      <c r="C61" t="s">
        <v>180</v>
      </c>
      <c r="D61">
        <v>8.5</v>
      </c>
      <c r="E61">
        <v>2.25</v>
      </c>
      <c r="F61">
        <v>2.25</v>
      </c>
      <c r="G61">
        <f t="shared" si="5"/>
        <v>22.531162500000001</v>
      </c>
      <c r="H61">
        <f>23.5+10</f>
        <v>33.5</v>
      </c>
      <c r="I61">
        <f t="shared" si="9"/>
        <v>187071600520.14841</v>
      </c>
      <c r="J61">
        <f t="shared" si="6"/>
        <v>552427318896.31897</v>
      </c>
      <c r="K61">
        <f t="shared" si="7"/>
        <v>0.33863567952050994</v>
      </c>
      <c r="L61" s="5" t="s">
        <v>289</v>
      </c>
    </row>
    <row r="62" spans="1:12" x14ac:dyDescent="0.3">
      <c r="A62" s="2" t="s">
        <v>186</v>
      </c>
      <c r="B62" t="s">
        <v>57</v>
      </c>
      <c r="C62" t="s">
        <v>180</v>
      </c>
      <c r="D62">
        <v>6.5</v>
      </c>
      <c r="E62">
        <v>6.5</v>
      </c>
      <c r="F62">
        <v>6.5</v>
      </c>
      <c r="G62">
        <f t="shared" si="5"/>
        <v>143.79364999999999</v>
      </c>
      <c r="H62">
        <f>6.5+13.5</f>
        <v>20</v>
      </c>
      <c r="I62">
        <f t="shared" si="9"/>
        <v>111684537623.96919</v>
      </c>
      <c r="J62">
        <f t="shared" si="6"/>
        <v>3334898129353.3623</v>
      </c>
      <c r="K62">
        <f t="shared" si="7"/>
        <v>3.3489639950598685E-2</v>
      </c>
      <c r="L62" s="5" t="s">
        <v>283</v>
      </c>
    </row>
    <row r="63" spans="1:12" x14ac:dyDescent="0.3">
      <c r="A63" s="2" t="s">
        <v>187</v>
      </c>
      <c r="B63" t="s">
        <v>57</v>
      </c>
      <c r="C63" t="s">
        <v>180</v>
      </c>
      <c r="D63">
        <v>10</v>
      </c>
      <c r="E63">
        <v>3</v>
      </c>
      <c r="F63">
        <v>3</v>
      </c>
      <c r="G63">
        <f t="shared" si="5"/>
        <v>47.123999999999995</v>
      </c>
      <c r="H63">
        <f>11+13</f>
        <v>24</v>
      </c>
      <c r="I63">
        <f t="shared" si="9"/>
        <v>134021445148.76303</v>
      </c>
      <c r="J63">
        <f t="shared" si="6"/>
        <v>1130107971790.5601</v>
      </c>
      <c r="K63">
        <f t="shared" si="7"/>
        <v>0.11859171733512988</v>
      </c>
      <c r="L63" s="5" t="s">
        <v>283</v>
      </c>
    </row>
    <row r="64" spans="1:12" x14ac:dyDescent="0.3">
      <c r="A64" s="2" t="s">
        <v>56</v>
      </c>
      <c r="B64" t="s">
        <v>57</v>
      </c>
      <c r="C64" t="s">
        <v>58</v>
      </c>
      <c r="D64">
        <v>12.5</v>
      </c>
      <c r="E64">
        <v>3.75</v>
      </c>
      <c r="F64">
        <v>3.75</v>
      </c>
      <c r="G64">
        <f t="shared" si="5"/>
        <v>92.039062499999986</v>
      </c>
      <c r="H64">
        <v>15</v>
      </c>
      <c r="I64">
        <f t="shared" ref="I64:I72" si="10">H64*B$40</f>
        <v>41881701608.988449</v>
      </c>
      <c r="J64">
        <f t="shared" si="6"/>
        <v>2163356417722.8027</v>
      </c>
      <c r="K64">
        <f t="shared" si="7"/>
        <v>1.9359593854199053E-2</v>
      </c>
      <c r="L64" s="5" t="s">
        <v>290</v>
      </c>
    </row>
    <row r="65" spans="1:12" x14ac:dyDescent="0.3">
      <c r="A65" s="2" t="s">
        <v>207</v>
      </c>
      <c r="B65" t="s">
        <v>57</v>
      </c>
      <c r="C65" t="s">
        <v>202</v>
      </c>
      <c r="D65">
        <v>4.5999999999999996</v>
      </c>
      <c r="E65">
        <v>4.5999999999999996</v>
      </c>
      <c r="F65">
        <v>4.5999999999999996</v>
      </c>
      <c r="G65">
        <f t="shared" si="5"/>
        <v>50.96512959999999</v>
      </c>
      <c r="H65">
        <f>6.4+12.9</f>
        <v>19.3</v>
      </c>
      <c r="I65">
        <f t="shared" si="10"/>
        <v>53887789403.56514</v>
      </c>
      <c r="J65">
        <f t="shared" si="6"/>
        <v>1219354525611.814</v>
      </c>
      <c r="K65">
        <f t="shared" si="7"/>
        <v>4.4193701070266517E-2</v>
      </c>
      <c r="L65" s="5" t="s">
        <v>283</v>
      </c>
    </row>
    <row r="66" spans="1:12" x14ac:dyDescent="0.3">
      <c r="A66" s="2" t="s">
        <v>201</v>
      </c>
      <c r="B66" t="s">
        <v>57</v>
      </c>
      <c r="C66" t="s">
        <v>202</v>
      </c>
      <c r="D66">
        <v>5.5</v>
      </c>
      <c r="E66">
        <v>5.5</v>
      </c>
      <c r="F66">
        <v>5.5</v>
      </c>
      <c r="G66">
        <f t="shared" si="5"/>
        <v>87.113949999999988</v>
      </c>
      <c r="H66">
        <f>16.5+11</f>
        <v>27.5</v>
      </c>
      <c r="I66">
        <f t="shared" si="10"/>
        <v>76783119616.478821</v>
      </c>
      <c r="J66">
        <f t="shared" si="6"/>
        <v>2050973885849.6938</v>
      </c>
      <c r="K66">
        <f t="shared" si="7"/>
        <v>3.7437395057162565E-2</v>
      </c>
      <c r="L66" s="5" t="s">
        <v>283</v>
      </c>
    </row>
    <row r="67" spans="1:12" x14ac:dyDescent="0.3">
      <c r="A67" s="2" t="s">
        <v>201</v>
      </c>
      <c r="B67" t="s">
        <v>57</v>
      </c>
      <c r="C67" t="s">
        <v>202</v>
      </c>
      <c r="D67">
        <v>4</v>
      </c>
      <c r="E67">
        <v>4</v>
      </c>
      <c r="F67">
        <v>4</v>
      </c>
      <c r="G67">
        <f t="shared" si="5"/>
        <v>33.510399999999997</v>
      </c>
      <c r="H67">
        <f>2*10</f>
        <v>20</v>
      </c>
      <c r="I67">
        <f t="shared" si="10"/>
        <v>55842268811.984596</v>
      </c>
      <c r="J67">
        <f t="shared" si="6"/>
        <v>811893901167.32385</v>
      </c>
      <c r="K67">
        <f t="shared" si="7"/>
        <v>6.8780254084549422E-2</v>
      </c>
      <c r="L67" s="5" t="s">
        <v>284</v>
      </c>
    </row>
    <row r="68" spans="1:12" x14ac:dyDescent="0.3">
      <c r="A68" s="2" t="s">
        <v>203</v>
      </c>
      <c r="B68" t="s">
        <v>57</v>
      </c>
      <c r="C68" t="s">
        <v>202</v>
      </c>
      <c r="D68">
        <v>8.5</v>
      </c>
      <c r="E68">
        <v>4.8499999999999996</v>
      </c>
      <c r="F68">
        <v>4.8499999999999996</v>
      </c>
      <c r="G68">
        <f t="shared" si="5"/>
        <v>104.68923849999997</v>
      </c>
      <c r="H68">
        <f>2*10</f>
        <v>20</v>
      </c>
      <c r="I68">
        <f t="shared" si="10"/>
        <v>55842268811.984596</v>
      </c>
      <c r="J68">
        <f t="shared" si="6"/>
        <v>2451207264939.7271</v>
      </c>
      <c r="K68">
        <f t="shared" si="7"/>
        <v>2.2781536922932426E-2</v>
      </c>
      <c r="L68" s="5" t="s">
        <v>284</v>
      </c>
    </row>
    <row r="69" spans="1:12" x14ac:dyDescent="0.3">
      <c r="A69" s="2" t="s">
        <v>204</v>
      </c>
      <c r="B69" t="s">
        <v>57</v>
      </c>
      <c r="C69" t="s">
        <v>202</v>
      </c>
      <c r="D69">
        <v>3.75</v>
      </c>
      <c r="E69">
        <v>3.75</v>
      </c>
      <c r="F69">
        <v>3.75</v>
      </c>
      <c r="G69">
        <f t="shared" si="5"/>
        <v>27.611718749999998</v>
      </c>
      <c r="H69">
        <f>11+5</f>
        <v>16</v>
      </c>
      <c r="I69">
        <f t="shared" si="10"/>
        <v>44673815049.587677</v>
      </c>
      <c r="J69">
        <f t="shared" si="6"/>
        <v>672877015025.41406</v>
      </c>
      <c r="K69">
        <f t="shared" si="7"/>
        <v>6.6392244127852065E-2</v>
      </c>
      <c r="L69" s="5" t="s">
        <v>284</v>
      </c>
    </row>
    <row r="70" spans="1:12" x14ac:dyDescent="0.3">
      <c r="A70" s="2" t="s">
        <v>205</v>
      </c>
      <c r="B70" t="s">
        <v>57</v>
      </c>
      <c r="C70" t="s">
        <v>202</v>
      </c>
      <c r="D70">
        <v>4.25</v>
      </c>
      <c r="E70">
        <v>3.3</v>
      </c>
      <c r="F70">
        <v>3.3</v>
      </c>
      <c r="G70">
        <f t="shared" si="5"/>
        <v>24.233516999999996</v>
      </c>
      <c r="H70">
        <f>6.75+4.25</f>
        <v>11</v>
      </c>
      <c r="I70">
        <f t="shared" si="10"/>
        <v>30713247846.59153</v>
      </c>
      <c r="J70">
        <f t="shared" si="6"/>
        <v>592869364907.33679</v>
      </c>
      <c r="K70">
        <f t="shared" si="7"/>
        <v>5.1804410321305595E-2</v>
      </c>
      <c r="L70" s="5" t="s">
        <v>283</v>
      </c>
    </row>
    <row r="71" spans="1:12" x14ac:dyDescent="0.3">
      <c r="A71" s="2" t="s">
        <v>205</v>
      </c>
      <c r="B71" t="s">
        <v>57</v>
      </c>
      <c r="C71" t="s">
        <v>202</v>
      </c>
      <c r="D71">
        <v>4.5</v>
      </c>
      <c r="E71">
        <v>2.8</v>
      </c>
      <c r="F71">
        <v>2.8</v>
      </c>
      <c r="G71">
        <f t="shared" si="5"/>
        <v>18.472607999999997</v>
      </c>
      <c r="H71">
        <f>6.5+5</f>
        <v>11.5</v>
      </c>
      <c r="I71">
        <f t="shared" si="10"/>
        <v>32109304566.891144</v>
      </c>
      <c r="J71">
        <f t="shared" si="6"/>
        <v>455624871796.2724</v>
      </c>
      <c r="K71">
        <f t="shared" si="7"/>
        <v>7.0473116272828193E-2</v>
      </c>
      <c r="L71" s="5" t="s">
        <v>284</v>
      </c>
    </row>
    <row r="72" spans="1:12" x14ac:dyDescent="0.3">
      <c r="A72" s="2" t="s">
        <v>191</v>
      </c>
      <c r="B72" t="s">
        <v>57</v>
      </c>
      <c r="C72" t="s">
        <v>192</v>
      </c>
      <c r="D72">
        <v>8</v>
      </c>
      <c r="E72">
        <v>4</v>
      </c>
      <c r="F72">
        <v>4</v>
      </c>
      <c r="G72">
        <f t="shared" si="5"/>
        <v>67.020799999999994</v>
      </c>
      <c r="H72">
        <f>8+33</f>
        <v>41</v>
      </c>
      <c r="I72">
        <f t="shared" si="10"/>
        <v>114476651064.56842</v>
      </c>
      <c r="J72">
        <f t="shared" si="6"/>
        <v>1590370732580.6238</v>
      </c>
      <c r="K72">
        <f t="shared" si="7"/>
        <v>7.1981110265285281E-2</v>
      </c>
      <c r="L72" s="5" t="s">
        <v>291</v>
      </c>
    </row>
    <row r="73" spans="1:12" x14ac:dyDescent="0.3">
      <c r="A73" s="2" t="s">
        <v>108</v>
      </c>
      <c r="B73" t="s">
        <v>57</v>
      </c>
      <c r="C73" t="s">
        <v>109</v>
      </c>
      <c r="D73">
        <v>450</v>
      </c>
      <c r="E73">
        <v>22</v>
      </c>
      <c r="F73">
        <v>22</v>
      </c>
      <c r="G73">
        <f t="shared" si="5"/>
        <v>114040.07999999999</v>
      </c>
      <c r="H73">
        <f>2*200</f>
        <v>400</v>
      </c>
      <c r="I73">
        <f>H73*D$40</f>
        <v>2233690752479.3838</v>
      </c>
      <c r="J73">
        <f t="shared" si="6"/>
        <v>2164815273965746.3</v>
      </c>
      <c r="K73">
        <f t="shared" si="7"/>
        <v>1.0318158686987938E-3</v>
      </c>
      <c r="L73" s="5" t="s">
        <v>292</v>
      </c>
    </row>
    <row r="74" spans="1:12" x14ac:dyDescent="0.3">
      <c r="A74" s="2" t="s">
        <v>75</v>
      </c>
      <c r="B74" t="s">
        <v>57</v>
      </c>
      <c r="C74" t="s">
        <v>74</v>
      </c>
      <c r="D74">
        <v>39</v>
      </c>
      <c r="E74">
        <v>22</v>
      </c>
      <c r="F74">
        <f>E74/1.75</f>
        <v>12.571428571428571</v>
      </c>
      <c r="G74">
        <f t="shared" ref="G74:G105" si="11">4/3*3.1416*(D74/2)*(E74/2)*(F74/2)</f>
        <v>5647.6991999999991</v>
      </c>
      <c r="H74">
        <f>509*5+11*10</f>
        <v>2655</v>
      </c>
      <c r="I74">
        <f t="shared" ref="I74:I89" si="12">H74*B$40</f>
        <v>7413061184790.9551</v>
      </c>
      <c r="J74">
        <f t="shared" ref="J74:J105" si="13">26.92*G74^0.97*10^9</f>
        <v>117324974010103.03</v>
      </c>
      <c r="K74">
        <f t="shared" ref="K74:K105" si="14">I74/J74</f>
        <v>6.3184000229589699E-2</v>
      </c>
      <c r="L74" s="5" t="s">
        <v>293</v>
      </c>
    </row>
    <row r="75" spans="1:12" x14ac:dyDescent="0.3">
      <c r="A75" s="2" t="s">
        <v>66</v>
      </c>
      <c r="B75" t="s">
        <v>57</v>
      </c>
      <c r="C75" t="s">
        <v>67</v>
      </c>
      <c r="D75">
        <v>13</v>
      </c>
      <c r="E75">
        <v>13</v>
      </c>
      <c r="F75">
        <v>13</v>
      </c>
      <c r="G75">
        <f t="shared" si="11"/>
        <v>1150.3491999999999</v>
      </c>
      <c r="H75">
        <f>2*6.3</f>
        <v>12.6</v>
      </c>
      <c r="I75">
        <f t="shared" si="12"/>
        <v>35180629351.550293</v>
      </c>
      <c r="J75">
        <f t="shared" si="13"/>
        <v>25065701270709.902</v>
      </c>
      <c r="K75">
        <f t="shared" si="14"/>
        <v>1.4035366085153188E-3</v>
      </c>
      <c r="L75" s="5" t="s">
        <v>292</v>
      </c>
    </row>
    <row r="76" spans="1:12" x14ac:dyDescent="0.3">
      <c r="A76" s="2" t="s">
        <v>90</v>
      </c>
      <c r="B76" t="s">
        <v>57</v>
      </c>
      <c r="C76" t="s">
        <v>91</v>
      </c>
      <c r="D76">
        <v>4.5</v>
      </c>
      <c r="E76">
        <v>2.2000000000000002</v>
      </c>
      <c r="F76">
        <v>2.2000000000000002</v>
      </c>
      <c r="G76">
        <f t="shared" si="11"/>
        <v>11.404008000000003</v>
      </c>
      <c r="H76">
        <f>5.5+19</f>
        <v>24.5</v>
      </c>
      <c r="I76">
        <f t="shared" si="12"/>
        <v>68406779294.681129</v>
      </c>
      <c r="J76">
        <f t="shared" si="13"/>
        <v>285378232263.51801</v>
      </c>
      <c r="K76">
        <f t="shared" si="14"/>
        <v>0.23970566623846198</v>
      </c>
      <c r="L76" s="5" t="s">
        <v>294</v>
      </c>
    </row>
    <row r="77" spans="1:12" x14ac:dyDescent="0.3">
      <c r="A77" s="2" t="s">
        <v>198</v>
      </c>
      <c r="B77" t="s">
        <v>57</v>
      </c>
      <c r="C77" t="s">
        <v>199</v>
      </c>
      <c r="D77">
        <v>5.25</v>
      </c>
      <c r="E77">
        <v>5.25</v>
      </c>
      <c r="F77">
        <v>5.25</v>
      </c>
      <c r="G77">
        <f t="shared" si="11"/>
        <v>75.766556250000008</v>
      </c>
      <c r="H77">
        <v>14</v>
      </c>
      <c r="I77">
        <f t="shared" si="12"/>
        <v>39089588168.389221</v>
      </c>
      <c r="J77">
        <f t="shared" si="13"/>
        <v>1791299799148.26</v>
      </c>
      <c r="K77">
        <f t="shared" si="14"/>
        <v>2.1821912885255621E-2</v>
      </c>
      <c r="L77" s="5" t="s">
        <v>289</v>
      </c>
    </row>
    <row r="78" spans="1:12" x14ac:dyDescent="0.3">
      <c r="A78" s="2" t="s">
        <v>71</v>
      </c>
      <c r="B78" t="s">
        <v>57</v>
      </c>
      <c r="C78" t="s">
        <v>72</v>
      </c>
      <c r="D78">
        <v>15</v>
      </c>
      <c r="E78">
        <v>5</v>
      </c>
      <c r="F78">
        <v>5</v>
      </c>
      <c r="G78">
        <f t="shared" si="11"/>
        <v>196.34999999999997</v>
      </c>
      <c r="H78">
        <v>30</v>
      </c>
      <c r="I78">
        <f t="shared" si="12"/>
        <v>83763403217.976898</v>
      </c>
      <c r="J78">
        <f t="shared" si="13"/>
        <v>4511438422664.7041</v>
      </c>
      <c r="K78">
        <f t="shared" si="14"/>
        <v>1.8566894939131547E-2</v>
      </c>
      <c r="L78" s="5" t="s">
        <v>263</v>
      </c>
    </row>
    <row r="79" spans="1:12" x14ac:dyDescent="0.3">
      <c r="A79" s="2" t="s">
        <v>92</v>
      </c>
      <c r="B79" t="s">
        <v>57</v>
      </c>
      <c r="C79" t="s">
        <v>91</v>
      </c>
      <c r="D79">
        <v>13.5</v>
      </c>
      <c r="E79">
        <v>4.9000000000000004</v>
      </c>
      <c r="F79">
        <v>4.9000000000000004</v>
      </c>
      <c r="G79">
        <f t="shared" si="11"/>
        <v>169.71708599999999</v>
      </c>
      <c r="H79">
        <f>2*18.75</f>
        <v>37.5</v>
      </c>
      <c r="I79">
        <f t="shared" si="12"/>
        <v>104704254022.47112</v>
      </c>
      <c r="J79">
        <f t="shared" si="13"/>
        <v>3916596712027.4673</v>
      </c>
      <c r="K79">
        <f t="shared" si="14"/>
        <v>2.6733478507229267E-2</v>
      </c>
      <c r="L79" s="5" t="s">
        <v>283</v>
      </c>
    </row>
    <row r="80" spans="1:12" x14ac:dyDescent="0.3">
      <c r="A80" s="2" t="s">
        <v>93</v>
      </c>
      <c r="B80" t="s">
        <v>57</v>
      </c>
      <c r="C80" t="s">
        <v>91</v>
      </c>
      <c r="D80">
        <v>8.5</v>
      </c>
      <c r="E80">
        <v>4.0999999999999996</v>
      </c>
      <c r="F80">
        <v>4.0999999999999996</v>
      </c>
      <c r="G80">
        <f t="shared" si="11"/>
        <v>74.814585999999977</v>
      </c>
      <c r="H80">
        <f>8.5+13</f>
        <v>21.5</v>
      </c>
      <c r="I80">
        <f t="shared" si="12"/>
        <v>60030438972.883438</v>
      </c>
      <c r="J80">
        <f t="shared" si="13"/>
        <v>1769464052941.3125</v>
      </c>
      <c r="K80">
        <f t="shared" si="14"/>
        <v>3.3925774797796619E-2</v>
      </c>
      <c r="L80" s="5" t="s">
        <v>283</v>
      </c>
    </row>
    <row r="81" spans="1:12" x14ac:dyDescent="0.3">
      <c r="A81" s="2" t="s">
        <v>98</v>
      </c>
      <c r="B81" t="s">
        <v>57</v>
      </c>
      <c r="C81" t="s">
        <v>95</v>
      </c>
      <c r="D81">
        <v>10</v>
      </c>
      <c r="E81">
        <v>3.5</v>
      </c>
      <c r="F81">
        <v>3.5</v>
      </c>
      <c r="G81">
        <f t="shared" si="11"/>
        <v>64.141000000000005</v>
      </c>
      <c r="H81">
        <f>10+20</f>
        <v>30</v>
      </c>
      <c r="I81">
        <f t="shared" si="12"/>
        <v>83763403217.976898</v>
      </c>
      <c r="J81">
        <f t="shared" si="13"/>
        <v>1524041209543.3235</v>
      </c>
      <c r="K81">
        <f t="shared" si="14"/>
        <v>5.496137682725552E-2</v>
      </c>
      <c r="L81" s="5" t="s">
        <v>280</v>
      </c>
    </row>
    <row r="82" spans="1:12" x14ac:dyDescent="0.3">
      <c r="A82" s="2" t="s">
        <v>99</v>
      </c>
      <c r="B82" t="s">
        <v>57</v>
      </c>
      <c r="C82" t="s">
        <v>95</v>
      </c>
      <c r="D82">
        <v>15</v>
      </c>
      <c r="E82">
        <v>13.5</v>
      </c>
      <c r="F82">
        <v>13.5</v>
      </c>
      <c r="G82">
        <f t="shared" si="11"/>
        <v>1431.3915</v>
      </c>
      <c r="H82">
        <f>13+30</f>
        <v>43</v>
      </c>
      <c r="I82">
        <f t="shared" si="12"/>
        <v>120060877945.76688</v>
      </c>
      <c r="J82">
        <f t="shared" si="13"/>
        <v>30985658953028.191</v>
      </c>
      <c r="K82">
        <f t="shared" si="14"/>
        <v>3.8747240498505993E-3</v>
      </c>
      <c r="L82" s="5" t="s">
        <v>280</v>
      </c>
    </row>
    <row r="83" spans="1:12" x14ac:dyDescent="0.3">
      <c r="A83" s="2" t="s">
        <v>100</v>
      </c>
      <c r="B83" t="s">
        <v>57</v>
      </c>
      <c r="C83" t="s">
        <v>95</v>
      </c>
      <c r="D83">
        <v>23.5</v>
      </c>
      <c r="E83">
        <v>11.5</v>
      </c>
      <c r="F83">
        <v>11.5</v>
      </c>
      <c r="G83">
        <f t="shared" si="11"/>
        <v>1627.2833499999997</v>
      </c>
      <c r="H83">
        <f>23.5+35.5</f>
        <v>59</v>
      </c>
      <c r="I83">
        <f t="shared" si="12"/>
        <v>164734692995.35455</v>
      </c>
      <c r="J83">
        <f t="shared" si="13"/>
        <v>35090886585775.668</v>
      </c>
      <c r="K83">
        <f t="shared" si="14"/>
        <v>4.694514987322403E-3</v>
      </c>
      <c r="L83" s="5" t="s">
        <v>280</v>
      </c>
    </row>
    <row r="84" spans="1:12" x14ac:dyDescent="0.3">
      <c r="A84" s="2" t="s">
        <v>101</v>
      </c>
      <c r="B84" t="s">
        <v>57</v>
      </c>
      <c r="C84" t="s">
        <v>95</v>
      </c>
      <c r="D84">
        <v>11.25</v>
      </c>
      <c r="E84">
        <v>5.25</v>
      </c>
      <c r="F84">
        <v>5.25</v>
      </c>
      <c r="G84">
        <f t="shared" si="11"/>
        <v>162.35690624999998</v>
      </c>
      <c r="H84">
        <f>11.25+22.5</f>
        <v>33.75</v>
      </c>
      <c r="I84">
        <f t="shared" si="12"/>
        <v>94233828620.223999</v>
      </c>
      <c r="J84">
        <f t="shared" si="13"/>
        <v>3751731067982.6626</v>
      </c>
      <c r="K84">
        <f t="shared" si="14"/>
        <v>2.5117426306063648E-2</v>
      </c>
      <c r="L84" s="5" t="s">
        <v>280</v>
      </c>
    </row>
    <row r="85" spans="1:12" x14ac:dyDescent="0.3">
      <c r="A85" s="2" t="s">
        <v>102</v>
      </c>
      <c r="B85" t="s">
        <v>57</v>
      </c>
      <c r="C85" t="s">
        <v>95</v>
      </c>
      <c r="D85">
        <v>12</v>
      </c>
      <c r="E85">
        <v>6.4</v>
      </c>
      <c r="F85">
        <v>6.4</v>
      </c>
      <c r="G85">
        <f t="shared" si="11"/>
        <v>257.359872</v>
      </c>
      <c r="H85">
        <f>21.75+43.5</f>
        <v>65.25</v>
      </c>
      <c r="I85">
        <f t="shared" si="12"/>
        <v>182185401999.09973</v>
      </c>
      <c r="J85">
        <f t="shared" si="13"/>
        <v>5865427384600.0557</v>
      </c>
      <c r="K85">
        <f t="shared" si="14"/>
        <v>3.106089122805198E-2</v>
      </c>
      <c r="L85" s="5" t="s">
        <v>280</v>
      </c>
    </row>
    <row r="86" spans="1:12" x14ac:dyDescent="0.3">
      <c r="A86" s="2" t="s">
        <v>96</v>
      </c>
      <c r="B86" t="s">
        <v>57</v>
      </c>
      <c r="C86" t="s">
        <v>95</v>
      </c>
      <c r="D86">
        <v>12.5</v>
      </c>
      <c r="E86">
        <v>5.75</v>
      </c>
      <c r="F86">
        <v>5.75</v>
      </c>
      <c r="G86">
        <f t="shared" si="11"/>
        <v>216.39406249999996</v>
      </c>
      <c r="H86">
        <f>6.3+18.8</f>
        <v>25.1</v>
      </c>
      <c r="I86">
        <f t="shared" si="12"/>
        <v>70082047359.040665</v>
      </c>
      <c r="J86">
        <f t="shared" si="13"/>
        <v>4957503569865.0342</v>
      </c>
      <c r="K86">
        <f t="shared" si="14"/>
        <v>1.4136560139874719E-2</v>
      </c>
      <c r="L86" s="5" t="s">
        <v>280</v>
      </c>
    </row>
    <row r="87" spans="1:12" x14ac:dyDescent="0.3">
      <c r="A87" s="2" t="s">
        <v>210</v>
      </c>
      <c r="B87" t="s">
        <v>57</v>
      </c>
      <c r="C87" t="s">
        <v>211</v>
      </c>
      <c r="D87">
        <v>20.55</v>
      </c>
      <c r="E87">
        <v>9.0500000000000007</v>
      </c>
      <c r="F87">
        <v>9.0500000000000007</v>
      </c>
      <c r="G87">
        <f t="shared" si="11"/>
        <v>881.2692619500001</v>
      </c>
      <c r="H87">
        <f>20*31</f>
        <v>620</v>
      </c>
      <c r="I87">
        <f t="shared" si="12"/>
        <v>1731110333171.5225</v>
      </c>
      <c r="J87">
        <f t="shared" si="13"/>
        <v>19356659894844.027</v>
      </c>
      <c r="K87">
        <f t="shared" si="14"/>
        <v>8.9432285455024851E-2</v>
      </c>
      <c r="L87" s="5" t="s">
        <v>295</v>
      </c>
    </row>
    <row r="88" spans="1:12" x14ac:dyDescent="0.3">
      <c r="A88" s="2" t="s">
        <v>164</v>
      </c>
      <c r="B88" t="s">
        <v>57</v>
      </c>
      <c r="C88" t="s">
        <v>165</v>
      </c>
      <c r="D88">
        <v>5.5</v>
      </c>
      <c r="E88">
        <v>2.75</v>
      </c>
      <c r="F88">
        <v>2.75</v>
      </c>
      <c r="G88">
        <f t="shared" si="11"/>
        <v>21.778487499999997</v>
      </c>
      <c r="H88">
        <f>2*5.5</f>
        <v>11</v>
      </c>
      <c r="I88">
        <f t="shared" si="12"/>
        <v>30713247846.59153</v>
      </c>
      <c r="J88">
        <f t="shared" si="13"/>
        <v>534517513094.39325</v>
      </c>
      <c r="K88">
        <f t="shared" si="14"/>
        <v>5.745975967894567E-2</v>
      </c>
      <c r="L88" s="5" t="s">
        <v>296</v>
      </c>
    </row>
    <row r="89" spans="1:12" x14ac:dyDescent="0.3">
      <c r="A89" s="2" t="s">
        <v>166</v>
      </c>
      <c r="B89" t="s">
        <v>57</v>
      </c>
      <c r="C89" t="s">
        <v>167</v>
      </c>
      <c r="D89">
        <v>6</v>
      </c>
      <c r="E89">
        <v>4</v>
      </c>
      <c r="F89">
        <v>4</v>
      </c>
      <c r="G89">
        <f t="shared" si="11"/>
        <v>50.265599999999992</v>
      </c>
      <c r="H89">
        <f>10.8+13.8</f>
        <v>24.6</v>
      </c>
      <c r="I89">
        <f t="shared" si="12"/>
        <v>68685990638.741058</v>
      </c>
      <c r="J89">
        <f t="shared" si="13"/>
        <v>1203116825306.1433</v>
      </c>
      <c r="K89">
        <f t="shared" si="14"/>
        <v>5.7090042458065801E-2</v>
      </c>
      <c r="L89" s="5" t="s">
        <v>297</v>
      </c>
    </row>
    <row r="90" spans="1:12" x14ac:dyDescent="0.3">
      <c r="A90" s="2" t="s">
        <v>111</v>
      </c>
      <c r="B90" t="s">
        <v>57</v>
      </c>
      <c r="C90" t="s">
        <v>112</v>
      </c>
      <c r="D90">
        <v>32.5</v>
      </c>
      <c r="E90">
        <v>21.5</v>
      </c>
      <c r="F90">
        <v>21.5</v>
      </c>
      <c r="G90">
        <f t="shared" si="11"/>
        <v>7866.1082500000002</v>
      </c>
      <c r="H90">
        <f>34.5+87.5</f>
        <v>122</v>
      </c>
      <c r="I90">
        <f>H90*D$40</f>
        <v>681275679506.21204</v>
      </c>
      <c r="J90">
        <f t="shared" si="13"/>
        <v>161793912290317.66</v>
      </c>
      <c r="K90">
        <f t="shared" si="14"/>
        <v>4.2107621347566735E-3</v>
      </c>
      <c r="L90" s="5" t="s">
        <v>283</v>
      </c>
    </row>
    <row r="91" spans="1:12" x14ac:dyDescent="0.3">
      <c r="A91" s="2" t="s">
        <v>253</v>
      </c>
      <c r="B91" t="s">
        <v>57</v>
      </c>
      <c r="C91" t="s">
        <v>252</v>
      </c>
      <c r="D91">
        <v>28</v>
      </c>
      <c r="E91">
        <v>11.75</v>
      </c>
      <c r="F91">
        <v>11.75</v>
      </c>
      <c r="G91">
        <f t="shared" si="11"/>
        <v>2024.1066999999996</v>
      </c>
      <c r="H91">
        <f>28+42</f>
        <v>70</v>
      </c>
      <c r="I91">
        <f>H91*B$40</f>
        <v>195447940841.94608</v>
      </c>
      <c r="J91">
        <f t="shared" si="13"/>
        <v>43363213211251.586</v>
      </c>
      <c r="K91">
        <f t="shared" si="14"/>
        <v>4.5072292011615177E-3</v>
      </c>
      <c r="L91" s="5" t="s">
        <v>284</v>
      </c>
    </row>
    <row r="92" spans="1:12" x14ac:dyDescent="0.3">
      <c r="A92" s="2" t="s">
        <v>254</v>
      </c>
      <c r="B92" t="s">
        <v>57</v>
      </c>
      <c r="C92" t="s">
        <v>252</v>
      </c>
      <c r="D92">
        <v>56</v>
      </c>
      <c r="E92">
        <v>25</v>
      </c>
      <c r="F92">
        <v>25</v>
      </c>
      <c r="G92">
        <f t="shared" si="11"/>
        <v>18326</v>
      </c>
      <c r="H92">
        <f>56+84.5</f>
        <v>140.5</v>
      </c>
      <c r="I92">
        <f>H92*B$40</f>
        <v>392291938404.19177</v>
      </c>
      <c r="J92">
        <f t="shared" si="13"/>
        <v>367494384569734.25</v>
      </c>
      <c r="K92">
        <f t="shared" si="14"/>
        <v>1.0674773680242509E-3</v>
      </c>
      <c r="L92" s="5" t="s">
        <v>284</v>
      </c>
    </row>
    <row r="93" spans="1:12" x14ac:dyDescent="0.3">
      <c r="A93" s="2" t="s">
        <v>255</v>
      </c>
      <c r="B93" t="s">
        <v>57</v>
      </c>
      <c r="C93" t="s">
        <v>252</v>
      </c>
      <c r="D93">
        <v>31</v>
      </c>
      <c r="E93">
        <v>12</v>
      </c>
      <c r="F93">
        <v>12</v>
      </c>
      <c r="G93">
        <f t="shared" si="11"/>
        <v>2337.3504000000003</v>
      </c>
      <c r="H93">
        <f>2*31</f>
        <v>62</v>
      </c>
      <c r="I93">
        <f>H93*B$40</f>
        <v>173111033317.15225</v>
      </c>
      <c r="J93">
        <f t="shared" si="13"/>
        <v>49858265352924.047</v>
      </c>
      <c r="K93">
        <f t="shared" si="14"/>
        <v>3.4720628985340299E-3</v>
      </c>
      <c r="L93" s="5" t="s">
        <v>284</v>
      </c>
    </row>
    <row r="94" spans="1:12" x14ac:dyDescent="0.3">
      <c r="A94" s="2" t="s">
        <v>251</v>
      </c>
      <c r="B94" t="s">
        <v>57</v>
      </c>
      <c r="C94" t="s">
        <v>252</v>
      </c>
      <c r="D94">
        <v>29</v>
      </c>
      <c r="E94">
        <v>13.5</v>
      </c>
      <c r="F94">
        <v>13.5</v>
      </c>
      <c r="G94">
        <f t="shared" si="11"/>
        <v>2767.3568999999998</v>
      </c>
      <c r="H94">
        <f>37+74</f>
        <v>111</v>
      </c>
      <c r="I94">
        <f>H94*B$40</f>
        <v>309924591906.51453</v>
      </c>
      <c r="J94">
        <f t="shared" si="13"/>
        <v>58732471029279.914</v>
      </c>
      <c r="K94">
        <f t="shared" si="14"/>
        <v>5.2768866433698615E-3</v>
      </c>
      <c r="L94" s="5" t="s">
        <v>284</v>
      </c>
    </row>
    <row r="95" spans="1:12" x14ac:dyDescent="0.3">
      <c r="A95" s="2" t="s">
        <v>110</v>
      </c>
      <c r="B95" t="s">
        <v>57</v>
      </c>
      <c r="C95" t="s">
        <v>109</v>
      </c>
      <c r="D95">
        <v>65</v>
      </c>
      <c r="E95">
        <v>55</v>
      </c>
      <c r="F95">
        <v>55</v>
      </c>
      <c r="G95">
        <f t="shared" si="11"/>
        <v>102952.84999999999</v>
      </c>
      <c r="H95">
        <f>2*65</f>
        <v>130</v>
      </c>
      <c r="I95">
        <f>H95*D$40</f>
        <v>725949494555.7998</v>
      </c>
      <c r="J95">
        <f t="shared" si="13"/>
        <v>1960352982939435.3</v>
      </c>
      <c r="K95">
        <f t="shared" si="14"/>
        <v>3.7031570379089624E-4</v>
      </c>
      <c r="L95" s="5" t="s">
        <v>263</v>
      </c>
    </row>
    <row r="96" spans="1:12" x14ac:dyDescent="0.3">
      <c r="A96" s="2" t="s">
        <v>162</v>
      </c>
      <c r="B96" t="s">
        <v>57</v>
      </c>
      <c r="C96" t="s">
        <v>163</v>
      </c>
      <c r="D96">
        <v>18.5</v>
      </c>
      <c r="E96">
        <v>6.85</v>
      </c>
      <c r="F96">
        <v>6.85</v>
      </c>
      <c r="G96">
        <f t="shared" si="11"/>
        <v>454.51948849999991</v>
      </c>
      <c r="H96">
        <f>2*3.5</f>
        <v>7</v>
      </c>
      <c r="I96">
        <f>H96*D$40</f>
        <v>39089588168.389221</v>
      </c>
      <c r="J96">
        <f t="shared" si="13"/>
        <v>10183591960498.537</v>
      </c>
      <c r="K96">
        <f t="shared" si="14"/>
        <v>3.8384872763966862E-3</v>
      </c>
      <c r="L96" s="5" t="s">
        <v>284</v>
      </c>
    </row>
    <row r="97" spans="1:12" x14ac:dyDescent="0.3">
      <c r="A97" s="2" t="s">
        <v>113</v>
      </c>
      <c r="B97" t="s">
        <v>57</v>
      </c>
      <c r="C97" t="s">
        <v>112</v>
      </c>
      <c r="D97">
        <v>43.5</v>
      </c>
      <c r="E97">
        <v>22</v>
      </c>
      <c r="F97">
        <v>22</v>
      </c>
      <c r="G97">
        <f t="shared" si="11"/>
        <v>11023.874400000001</v>
      </c>
      <c r="H97">
        <v>43.5</v>
      </c>
      <c r="I97">
        <f>H97*D$40</f>
        <v>242913869332.133</v>
      </c>
      <c r="J97">
        <f t="shared" si="13"/>
        <v>224460168361945.25</v>
      </c>
      <c r="K97">
        <f t="shared" si="14"/>
        <v>1.0822137001181916E-3</v>
      </c>
      <c r="L97" s="5" t="s">
        <v>284</v>
      </c>
    </row>
    <row r="98" spans="1:12" x14ac:dyDescent="0.3">
      <c r="A98" s="2" t="s">
        <v>197</v>
      </c>
      <c r="B98" t="s">
        <v>57</v>
      </c>
      <c r="C98" t="s">
        <v>192</v>
      </c>
      <c r="D98">
        <v>11.75</v>
      </c>
      <c r="E98">
        <v>6.25</v>
      </c>
      <c r="F98">
        <v>6.25</v>
      </c>
      <c r="G98">
        <f t="shared" si="11"/>
        <v>240.32421874999997</v>
      </c>
      <c r="H98">
        <f>11.75+8.9</f>
        <v>20.65</v>
      </c>
      <c r="I98">
        <f>H98*B$40</f>
        <v>57657142548.374092</v>
      </c>
      <c r="J98">
        <f t="shared" si="13"/>
        <v>5488436811786.5127</v>
      </c>
      <c r="K98">
        <f t="shared" si="14"/>
        <v>1.0505202943132074E-2</v>
      </c>
      <c r="L98" s="5" t="s">
        <v>298</v>
      </c>
    </row>
    <row r="99" spans="1:12" x14ac:dyDescent="0.3">
      <c r="A99" s="2" t="s">
        <v>193</v>
      </c>
      <c r="B99" t="s">
        <v>57</v>
      </c>
      <c r="C99" t="s">
        <v>192</v>
      </c>
      <c r="D99">
        <v>9</v>
      </c>
      <c r="E99">
        <v>5</v>
      </c>
      <c r="F99">
        <v>5</v>
      </c>
      <c r="G99">
        <f t="shared" si="11"/>
        <v>117.80999999999999</v>
      </c>
      <c r="H99">
        <f>20.25+9</f>
        <v>29.25</v>
      </c>
      <c r="I99">
        <f>H99*B$40</f>
        <v>81669318137.527466</v>
      </c>
      <c r="J99">
        <f t="shared" si="13"/>
        <v>2748664585151.8799</v>
      </c>
      <c r="K99">
        <f t="shared" si="14"/>
        <v>2.9712362351776274E-2</v>
      </c>
      <c r="L99" s="5" t="s">
        <v>299</v>
      </c>
    </row>
    <row r="100" spans="1:12" x14ac:dyDescent="0.3">
      <c r="A100" s="2" t="s">
        <v>212</v>
      </c>
      <c r="B100" t="s">
        <v>57</v>
      </c>
      <c r="C100" t="s">
        <v>211</v>
      </c>
      <c r="D100">
        <v>135.69999999999999</v>
      </c>
      <c r="E100">
        <v>118.3</v>
      </c>
      <c r="F100">
        <v>118.3</v>
      </c>
      <c r="G100">
        <f t="shared" si="11"/>
        <v>994372.20162279974</v>
      </c>
      <c r="H100">
        <f>52000*8</f>
        <v>416000</v>
      </c>
      <c r="I100">
        <f>H100*B$40</f>
        <v>1161519191289279.5</v>
      </c>
      <c r="J100">
        <f t="shared" si="13"/>
        <v>1.7688766989610828E+16</v>
      </c>
      <c r="K100">
        <f t="shared" si="14"/>
        <v>6.5664225888185226E-2</v>
      </c>
      <c r="L100" s="5" t="s">
        <v>300</v>
      </c>
    </row>
    <row r="101" spans="1:12" x14ac:dyDescent="0.3">
      <c r="A101" s="2" t="s">
        <v>114</v>
      </c>
      <c r="B101" t="s">
        <v>57</v>
      </c>
      <c r="C101" t="s">
        <v>112</v>
      </c>
      <c r="D101">
        <v>45</v>
      </c>
      <c r="E101">
        <v>15</v>
      </c>
      <c r="F101">
        <v>15</v>
      </c>
      <c r="G101">
        <f t="shared" si="11"/>
        <v>5301.4499999999989</v>
      </c>
      <c r="H101">
        <v>45</v>
      </c>
      <c r="I101">
        <f>H101*D$40</f>
        <v>251290209653.93069</v>
      </c>
      <c r="J101">
        <f t="shared" si="13"/>
        <v>110341246359968.36</v>
      </c>
      <c r="K101">
        <f t="shared" si="14"/>
        <v>2.2773914374153601E-3</v>
      </c>
      <c r="L101" s="5" t="s">
        <v>301</v>
      </c>
    </row>
    <row r="102" spans="1:12" x14ac:dyDescent="0.3">
      <c r="A102" s="2" t="s">
        <v>126</v>
      </c>
      <c r="B102" t="s">
        <v>57</v>
      </c>
      <c r="C102" t="s">
        <v>112</v>
      </c>
      <c r="D102">
        <v>52</v>
      </c>
      <c r="E102">
        <v>17</v>
      </c>
      <c r="F102">
        <v>17</v>
      </c>
      <c r="G102">
        <f t="shared" si="11"/>
        <v>7868.6607999999987</v>
      </c>
      <c r="H102">
        <v>72</v>
      </c>
      <c r="I102">
        <f>H102*D$40</f>
        <v>402064335446.28906</v>
      </c>
      <c r="J102">
        <f t="shared" si="13"/>
        <v>161844839060821.13</v>
      </c>
      <c r="K102">
        <f t="shared" si="14"/>
        <v>2.4842579953704529E-3</v>
      </c>
      <c r="L102" s="5" t="s">
        <v>292</v>
      </c>
    </row>
    <row r="103" spans="1:12" x14ac:dyDescent="0.3">
      <c r="A103" s="2" t="s">
        <v>76</v>
      </c>
      <c r="B103" t="s">
        <v>57</v>
      </c>
      <c r="C103" t="s">
        <v>74</v>
      </c>
      <c r="D103">
        <v>57.5</v>
      </c>
      <c r="E103">
        <v>34.1</v>
      </c>
      <c r="F103">
        <v>17.05</v>
      </c>
      <c r="G103">
        <f t="shared" si="11"/>
        <v>17504.360335000001</v>
      </c>
      <c r="H103">
        <f>840*10+10*30</f>
        <v>8700</v>
      </c>
      <c r="I103">
        <f t="shared" ref="I103:I111" si="15">H103*B$40</f>
        <v>24291386933213.301</v>
      </c>
      <c r="J103">
        <f t="shared" si="13"/>
        <v>351501281815032.56</v>
      </c>
      <c r="K103">
        <f t="shared" si="14"/>
        <v>6.9107534424286812E-2</v>
      </c>
      <c r="L103" s="5" t="s">
        <v>302</v>
      </c>
    </row>
    <row r="104" spans="1:12" x14ac:dyDescent="0.3">
      <c r="A104" s="2" t="s">
        <v>77</v>
      </c>
      <c r="B104" t="s">
        <v>57</v>
      </c>
      <c r="C104" t="s">
        <v>74</v>
      </c>
      <c r="D104">
        <v>72.599999999999994</v>
      </c>
      <c r="E104">
        <v>16.7</v>
      </c>
      <c r="F104">
        <v>16.7</v>
      </c>
      <c r="G104">
        <f t="shared" si="11"/>
        <v>10601.545970399997</v>
      </c>
      <c r="H104">
        <f>2025*5.9</f>
        <v>11947.5</v>
      </c>
      <c r="I104">
        <f t="shared" si="15"/>
        <v>33358775331559.297</v>
      </c>
      <c r="J104">
        <f t="shared" si="13"/>
        <v>216114138705475.47</v>
      </c>
      <c r="K104">
        <f t="shared" si="14"/>
        <v>0.15435720925700877</v>
      </c>
      <c r="L104" s="5" t="s">
        <v>303</v>
      </c>
    </row>
    <row r="105" spans="1:12" x14ac:dyDescent="0.3">
      <c r="A105" s="2" t="s">
        <v>103</v>
      </c>
      <c r="B105" t="s">
        <v>57</v>
      </c>
      <c r="C105" t="s">
        <v>104</v>
      </c>
      <c r="D105">
        <v>6.5</v>
      </c>
      <c r="E105">
        <v>6.5</v>
      </c>
      <c r="F105">
        <v>6.5</v>
      </c>
      <c r="G105">
        <f t="shared" si="11"/>
        <v>143.79364999999999</v>
      </c>
      <c r="H105">
        <f>2*16.25</f>
        <v>32.5</v>
      </c>
      <c r="I105">
        <f t="shared" si="15"/>
        <v>90743686819.474976</v>
      </c>
      <c r="J105">
        <f t="shared" si="13"/>
        <v>3334898129353.3623</v>
      </c>
      <c r="K105">
        <f t="shared" si="14"/>
        <v>2.7210332459861437E-2</v>
      </c>
      <c r="L105" s="5" t="s">
        <v>283</v>
      </c>
    </row>
    <row r="106" spans="1:12" x14ac:dyDescent="0.3">
      <c r="A106" s="2" t="s">
        <v>105</v>
      </c>
      <c r="B106" t="s">
        <v>57</v>
      </c>
      <c r="C106" t="s">
        <v>106</v>
      </c>
      <c r="D106">
        <v>6.5</v>
      </c>
      <c r="E106">
        <v>5</v>
      </c>
      <c r="F106">
        <v>5</v>
      </c>
      <c r="G106">
        <f t="shared" ref="G106:G137" si="16">4/3*3.1416*(D106/2)*(E106/2)*(F106/2)</f>
        <v>85.08499999999998</v>
      </c>
      <c r="H106">
        <f>3.25+7.5</f>
        <v>10.75</v>
      </c>
      <c r="I106">
        <f t="shared" si="15"/>
        <v>30015219486.441719</v>
      </c>
      <c r="J106">
        <f t="shared" ref="J106:J137" si="17">26.92*G106^0.97*10^9</f>
        <v>2004621890961.845</v>
      </c>
      <c r="K106">
        <f t="shared" ref="K106:K137" si="18">I106/J106</f>
        <v>1.4973007938190282E-2</v>
      </c>
      <c r="L106" s="5" t="s">
        <v>284</v>
      </c>
    </row>
    <row r="107" spans="1:12" x14ac:dyDescent="0.3">
      <c r="A107" s="2" t="s">
        <v>107</v>
      </c>
      <c r="B107" t="s">
        <v>57</v>
      </c>
      <c r="C107" t="s">
        <v>106</v>
      </c>
      <c r="D107">
        <v>5</v>
      </c>
      <c r="E107">
        <v>4</v>
      </c>
      <c r="F107">
        <v>4</v>
      </c>
      <c r="G107">
        <f t="shared" si="16"/>
        <v>41.887999999999998</v>
      </c>
      <c r="H107">
        <f>2*4</f>
        <v>8</v>
      </c>
      <c r="I107">
        <f t="shared" si="15"/>
        <v>22336907524.793839</v>
      </c>
      <c r="J107">
        <f t="shared" si="17"/>
        <v>1008096232487.6294</v>
      </c>
      <c r="K107">
        <f t="shared" si="18"/>
        <v>2.2157515130945538E-2</v>
      </c>
      <c r="L107" s="5" t="s">
        <v>283</v>
      </c>
    </row>
    <row r="108" spans="1:12" x14ac:dyDescent="0.3">
      <c r="A108" s="2" t="s">
        <v>208</v>
      </c>
      <c r="B108" t="s">
        <v>57</v>
      </c>
      <c r="C108" t="s">
        <v>202</v>
      </c>
      <c r="D108">
        <v>5</v>
      </c>
      <c r="E108">
        <v>3</v>
      </c>
      <c r="F108">
        <v>3</v>
      </c>
      <c r="G108">
        <f t="shared" si="16"/>
        <v>23.561999999999998</v>
      </c>
      <c r="H108">
        <f>2*9</f>
        <v>18</v>
      </c>
      <c r="I108">
        <f t="shared" si="15"/>
        <v>50258041930.786133</v>
      </c>
      <c r="J108">
        <f t="shared" si="17"/>
        <v>576926971278.26221</v>
      </c>
      <c r="K108">
        <f t="shared" si="18"/>
        <v>8.7113351312788218E-2</v>
      </c>
      <c r="L108" s="5" t="s">
        <v>304</v>
      </c>
    </row>
    <row r="109" spans="1:12" x14ac:dyDescent="0.3">
      <c r="A109" s="2" t="s">
        <v>63</v>
      </c>
      <c r="B109" t="s">
        <v>57</v>
      </c>
      <c r="C109" t="s">
        <v>64</v>
      </c>
      <c r="D109">
        <v>6.25</v>
      </c>
      <c r="E109">
        <v>3</v>
      </c>
      <c r="F109">
        <v>3</v>
      </c>
      <c r="G109">
        <f t="shared" si="16"/>
        <v>29.452499999999997</v>
      </c>
      <c r="H109">
        <v>12.5</v>
      </c>
      <c r="I109">
        <f t="shared" si="15"/>
        <v>34901418007.490372</v>
      </c>
      <c r="J109">
        <f t="shared" si="17"/>
        <v>716347179514.34998</v>
      </c>
      <c r="K109">
        <f t="shared" si="18"/>
        <v>4.8721372828119329E-2</v>
      </c>
      <c r="L109" s="5" t="s">
        <v>305</v>
      </c>
    </row>
    <row r="110" spans="1:12" x14ac:dyDescent="0.3">
      <c r="A110" s="2" t="s">
        <v>168</v>
      </c>
      <c r="B110" t="s">
        <v>57</v>
      </c>
      <c r="C110" t="s">
        <v>169</v>
      </c>
      <c r="D110">
        <v>17</v>
      </c>
      <c r="E110">
        <v>8.5</v>
      </c>
      <c r="F110">
        <v>8.5</v>
      </c>
      <c r="G110">
        <f t="shared" si="16"/>
        <v>643.11169999999993</v>
      </c>
      <c r="H110">
        <f>24*8.5</f>
        <v>204</v>
      </c>
      <c r="I110">
        <f t="shared" si="15"/>
        <v>569591141882.24292</v>
      </c>
      <c r="J110">
        <f t="shared" si="17"/>
        <v>14259781597331.158</v>
      </c>
      <c r="K110">
        <f t="shared" si="18"/>
        <v>3.9943889602688361E-2</v>
      </c>
      <c r="L110" s="5" t="s">
        <v>306</v>
      </c>
    </row>
    <row r="111" spans="1:12" x14ac:dyDescent="0.3">
      <c r="A111" s="2" t="s">
        <v>170</v>
      </c>
      <c r="B111" t="s">
        <v>57</v>
      </c>
      <c r="C111" t="s">
        <v>169</v>
      </c>
      <c r="D111">
        <v>18.3</v>
      </c>
      <c r="E111">
        <v>9.9</v>
      </c>
      <c r="F111">
        <v>9.9</v>
      </c>
      <c r="G111">
        <f t="shared" si="16"/>
        <v>939.12005880000004</v>
      </c>
      <c r="H111">
        <f>36*6</f>
        <v>216</v>
      </c>
      <c r="I111">
        <f t="shared" si="15"/>
        <v>603096503169.43359</v>
      </c>
      <c r="J111">
        <f t="shared" si="17"/>
        <v>20588017979724.25</v>
      </c>
      <c r="K111">
        <f t="shared" si="18"/>
        <v>2.9293567926906936E-2</v>
      </c>
      <c r="L111" s="5" t="s">
        <v>307</v>
      </c>
    </row>
    <row r="112" spans="1:12" x14ac:dyDescent="0.3">
      <c r="A112" s="2" t="s">
        <v>127</v>
      </c>
      <c r="B112" t="s">
        <v>57</v>
      </c>
      <c r="C112" t="s">
        <v>112</v>
      </c>
      <c r="D112">
        <v>17.5</v>
      </c>
      <c r="E112">
        <v>13</v>
      </c>
      <c r="F112">
        <v>13</v>
      </c>
      <c r="G112">
        <f t="shared" si="16"/>
        <v>1548.5469999999998</v>
      </c>
      <c r="H112">
        <f>2*17.5</f>
        <v>35</v>
      </c>
      <c r="I112">
        <f>H112*D$40</f>
        <v>195447940841.94608</v>
      </c>
      <c r="J112">
        <f t="shared" si="17"/>
        <v>33442729415860.363</v>
      </c>
      <c r="K112">
        <f t="shared" si="18"/>
        <v>5.8442580571564842E-3</v>
      </c>
      <c r="L112" s="5" t="s">
        <v>284</v>
      </c>
    </row>
    <row r="113" spans="1:12" x14ac:dyDescent="0.3">
      <c r="A113" s="2" t="s">
        <v>128</v>
      </c>
      <c r="B113" t="s">
        <v>57</v>
      </c>
      <c r="C113" t="s">
        <v>112</v>
      </c>
      <c r="D113">
        <v>18.5</v>
      </c>
      <c r="E113">
        <v>6</v>
      </c>
      <c r="F113">
        <v>6</v>
      </c>
      <c r="G113">
        <f t="shared" si="16"/>
        <v>348.71759999999995</v>
      </c>
      <c r="H113">
        <f>42+28</f>
        <v>70</v>
      </c>
      <c r="I113">
        <f>H113*D$40</f>
        <v>390895881683.89215</v>
      </c>
      <c r="J113">
        <f t="shared" si="17"/>
        <v>7875437814202.1377</v>
      </c>
      <c r="K113">
        <f t="shared" si="18"/>
        <v>4.9634812807355509E-2</v>
      </c>
      <c r="L113" s="5" t="s">
        <v>284</v>
      </c>
    </row>
    <row r="114" spans="1:12" x14ac:dyDescent="0.3">
      <c r="A114" s="2" t="s">
        <v>129</v>
      </c>
      <c r="B114" t="s">
        <v>57</v>
      </c>
      <c r="C114" t="s">
        <v>112</v>
      </c>
      <c r="D114">
        <v>200</v>
      </c>
      <c r="E114">
        <v>15</v>
      </c>
      <c r="F114">
        <v>15</v>
      </c>
      <c r="G114">
        <f t="shared" si="16"/>
        <v>23561.999999999996</v>
      </c>
      <c r="H114">
        <f>100+66</f>
        <v>166</v>
      </c>
      <c r="I114">
        <f>H114*D$40</f>
        <v>926981662278.94434</v>
      </c>
      <c r="J114">
        <f t="shared" si="17"/>
        <v>468943847853099.88</v>
      </c>
      <c r="K114">
        <f t="shared" si="18"/>
        <v>1.9767434129327318E-3</v>
      </c>
      <c r="L114" s="5" t="s">
        <v>284</v>
      </c>
    </row>
    <row r="115" spans="1:12" x14ac:dyDescent="0.3">
      <c r="A115" s="2" t="s">
        <v>130</v>
      </c>
      <c r="B115" t="s">
        <v>57</v>
      </c>
      <c r="C115" t="s">
        <v>112</v>
      </c>
      <c r="D115">
        <v>30</v>
      </c>
      <c r="E115">
        <v>15</v>
      </c>
      <c r="F115">
        <v>15</v>
      </c>
      <c r="G115">
        <f t="shared" si="16"/>
        <v>3534.2999999999997</v>
      </c>
      <c r="H115">
        <f>30+60</f>
        <v>90</v>
      </c>
      <c r="I115">
        <f>H115*D$40</f>
        <v>502580419307.86139</v>
      </c>
      <c r="J115">
        <f t="shared" si="17"/>
        <v>74461085642338.875</v>
      </c>
      <c r="K115">
        <f t="shared" si="18"/>
        <v>6.7495714704177258E-3</v>
      </c>
      <c r="L115" s="5" t="s">
        <v>284</v>
      </c>
    </row>
    <row r="116" spans="1:12" x14ac:dyDescent="0.3">
      <c r="A116" s="2" t="s">
        <v>194</v>
      </c>
      <c r="B116" t="s">
        <v>57</v>
      </c>
      <c r="C116" t="s">
        <v>192</v>
      </c>
      <c r="D116">
        <v>8.5</v>
      </c>
      <c r="E116">
        <v>5.8</v>
      </c>
      <c r="F116">
        <v>5.8</v>
      </c>
      <c r="G116">
        <f t="shared" si="16"/>
        <v>149.71818399999998</v>
      </c>
      <c r="H116">
        <f>25.5+10.65</f>
        <v>36.15</v>
      </c>
      <c r="I116">
        <f t="shared" ref="I116:I125" si="19">H116*B$40</f>
        <v>100934900877.66216</v>
      </c>
      <c r="J116">
        <f t="shared" si="17"/>
        <v>3468098069216.8999</v>
      </c>
      <c r="K116">
        <f t="shared" si="18"/>
        <v>2.910381969113502E-2</v>
      </c>
      <c r="L116" s="5" t="s">
        <v>308</v>
      </c>
    </row>
    <row r="117" spans="1:12" x14ac:dyDescent="0.3">
      <c r="A117" s="2" t="s">
        <v>213</v>
      </c>
      <c r="B117" t="s">
        <v>57</v>
      </c>
      <c r="C117" t="s">
        <v>211</v>
      </c>
      <c r="D117">
        <v>90</v>
      </c>
      <c r="E117">
        <v>20</v>
      </c>
      <c r="F117">
        <v>20</v>
      </c>
      <c r="G117">
        <f t="shared" si="16"/>
        <v>18849.599999999999</v>
      </c>
      <c r="H117">
        <f>744*12</f>
        <v>8928</v>
      </c>
      <c r="I117">
        <f t="shared" si="19"/>
        <v>24927988797669.922</v>
      </c>
      <c r="J117">
        <f t="shared" si="17"/>
        <v>377674906216397.31</v>
      </c>
      <c r="K117">
        <f t="shared" si="18"/>
        <v>6.6003826008463662E-2</v>
      </c>
      <c r="L117" s="5" t="s">
        <v>309</v>
      </c>
    </row>
    <row r="118" spans="1:12" x14ac:dyDescent="0.3">
      <c r="A118" s="2" t="s">
        <v>214</v>
      </c>
      <c r="B118" t="s">
        <v>57</v>
      </c>
      <c r="C118" t="s">
        <v>211</v>
      </c>
      <c r="D118">
        <v>140</v>
      </c>
      <c r="E118">
        <v>10</v>
      </c>
      <c r="F118">
        <v>10</v>
      </c>
      <c r="G118">
        <f t="shared" si="16"/>
        <v>7330.3999999999987</v>
      </c>
      <c r="H118">
        <f>135*15</f>
        <v>2025</v>
      </c>
      <c r="I118">
        <f t="shared" si="19"/>
        <v>5654029717213.4404</v>
      </c>
      <c r="J118">
        <f t="shared" si="17"/>
        <v>151094584560805.72</v>
      </c>
      <c r="K118">
        <f t="shared" si="18"/>
        <v>3.742046568808733E-2</v>
      </c>
      <c r="L118" s="5" t="s">
        <v>309</v>
      </c>
    </row>
    <row r="119" spans="1:12" x14ac:dyDescent="0.3">
      <c r="A119" s="2" t="s">
        <v>249</v>
      </c>
      <c r="B119" t="s">
        <v>57</v>
      </c>
      <c r="C119" t="s">
        <v>246</v>
      </c>
      <c r="D119">
        <v>15</v>
      </c>
      <c r="E119">
        <v>8</v>
      </c>
      <c r="F119">
        <v>8</v>
      </c>
      <c r="G119">
        <f t="shared" si="16"/>
        <v>502.65599999999995</v>
      </c>
      <c r="H119">
        <v>36</v>
      </c>
      <c r="I119">
        <f t="shared" si="19"/>
        <v>100516083861.57227</v>
      </c>
      <c r="J119">
        <f t="shared" si="17"/>
        <v>11228139515781.799</v>
      </c>
      <c r="K119">
        <f t="shared" si="18"/>
        <v>8.952158433753972E-3</v>
      </c>
      <c r="L119" s="5" t="s">
        <v>310</v>
      </c>
    </row>
    <row r="120" spans="1:12" x14ac:dyDescent="0.3">
      <c r="A120" s="2" t="s">
        <v>195</v>
      </c>
      <c r="B120" t="s">
        <v>57</v>
      </c>
      <c r="C120" t="s">
        <v>192</v>
      </c>
      <c r="D120">
        <v>11.9</v>
      </c>
      <c r="E120">
        <v>3.5</v>
      </c>
      <c r="F120">
        <v>3.5</v>
      </c>
      <c r="G120">
        <f t="shared" si="16"/>
        <v>76.327789999999993</v>
      </c>
      <c r="H120">
        <v>30</v>
      </c>
      <c r="I120">
        <f t="shared" si="19"/>
        <v>83763403217.976898</v>
      </c>
      <c r="J120">
        <f t="shared" si="17"/>
        <v>1804169193459.5361</v>
      </c>
      <c r="K120">
        <f t="shared" si="18"/>
        <v>4.6427687337548776E-2</v>
      </c>
      <c r="L120" s="5" t="s">
        <v>311</v>
      </c>
    </row>
    <row r="121" spans="1:12" x14ac:dyDescent="0.3">
      <c r="A121" s="2" t="s">
        <v>215</v>
      </c>
      <c r="B121" t="s">
        <v>57</v>
      </c>
      <c r="C121" t="s">
        <v>211</v>
      </c>
      <c r="D121">
        <v>125</v>
      </c>
      <c r="E121">
        <v>90</v>
      </c>
      <c r="F121">
        <v>90</v>
      </c>
      <c r="G121">
        <f t="shared" si="16"/>
        <v>530144.99999999988</v>
      </c>
      <c r="H121">
        <f>2000*65</f>
        <v>130000</v>
      </c>
      <c r="I121">
        <f t="shared" si="19"/>
        <v>362974747277899.88</v>
      </c>
      <c r="J121">
        <f t="shared" si="17"/>
        <v>9610320804990644</v>
      </c>
      <c r="K121">
        <f t="shared" si="18"/>
        <v>3.7769264381830724E-2</v>
      </c>
      <c r="L121" s="5" t="s">
        <v>312</v>
      </c>
    </row>
    <row r="122" spans="1:12" x14ac:dyDescent="0.3">
      <c r="A122" s="2" t="s">
        <v>196</v>
      </c>
      <c r="B122" t="s">
        <v>57</v>
      </c>
      <c r="C122" t="s">
        <v>192</v>
      </c>
      <c r="D122">
        <v>12.9</v>
      </c>
      <c r="E122">
        <v>6.5</v>
      </c>
      <c r="F122">
        <v>6.5</v>
      </c>
      <c r="G122">
        <f t="shared" si="16"/>
        <v>285.37509</v>
      </c>
      <c r="H122">
        <f>19.5+13</f>
        <v>32.5</v>
      </c>
      <c r="I122">
        <f t="shared" si="19"/>
        <v>90743686819.474976</v>
      </c>
      <c r="J122">
        <f t="shared" si="17"/>
        <v>6483785444998.4531</v>
      </c>
      <c r="K122">
        <f t="shared" si="18"/>
        <v>1.3995479583531565E-2</v>
      </c>
      <c r="L122" s="5" t="s">
        <v>313</v>
      </c>
    </row>
    <row r="123" spans="1:12" x14ac:dyDescent="0.3">
      <c r="A123" s="2" t="s">
        <v>78</v>
      </c>
      <c r="B123" t="s">
        <v>57</v>
      </c>
      <c r="C123" t="s">
        <v>74</v>
      </c>
      <c r="D123">
        <v>487</v>
      </c>
      <c r="E123">
        <v>40</v>
      </c>
      <c r="F123">
        <v>40</v>
      </c>
      <c r="G123">
        <f t="shared" si="16"/>
        <v>407989.12</v>
      </c>
      <c r="H123">
        <f>670*7.5</f>
        <v>5025</v>
      </c>
      <c r="I123">
        <f t="shared" si="19"/>
        <v>14030370039011.129</v>
      </c>
      <c r="J123">
        <f t="shared" si="17"/>
        <v>7454253876593500</v>
      </c>
      <c r="K123">
        <f t="shared" si="18"/>
        <v>1.8821964305598391E-3</v>
      </c>
      <c r="L123" s="5" t="s">
        <v>314</v>
      </c>
    </row>
    <row r="124" spans="1:12" x14ac:dyDescent="0.3">
      <c r="A124" s="2" t="s">
        <v>59</v>
      </c>
      <c r="B124" t="s">
        <v>57</v>
      </c>
      <c r="C124" t="s">
        <v>58</v>
      </c>
      <c r="D124">
        <v>12.5</v>
      </c>
      <c r="E124">
        <v>6.05</v>
      </c>
      <c r="F124">
        <v>6.05</v>
      </c>
      <c r="G124">
        <f t="shared" si="16"/>
        <v>239.56336249999995</v>
      </c>
      <c r="H124">
        <v>36</v>
      </c>
      <c r="I124">
        <f t="shared" si="19"/>
        <v>100516083861.57227</v>
      </c>
      <c r="J124">
        <f t="shared" si="17"/>
        <v>5471581137814.1738</v>
      </c>
      <c r="K124">
        <f t="shared" si="18"/>
        <v>1.8370573574593312E-2</v>
      </c>
      <c r="L124" s="5" t="s">
        <v>284</v>
      </c>
    </row>
    <row r="125" spans="1:12" x14ac:dyDescent="0.3">
      <c r="A125" s="2" t="s">
        <v>60</v>
      </c>
      <c r="B125" t="s">
        <v>57</v>
      </c>
      <c r="C125" t="s">
        <v>58</v>
      </c>
      <c r="D125">
        <v>9.5</v>
      </c>
      <c r="E125">
        <v>4.95</v>
      </c>
      <c r="F125">
        <v>4.95</v>
      </c>
      <c r="G125">
        <f t="shared" si="16"/>
        <v>121.8803355</v>
      </c>
      <c r="H125">
        <v>17.5</v>
      </c>
      <c r="I125">
        <f t="shared" si="19"/>
        <v>48861985210.486519</v>
      </c>
      <c r="J125">
        <f t="shared" si="17"/>
        <v>2840734772470.5098</v>
      </c>
      <c r="K125">
        <f t="shared" si="18"/>
        <v>1.7200474216743783E-2</v>
      </c>
      <c r="L125" s="5" t="s">
        <v>284</v>
      </c>
    </row>
    <row r="126" spans="1:12" x14ac:dyDescent="0.3">
      <c r="A126" s="2" t="s">
        <v>131</v>
      </c>
      <c r="B126" t="s">
        <v>57</v>
      </c>
      <c r="C126" t="s">
        <v>112</v>
      </c>
      <c r="D126">
        <v>45</v>
      </c>
      <c r="E126">
        <v>7</v>
      </c>
      <c r="F126">
        <v>7</v>
      </c>
      <c r="G126">
        <f t="shared" si="16"/>
        <v>1154.5379999999998</v>
      </c>
      <c r="H126">
        <v>21</v>
      </c>
      <c r="I126">
        <f>H126*D$40</f>
        <v>117268764505.16765</v>
      </c>
      <c r="J126">
        <f t="shared" si="17"/>
        <v>25154230734070.477</v>
      </c>
      <c r="K126">
        <f t="shared" si="18"/>
        <v>4.6619896964820093E-3</v>
      </c>
      <c r="L126" s="5" t="s">
        <v>263</v>
      </c>
    </row>
    <row r="127" spans="1:12" x14ac:dyDescent="0.3">
      <c r="A127" s="2" t="s">
        <v>79</v>
      </c>
      <c r="B127" t="s">
        <v>57</v>
      </c>
      <c r="C127" t="s">
        <v>74</v>
      </c>
      <c r="D127">
        <v>37.5</v>
      </c>
      <c r="E127">
        <v>16</v>
      </c>
      <c r="F127">
        <v>16</v>
      </c>
      <c r="G127">
        <f t="shared" si="16"/>
        <v>5026.5599999999995</v>
      </c>
      <c r="H127">
        <f>390*7.5+15</f>
        <v>2940</v>
      </c>
      <c r="I127">
        <f t="shared" ref="I127:I142" si="20">H127*B$40</f>
        <v>8208813515361.7354</v>
      </c>
      <c r="J127">
        <f t="shared" si="17"/>
        <v>104787094930519.95</v>
      </c>
      <c r="K127">
        <f t="shared" si="18"/>
        <v>7.8338019780056542E-2</v>
      </c>
      <c r="L127" s="5" t="s">
        <v>315</v>
      </c>
    </row>
    <row r="128" spans="1:12" x14ac:dyDescent="0.3">
      <c r="A128" s="2" t="s">
        <v>250</v>
      </c>
      <c r="B128" t="s">
        <v>57</v>
      </c>
      <c r="C128" t="s">
        <v>246</v>
      </c>
      <c r="D128">
        <v>6</v>
      </c>
      <c r="E128">
        <v>6</v>
      </c>
      <c r="F128">
        <v>6</v>
      </c>
      <c r="G128">
        <f t="shared" si="16"/>
        <v>113.09759999999997</v>
      </c>
      <c r="H128">
        <f>3+15</f>
        <v>18</v>
      </c>
      <c r="I128">
        <f t="shared" si="20"/>
        <v>50258041930.786133</v>
      </c>
      <c r="J128">
        <f t="shared" si="17"/>
        <v>2641951513271.751</v>
      </c>
      <c r="K128">
        <f t="shared" si="18"/>
        <v>1.9023075055812577E-2</v>
      </c>
      <c r="L128" s="5" t="s">
        <v>292</v>
      </c>
    </row>
    <row r="129" spans="1:12" x14ac:dyDescent="0.3">
      <c r="A129" s="2" t="s">
        <v>228</v>
      </c>
      <c r="B129" t="s">
        <v>57</v>
      </c>
      <c r="C129" t="s">
        <v>223</v>
      </c>
      <c r="D129">
        <v>5.6</v>
      </c>
      <c r="E129">
        <v>3.8</v>
      </c>
      <c r="F129">
        <v>3.8</v>
      </c>
      <c r="G129">
        <f t="shared" si="16"/>
        <v>42.34039039999999</v>
      </c>
      <c r="H129">
        <f>22.1+13.8+13+13</f>
        <v>61.900000000000006</v>
      </c>
      <c r="I129">
        <f t="shared" si="20"/>
        <v>172831821973.09235</v>
      </c>
      <c r="J129">
        <f t="shared" si="17"/>
        <v>1018655344076.2518</v>
      </c>
      <c r="K129">
        <f t="shared" si="18"/>
        <v>0.1696666325643455</v>
      </c>
      <c r="L129" s="5" t="s">
        <v>287</v>
      </c>
    </row>
    <row r="130" spans="1:12" x14ac:dyDescent="0.3">
      <c r="A130" s="2" t="s">
        <v>229</v>
      </c>
      <c r="B130" t="s">
        <v>57</v>
      </c>
      <c r="C130" t="s">
        <v>223</v>
      </c>
      <c r="D130">
        <v>6.7</v>
      </c>
      <c r="E130">
        <v>5</v>
      </c>
      <c r="F130">
        <v>5</v>
      </c>
      <c r="G130">
        <f t="shared" si="16"/>
        <v>87.702999999999989</v>
      </c>
      <c r="H130">
        <f>22.8+15+14.6+14.6</f>
        <v>67</v>
      </c>
      <c r="I130">
        <f t="shared" si="20"/>
        <v>187071600520.14841</v>
      </c>
      <c r="J130">
        <f t="shared" si="17"/>
        <v>2064424817604.4617</v>
      </c>
      <c r="K130">
        <f t="shared" si="18"/>
        <v>9.0616814390569317E-2</v>
      </c>
      <c r="L130" s="5" t="s">
        <v>287</v>
      </c>
    </row>
    <row r="131" spans="1:12" x14ac:dyDescent="0.3">
      <c r="A131" s="2" t="s">
        <v>230</v>
      </c>
      <c r="B131" t="s">
        <v>57</v>
      </c>
      <c r="C131" t="s">
        <v>223</v>
      </c>
      <c r="D131">
        <v>6.7</v>
      </c>
      <c r="E131">
        <v>3.6</v>
      </c>
      <c r="F131">
        <v>3.6</v>
      </c>
      <c r="G131">
        <f t="shared" si="16"/>
        <v>45.465235200000002</v>
      </c>
      <c r="H131">
        <f>23+14.7+14+14</f>
        <v>65.7</v>
      </c>
      <c r="I131">
        <f t="shared" si="20"/>
        <v>183441853047.36942</v>
      </c>
      <c r="J131">
        <f t="shared" si="17"/>
        <v>1091500940862.4312</v>
      </c>
      <c r="K131">
        <f t="shared" si="18"/>
        <v>0.16806385242547378</v>
      </c>
      <c r="L131" s="5" t="s">
        <v>287</v>
      </c>
    </row>
    <row r="132" spans="1:12" x14ac:dyDescent="0.3">
      <c r="A132" s="2" t="s">
        <v>231</v>
      </c>
      <c r="B132" t="s">
        <v>57</v>
      </c>
      <c r="C132" t="s">
        <v>223</v>
      </c>
      <c r="D132">
        <v>5.4</v>
      </c>
      <c r="E132">
        <v>3.1</v>
      </c>
      <c r="F132">
        <v>3.1</v>
      </c>
      <c r="G132">
        <f t="shared" si="16"/>
        <v>27.171698399999997</v>
      </c>
      <c r="H132">
        <f>16.7+10.7+10+10</f>
        <v>47.4</v>
      </c>
      <c r="I132">
        <f t="shared" si="20"/>
        <v>132346177084.40349</v>
      </c>
      <c r="J132">
        <f t="shared" si="17"/>
        <v>662473235920.90942</v>
      </c>
      <c r="K132">
        <f t="shared" si="18"/>
        <v>0.19977588513508474</v>
      </c>
      <c r="L132" s="5" t="s">
        <v>287</v>
      </c>
    </row>
    <row r="133" spans="1:12" x14ac:dyDescent="0.3">
      <c r="A133" s="2" t="s">
        <v>232</v>
      </c>
      <c r="B133" t="s">
        <v>57</v>
      </c>
      <c r="C133" t="s">
        <v>223</v>
      </c>
      <c r="D133">
        <v>5.8</v>
      </c>
      <c r="E133">
        <v>3.5</v>
      </c>
      <c r="F133">
        <v>3.5</v>
      </c>
      <c r="G133">
        <f t="shared" si="16"/>
        <v>37.201779999999992</v>
      </c>
      <c r="H133">
        <f>20.1+11+10.7+10.7</f>
        <v>52.5</v>
      </c>
      <c r="I133">
        <f t="shared" si="20"/>
        <v>146585955631.45956</v>
      </c>
      <c r="J133">
        <f t="shared" si="17"/>
        <v>898507825844.8446</v>
      </c>
      <c r="K133">
        <f t="shared" si="18"/>
        <v>0.1631437717235556</v>
      </c>
      <c r="L133" s="5" t="s">
        <v>287</v>
      </c>
    </row>
    <row r="134" spans="1:12" x14ac:dyDescent="0.3">
      <c r="A134" s="2" t="s">
        <v>233</v>
      </c>
      <c r="B134" t="s">
        <v>57</v>
      </c>
      <c r="C134" t="s">
        <v>223</v>
      </c>
      <c r="D134">
        <v>7.2</v>
      </c>
      <c r="E134">
        <v>5.7</v>
      </c>
      <c r="F134">
        <v>5.7</v>
      </c>
      <c r="G134">
        <f t="shared" si="16"/>
        <v>122.48470080000001</v>
      </c>
      <c r="H134">
        <f>18+14.5+15.7+15.7</f>
        <v>63.900000000000006</v>
      </c>
      <c r="I134">
        <f t="shared" si="20"/>
        <v>178416048854.2908</v>
      </c>
      <c r="J134">
        <f t="shared" si="17"/>
        <v>2854397457372.2988</v>
      </c>
      <c r="K134">
        <f t="shared" si="18"/>
        <v>6.2505678175083942E-2</v>
      </c>
      <c r="L134" s="5" t="s">
        <v>287</v>
      </c>
    </row>
    <row r="135" spans="1:12" x14ac:dyDescent="0.3">
      <c r="A135" s="2" t="s">
        <v>234</v>
      </c>
      <c r="B135" t="s">
        <v>57</v>
      </c>
      <c r="C135" t="s">
        <v>223</v>
      </c>
      <c r="D135">
        <v>6.9</v>
      </c>
      <c r="E135">
        <v>4.9000000000000004</v>
      </c>
      <c r="F135">
        <v>4.9000000000000004</v>
      </c>
      <c r="G135">
        <f t="shared" si="16"/>
        <v>86.744288400000016</v>
      </c>
      <c r="H135">
        <f>26.4+19.7+20.1+20.1</f>
        <v>86.299999999999983</v>
      </c>
      <c r="I135">
        <f t="shared" si="20"/>
        <v>240959389923.71347</v>
      </c>
      <c r="J135">
        <f t="shared" si="17"/>
        <v>2042531286490.0127</v>
      </c>
      <c r="K135">
        <f t="shared" si="18"/>
        <v>0.11797096647551973</v>
      </c>
      <c r="L135" s="5" t="s">
        <v>287</v>
      </c>
    </row>
    <row r="136" spans="1:12" x14ac:dyDescent="0.3">
      <c r="A136" s="2" t="s">
        <v>235</v>
      </c>
      <c r="B136" t="s">
        <v>57</v>
      </c>
      <c r="C136" t="s">
        <v>223</v>
      </c>
      <c r="D136">
        <v>6.8</v>
      </c>
      <c r="E136">
        <v>5.4</v>
      </c>
      <c r="F136">
        <v>5.4</v>
      </c>
      <c r="G136">
        <f t="shared" si="16"/>
        <v>103.8235968</v>
      </c>
      <c r="H136">
        <f>24.8+15.1+18.9+18.9</f>
        <v>77.699999999999989</v>
      </c>
      <c r="I136">
        <f t="shared" si="20"/>
        <v>216947214334.56012</v>
      </c>
      <c r="J136">
        <f t="shared" si="17"/>
        <v>2431544621054.4331</v>
      </c>
      <c r="K136">
        <f t="shared" si="18"/>
        <v>8.9221975388007274E-2</v>
      </c>
      <c r="L136" s="5" t="s">
        <v>287</v>
      </c>
    </row>
    <row r="137" spans="1:12" x14ac:dyDescent="0.3">
      <c r="A137" s="2" t="s">
        <v>236</v>
      </c>
      <c r="B137" t="s">
        <v>57</v>
      </c>
      <c r="C137" t="s">
        <v>223</v>
      </c>
      <c r="D137">
        <v>5.7</v>
      </c>
      <c r="E137">
        <v>3.3</v>
      </c>
      <c r="F137">
        <v>3.3</v>
      </c>
      <c r="G137">
        <f t="shared" si="16"/>
        <v>32.501422799999993</v>
      </c>
      <c r="H137">
        <f>18.1+11.4+11.3+11.3</f>
        <v>52.099999999999994</v>
      </c>
      <c r="I137">
        <f t="shared" si="20"/>
        <v>145469110255.21985</v>
      </c>
      <c r="J137">
        <f t="shared" si="17"/>
        <v>788170829927.30811</v>
      </c>
      <c r="K137">
        <f t="shared" si="18"/>
        <v>0.18456545806019775</v>
      </c>
      <c r="L137" s="5" t="s">
        <v>287</v>
      </c>
    </row>
    <row r="138" spans="1:12" x14ac:dyDescent="0.3">
      <c r="A138" s="2" t="s">
        <v>237</v>
      </c>
      <c r="B138" t="s">
        <v>57</v>
      </c>
      <c r="C138" t="s">
        <v>223</v>
      </c>
      <c r="D138">
        <v>5.6</v>
      </c>
      <c r="E138">
        <v>3.5</v>
      </c>
      <c r="F138">
        <v>3.5</v>
      </c>
      <c r="G138">
        <f t="shared" ref="G138:G168" si="21">4/3*3.1416*(D138/2)*(E138/2)*(F138/2)</f>
        <v>35.918959999999998</v>
      </c>
      <c r="H138">
        <f>27.7+13.1+13.1+13.1</f>
        <v>67</v>
      </c>
      <c r="I138">
        <f t="shared" si="20"/>
        <v>187071600520.14841</v>
      </c>
      <c r="J138">
        <f t="shared" ref="J138:J168" si="22">26.92*G138^0.97*10^9</f>
        <v>868438555961.23035</v>
      </c>
      <c r="K138">
        <f t="shared" ref="K138:K168" si="23">I138/J138</f>
        <v>0.21541144072431054</v>
      </c>
      <c r="L138" s="5" t="s">
        <v>287</v>
      </c>
    </row>
    <row r="139" spans="1:12" x14ac:dyDescent="0.3">
      <c r="A139" s="2" t="s">
        <v>238</v>
      </c>
      <c r="B139" t="s">
        <v>57</v>
      </c>
      <c r="C139" t="s">
        <v>223</v>
      </c>
      <c r="D139">
        <v>5.7</v>
      </c>
      <c r="E139">
        <v>3.6</v>
      </c>
      <c r="F139">
        <v>3.6</v>
      </c>
      <c r="G139">
        <f t="shared" si="21"/>
        <v>38.6793792</v>
      </c>
      <c r="H139">
        <f>20.4+12.6+11.6+11.6</f>
        <v>56.2</v>
      </c>
      <c r="I139">
        <f t="shared" si="20"/>
        <v>156916775361.67673</v>
      </c>
      <c r="J139">
        <f t="shared" si="22"/>
        <v>933104246296.05286</v>
      </c>
      <c r="K139">
        <f t="shared" si="23"/>
        <v>0.16816639296686964</v>
      </c>
      <c r="L139" s="5" t="s">
        <v>287</v>
      </c>
    </row>
    <row r="140" spans="1:12" x14ac:dyDescent="0.3">
      <c r="A140" s="2" t="s">
        <v>239</v>
      </c>
      <c r="B140" t="s">
        <v>57</v>
      </c>
      <c r="C140" t="s">
        <v>223</v>
      </c>
      <c r="D140">
        <v>5.9</v>
      </c>
      <c r="E140">
        <v>4.5</v>
      </c>
      <c r="F140">
        <v>4.5</v>
      </c>
      <c r="G140">
        <f t="shared" si="21"/>
        <v>62.557109999999994</v>
      </c>
      <c r="H140">
        <f>21.8+12.9+12.1+12.1</f>
        <v>58.900000000000006</v>
      </c>
      <c r="I140">
        <f t="shared" si="20"/>
        <v>164455481651.29465</v>
      </c>
      <c r="J140">
        <f t="shared" si="22"/>
        <v>1487522119124.397</v>
      </c>
      <c r="K140">
        <f t="shared" si="23"/>
        <v>0.11055666301493278</v>
      </c>
      <c r="L140" s="5" t="s">
        <v>287</v>
      </c>
    </row>
    <row r="141" spans="1:12" x14ac:dyDescent="0.3">
      <c r="A141" s="2" t="s">
        <v>240</v>
      </c>
      <c r="B141" t="s">
        <v>57</v>
      </c>
      <c r="C141" t="s">
        <v>223</v>
      </c>
      <c r="D141">
        <v>6.6</v>
      </c>
      <c r="E141">
        <v>4.4000000000000004</v>
      </c>
      <c r="F141">
        <v>4.4000000000000004</v>
      </c>
      <c r="G141">
        <f t="shared" si="21"/>
        <v>66.903513600000011</v>
      </c>
      <c r="H141">
        <f>25.3+14.5+14.5+14.5</f>
        <v>68.8</v>
      </c>
      <c r="I141">
        <f t="shared" si="20"/>
        <v>192097404713.22699</v>
      </c>
      <c r="J141">
        <f t="shared" si="22"/>
        <v>1587671007353.5244</v>
      </c>
      <c r="K141">
        <f t="shared" si="23"/>
        <v>0.12099320566005205</v>
      </c>
      <c r="L141" s="5" t="s">
        <v>287</v>
      </c>
    </row>
    <row r="142" spans="1:12" x14ac:dyDescent="0.3">
      <c r="A142" s="2" t="s">
        <v>80</v>
      </c>
      <c r="B142" t="s">
        <v>57</v>
      </c>
      <c r="C142" t="s">
        <v>74</v>
      </c>
      <c r="D142">
        <v>60</v>
      </c>
      <c r="E142">
        <v>35</v>
      </c>
      <c r="F142">
        <v>35</v>
      </c>
      <c r="G142">
        <f t="shared" si="21"/>
        <v>38484.6</v>
      </c>
      <c r="H142">
        <f>288*9+20</f>
        <v>2612</v>
      </c>
      <c r="I142">
        <f t="shared" si="20"/>
        <v>7293000306845.1885</v>
      </c>
      <c r="J142">
        <f t="shared" si="22"/>
        <v>754750523988646.75</v>
      </c>
      <c r="K142">
        <f t="shared" si="23"/>
        <v>9.66279595051317E-3</v>
      </c>
      <c r="L142" s="5" t="s">
        <v>285</v>
      </c>
    </row>
    <row r="143" spans="1:12" x14ac:dyDescent="0.3">
      <c r="A143" s="2" t="s">
        <v>132</v>
      </c>
      <c r="B143" t="s">
        <v>57</v>
      </c>
      <c r="C143" t="s">
        <v>112</v>
      </c>
      <c r="D143">
        <v>13</v>
      </c>
      <c r="E143">
        <v>9</v>
      </c>
      <c r="F143">
        <v>9</v>
      </c>
      <c r="G143">
        <f t="shared" si="21"/>
        <v>551.35079999999994</v>
      </c>
      <c r="H143">
        <f>13+9.8</f>
        <v>22.8</v>
      </c>
      <c r="I143">
        <f t="shared" ref="I143:I155" si="24">H143*D$40</f>
        <v>127320372891.32489</v>
      </c>
      <c r="J143">
        <f t="shared" si="22"/>
        <v>12281749192565.199</v>
      </c>
      <c r="K143">
        <f t="shared" si="23"/>
        <v>1.0366631893802125E-2</v>
      </c>
      <c r="L143" s="5" t="s">
        <v>284</v>
      </c>
    </row>
    <row r="144" spans="1:12" x14ac:dyDescent="0.3">
      <c r="A144" s="2" t="s">
        <v>133</v>
      </c>
      <c r="B144" t="s">
        <v>57</v>
      </c>
      <c r="C144" t="s">
        <v>112</v>
      </c>
      <c r="D144">
        <v>10</v>
      </c>
      <c r="E144">
        <v>4.0999999999999996</v>
      </c>
      <c r="F144">
        <v>4.0999999999999996</v>
      </c>
      <c r="G144">
        <f t="shared" si="21"/>
        <v>88.017159999999976</v>
      </c>
      <c r="H144">
        <f>20+7.5</f>
        <v>27.5</v>
      </c>
      <c r="I144">
        <f t="shared" si="24"/>
        <v>153566239232.95764</v>
      </c>
      <c r="J144">
        <f t="shared" si="22"/>
        <v>2071597538590.4026</v>
      </c>
      <c r="K144">
        <f t="shared" si="23"/>
        <v>7.4129379076908072E-2</v>
      </c>
      <c r="L144" s="5" t="s">
        <v>283</v>
      </c>
    </row>
    <row r="145" spans="1:12" x14ac:dyDescent="0.3">
      <c r="A145" s="2" t="s">
        <v>133</v>
      </c>
      <c r="B145" t="s">
        <v>57</v>
      </c>
      <c r="C145" t="s">
        <v>112</v>
      </c>
      <c r="D145">
        <v>11.5</v>
      </c>
      <c r="E145">
        <v>6</v>
      </c>
      <c r="F145">
        <v>6</v>
      </c>
      <c r="G145">
        <f t="shared" si="21"/>
        <v>216.7704</v>
      </c>
      <c r="H145">
        <f>23+8.65</f>
        <v>31.65</v>
      </c>
      <c r="I145">
        <f t="shared" si="24"/>
        <v>176740780789.93124</v>
      </c>
      <c r="J145">
        <f t="shared" si="22"/>
        <v>4965866444806.2832</v>
      </c>
      <c r="K145">
        <f t="shared" si="23"/>
        <v>3.5591126494104869E-2</v>
      </c>
      <c r="L145" s="5" t="s">
        <v>284</v>
      </c>
    </row>
    <row r="146" spans="1:12" x14ac:dyDescent="0.3">
      <c r="A146" s="2" t="s">
        <v>134</v>
      </c>
      <c r="B146" t="s">
        <v>57</v>
      </c>
      <c r="C146" t="s">
        <v>112</v>
      </c>
      <c r="D146">
        <v>16.5</v>
      </c>
      <c r="E146">
        <v>8.5</v>
      </c>
      <c r="F146">
        <v>8.5</v>
      </c>
      <c r="G146">
        <f t="shared" si="21"/>
        <v>624.19664999999986</v>
      </c>
      <c r="H146">
        <f>24.75+16.5</f>
        <v>41.25</v>
      </c>
      <c r="I146">
        <f t="shared" si="24"/>
        <v>230349358849.43646</v>
      </c>
      <c r="J146">
        <f t="shared" si="22"/>
        <v>13852777095702.021</v>
      </c>
      <c r="K146">
        <f t="shared" si="23"/>
        <v>1.6628388463776331E-2</v>
      </c>
      <c r="L146" s="5" t="s">
        <v>283</v>
      </c>
    </row>
    <row r="147" spans="1:12" x14ac:dyDescent="0.3">
      <c r="A147" s="2" t="s">
        <v>135</v>
      </c>
      <c r="B147" t="s">
        <v>57</v>
      </c>
      <c r="C147" t="s">
        <v>112</v>
      </c>
      <c r="D147">
        <v>17</v>
      </c>
      <c r="E147">
        <v>10</v>
      </c>
      <c r="F147">
        <v>10</v>
      </c>
      <c r="G147">
        <f t="shared" si="21"/>
        <v>890.12</v>
      </c>
      <c r="H147">
        <f>17+13</f>
        <v>30</v>
      </c>
      <c r="I147">
        <f t="shared" si="24"/>
        <v>167526806435.9538</v>
      </c>
      <c r="J147">
        <f t="shared" si="22"/>
        <v>19545201765922.438</v>
      </c>
      <c r="K147">
        <f t="shared" si="23"/>
        <v>8.5712497851028122E-3</v>
      </c>
      <c r="L147" s="5" t="s">
        <v>284</v>
      </c>
    </row>
    <row r="148" spans="1:12" x14ac:dyDescent="0.3">
      <c r="A148" s="2" t="s">
        <v>136</v>
      </c>
      <c r="B148" t="s">
        <v>57</v>
      </c>
      <c r="C148" t="s">
        <v>112</v>
      </c>
      <c r="D148">
        <v>13</v>
      </c>
      <c r="E148">
        <v>8</v>
      </c>
      <c r="F148">
        <v>8</v>
      </c>
      <c r="G148">
        <f t="shared" si="21"/>
        <v>435.63519999999994</v>
      </c>
      <c r="H148">
        <f>25+14</f>
        <v>39</v>
      </c>
      <c r="I148">
        <f t="shared" si="24"/>
        <v>217784848366.73993</v>
      </c>
      <c r="J148">
        <f t="shared" si="22"/>
        <v>9772919709625.4141</v>
      </c>
      <c r="K148">
        <f t="shared" si="23"/>
        <v>2.2284522418847069E-2</v>
      </c>
      <c r="L148" s="5" t="s">
        <v>284</v>
      </c>
    </row>
    <row r="149" spans="1:12" x14ac:dyDescent="0.3">
      <c r="A149" s="2" t="s">
        <v>137</v>
      </c>
      <c r="B149" t="s">
        <v>57</v>
      </c>
      <c r="C149" t="s">
        <v>112</v>
      </c>
      <c r="D149">
        <v>32.299999999999997</v>
      </c>
      <c r="E149">
        <v>10</v>
      </c>
      <c r="F149">
        <v>10</v>
      </c>
      <c r="G149">
        <f t="shared" si="21"/>
        <v>1691.2279999999996</v>
      </c>
      <c r="H149">
        <f>20+55</f>
        <v>75</v>
      </c>
      <c r="I149">
        <f t="shared" si="24"/>
        <v>418817016089.88446</v>
      </c>
      <c r="J149">
        <f t="shared" si="22"/>
        <v>36427649645232.063</v>
      </c>
      <c r="K149">
        <f t="shared" si="23"/>
        <v>1.1497228620806793E-2</v>
      </c>
      <c r="L149" s="5" t="s">
        <v>283</v>
      </c>
    </row>
    <row r="150" spans="1:12" x14ac:dyDescent="0.3">
      <c r="A150" s="2" t="s">
        <v>137</v>
      </c>
      <c r="B150" t="s">
        <v>57</v>
      </c>
      <c r="C150" t="s">
        <v>112</v>
      </c>
      <c r="D150">
        <v>32</v>
      </c>
      <c r="E150">
        <v>17.5</v>
      </c>
      <c r="F150">
        <v>17.5</v>
      </c>
      <c r="G150">
        <f t="shared" si="21"/>
        <v>5131.2799999999988</v>
      </c>
      <c r="H150">
        <f>42+8</f>
        <v>50</v>
      </c>
      <c r="I150">
        <f t="shared" si="24"/>
        <v>279211344059.92297</v>
      </c>
      <c r="J150">
        <f t="shared" si="22"/>
        <v>106904010416355.52</v>
      </c>
      <c r="K150">
        <f t="shared" si="23"/>
        <v>2.6117948519656818E-3</v>
      </c>
      <c r="L150" s="5" t="s">
        <v>284</v>
      </c>
    </row>
    <row r="151" spans="1:12" x14ac:dyDescent="0.3">
      <c r="A151" s="2" t="s">
        <v>138</v>
      </c>
      <c r="B151" t="s">
        <v>57</v>
      </c>
      <c r="C151" t="s">
        <v>112</v>
      </c>
      <c r="D151">
        <v>15</v>
      </c>
      <c r="E151">
        <v>9</v>
      </c>
      <c r="F151">
        <v>9</v>
      </c>
      <c r="G151">
        <f t="shared" si="21"/>
        <v>636.17399999999998</v>
      </c>
      <c r="H151">
        <f>30+5</f>
        <v>35</v>
      </c>
      <c r="I151">
        <f t="shared" si="24"/>
        <v>195447940841.94608</v>
      </c>
      <c r="J151">
        <f t="shared" si="22"/>
        <v>14110541939287.881</v>
      </c>
      <c r="K151">
        <f t="shared" si="23"/>
        <v>1.3851200165300653E-2</v>
      </c>
      <c r="L151" s="5" t="s">
        <v>284</v>
      </c>
    </row>
    <row r="152" spans="1:12" x14ac:dyDescent="0.3">
      <c r="A152" s="2" t="s">
        <v>139</v>
      </c>
      <c r="B152" t="s">
        <v>57</v>
      </c>
      <c r="C152" t="s">
        <v>112</v>
      </c>
      <c r="D152">
        <v>14.5</v>
      </c>
      <c r="E152">
        <v>9</v>
      </c>
      <c r="F152">
        <v>9</v>
      </c>
      <c r="G152">
        <f t="shared" si="21"/>
        <v>614.96819999999991</v>
      </c>
      <c r="H152">
        <f>22+7.25</f>
        <v>29.25</v>
      </c>
      <c r="I152">
        <f t="shared" si="24"/>
        <v>163338636275.05493</v>
      </c>
      <c r="J152">
        <f t="shared" si="22"/>
        <v>13654070307034.197</v>
      </c>
      <c r="K152">
        <f t="shared" si="23"/>
        <v>1.1962633310223063E-2</v>
      </c>
      <c r="L152" s="5" t="s">
        <v>284</v>
      </c>
    </row>
    <row r="153" spans="1:12" x14ac:dyDescent="0.3">
      <c r="A153" s="2" t="s">
        <v>140</v>
      </c>
      <c r="B153" t="s">
        <v>57</v>
      </c>
      <c r="C153" t="s">
        <v>112</v>
      </c>
      <c r="D153">
        <v>29</v>
      </c>
      <c r="E153">
        <v>20</v>
      </c>
      <c r="F153">
        <v>20</v>
      </c>
      <c r="G153">
        <f t="shared" si="21"/>
        <v>6073.76</v>
      </c>
      <c r="H153">
        <f>29+10</f>
        <v>39</v>
      </c>
      <c r="I153">
        <f t="shared" si="24"/>
        <v>217784848366.73993</v>
      </c>
      <c r="J153">
        <f t="shared" si="22"/>
        <v>125900934550067.2</v>
      </c>
      <c r="K153">
        <f t="shared" si="23"/>
        <v>1.7298112134356964E-3</v>
      </c>
      <c r="L153" s="5" t="s">
        <v>284</v>
      </c>
    </row>
    <row r="154" spans="1:12" x14ac:dyDescent="0.3">
      <c r="A154" s="2" t="s">
        <v>141</v>
      </c>
      <c r="B154" t="s">
        <v>57</v>
      </c>
      <c r="C154" t="s">
        <v>112</v>
      </c>
      <c r="D154">
        <v>28</v>
      </c>
      <c r="E154">
        <v>25</v>
      </c>
      <c r="F154">
        <v>25</v>
      </c>
      <c r="G154">
        <f t="shared" si="21"/>
        <v>9163</v>
      </c>
      <c r="H154">
        <f>42+9</f>
        <v>51</v>
      </c>
      <c r="I154">
        <f t="shared" si="24"/>
        <v>284795570941.12146</v>
      </c>
      <c r="J154">
        <f t="shared" si="22"/>
        <v>187608111387500.53</v>
      </c>
      <c r="K154">
        <f t="shared" si="23"/>
        <v>1.5180344220452298E-3</v>
      </c>
      <c r="L154" s="5" t="s">
        <v>284</v>
      </c>
    </row>
    <row r="155" spans="1:12" x14ac:dyDescent="0.3">
      <c r="A155" s="2" t="s">
        <v>142</v>
      </c>
      <c r="B155" t="s">
        <v>57</v>
      </c>
      <c r="C155" t="s">
        <v>112</v>
      </c>
      <c r="D155">
        <v>18.5</v>
      </c>
      <c r="E155">
        <v>11.5</v>
      </c>
      <c r="F155">
        <v>11.5</v>
      </c>
      <c r="G155">
        <f t="shared" si="21"/>
        <v>1281.0528499999998</v>
      </c>
      <c r="H155">
        <f>19.5+14.5</f>
        <v>34</v>
      </c>
      <c r="I155">
        <f t="shared" si="24"/>
        <v>189863713960.74762</v>
      </c>
      <c r="J155">
        <f t="shared" si="22"/>
        <v>27823713395424.508</v>
      </c>
      <c r="K155">
        <f t="shared" si="23"/>
        <v>6.8238092903864477E-3</v>
      </c>
      <c r="L155" s="5" t="s">
        <v>284</v>
      </c>
    </row>
    <row r="156" spans="1:12" x14ac:dyDescent="0.3">
      <c r="A156" s="2" t="s">
        <v>200</v>
      </c>
      <c r="B156" t="s">
        <v>57</v>
      </c>
      <c r="C156" t="s">
        <v>199</v>
      </c>
      <c r="D156">
        <v>3</v>
      </c>
      <c r="E156">
        <v>3</v>
      </c>
      <c r="F156">
        <v>3</v>
      </c>
      <c r="G156">
        <f t="shared" si="21"/>
        <v>14.137199999999996</v>
      </c>
      <c r="H156">
        <v>23.1</v>
      </c>
      <c r="I156">
        <f t="shared" ref="I156:I163" si="25">H156*B$40</f>
        <v>64497820477.842209</v>
      </c>
      <c r="J156">
        <f t="shared" si="22"/>
        <v>351501801776.74799</v>
      </c>
      <c r="K156">
        <f t="shared" si="23"/>
        <v>0.1834921475560663</v>
      </c>
      <c r="L156" s="5" t="s">
        <v>292</v>
      </c>
    </row>
    <row r="157" spans="1:12" x14ac:dyDescent="0.3">
      <c r="A157" s="2" t="s">
        <v>81</v>
      </c>
      <c r="B157" t="s">
        <v>57</v>
      </c>
      <c r="C157" t="s">
        <v>258</v>
      </c>
      <c r="D157">
        <v>350</v>
      </c>
      <c r="E157">
        <v>112</v>
      </c>
      <c r="F157">
        <v>112</v>
      </c>
      <c r="G157">
        <f t="shared" si="21"/>
        <v>2298813.4399999999</v>
      </c>
      <c r="H157">
        <f>100337*15</f>
        <v>1505055</v>
      </c>
      <c r="I157">
        <f t="shared" si="25"/>
        <v>4202284294341074</v>
      </c>
      <c r="J157">
        <f t="shared" si="22"/>
        <v>3.9878027754738136E+16</v>
      </c>
      <c r="K157">
        <f t="shared" si="23"/>
        <v>0.1053784384771079</v>
      </c>
      <c r="L157" s="5" t="s">
        <v>263</v>
      </c>
    </row>
    <row r="158" spans="1:12" x14ac:dyDescent="0.3">
      <c r="A158" s="2" t="s">
        <v>241</v>
      </c>
      <c r="B158" t="s">
        <v>57</v>
      </c>
      <c r="C158" t="s">
        <v>223</v>
      </c>
      <c r="D158">
        <v>10</v>
      </c>
      <c r="E158">
        <v>3</v>
      </c>
      <c r="F158">
        <v>3</v>
      </c>
      <c r="G158">
        <f t="shared" si="21"/>
        <v>47.123999999999995</v>
      </c>
      <c r="H158">
        <f>4*45</f>
        <v>180</v>
      </c>
      <c r="I158">
        <f t="shared" si="25"/>
        <v>502580419307.86139</v>
      </c>
      <c r="J158">
        <f t="shared" si="22"/>
        <v>1130107971790.5601</v>
      </c>
      <c r="K158">
        <f t="shared" si="23"/>
        <v>0.44471894000673706</v>
      </c>
      <c r="L158" s="5" t="s">
        <v>316</v>
      </c>
    </row>
    <row r="159" spans="1:12" x14ac:dyDescent="0.3">
      <c r="A159" s="2" t="s">
        <v>216</v>
      </c>
      <c r="B159" t="s">
        <v>57</v>
      </c>
      <c r="C159" t="s">
        <v>211</v>
      </c>
      <c r="D159">
        <v>150</v>
      </c>
      <c r="E159">
        <v>75</v>
      </c>
      <c r="F159">
        <v>75</v>
      </c>
      <c r="G159">
        <f t="shared" si="21"/>
        <v>441787.49999999994</v>
      </c>
      <c r="H159">
        <f>1800*39</f>
        <v>70200</v>
      </c>
      <c r="I159">
        <f t="shared" si="25"/>
        <v>196006363530065.94</v>
      </c>
      <c r="J159">
        <f t="shared" si="22"/>
        <v>8052524902594817</v>
      </c>
      <c r="K159">
        <f t="shared" si="23"/>
        <v>2.4340981977827296E-2</v>
      </c>
      <c r="L159" s="5" t="s">
        <v>317</v>
      </c>
    </row>
    <row r="160" spans="1:12" x14ac:dyDescent="0.3">
      <c r="A160" s="2" t="s">
        <v>97</v>
      </c>
      <c r="B160" t="s">
        <v>57</v>
      </c>
      <c r="C160" t="s">
        <v>95</v>
      </c>
      <c r="D160">
        <v>11</v>
      </c>
      <c r="E160">
        <v>5.6</v>
      </c>
      <c r="F160">
        <v>5.6</v>
      </c>
      <c r="G160">
        <f t="shared" si="21"/>
        <v>180.62105599999998</v>
      </c>
      <c r="H160">
        <f>11+25.5</f>
        <v>36.5</v>
      </c>
      <c r="I160">
        <f t="shared" si="25"/>
        <v>101912140581.87189</v>
      </c>
      <c r="J160">
        <f t="shared" si="22"/>
        <v>4160450711140.5381</v>
      </c>
      <c r="K160">
        <f t="shared" si="23"/>
        <v>2.4495456780434705E-2</v>
      </c>
      <c r="L160" s="5" t="s">
        <v>283</v>
      </c>
    </row>
    <row r="161" spans="1:12" x14ac:dyDescent="0.3">
      <c r="A161" s="2" t="s">
        <v>82</v>
      </c>
      <c r="B161" t="s">
        <v>57</v>
      </c>
      <c r="C161" t="s">
        <v>74</v>
      </c>
      <c r="D161">
        <v>55.5</v>
      </c>
      <c r="E161">
        <v>25</v>
      </c>
      <c r="F161">
        <v>12.5</v>
      </c>
      <c r="G161">
        <f t="shared" si="21"/>
        <v>9081.1875</v>
      </c>
      <c r="H161">
        <f>168*7</f>
        <v>1176</v>
      </c>
      <c r="I161">
        <f t="shared" si="25"/>
        <v>3283525406144.6943</v>
      </c>
      <c r="J161">
        <f t="shared" si="22"/>
        <v>185983072857118.91</v>
      </c>
      <c r="K161">
        <f t="shared" si="23"/>
        <v>1.7654969109297682E-2</v>
      </c>
      <c r="L161" s="5" t="s">
        <v>293</v>
      </c>
    </row>
    <row r="162" spans="1:12" x14ac:dyDescent="0.3">
      <c r="A162" s="2" t="s">
        <v>83</v>
      </c>
      <c r="B162" t="s">
        <v>57</v>
      </c>
      <c r="C162" t="s">
        <v>74</v>
      </c>
      <c r="D162">
        <v>242</v>
      </c>
      <c r="E162">
        <v>48</v>
      </c>
      <c r="F162">
        <v>48</v>
      </c>
      <c r="G162">
        <f t="shared" si="21"/>
        <v>291942.60479999997</v>
      </c>
      <c r="H162">
        <f>28284/2*12</f>
        <v>169704</v>
      </c>
      <c r="I162">
        <f t="shared" si="25"/>
        <v>473832819323451.69</v>
      </c>
      <c r="J162">
        <f t="shared" si="22"/>
        <v>5387826596472934</v>
      </c>
      <c r="K162">
        <f t="shared" si="23"/>
        <v>8.7945075966928812E-2</v>
      </c>
      <c r="L162" s="5" t="s">
        <v>292</v>
      </c>
    </row>
    <row r="163" spans="1:12" x14ac:dyDescent="0.3">
      <c r="A163" s="2" t="s">
        <v>84</v>
      </c>
      <c r="B163" t="s">
        <v>57</v>
      </c>
      <c r="C163" t="s">
        <v>74</v>
      </c>
      <c r="D163">
        <v>124</v>
      </c>
      <c r="E163">
        <v>60</v>
      </c>
      <c r="F163">
        <v>60</v>
      </c>
      <c r="G163">
        <f t="shared" si="21"/>
        <v>233735.03999999998</v>
      </c>
      <c r="H163">
        <f>4000*11</f>
        <v>44000</v>
      </c>
      <c r="I163">
        <f t="shared" si="25"/>
        <v>122852991386366.11</v>
      </c>
      <c r="J163">
        <f t="shared" si="22"/>
        <v>4342473378076561</v>
      </c>
      <c r="K163">
        <f t="shared" si="23"/>
        <v>2.8291017742699934E-2</v>
      </c>
      <c r="L163" s="5" t="s">
        <v>318</v>
      </c>
    </row>
    <row r="164" spans="1:12" x14ac:dyDescent="0.3">
      <c r="A164" s="2" t="s">
        <v>143</v>
      </c>
      <c r="B164" t="s">
        <v>57</v>
      </c>
      <c r="C164" t="s">
        <v>112</v>
      </c>
      <c r="D164">
        <v>27.5</v>
      </c>
      <c r="E164">
        <v>5.3</v>
      </c>
      <c r="F164">
        <v>5.3</v>
      </c>
      <c r="G164">
        <f t="shared" si="21"/>
        <v>404.4679099999999</v>
      </c>
      <c r="H164">
        <f>27.5+8</f>
        <v>35.5</v>
      </c>
      <c r="I164">
        <f t="shared" ref="I164:I172" si="26">H164*D$40</f>
        <v>198240054282.54532</v>
      </c>
      <c r="J164">
        <f t="shared" si="22"/>
        <v>9093950885335.5293</v>
      </c>
      <c r="K164">
        <f t="shared" si="23"/>
        <v>2.1799112045152759E-2</v>
      </c>
      <c r="L164" s="5" t="s">
        <v>283</v>
      </c>
    </row>
    <row r="165" spans="1:12" x14ac:dyDescent="0.3">
      <c r="A165" s="2" t="s">
        <v>115</v>
      </c>
      <c r="B165" t="s">
        <v>57</v>
      </c>
      <c r="C165" t="s">
        <v>112</v>
      </c>
      <c r="D165">
        <v>55</v>
      </c>
      <c r="E165">
        <v>12</v>
      </c>
      <c r="F165">
        <v>12</v>
      </c>
      <c r="G165">
        <f t="shared" si="21"/>
        <v>4146.9119999999994</v>
      </c>
      <c r="H165">
        <f>2*40</f>
        <v>80</v>
      </c>
      <c r="I165">
        <f t="shared" si="26"/>
        <v>446738150495.87677</v>
      </c>
      <c r="J165">
        <f t="shared" si="22"/>
        <v>86949708514552.891</v>
      </c>
      <c r="K165">
        <f t="shared" si="23"/>
        <v>5.1378912951859472E-3</v>
      </c>
      <c r="L165" s="5" t="s">
        <v>263</v>
      </c>
    </row>
    <row r="166" spans="1:12" x14ac:dyDescent="0.3">
      <c r="A166" s="2" t="s">
        <v>115</v>
      </c>
      <c r="B166" t="s">
        <v>57</v>
      </c>
      <c r="C166" t="s">
        <v>112</v>
      </c>
      <c r="D166">
        <v>74</v>
      </c>
      <c r="E166">
        <v>19</v>
      </c>
      <c r="F166">
        <v>19</v>
      </c>
      <c r="G166">
        <f t="shared" si="21"/>
        <v>13987.450399999998</v>
      </c>
      <c r="H166">
        <v>79</v>
      </c>
      <c r="I166">
        <f t="shared" si="26"/>
        <v>441153923614.67828</v>
      </c>
      <c r="J166">
        <f t="shared" si="22"/>
        <v>282775291193329</v>
      </c>
      <c r="K166">
        <f t="shared" si="23"/>
        <v>1.5600865328543444E-3</v>
      </c>
      <c r="L166" s="5" t="s">
        <v>319</v>
      </c>
    </row>
    <row r="167" spans="1:12" x14ac:dyDescent="0.3">
      <c r="A167" s="2" t="s">
        <v>144</v>
      </c>
      <c r="B167" t="s">
        <v>57</v>
      </c>
      <c r="C167" t="s">
        <v>112</v>
      </c>
      <c r="D167">
        <v>15.5</v>
      </c>
      <c r="E167">
        <v>6.55</v>
      </c>
      <c r="F167">
        <v>6.55</v>
      </c>
      <c r="G167">
        <f t="shared" si="21"/>
        <v>348.1881095</v>
      </c>
      <c r="H167">
        <v>26.25</v>
      </c>
      <c r="I167">
        <f t="shared" si="26"/>
        <v>146585955631.45956</v>
      </c>
      <c r="J167">
        <f t="shared" si="22"/>
        <v>7863838277515.6816</v>
      </c>
      <c r="K167">
        <f t="shared" si="23"/>
        <v>1.8640509946723945E-2</v>
      </c>
      <c r="L167" s="5" t="s">
        <v>283</v>
      </c>
    </row>
    <row r="168" spans="1:12" x14ac:dyDescent="0.3">
      <c r="A168" s="2" t="s">
        <v>145</v>
      </c>
      <c r="B168" t="s">
        <v>57</v>
      </c>
      <c r="C168" t="s">
        <v>112</v>
      </c>
      <c r="D168">
        <v>9</v>
      </c>
      <c r="E168">
        <v>7</v>
      </c>
      <c r="F168">
        <v>7</v>
      </c>
      <c r="G168">
        <f t="shared" si="21"/>
        <v>230.90759999999997</v>
      </c>
      <c r="H168">
        <v>10</v>
      </c>
      <c r="I168">
        <f t="shared" si="26"/>
        <v>55842268811.984596</v>
      </c>
      <c r="J168">
        <f t="shared" si="22"/>
        <v>5279710820532.8623</v>
      </c>
      <c r="K168">
        <f t="shared" si="23"/>
        <v>1.0576766552215948E-2</v>
      </c>
      <c r="L168" s="5" t="s">
        <v>284</v>
      </c>
    </row>
    <row r="169" spans="1:12" x14ac:dyDescent="0.3">
      <c r="A169" s="2" t="s">
        <v>116</v>
      </c>
      <c r="B169" t="s">
        <v>57</v>
      </c>
      <c r="C169" t="s">
        <v>112</v>
      </c>
      <c r="D169">
        <v>25</v>
      </c>
      <c r="E169">
        <v>12.5</v>
      </c>
      <c r="F169">
        <v>4.1500000000000004</v>
      </c>
      <c r="G169">
        <f t="shared" ref="G169:G200" si="27">4/3*3.1416*(D169/2)*(E169/2)*(F169/2)</f>
        <v>679.04374999999993</v>
      </c>
      <c r="H169">
        <v>26</v>
      </c>
      <c r="I169">
        <f t="shared" si="26"/>
        <v>145189898911.15994</v>
      </c>
      <c r="J169">
        <f t="shared" ref="J169:J200" si="28">26.92*G169^0.97*10^9</f>
        <v>15031969265630.023</v>
      </c>
      <c r="K169">
        <f t="shared" ref="K169:K200" si="29">I169/J169</f>
        <v>9.6587410701491159E-3</v>
      </c>
      <c r="L169" s="5" t="s">
        <v>284</v>
      </c>
    </row>
    <row r="170" spans="1:12" x14ac:dyDescent="0.3">
      <c r="A170" s="2" t="s">
        <v>146</v>
      </c>
      <c r="B170" s="4" t="s">
        <v>57</v>
      </c>
      <c r="C170" t="s">
        <v>112</v>
      </c>
      <c r="D170">
        <v>8</v>
      </c>
      <c r="E170">
        <v>5.5</v>
      </c>
      <c r="F170">
        <v>0.82499999999999996</v>
      </c>
      <c r="G170">
        <f t="shared" si="27"/>
        <v>19.006679999999999</v>
      </c>
      <c r="H170">
        <v>8</v>
      </c>
      <c r="I170">
        <f t="shared" si="26"/>
        <v>44673815049.587677</v>
      </c>
      <c r="J170">
        <f t="shared" si="28"/>
        <v>468397027771.44324</v>
      </c>
      <c r="K170">
        <f t="shared" si="29"/>
        <v>9.5375957576286113E-2</v>
      </c>
      <c r="L170" s="5" t="s">
        <v>284</v>
      </c>
    </row>
    <row r="171" spans="1:12" x14ac:dyDescent="0.3">
      <c r="A171" s="2" t="s">
        <v>147</v>
      </c>
      <c r="B171" t="s">
        <v>57</v>
      </c>
      <c r="C171" t="s">
        <v>112</v>
      </c>
      <c r="D171">
        <v>7.5</v>
      </c>
      <c r="E171">
        <v>4.8</v>
      </c>
      <c r="F171">
        <v>1.4</v>
      </c>
      <c r="G171">
        <f t="shared" si="27"/>
        <v>26.389439999999997</v>
      </c>
      <c r="H171">
        <v>7.5</v>
      </c>
      <c r="I171">
        <f t="shared" si="26"/>
        <v>41881701608.988449</v>
      </c>
      <c r="J171">
        <f t="shared" si="28"/>
        <v>643965090285.29016</v>
      </c>
      <c r="K171">
        <f t="shared" si="29"/>
        <v>6.503722366445977E-2</v>
      </c>
      <c r="L171" s="5" t="s">
        <v>283</v>
      </c>
    </row>
    <row r="172" spans="1:12" x14ac:dyDescent="0.3">
      <c r="A172" s="2" t="s">
        <v>148</v>
      </c>
      <c r="B172" t="s">
        <v>57</v>
      </c>
      <c r="C172" t="s">
        <v>112</v>
      </c>
      <c r="D172">
        <v>5</v>
      </c>
      <c r="E172">
        <v>2.5</v>
      </c>
      <c r="F172">
        <v>2.5</v>
      </c>
      <c r="G172">
        <f t="shared" si="27"/>
        <v>16.362500000000001</v>
      </c>
      <c r="H172">
        <v>7.5</v>
      </c>
      <c r="I172">
        <f t="shared" si="26"/>
        <v>41881701608.988449</v>
      </c>
      <c r="J172">
        <f t="shared" si="28"/>
        <v>405050549166.74286</v>
      </c>
      <c r="K172">
        <f t="shared" si="29"/>
        <v>0.10339870343379649</v>
      </c>
      <c r="L172" s="5" t="s">
        <v>284</v>
      </c>
    </row>
    <row r="173" spans="1:12" x14ac:dyDescent="0.3">
      <c r="A173" s="2" t="s">
        <v>220</v>
      </c>
      <c r="B173" t="s">
        <v>57</v>
      </c>
      <c r="C173" t="s">
        <v>221</v>
      </c>
      <c r="D173">
        <v>3.15</v>
      </c>
      <c r="E173">
        <v>2.25</v>
      </c>
      <c r="F173">
        <v>2.25</v>
      </c>
      <c r="G173">
        <f t="shared" si="27"/>
        <v>8.3497837500000003</v>
      </c>
      <c r="H173">
        <f>13+8</f>
        <v>21</v>
      </c>
      <c r="I173">
        <f>H173*B$40</f>
        <v>58634382252.583824</v>
      </c>
      <c r="J173">
        <f t="shared" si="28"/>
        <v>210911386462.16815</v>
      </c>
      <c r="K173">
        <f t="shared" si="29"/>
        <v>0.27800482105835128</v>
      </c>
      <c r="L173" s="5" t="s">
        <v>320</v>
      </c>
    </row>
    <row r="174" spans="1:12" x14ac:dyDescent="0.3">
      <c r="A174" s="2" t="s">
        <v>175</v>
      </c>
      <c r="B174" t="s">
        <v>57</v>
      </c>
      <c r="C174" t="s">
        <v>176</v>
      </c>
      <c r="D174">
        <v>12</v>
      </c>
      <c r="E174">
        <v>2</v>
      </c>
      <c r="F174">
        <v>2</v>
      </c>
      <c r="G174">
        <f t="shared" si="27"/>
        <v>25.132799999999996</v>
      </c>
      <c r="H174">
        <f>2*21.5</f>
        <v>43</v>
      </c>
      <c r="I174">
        <f>H174*B$40</f>
        <v>120060877945.76688</v>
      </c>
      <c r="J174">
        <f t="shared" si="28"/>
        <v>614198433639.95752</v>
      </c>
      <c r="K174">
        <f t="shared" si="29"/>
        <v>0.19547571496437002</v>
      </c>
      <c r="L174" s="5" t="s">
        <v>321</v>
      </c>
    </row>
    <row r="175" spans="1:12" x14ac:dyDescent="0.3">
      <c r="A175" s="2" t="s">
        <v>175</v>
      </c>
      <c r="B175" t="s">
        <v>57</v>
      </c>
      <c r="C175" t="s">
        <v>176</v>
      </c>
      <c r="D175">
        <v>12.5</v>
      </c>
      <c r="E175">
        <v>3.5</v>
      </c>
      <c r="F175">
        <v>3.5</v>
      </c>
      <c r="G175">
        <f t="shared" si="27"/>
        <v>80.176249999999982</v>
      </c>
      <c r="H175">
        <f>2*13.25</f>
        <v>26.5</v>
      </c>
      <c r="I175">
        <f>H175*B$40</f>
        <v>73991006175.879593</v>
      </c>
      <c r="J175">
        <f t="shared" si="28"/>
        <v>1892341104284.1182</v>
      </c>
      <c r="K175">
        <f t="shared" si="29"/>
        <v>3.9100247840291327E-2</v>
      </c>
      <c r="L175" s="5" t="s">
        <v>283</v>
      </c>
    </row>
    <row r="176" spans="1:12" x14ac:dyDescent="0.3">
      <c r="A176" s="2" t="s">
        <v>177</v>
      </c>
      <c r="B176" t="s">
        <v>57</v>
      </c>
      <c r="C176" t="s">
        <v>176</v>
      </c>
      <c r="D176">
        <v>7.5</v>
      </c>
      <c r="E176">
        <v>4.0999999999999996</v>
      </c>
      <c r="F176">
        <v>4.0999999999999996</v>
      </c>
      <c r="G176">
        <f t="shared" si="27"/>
        <v>66.012869999999978</v>
      </c>
      <c r="H176">
        <f>2*23.5</f>
        <v>47</v>
      </c>
      <c r="I176">
        <f>H176*B$40</f>
        <v>131229331708.1638</v>
      </c>
      <c r="J176">
        <f t="shared" si="28"/>
        <v>1567165317420.4495</v>
      </c>
      <c r="K176">
        <f t="shared" si="29"/>
        <v>8.3736750838875745E-2</v>
      </c>
      <c r="L176" s="5" t="s">
        <v>283</v>
      </c>
    </row>
    <row r="177" spans="1:12" x14ac:dyDescent="0.3">
      <c r="A177" s="2" t="s">
        <v>149</v>
      </c>
      <c r="B177" t="s">
        <v>57</v>
      </c>
      <c r="C177" t="s">
        <v>112</v>
      </c>
      <c r="D177">
        <v>24</v>
      </c>
      <c r="E177">
        <v>19.5</v>
      </c>
      <c r="F177">
        <v>3.7</v>
      </c>
      <c r="G177">
        <f t="shared" si="27"/>
        <v>906.66575999999986</v>
      </c>
      <c r="H177">
        <f>22+36</f>
        <v>58</v>
      </c>
      <c r="I177">
        <f t="shared" ref="I177:I188" si="30">H177*D$40</f>
        <v>323885159109.51068</v>
      </c>
      <c r="J177">
        <f t="shared" si="28"/>
        <v>19897515611570.961</v>
      </c>
      <c r="K177">
        <f t="shared" si="29"/>
        <v>1.6277668299511844E-2</v>
      </c>
      <c r="L177" s="5" t="s">
        <v>284</v>
      </c>
    </row>
    <row r="178" spans="1:12" x14ac:dyDescent="0.3">
      <c r="A178" s="2" t="s">
        <v>117</v>
      </c>
      <c r="B178" t="s">
        <v>57</v>
      </c>
      <c r="C178" t="s">
        <v>112</v>
      </c>
      <c r="D178">
        <v>13.5</v>
      </c>
      <c r="E178">
        <v>7</v>
      </c>
      <c r="F178">
        <v>7</v>
      </c>
      <c r="G178">
        <f t="shared" si="27"/>
        <v>346.3614</v>
      </c>
      <c r="H178">
        <f>13.5+37</f>
        <v>50.5</v>
      </c>
      <c r="I178">
        <f t="shared" si="30"/>
        <v>282003457500.52222</v>
      </c>
      <c r="J178">
        <f t="shared" si="28"/>
        <v>7823816525535.0039</v>
      </c>
      <c r="K178">
        <f t="shared" si="29"/>
        <v>3.6044231939761445E-2</v>
      </c>
      <c r="L178" s="5" t="s">
        <v>283</v>
      </c>
    </row>
    <row r="179" spans="1:12" x14ac:dyDescent="0.3">
      <c r="A179" s="2" t="s">
        <v>150</v>
      </c>
      <c r="B179" t="s">
        <v>57</v>
      </c>
      <c r="C179" t="s">
        <v>112</v>
      </c>
      <c r="D179">
        <v>12.5</v>
      </c>
      <c r="E179">
        <v>5.5</v>
      </c>
      <c r="F179">
        <v>5.5</v>
      </c>
      <c r="G179">
        <f t="shared" si="27"/>
        <v>197.98624999999998</v>
      </c>
      <c r="H179">
        <f>12.5+31.5</f>
        <v>44</v>
      </c>
      <c r="I179">
        <f t="shared" si="30"/>
        <v>245705982772.73224</v>
      </c>
      <c r="J179">
        <f t="shared" si="28"/>
        <v>4547901337802.6416</v>
      </c>
      <c r="K179">
        <f t="shared" si="29"/>
        <v>5.4026234195187539E-2</v>
      </c>
      <c r="L179" s="5" t="s">
        <v>283</v>
      </c>
    </row>
    <row r="180" spans="1:12" x14ac:dyDescent="0.3">
      <c r="A180" s="2" t="s">
        <v>151</v>
      </c>
      <c r="B180" t="s">
        <v>57</v>
      </c>
      <c r="C180" t="s">
        <v>112</v>
      </c>
      <c r="D180">
        <v>19</v>
      </c>
      <c r="E180">
        <v>12.1</v>
      </c>
      <c r="F180">
        <v>12.1</v>
      </c>
      <c r="G180">
        <f t="shared" si="27"/>
        <v>1456.5452439999999</v>
      </c>
      <c r="H180">
        <f>19+44</f>
        <v>63</v>
      </c>
      <c r="I180">
        <f t="shared" si="30"/>
        <v>351806293515.50293</v>
      </c>
      <c r="J180">
        <f t="shared" si="28"/>
        <v>31513694142269.387</v>
      </c>
      <c r="K180">
        <f t="shared" si="29"/>
        <v>1.1163600558134007E-2</v>
      </c>
      <c r="L180" s="5" t="s">
        <v>283</v>
      </c>
    </row>
    <row r="181" spans="1:12" x14ac:dyDescent="0.3">
      <c r="A181" s="2" t="s">
        <v>152</v>
      </c>
      <c r="B181" t="s">
        <v>57</v>
      </c>
      <c r="C181" t="s">
        <v>112</v>
      </c>
      <c r="D181">
        <v>18</v>
      </c>
      <c r="E181">
        <v>11.5</v>
      </c>
      <c r="F181">
        <v>2.9</v>
      </c>
      <c r="G181">
        <f t="shared" si="27"/>
        <v>314.31707999999998</v>
      </c>
      <c r="H181">
        <f>18+36</f>
        <v>54</v>
      </c>
      <c r="I181">
        <f t="shared" si="30"/>
        <v>301548251584.7168</v>
      </c>
      <c r="J181">
        <f t="shared" si="28"/>
        <v>7120688659214.7178</v>
      </c>
      <c r="K181">
        <f t="shared" si="29"/>
        <v>4.2348186533122778E-2</v>
      </c>
      <c r="L181" s="5" t="s">
        <v>284</v>
      </c>
    </row>
    <row r="182" spans="1:12" x14ac:dyDescent="0.3">
      <c r="A182" s="2" t="s">
        <v>153</v>
      </c>
      <c r="B182" t="s">
        <v>57</v>
      </c>
      <c r="C182" t="s">
        <v>112</v>
      </c>
      <c r="D182">
        <v>14</v>
      </c>
      <c r="E182">
        <v>10</v>
      </c>
      <c r="F182">
        <v>1.5</v>
      </c>
      <c r="G182">
        <f t="shared" si="27"/>
        <v>109.95599999999999</v>
      </c>
      <c r="H182">
        <f>14+28</f>
        <v>42</v>
      </c>
      <c r="I182">
        <f t="shared" si="30"/>
        <v>234537529010.3353</v>
      </c>
      <c r="J182">
        <f t="shared" si="28"/>
        <v>2570735649766.9409</v>
      </c>
      <c r="K182">
        <f t="shared" si="29"/>
        <v>9.1233623741748052E-2</v>
      </c>
      <c r="L182" s="5" t="s">
        <v>284</v>
      </c>
    </row>
    <row r="183" spans="1:12" x14ac:dyDescent="0.3">
      <c r="A183" s="2" t="s">
        <v>118</v>
      </c>
      <c r="B183" t="s">
        <v>57</v>
      </c>
      <c r="C183" t="s">
        <v>112</v>
      </c>
      <c r="D183">
        <v>16</v>
      </c>
      <c r="E183">
        <v>11</v>
      </c>
      <c r="F183">
        <v>11</v>
      </c>
      <c r="G183">
        <f t="shared" si="27"/>
        <v>1013.6895999999999</v>
      </c>
      <c r="H183">
        <f>17.5+74</f>
        <v>91.5</v>
      </c>
      <c r="I183">
        <f t="shared" si="30"/>
        <v>510956759629.65906</v>
      </c>
      <c r="J183">
        <f t="shared" si="28"/>
        <v>22171899260422.27</v>
      </c>
      <c r="K183">
        <f t="shared" si="29"/>
        <v>2.3045240898317512E-2</v>
      </c>
      <c r="L183" s="5" t="s">
        <v>284</v>
      </c>
    </row>
    <row r="184" spans="1:12" x14ac:dyDescent="0.3">
      <c r="A184" s="2" t="s">
        <v>119</v>
      </c>
      <c r="B184" t="s">
        <v>57</v>
      </c>
      <c r="C184" t="s">
        <v>112</v>
      </c>
      <c r="D184">
        <v>26</v>
      </c>
      <c r="E184">
        <v>12</v>
      </c>
      <c r="F184">
        <v>12</v>
      </c>
      <c r="G184">
        <f t="shared" si="27"/>
        <v>1960.3583999999996</v>
      </c>
      <c r="H184">
        <f>26+61</f>
        <v>87</v>
      </c>
      <c r="I184">
        <f t="shared" si="30"/>
        <v>485827738664.26599</v>
      </c>
      <c r="J184">
        <f t="shared" si="28"/>
        <v>42037847382501.789</v>
      </c>
      <c r="K184">
        <f t="shared" si="29"/>
        <v>1.1556912851500843E-2</v>
      </c>
      <c r="L184" s="5" t="s">
        <v>283</v>
      </c>
    </row>
    <row r="185" spans="1:12" x14ac:dyDescent="0.3">
      <c r="A185" s="2" t="s">
        <v>154</v>
      </c>
      <c r="B185" t="s">
        <v>57</v>
      </c>
      <c r="C185" t="s">
        <v>112</v>
      </c>
      <c r="D185">
        <v>18.5</v>
      </c>
      <c r="E185">
        <v>10.3</v>
      </c>
      <c r="F185">
        <v>10.3</v>
      </c>
      <c r="G185">
        <f t="shared" si="27"/>
        <v>1027.651394</v>
      </c>
      <c r="H185">
        <f>18.5+65</f>
        <v>83.5</v>
      </c>
      <c r="I185">
        <f t="shared" si="30"/>
        <v>466282944580.07135</v>
      </c>
      <c r="J185">
        <f t="shared" si="28"/>
        <v>22468055954489.18</v>
      </c>
      <c r="K185">
        <f t="shared" si="29"/>
        <v>2.0753150407163141E-2</v>
      </c>
      <c r="L185" s="5" t="s">
        <v>283</v>
      </c>
    </row>
    <row r="186" spans="1:12" x14ac:dyDescent="0.3">
      <c r="A186" s="2" t="s">
        <v>155</v>
      </c>
      <c r="B186" t="s">
        <v>57</v>
      </c>
      <c r="C186" t="s">
        <v>112</v>
      </c>
      <c r="D186">
        <v>10</v>
      </c>
      <c r="E186">
        <v>5.05</v>
      </c>
      <c r="F186">
        <v>5.05</v>
      </c>
      <c r="G186">
        <f t="shared" si="27"/>
        <v>133.53108999999998</v>
      </c>
      <c r="H186">
        <f>18.5+32</f>
        <v>50.5</v>
      </c>
      <c r="I186">
        <f t="shared" si="30"/>
        <v>282003457500.52222</v>
      </c>
      <c r="J186">
        <f t="shared" si="28"/>
        <v>3103773192975.4629</v>
      </c>
      <c r="K186">
        <f t="shared" si="29"/>
        <v>9.0858268297039066E-2</v>
      </c>
      <c r="L186" s="5" t="s">
        <v>283</v>
      </c>
    </row>
    <row r="187" spans="1:12" x14ac:dyDescent="0.3">
      <c r="A187" s="2" t="s">
        <v>156</v>
      </c>
      <c r="B187" t="s">
        <v>57</v>
      </c>
      <c r="C187" t="s">
        <v>112</v>
      </c>
      <c r="D187">
        <v>18</v>
      </c>
      <c r="E187">
        <v>12</v>
      </c>
      <c r="F187">
        <v>2.5</v>
      </c>
      <c r="G187">
        <f t="shared" si="27"/>
        <v>282.74400000000003</v>
      </c>
      <c r="H187">
        <f>18+36</f>
        <v>54</v>
      </c>
      <c r="I187">
        <f t="shared" si="30"/>
        <v>301548251584.7168</v>
      </c>
      <c r="J187">
        <f t="shared" si="28"/>
        <v>6425791819442.4521</v>
      </c>
      <c r="K187">
        <f t="shared" si="29"/>
        <v>4.6927796613691307E-2</v>
      </c>
      <c r="L187" s="5" t="s">
        <v>284</v>
      </c>
    </row>
    <row r="188" spans="1:12" x14ac:dyDescent="0.3">
      <c r="A188" s="2" t="s">
        <v>120</v>
      </c>
      <c r="B188" t="s">
        <v>57</v>
      </c>
      <c r="C188" t="s">
        <v>112</v>
      </c>
      <c r="D188">
        <v>23</v>
      </c>
      <c r="E188">
        <v>12.1</v>
      </c>
      <c r="F188">
        <v>12.1</v>
      </c>
      <c r="G188">
        <f t="shared" si="27"/>
        <v>1763.1863479999997</v>
      </c>
      <c r="H188">
        <f>23+46</f>
        <v>69</v>
      </c>
      <c r="I188">
        <f t="shared" si="30"/>
        <v>385311654802.69373</v>
      </c>
      <c r="J188">
        <f t="shared" si="28"/>
        <v>37930129341372.063</v>
      </c>
      <c r="K188">
        <f t="shared" si="29"/>
        <v>1.0158458763345616E-2</v>
      </c>
      <c r="L188" s="5" t="s">
        <v>283</v>
      </c>
    </row>
    <row r="189" spans="1:12" x14ac:dyDescent="0.3">
      <c r="A189" s="2" t="s">
        <v>68</v>
      </c>
      <c r="B189" t="s">
        <v>57</v>
      </c>
      <c r="C189" t="s">
        <v>67</v>
      </c>
      <c r="D189">
        <v>22</v>
      </c>
      <c r="E189">
        <v>11</v>
      </c>
      <c r="F189">
        <v>11</v>
      </c>
      <c r="G189">
        <f t="shared" si="27"/>
        <v>1393.8231999999998</v>
      </c>
      <c r="H189">
        <f>2*39</f>
        <v>78</v>
      </c>
      <c r="I189">
        <f>H189*B$40</f>
        <v>217784848366.73993</v>
      </c>
      <c r="J189">
        <f t="shared" si="28"/>
        <v>30196493464208.008</v>
      </c>
      <c r="K189">
        <f t="shared" si="29"/>
        <v>7.2122562384563278E-3</v>
      </c>
      <c r="L189" s="5" t="s">
        <v>263</v>
      </c>
    </row>
    <row r="190" spans="1:12" x14ac:dyDescent="0.3">
      <c r="A190" s="2" t="s">
        <v>69</v>
      </c>
      <c r="B190" t="s">
        <v>57</v>
      </c>
      <c r="C190" t="s">
        <v>67</v>
      </c>
      <c r="D190">
        <v>9.8000000000000007</v>
      </c>
      <c r="E190">
        <v>4.9000000000000004</v>
      </c>
      <c r="F190">
        <v>4.9000000000000004</v>
      </c>
      <c r="G190">
        <f t="shared" si="27"/>
        <v>123.20203280000003</v>
      </c>
      <c r="H190">
        <f>4*8.5</f>
        <v>34</v>
      </c>
      <c r="I190">
        <f>H190*B$40</f>
        <v>94931856980.37381</v>
      </c>
      <c r="J190">
        <f t="shared" si="28"/>
        <v>2870611319009.5176</v>
      </c>
      <c r="K190">
        <f t="shared" si="29"/>
        <v>3.3070258014982437E-2</v>
      </c>
      <c r="L190" s="5" t="s">
        <v>263</v>
      </c>
    </row>
    <row r="191" spans="1:12" x14ac:dyDescent="0.3">
      <c r="A191" s="2" t="s">
        <v>218</v>
      </c>
      <c r="B191" t="s">
        <v>57</v>
      </c>
      <c r="C191" t="s">
        <v>219</v>
      </c>
      <c r="D191">
        <v>7.5</v>
      </c>
      <c r="E191">
        <v>4.5</v>
      </c>
      <c r="F191">
        <v>4.5</v>
      </c>
      <c r="G191">
        <f t="shared" si="27"/>
        <v>79.521749999999997</v>
      </c>
      <c r="H191">
        <f>7.5+15</f>
        <v>22.5</v>
      </c>
      <c r="I191">
        <f>H191*B$40</f>
        <v>62822552413.482674</v>
      </c>
      <c r="J191">
        <f t="shared" si="28"/>
        <v>1877355012304.4543</v>
      </c>
      <c r="K191">
        <f t="shared" si="29"/>
        <v>3.3463331123700445E-2</v>
      </c>
      <c r="L191" s="5" t="s">
        <v>322</v>
      </c>
    </row>
    <row r="192" spans="1:12" x14ac:dyDescent="0.3">
      <c r="A192" s="2" t="s">
        <v>209</v>
      </c>
      <c r="B192" t="s">
        <v>57</v>
      </c>
      <c r="C192" t="s">
        <v>202</v>
      </c>
      <c r="D192">
        <v>5</v>
      </c>
      <c r="E192">
        <v>5</v>
      </c>
      <c r="F192">
        <v>5</v>
      </c>
      <c r="G192">
        <f t="shared" si="27"/>
        <v>65.45</v>
      </c>
      <c r="H192">
        <f>10+7.5</f>
        <v>17.5</v>
      </c>
      <c r="I192">
        <f>H192*B$40</f>
        <v>48861985210.486519</v>
      </c>
      <c r="J192">
        <f t="shared" si="28"/>
        <v>1554201833314.6018</v>
      </c>
      <c r="K192">
        <f t="shared" si="29"/>
        <v>3.1438635679820269E-2</v>
      </c>
      <c r="L192" s="5" t="s">
        <v>283</v>
      </c>
    </row>
    <row r="193" spans="1:12" x14ac:dyDescent="0.3">
      <c r="A193" s="2" t="s">
        <v>209</v>
      </c>
      <c r="B193" t="s">
        <v>57</v>
      </c>
      <c r="C193" t="s">
        <v>202</v>
      </c>
      <c r="D193">
        <v>4</v>
      </c>
      <c r="E193">
        <v>4</v>
      </c>
      <c r="F193">
        <v>4</v>
      </c>
      <c r="G193">
        <f t="shared" si="27"/>
        <v>33.510399999999997</v>
      </c>
      <c r="H193">
        <f>12.5+7.5</f>
        <v>20</v>
      </c>
      <c r="I193">
        <f>H193*B$40</f>
        <v>55842268811.984596</v>
      </c>
      <c r="J193">
        <f t="shared" si="28"/>
        <v>811893901167.32385</v>
      </c>
      <c r="K193">
        <f t="shared" si="29"/>
        <v>6.8780254084549422E-2</v>
      </c>
      <c r="L193" s="5" t="s">
        <v>284</v>
      </c>
    </row>
    <row r="194" spans="1:12" x14ac:dyDescent="0.3">
      <c r="A194" s="2" t="s">
        <v>157</v>
      </c>
      <c r="B194" t="s">
        <v>57</v>
      </c>
      <c r="C194" t="s">
        <v>112</v>
      </c>
      <c r="D194">
        <v>40</v>
      </c>
      <c r="E194">
        <v>13.6</v>
      </c>
      <c r="F194">
        <v>13.6</v>
      </c>
      <c r="G194">
        <f t="shared" si="27"/>
        <v>3873.8022399999995</v>
      </c>
      <c r="H194">
        <f>2*60.5</f>
        <v>121</v>
      </c>
      <c r="I194">
        <f>H194*D$40</f>
        <v>675691452625.01367</v>
      </c>
      <c r="J194">
        <f t="shared" si="28"/>
        <v>81389499556196.281</v>
      </c>
      <c r="K194">
        <f t="shared" si="29"/>
        <v>8.3019487318321088E-3</v>
      </c>
      <c r="L194" s="5" t="s">
        <v>284</v>
      </c>
    </row>
    <row r="195" spans="1:12" x14ac:dyDescent="0.3">
      <c r="A195" s="2" t="s">
        <v>158</v>
      </c>
      <c r="B195" t="s">
        <v>57</v>
      </c>
      <c r="C195" t="s">
        <v>112</v>
      </c>
      <c r="D195">
        <v>28</v>
      </c>
      <c r="E195">
        <v>5.9</v>
      </c>
      <c r="F195">
        <v>5.9</v>
      </c>
      <c r="G195">
        <f t="shared" si="27"/>
        <v>510.34244799999999</v>
      </c>
      <c r="H195">
        <f>28+21</f>
        <v>49</v>
      </c>
      <c r="I195">
        <f>H195*D$40</f>
        <v>273627117178.72452</v>
      </c>
      <c r="J195">
        <f t="shared" si="28"/>
        <v>11394647571060.092</v>
      </c>
      <c r="K195">
        <f t="shared" si="29"/>
        <v>2.4013653381757715E-2</v>
      </c>
      <c r="L195" s="5" t="s">
        <v>284</v>
      </c>
    </row>
    <row r="196" spans="1:12" x14ac:dyDescent="0.3">
      <c r="A196" s="2" t="s">
        <v>159</v>
      </c>
      <c r="B196" t="s">
        <v>57</v>
      </c>
      <c r="C196" t="s">
        <v>112</v>
      </c>
      <c r="D196">
        <v>28</v>
      </c>
      <c r="E196">
        <v>6.5</v>
      </c>
      <c r="F196">
        <v>6.5</v>
      </c>
      <c r="G196">
        <f t="shared" si="27"/>
        <v>619.41879999999992</v>
      </c>
      <c r="H196">
        <f>45+30</f>
        <v>75</v>
      </c>
      <c r="I196">
        <f>H196*D$40</f>
        <v>418817016089.88446</v>
      </c>
      <c r="J196">
        <f t="shared" si="28"/>
        <v>13749911617248.164</v>
      </c>
      <c r="K196">
        <f t="shared" si="29"/>
        <v>3.0459615141417491E-2</v>
      </c>
      <c r="L196" s="5" t="s">
        <v>284</v>
      </c>
    </row>
    <row r="197" spans="1:12" x14ac:dyDescent="0.3">
      <c r="A197" s="2" t="s">
        <v>70</v>
      </c>
      <c r="B197" t="s">
        <v>57</v>
      </c>
      <c r="C197" t="s">
        <v>67</v>
      </c>
      <c r="D197">
        <v>17.05</v>
      </c>
      <c r="E197">
        <v>9.0500000000000007</v>
      </c>
      <c r="F197">
        <v>9.0500000000000007</v>
      </c>
      <c r="G197">
        <f t="shared" si="27"/>
        <v>731.17474045000006</v>
      </c>
      <c r="H197">
        <f>8*17</f>
        <v>136</v>
      </c>
      <c r="I197">
        <f>H197*B$40</f>
        <v>379727427921.49524</v>
      </c>
      <c r="J197">
        <f t="shared" si="28"/>
        <v>16150114279521.455</v>
      </c>
      <c r="K197">
        <f t="shared" si="29"/>
        <v>2.3512367860021543E-2</v>
      </c>
      <c r="L197" s="5" t="s">
        <v>323</v>
      </c>
    </row>
    <row r="198" spans="1:12" x14ac:dyDescent="0.3">
      <c r="A198" s="2" t="s">
        <v>160</v>
      </c>
      <c r="B198" t="s">
        <v>57</v>
      </c>
      <c r="C198" t="s">
        <v>112</v>
      </c>
      <c r="D198">
        <v>40</v>
      </c>
      <c r="E198">
        <v>10</v>
      </c>
      <c r="F198">
        <v>10</v>
      </c>
      <c r="G198">
        <f t="shared" si="27"/>
        <v>2094.4</v>
      </c>
      <c r="H198">
        <v>27</v>
      </c>
      <c r="I198">
        <f>H198*D$40</f>
        <v>150774125792.3584</v>
      </c>
      <c r="J198">
        <f t="shared" si="28"/>
        <v>44823203880492.281</v>
      </c>
      <c r="K198">
        <f t="shared" si="29"/>
        <v>3.3637516451156123E-3</v>
      </c>
      <c r="L198" s="5" t="s">
        <v>263</v>
      </c>
    </row>
    <row r="199" spans="1:12" x14ac:dyDescent="0.3">
      <c r="A199" s="2" t="s">
        <v>242</v>
      </c>
      <c r="B199" t="s">
        <v>57</v>
      </c>
      <c r="C199" t="s">
        <v>243</v>
      </c>
      <c r="D199">
        <v>11.5</v>
      </c>
      <c r="E199">
        <v>8</v>
      </c>
      <c r="F199">
        <v>8</v>
      </c>
      <c r="G199">
        <f t="shared" si="27"/>
        <v>385.36959999999999</v>
      </c>
      <c r="H199">
        <f>11.5+17.25</f>
        <v>28.75</v>
      </c>
      <c r="I199">
        <f>H199*B$40</f>
        <v>80273261417.227859</v>
      </c>
      <c r="J199">
        <f t="shared" si="28"/>
        <v>8677131601170.0742</v>
      </c>
      <c r="K199">
        <f t="shared" si="29"/>
        <v>9.2511287262720954E-3</v>
      </c>
      <c r="L199" s="5" t="s">
        <v>324</v>
      </c>
    </row>
    <row r="200" spans="1:12" x14ac:dyDescent="0.3">
      <c r="A200" s="2" t="s">
        <v>244</v>
      </c>
      <c r="B200" t="s">
        <v>57</v>
      </c>
      <c r="C200" t="s">
        <v>243</v>
      </c>
      <c r="D200">
        <v>11</v>
      </c>
      <c r="E200">
        <v>7.75</v>
      </c>
      <c r="F200">
        <v>7.75</v>
      </c>
      <c r="G200">
        <f t="shared" si="27"/>
        <v>345.93597499999998</v>
      </c>
      <c r="H200">
        <f>12+22</f>
        <v>34</v>
      </c>
      <c r="I200">
        <f>H200*B$40</f>
        <v>94931856980.37381</v>
      </c>
      <c r="J200">
        <f t="shared" si="28"/>
        <v>7814494894314.4316</v>
      </c>
      <c r="K200">
        <f t="shared" si="29"/>
        <v>1.2148175699678694E-2</v>
      </c>
      <c r="L200" s="5" t="s">
        <v>324</v>
      </c>
    </row>
    <row r="201" spans="1:12" x14ac:dyDescent="0.3">
      <c r="A201" s="2" t="s">
        <v>183</v>
      </c>
      <c r="B201" t="s">
        <v>57</v>
      </c>
      <c r="C201" t="s">
        <v>180</v>
      </c>
      <c r="D201">
        <v>10.5</v>
      </c>
      <c r="E201">
        <v>4</v>
      </c>
      <c r="F201">
        <v>4</v>
      </c>
      <c r="G201">
        <f t="shared" ref="G201:G219" si="31">4/3*3.1416*(D201/2)*(E201/2)*(F201/2)</f>
        <v>87.964799999999997</v>
      </c>
      <c r="H201">
        <f>13.5+21.25</f>
        <v>34.75</v>
      </c>
      <c r="I201">
        <f>H201*D$40</f>
        <v>194051884121.64648</v>
      </c>
      <c r="J201">
        <f t="shared" ref="J201:J219" si="32">26.92*G201^0.97*10^9</f>
        <v>2070402138502.9927</v>
      </c>
      <c r="K201">
        <f t="shared" ref="K201:K219" si="33">I201/J201</f>
        <v>9.3726663295448487E-2</v>
      </c>
      <c r="L201" s="5" t="s">
        <v>283</v>
      </c>
    </row>
    <row r="202" spans="1:12" x14ac:dyDescent="0.3">
      <c r="A202" s="2" t="s">
        <v>184</v>
      </c>
      <c r="B202" t="s">
        <v>57</v>
      </c>
      <c r="C202" t="s">
        <v>180</v>
      </c>
      <c r="D202">
        <v>7</v>
      </c>
      <c r="E202">
        <v>5.25</v>
      </c>
      <c r="F202">
        <v>3</v>
      </c>
      <c r="G202">
        <f t="shared" si="31"/>
        <v>57.726899999999986</v>
      </c>
      <c r="H202">
        <v>16</v>
      </c>
      <c r="I202">
        <f>H202*D$40</f>
        <v>89347630099.175354</v>
      </c>
      <c r="J202">
        <f t="shared" si="32"/>
        <v>1375979439386.9729</v>
      </c>
      <c r="K202">
        <f t="shared" si="33"/>
        <v>6.4933840972930201E-2</v>
      </c>
      <c r="L202" s="5" t="s">
        <v>284</v>
      </c>
    </row>
    <row r="203" spans="1:12" x14ac:dyDescent="0.3">
      <c r="A203" s="2" t="s">
        <v>171</v>
      </c>
      <c r="B203" t="s">
        <v>57</v>
      </c>
      <c r="C203" t="s">
        <v>169</v>
      </c>
      <c r="D203">
        <v>35</v>
      </c>
      <c r="E203">
        <v>4</v>
      </c>
      <c r="F203">
        <v>4</v>
      </c>
      <c r="G203">
        <f t="shared" si="31"/>
        <v>293.21599999999995</v>
      </c>
      <c r="H203">
        <f>12*10</f>
        <v>120</v>
      </c>
      <c r="I203">
        <f>H203*B$40</f>
        <v>335053612871.90759</v>
      </c>
      <c r="J203">
        <f t="shared" si="32"/>
        <v>6656517689831.167</v>
      </c>
      <c r="K203">
        <f t="shared" si="33"/>
        <v>5.0334668738844103E-2</v>
      </c>
      <c r="L203" s="5" t="s">
        <v>325</v>
      </c>
    </row>
    <row r="204" spans="1:12" x14ac:dyDescent="0.3">
      <c r="A204" s="2" t="s">
        <v>172</v>
      </c>
      <c r="B204" t="s">
        <v>57</v>
      </c>
      <c r="C204" t="s">
        <v>169</v>
      </c>
      <c r="D204">
        <v>16</v>
      </c>
      <c r="E204">
        <v>2.5</v>
      </c>
      <c r="F204">
        <v>2.5</v>
      </c>
      <c r="G204">
        <f t="shared" si="31"/>
        <v>52.36</v>
      </c>
      <c r="H204">
        <f>19*2.5</f>
        <v>47.5</v>
      </c>
      <c r="I204">
        <f>H204*B$40</f>
        <v>132625388428.46341</v>
      </c>
      <c r="J204">
        <f t="shared" si="32"/>
        <v>1251712831559.1465</v>
      </c>
      <c r="K204">
        <f t="shared" si="33"/>
        <v>0.10595512411841608</v>
      </c>
      <c r="L204" s="5" t="s">
        <v>325</v>
      </c>
    </row>
    <row r="205" spans="1:12" x14ac:dyDescent="0.3">
      <c r="A205" s="2" t="s">
        <v>173</v>
      </c>
      <c r="B205" t="s">
        <v>57</v>
      </c>
      <c r="C205" t="s">
        <v>169</v>
      </c>
      <c r="D205">
        <v>40</v>
      </c>
      <c r="E205">
        <v>3.5</v>
      </c>
      <c r="F205">
        <v>3.5</v>
      </c>
      <c r="G205">
        <f t="shared" si="31"/>
        <v>256.56400000000002</v>
      </c>
      <c r="H205">
        <f>16*10</f>
        <v>160</v>
      </c>
      <c r="I205">
        <f>H205*B$40</f>
        <v>446738150495.87677</v>
      </c>
      <c r="J205">
        <f t="shared" si="32"/>
        <v>5847832194751.9443</v>
      </c>
      <c r="K205">
        <f t="shared" si="33"/>
        <v>7.6393804681467378E-2</v>
      </c>
      <c r="L205" s="5" t="s">
        <v>325</v>
      </c>
    </row>
    <row r="206" spans="1:12" x14ac:dyDescent="0.3">
      <c r="A206" s="2" t="s">
        <v>178</v>
      </c>
      <c r="B206" t="s">
        <v>57</v>
      </c>
      <c r="C206" t="s">
        <v>176</v>
      </c>
      <c r="D206">
        <v>26.5</v>
      </c>
      <c r="E206">
        <v>12.3</v>
      </c>
      <c r="F206">
        <v>12.3</v>
      </c>
      <c r="G206">
        <f t="shared" si="31"/>
        <v>2099.2092659999998</v>
      </c>
      <c r="H206">
        <f>128*11.2</f>
        <v>1433.6</v>
      </c>
      <c r="I206">
        <f>H206*B$40</f>
        <v>4002773828443.0557</v>
      </c>
      <c r="J206">
        <f t="shared" si="32"/>
        <v>44923037967874.773</v>
      </c>
      <c r="K206">
        <f t="shared" si="33"/>
        <v>8.9102919337412295E-2</v>
      </c>
      <c r="L206" s="5" t="s">
        <v>326</v>
      </c>
    </row>
    <row r="207" spans="1:12" x14ac:dyDescent="0.3">
      <c r="A207" s="2" t="s">
        <v>174</v>
      </c>
      <c r="B207" t="s">
        <v>57</v>
      </c>
      <c r="C207" t="s">
        <v>169</v>
      </c>
      <c r="D207">
        <v>25</v>
      </c>
      <c r="E207">
        <v>6.5</v>
      </c>
      <c r="F207">
        <v>6.5</v>
      </c>
      <c r="G207">
        <f t="shared" si="31"/>
        <v>553.05250000000001</v>
      </c>
      <c r="H207">
        <f>24*11</f>
        <v>264</v>
      </c>
      <c r="I207">
        <f>H207*B$40</f>
        <v>737117948318.19666</v>
      </c>
      <c r="J207">
        <f t="shared" si="32"/>
        <v>12318516926388.693</v>
      </c>
      <c r="K207">
        <f t="shared" si="33"/>
        <v>5.9838205582941936E-2</v>
      </c>
      <c r="L207" s="5" t="s">
        <v>325</v>
      </c>
    </row>
    <row r="208" spans="1:12" x14ac:dyDescent="0.3">
      <c r="A208" s="2" t="s">
        <v>188</v>
      </c>
      <c r="B208" t="s">
        <v>57</v>
      </c>
      <c r="C208" t="s">
        <v>180</v>
      </c>
      <c r="D208">
        <v>8.1999999999999993</v>
      </c>
      <c r="E208">
        <v>2.6</v>
      </c>
      <c r="F208">
        <v>2.6</v>
      </c>
      <c r="G208">
        <f t="shared" si="31"/>
        <v>29.024195199999998</v>
      </c>
      <c r="H208">
        <v>17</v>
      </c>
      <c r="I208">
        <f>H208*D$40</f>
        <v>94931856980.37381</v>
      </c>
      <c r="J208">
        <f t="shared" si="32"/>
        <v>706240202765.40515</v>
      </c>
      <c r="K208">
        <f t="shared" si="33"/>
        <v>0.1344186533259531</v>
      </c>
      <c r="L208" s="5" t="s">
        <v>263</v>
      </c>
    </row>
    <row r="209" spans="1:12" x14ac:dyDescent="0.3">
      <c r="A209" s="2" t="s">
        <v>85</v>
      </c>
      <c r="B209" t="s">
        <v>57</v>
      </c>
      <c r="C209" t="s">
        <v>74</v>
      </c>
      <c r="D209">
        <v>41</v>
      </c>
      <c r="E209">
        <v>24</v>
      </c>
      <c r="F209">
        <v>24</v>
      </c>
      <c r="G209">
        <f t="shared" si="31"/>
        <v>12365.337599999997</v>
      </c>
      <c r="H209">
        <f>750*5.5</f>
        <v>4125</v>
      </c>
      <c r="I209">
        <f t="shared" ref="I209:I214" si="34">H209*B$40</f>
        <v>11517467942471.822</v>
      </c>
      <c r="J209">
        <f t="shared" si="32"/>
        <v>250908199646896.19</v>
      </c>
      <c r="K209">
        <f t="shared" si="33"/>
        <v>4.5903114998554796E-2</v>
      </c>
      <c r="L209" s="5" t="s">
        <v>327</v>
      </c>
    </row>
    <row r="210" spans="1:12" x14ac:dyDescent="0.3">
      <c r="A210" s="2" t="s">
        <v>86</v>
      </c>
      <c r="B210" t="s">
        <v>57</v>
      </c>
      <c r="C210" t="s">
        <v>74</v>
      </c>
      <c r="D210">
        <v>87.5</v>
      </c>
      <c r="E210">
        <v>25</v>
      </c>
      <c r="F210">
        <v>25</v>
      </c>
      <c r="G210">
        <f t="shared" si="31"/>
        <v>28634.375</v>
      </c>
      <c r="H210">
        <f>560*5.5+1*17.5</f>
        <v>3097.5</v>
      </c>
      <c r="I210">
        <f t="shared" si="34"/>
        <v>8648571382256.1143</v>
      </c>
      <c r="J210">
        <f t="shared" si="32"/>
        <v>566573336775277.38</v>
      </c>
      <c r="K210">
        <f t="shared" si="33"/>
        <v>1.5264698885197341E-2</v>
      </c>
      <c r="L210" s="5" t="s">
        <v>285</v>
      </c>
    </row>
    <row r="211" spans="1:12" x14ac:dyDescent="0.3">
      <c r="A211" s="2" t="s">
        <v>87</v>
      </c>
      <c r="B211" t="s">
        <v>57</v>
      </c>
      <c r="C211" t="s">
        <v>74</v>
      </c>
      <c r="D211">
        <v>180.4</v>
      </c>
      <c r="E211">
        <v>58.3</v>
      </c>
      <c r="F211">
        <v>58.3</v>
      </c>
      <c r="G211">
        <f t="shared" si="31"/>
        <v>321050.44824159995</v>
      </c>
      <c r="H211">
        <f>1486*10.5</f>
        <v>15603</v>
      </c>
      <c r="I211">
        <f t="shared" si="34"/>
        <v>43565346013669.781</v>
      </c>
      <c r="J211">
        <f t="shared" si="32"/>
        <v>5908144895809365</v>
      </c>
      <c r="K211">
        <f t="shared" si="33"/>
        <v>7.3737775193310831E-3</v>
      </c>
      <c r="L211" s="5" t="s">
        <v>314</v>
      </c>
    </row>
    <row r="212" spans="1:12" x14ac:dyDescent="0.3">
      <c r="A212" s="2" t="s">
        <v>88</v>
      </c>
      <c r="B212" t="s">
        <v>57</v>
      </c>
      <c r="C212" t="s">
        <v>74</v>
      </c>
      <c r="D212">
        <v>433.8</v>
      </c>
      <c r="E212">
        <v>46.3</v>
      </c>
      <c r="F212">
        <v>46.3</v>
      </c>
      <c r="G212">
        <f t="shared" si="31"/>
        <v>486912.77323919995</v>
      </c>
      <c r="H212">
        <f>11588*8.5</f>
        <v>98498</v>
      </c>
      <c r="I212">
        <f t="shared" si="34"/>
        <v>275017589672142.94</v>
      </c>
      <c r="J212">
        <f t="shared" si="32"/>
        <v>8849173051752731</v>
      </c>
      <c r="K212">
        <f t="shared" si="33"/>
        <v>3.1078337836061527E-2</v>
      </c>
      <c r="L212" s="5" t="s">
        <v>328</v>
      </c>
    </row>
    <row r="213" spans="1:12" x14ac:dyDescent="0.3">
      <c r="A213" s="2" t="s">
        <v>222</v>
      </c>
      <c r="B213" t="s">
        <v>57</v>
      </c>
      <c r="C213" t="s">
        <v>223</v>
      </c>
      <c r="D213">
        <v>20</v>
      </c>
      <c r="E213">
        <v>8</v>
      </c>
      <c r="F213">
        <v>8</v>
      </c>
      <c r="G213">
        <f t="shared" si="31"/>
        <v>670.20799999999997</v>
      </c>
      <c r="H213">
        <f>30+3*20</f>
        <v>90</v>
      </c>
      <c r="I213">
        <f t="shared" si="34"/>
        <v>251290209653.93069</v>
      </c>
      <c r="J213">
        <f t="shared" si="32"/>
        <v>14842203260425.268</v>
      </c>
      <c r="K213">
        <f t="shared" si="33"/>
        <v>1.6930788862322223E-2</v>
      </c>
      <c r="L213" s="5" t="s">
        <v>329</v>
      </c>
    </row>
    <row r="214" spans="1:12" x14ac:dyDescent="0.3">
      <c r="A214" s="2" t="s">
        <v>217</v>
      </c>
      <c r="B214" t="s">
        <v>57</v>
      </c>
      <c r="C214" t="s">
        <v>211</v>
      </c>
      <c r="D214">
        <v>14.6</v>
      </c>
      <c r="E214">
        <v>6.7</v>
      </c>
      <c r="F214">
        <v>6.7</v>
      </c>
      <c r="G214">
        <f t="shared" si="31"/>
        <v>343.16429839999995</v>
      </c>
      <c r="H214">
        <f>12.3+12.3+12.3+29</f>
        <v>65.900000000000006</v>
      </c>
      <c r="I214">
        <f t="shared" si="34"/>
        <v>184000275735.48926</v>
      </c>
      <c r="J214">
        <f t="shared" si="32"/>
        <v>7753755310964.5703</v>
      </c>
      <c r="K214">
        <f t="shared" si="33"/>
        <v>2.3730472313885739E-2</v>
      </c>
      <c r="L214" s="5" t="s">
        <v>330</v>
      </c>
    </row>
    <row r="215" spans="1:12" x14ac:dyDescent="0.3">
      <c r="A215" s="2" t="s">
        <v>189</v>
      </c>
      <c r="B215" t="s">
        <v>57</v>
      </c>
      <c r="C215" t="s">
        <v>180</v>
      </c>
      <c r="D215">
        <v>25</v>
      </c>
      <c r="E215">
        <v>3.5</v>
      </c>
      <c r="F215">
        <v>3.5</v>
      </c>
      <c r="G215">
        <f t="shared" si="31"/>
        <v>160.35249999999996</v>
      </c>
      <c r="H215">
        <v>30</v>
      </c>
      <c r="I215">
        <f>H215*D$40</f>
        <v>167526806435.9538</v>
      </c>
      <c r="J215">
        <f t="shared" si="32"/>
        <v>3706794574987.8462</v>
      </c>
      <c r="K215">
        <f t="shared" si="33"/>
        <v>4.5194521316710159E-2</v>
      </c>
      <c r="L215" s="5" t="s">
        <v>331</v>
      </c>
    </row>
    <row r="216" spans="1:12" x14ac:dyDescent="0.3">
      <c r="A216" s="2" t="s">
        <v>190</v>
      </c>
      <c r="B216" t="s">
        <v>57</v>
      </c>
      <c r="C216" t="s">
        <v>180</v>
      </c>
      <c r="D216">
        <v>20</v>
      </c>
      <c r="E216">
        <v>2</v>
      </c>
      <c r="F216">
        <v>2</v>
      </c>
      <c r="G216">
        <f t="shared" si="31"/>
        <v>41.887999999999998</v>
      </c>
      <c r="H216">
        <v>12.4</v>
      </c>
      <c r="I216">
        <f>H216*D$40</f>
        <v>69244413326.860901</v>
      </c>
      <c r="J216">
        <f t="shared" si="32"/>
        <v>1008096232487.6294</v>
      </c>
      <c r="K216">
        <f t="shared" si="33"/>
        <v>6.8688296905931173E-2</v>
      </c>
      <c r="L216" s="5" t="s">
        <v>332</v>
      </c>
    </row>
    <row r="217" spans="1:12" x14ac:dyDescent="0.3">
      <c r="A217" s="2" t="s">
        <v>121</v>
      </c>
      <c r="B217" t="s">
        <v>57</v>
      </c>
      <c r="C217" t="s">
        <v>112</v>
      </c>
      <c r="D217">
        <v>30</v>
      </c>
      <c r="E217">
        <v>15</v>
      </c>
      <c r="F217">
        <v>15</v>
      </c>
      <c r="G217">
        <f t="shared" si="31"/>
        <v>3534.2999999999997</v>
      </c>
      <c r="H217">
        <v>30</v>
      </c>
      <c r="I217">
        <f>H217*D$40</f>
        <v>167526806435.9538</v>
      </c>
      <c r="J217">
        <f t="shared" si="32"/>
        <v>74461085642338.875</v>
      </c>
      <c r="K217">
        <f t="shared" si="33"/>
        <v>2.2498571568059086E-3</v>
      </c>
      <c r="L217" s="5" t="s">
        <v>284</v>
      </c>
    </row>
    <row r="218" spans="1:12" x14ac:dyDescent="0.3">
      <c r="A218" s="2" t="s">
        <v>161</v>
      </c>
      <c r="B218" t="s">
        <v>57</v>
      </c>
      <c r="C218" t="s">
        <v>112</v>
      </c>
      <c r="D218">
        <v>23</v>
      </c>
      <c r="E218">
        <v>12.5</v>
      </c>
      <c r="F218">
        <v>12.5</v>
      </c>
      <c r="G218">
        <f t="shared" si="31"/>
        <v>1881.6875</v>
      </c>
      <c r="H218">
        <v>41.5</v>
      </c>
      <c r="I218">
        <f>H218*D$40</f>
        <v>231745415569.73608</v>
      </c>
      <c r="J218">
        <f t="shared" si="32"/>
        <v>40400443297030.523</v>
      </c>
      <c r="K218">
        <f t="shared" si="33"/>
        <v>5.7362097209158504E-3</v>
      </c>
      <c r="L218" s="5" t="s">
        <v>284</v>
      </c>
    </row>
    <row r="219" spans="1:12" x14ac:dyDescent="0.3">
      <c r="A219" s="2" t="s">
        <v>89</v>
      </c>
      <c r="B219" t="s">
        <v>57</v>
      </c>
      <c r="C219" t="s">
        <v>74</v>
      </c>
      <c r="D219">
        <v>30</v>
      </c>
      <c r="E219">
        <v>17.5</v>
      </c>
      <c r="F219">
        <v>17.5</v>
      </c>
      <c r="G219">
        <f t="shared" si="31"/>
        <v>4810.5749999999998</v>
      </c>
      <c r="H219">
        <f>210*10+15</f>
        <v>2115</v>
      </c>
      <c r="I219">
        <f>H219*B$40</f>
        <v>5905319926867.3711</v>
      </c>
      <c r="J219">
        <f t="shared" si="32"/>
        <v>100416744115570.55</v>
      </c>
      <c r="K219">
        <f t="shared" si="33"/>
        <v>5.880811988955631E-2</v>
      </c>
      <c r="L219" s="5" t="s">
        <v>315</v>
      </c>
    </row>
    <row r="223" spans="1:12" ht="28.8" x14ac:dyDescent="0.55000000000000004">
      <c r="A223" s="3" t="s">
        <v>54</v>
      </c>
    </row>
    <row r="224" spans="1:12" x14ac:dyDescent="0.3">
      <c r="A224" t="s">
        <v>333</v>
      </c>
    </row>
    <row r="225" spans="1:1" x14ac:dyDescent="0.3">
      <c r="A225" t="s">
        <v>334</v>
      </c>
    </row>
    <row r="226" spans="1:1" x14ac:dyDescent="0.3">
      <c r="A226" t="s">
        <v>335</v>
      </c>
    </row>
    <row r="227" spans="1:1" x14ac:dyDescent="0.3">
      <c r="A227" t="s">
        <v>336</v>
      </c>
    </row>
    <row r="228" spans="1:1" x14ac:dyDescent="0.3">
      <c r="A228" t="s">
        <v>337</v>
      </c>
    </row>
    <row r="229" spans="1:1" x14ac:dyDescent="0.3">
      <c r="A229" t="s">
        <v>338</v>
      </c>
    </row>
    <row r="230" spans="1:1" x14ac:dyDescent="0.3">
      <c r="A230" t="s">
        <v>339</v>
      </c>
    </row>
    <row r="231" spans="1:1" x14ac:dyDescent="0.3">
      <c r="A231" t="s">
        <v>340</v>
      </c>
    </row>
    <row r="232" spans="1:1" x14ac:dyDescent="0.3">
      <c r="A232" t="s">
        <v>341</v>
      </c>
    </row>
    <row r="233" spans="1:1" x14ac:dyDescent="0.3">
      <c r="A233" t="s">
        <v>342</v>
      </c>
    </row>
    <row r="234" spans="1:1" x14ac:dyDescent="0.3">
      <c r="A234" t="s">
        <v>343</v>
      </c>
    </row>
    <row r="235" spans="1:1" x14ac:dyDescent="0.3">
      <c r="A235" t="s">
        <v>344</v>
      </c>
    </row>
    <row r="236" spans="1:1" x14ac:dyDescent="0.3">
      <c r="A236" t="s">
        <v>345</v>
      </c>
    </row>
    <row r="237" spans="1:1" x14ac:dyDescent="0.3">
      <c r="A237" t="s">
        <v>346</v>
      </c>
    </row>
    <row r="238" spans="1:1" x14ac:dyDescent="0.3">
      <c r="A238" t="s">
        <v>347</v>
      </c>
    </row>
    <row r="239" spans="1:1" x14ac:dyDescent="0.3">
      <c r="A239" t="s">
        <v>348</v>
      </c>
    </row>
    <row r="240" spans="1:1" x14ac:dyDescent="0.3">
      <c r="A240" t="s">
        <v>349</v>
      </c>
    </row>
    <row r="241" spans="1:1" x14ac:dyDescent="0.3">
      <c r="A241" t="s">
        <v>350</v>
      </c>
    </row>
    <row r="242" spans="1:1" x14ac:dyDescent="0.3">
      <c r="A242" t="s">
        <v>351</v>
      </c>
    </row>
    <row r="243" spans="1:1" x14ac:dyDescent="0.3">
      <c r="A243" t="s">
        <v>352</v>
      </c>
    </row>
    <row r="244" spans="1:1" x14ac:dyDescent="0.3">
      <c r="A244" t="s">
        <v>353</v>
      </c>
    </row>
    <row r="245" spans="1:1" x14ac:dyDescent="0.3">
      <c r="A245" t="s">
        <v>354</v>
      </c>
    </row>
    <row r="246" spans="1:1" x14ac:dyDescent="0.3">
      <c r="A246" t="s">
        <v>355</v>
      </c>
    </row>
    <row r="247" spans="1:1" x14ac:dyDescent="0.3">
      <c r="A247" t="s">
        <v>356</v>
      </c>
    </row>
    <row r="248" spans="1:1" x14ac:dyDescent="0.3">
      <c r="A248" t="s">
        <v>357</v>
      </c>
    </row>
    <row r="249" spans="1:1" x14ac:dyDescent="0.3">
      <c r="A249" t="s">
        <v>358</v>
      </c>
    </row>
    <row r="250" spans="1:1" x14ac:dyDescent="0.3">
      <c r="A250" t="s">
        <v>359</v>
      </c>
    </row>
    <row r="251" spans="1:1" x14ac:dyDescent="0.3">
      <c r="A251" t="s">
        <v>360</v>
      </c>
    </row>
    <row r="252" spans="1:1" x14ac:dyDescent="0.3">
      <c r="A252" t="s">
        <v>361</v>
      </c>
    </row>
    <row r="253" spans="1:1" x14ac:dyDescent="0.3">
      <c r="A253" t="s">
        <v>362</v>
      </c>
    </row>
    <row r="254" spans="1:1" x14ac:dyDescent="0.3">
      <c r="A254" t="s">
        <v>363</v>
      </c>
    </row>
    <row r="255" spans="1:1" x14ac:dyDescent="0.3">
      <c r="A255" t="s">
        <v>364</v>
      </c>
    </row>
    <row r="256" spans="1:1" x14ac:dyDescent="0.3">
      <c r="A256" t="s">
        <v>365</v>
      </c>
    </row>
    <row r="257" spans="1:1" x14ac:dyDescent="0.3">
      <c r="A257" t="s">
        <v>366</v>
      </c>
    </row>
    <row r="258" spans="1:1" x14ac:dyDescent="0.3">
      <c r="A258" t="s">
        <v>367</v>
      </c>
    </row>
    <row r="259" spans="1:1" x14ac:dyDescent="0.3">
      <c r="A259" t="s">
        <v>368</v>
      </c>
    </row>
    <row r="260" spans="1:1" x14ac:dyDescent="0.3">
      <c r="A260" t="s">
        <v>369</v>
      </c>
    </row>
    <row r="261" spans="1:1" x14ac:dyDescent="0.3">
      <c r="A261" t="s">
        <v>370</v>
      </c>
    </row>
    <row r="262" spans="1:1" x14ac:dyDescent="0.3">
      <c r="A262" t="s">
        <v>371</v>
      </c>
    </row>
    <row r="263" spans="1:1" x14ac:dyDescent="0.3">
      <c r="A263" t="s">
        <v>372</v>
      </c>
    </row>
    <row r="264" spans="1:1" x14ac:dyDescent="0.3">
      <c r="A264" t="s">
        <v>373</v>
      </c>
    </row>
    <row r="265" spans="1:1" x14ac:dyDescent="0.3">
      <c r="A265" t="s">
        <v>374</v>
      </c>
    </row>
    <row r="266" spans="1:1" x14ac:dyDescent="0.3">
      <c r="A266" t="s">
        <v>375</v>
      </c>
    </row>
    <row r="267" spans="1:1" x14ac:dyDescent="0.3">
      <c r="A267" t="s">
        <v>376</v>
      </c>
    </row>
    <row r="268" spans="1:1" x14ac:dyDescent="0.3">
      <c r="A268" t="s">
        <v>377</v>
      </c>
    </row>
    <row r="269" spans="1:1" x14ac:dyDescent="0.3">
      <c r="A269" t="s">
        <v>378</v>
      </c>
    </row>
    <row r="270" spans="1:1" x14ac:dyDescent="0.3">
      <c r="A270" t="s">
        <v>379</v>
      </c>
    </row>
    <row r="271" spans="1:1" x14ac:dyDescent="0.3">
      <c r="A271" t="s">
        <v>380</v>
      </c>
    </row>
    <row r="272" spans="1:1" x14ac:dyDescent="0.3">
      <c r="A272" t="s">
        <v>381</v>
      </c>
    </row>
    <row r="273" spans="1:1" x14ac:dyDescent="0.3">
      <c r="A273" t="s">
        <v>382</v>
      </c>
    </row>
    <row r="274" spans="1:1" x14ac:dyDescent="0.3">
      <c r="A274" t="s">
        <v>383</v>
      </c>
    </row>
    <row r="275" spans="1:1" x14ac:dyDescent="0.3">
      <c r="A275" t="s">
        <v>384</v>
      </c>
    </row>
    <row r="276" spans="1:1" x14ac:dyDescent="0.3">
      <c r="A276" t="s">
        <v>385</v>
      </c>
    </row>
    <row r="277" spans="1:1" x14ac:dyDescent="0.3">
      <c r="A277" t="s">
        <v>386</v>
      </c>
    </row>
    <row r="278" spans="1:1" x14ac:dyDescent="0.3">
      <c r="A278" t="s">
        <v>387</v>
      </c>
    </row>
    <row r="279" spans="1:1" x14ac:dyDescent="0.3">
      <c r="A279" t="s">
        <v>388</v>
      </c>
    </row>
    <row r="280" spans="1:1" x14ac:dyDescent="0.3">
      <c r="A280" t="s">
        <v>389</v>
      </c>
    </row>
    <row r="281" spans="1:1" x14ac:dyDescent="0.3">
      <c r="A281" t="s">
        <v>390</v>
      </c>
    </row>
    <row r="282" spans="1:1" x14ac:dyDescent="0.3">
      <c r="A282" t="s">
        <v>391</v>
      </c>
    </row>
    <row r="283" spans="1:1" x14ac:dyDescent="0.3">
      <c r="A283" t="s">
        <v>392</v>
      </c>
    </row>
    <row r="284" spans="1:1" x14ac:dyDescent="0.3">
      <c r="A284" t="s">
        <v>393</v>
      </c>
    </row>
    <row r="285" spans="1:1" x14ac:dyDescent="0.3">
      <c r="A285" t="s">
        <v>394</v>
      </c>
    </row>
    <row r="286" spans="1:1" x14ac:dyDescent="0.3">
      <c r="A286" t="s">
        <v>395</v>
      </c>
    </row>
    <row r="287" spans="1:1" x14ac:dyDescent="0.3">
      <c r="A287" t="s">
        <v>396</v>
      </c>
    </row>
    <row r="288" spans="1:1" x14ac:dyDescent="0.3">
      <c r="A288" t="s">
        <v>397</v>
      </c>
    </row>
    <row r="289" spans="1:1" x14ac:dyDescent="0.3">
      <c r="A289" t="s">
        <v>398</v>
      </c>
    </row>
    <row r="290" spans="1:1" x14ac:dyDescent="0.3">
      <c r="A290" t="s">
        <v>399</v>
      </c>
    </row>
    <row r="291" spans="1:1" x14ac:dyDescent="0.3">
      <c r="A291" t="s">
        <v>400</v>
      </c>
    </row>
    <row r="292" spans="1:1" x14ac:dyDescent="0.3">
      <c r="A292" t="s">
        <v>401</v>
      </c>
    </row>
    <row r="293" spans="1:1" x14ac:dyDescent="0.3">
      <c r="A293" t="s">
        <v>402</v>
      </c>
    </row>
    <row r="294" spans="1:1" x14ac:dyDescent="0.3">
      <c r="A294" t="s">
        <v>403</v>
      </c>
    </row>
    <row r="295" spans="1:1" x14ac:dyDescent="0.3">
      <c r="A295" t="s">
        <v>404</v>
      </c>
    </row>
    <row r="296" spans="1:1" x14ac:dyDescent="0.3">
      <c r="A296" t="s">
        <v>405</v>
      </c>
    </row>
    <row r="297" spans="1:1" x14ac:dyDescent="0.3">
      <c r="A297" t="s">
        <v>406</v>
      </c>
    </row>
    <row r="298" spans="1:1" x14ac:dyDescent="0.3">
      <c r="A298" t="s">
        <v>407</v>
      </c>
    </row>
    <row r="299" spans="1:1" x14ac:dyDescent="0.3">
      <c r="A299" t="s">
        <v>408</v>
      </c>
    </row>
    <row r="300" spans="1:1" x14ac:dyDescent="0.3">
      <c r="A300" t="s">
        <v>409</v>
      </c>
    </row>
    <row r="301" spans="1:1" x14ac:dyDescent="0.3">
      <c r="A301" t="s">
        <v>410</v>
      </c>
    </row>
    <row r="302" spans="1:1" x14ac:dyDescent="0.3">
      <c r="A302" t="s">
        <v>411</v>
      </c>
    </row>
    <row r="303" spans="1:1" x14ac:dyDescent="0.3">
      <c r="A303" t="s">
        <v>412</v>
      </c>
    </row>
    <row r="304" spans="1:1" x14ac:dyDescent="0.3">
      <c r="A304" t="s">
        <v>413</v>
      </c>
    </row>
  </sheetData>
  <sortState xmlns:xlrd2="http://schemas.microsoft.com/office/spreadsheetml/2017/richdata2" ref="A42:N219">
    <sortCondition ref="A42:A219"/>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Schavemaker</dc:creator>
  <cp:lastModifiedBy>Paul Schavemaker</cp:lastModifiedBy>
  <dcterms:created xsi:type="dcterms:W3CDTF">2020-06-03T19:28:52Z</dcterms:created>
  <dcterms:modified xsi:type="dcterms:W3CDTF">2022-01-25T18:38:23Z</dcterms:modified>
</cp:coreProperties>
</file>