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pereira/Desktop/"/>
    </mc:Choice>
  </mc:AlternateContent>
  <xr:revisionPtr revIDLastSave="0" documentId="13_ncr:1_{0E36AEF8-A9B6-C54E-8B0B-3E5C33515401}" xr6:coauthVersionLast="36" xr6:coauthVersionMax="36" xr10:uidLastSave="{00000000-0000-0000-0000-000000000000}"/>
  <bookViews>
    <workbookView xWindow="1000" yWindow="500" windowWidth="27640" windowHeight="16300" firstSheet="10" activeTab="23" xr2:uid="{DAC90B66-E7C5-4D48-9BC3-E6E006858176}"/>
  </bookViews>
  <sheets>
    <sheet name="Fig1A" sheetId="3" r:id="rId1"/>
    <sheet name="Fig1B" sheetId="2" r:id="rId2"/>
    <sheet name="Fig1C" sheetId="1" r:id="rId3"/>
    <sheet name="Fig1F" sheetId="4" r:id="rId4"/>
    <sheet name="Fig1I-J" sheetId="5" r:id="rId5"/>
    <sheet name="Fig2A-B" sheetId="7" r:id="rId6"/>
    <sheet name="Fig2C" sheetId="8" r:id="rId7"/>
    <sheet name="Fig2D-E" sheetId="9" r:id="rId8"/>
    <sheet name="Fig2G" sheetId="11" r:id="rId9"/>
    <sheet name="Fig2H" sheetId="12" r:id="rId10"/>
    <sheet name="Fig3E" sheetId="13" r:id="rId11"/>
    <sheet name="Fig4A" sheetId="15" r:id="rId12"/>
    <sheet name="Fig4B-J" sheetId="14" r:id="rId13"/>
    <sheet name="Fig5B" sheetId="22" r:id="rId14"/>
    <sheet name="Fig5C" sheetId="23" r:id="rId15"/>
    <sheet name="Fig5E" sheetId="24" r:id="rId16"/>
    <sheet name="Fig5G" sheetId="25" r:id="rId17"/>
    <sheet name="Fig6B" sheetId="26" r:id="rId18"/>
    <sheet name="Fig6D" sheetId="28" r:id="rId19"/>
    <sheet name="Fig6E" sheetId="29" r:id="rId20"/>
    <sheet name="Fig6F" sheetId="27" r:id="rId21"/>
    <sheet name="Fig6G" sheetId="30" r:id="rId22"/>
    <sheet name="Fig6H" sheetId="31" r:id="rId23"/>
    <sheet name="Fig7C" sheetId="32" r:id="rId24"/>
    <sheet name="Fig7D" sheetId="33" r:id="rId2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32" l="1"/>
  <c r="L32" i="32"/>
  <c r="K32" i="32"/>
  <c r="J32" i="32"/>
  <c r="O31" i="32"/>
  <c r="N31" i="32"/>
  <c r="M31" i="32"/>
  <c r="L31" i="32"/>
  <c r="K31" i="32"/>
  <c r="J31" i="32"/>
  <c r="Y30" i="32"/>
  <c r="X30" i="32"/>
  <c r="V30" i="32"/>
  <c r="U30" i="32"/>
  <c r="T30" i="32"/>
  <c r="S30" i="32"/>
  <c r="R30" i="32"/>
  <c r="Q30" i="32"/>
  <c r="P30" i="32"/>
  <c r="O30" i="32"/>
  <c r="N30" i="32"/>
  <c r="M30" i="32"/>
  <c r="L30" i="32"/>
  <c r="K30" i="32"/>
  <c r="J30" i="32"/>
  <c r="Y29" i="32"/>
  <c r="X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Q28" i="32"/>
  <c r="P28" i="32"/>
  <c r="O28" i="32"/>
  <c r="N28" i="32"/>
  <c r="M28" i="32"/>
  <c r="L28" i="32"/>
  <c r="K28" i="32"/>
  <c r="J28" i="32"/>
  <c r="N27" i="32"/>
  <c r="M27" i="32"/>
  <c r="L27" i="32"/>
  <c r="K27" i="32"/>
  <c r="J27" i="32"/>
  <c r="F51" i="33" l="1"/>
  <c r="F50" i="33"/>
  <c r="F49" i="33"/>
  <c r="F48" i="33"/>
  <c r="F47" i="33"/>
  <c r="F46" i="33"/>
  <c r="F45" i="33"/>
  <c r="F44" i="33"/>
  <c r="F43" i="33"/>
  <c r="D43" i="33"/>
  <c r="F42" i="33"/>
  <c r="D42" i="33"/>
  <c r="H41" i="33"/>
  <c r="F41" i="33"/>
  <c r="D41" i="33"/>
  <c r="H40" i="33"/>
  <c r="F40" i="33"/>
  <c r="D40" i="33"/>
  <c r="H39" i="33"/>
  <c r="F39" i="33"/>
  <c r="D39" i="33"/>
  <c r="H38" i="33"/>
  <c r="F38" i="33"/>
  <c r="D38" i="33"/>
  <c r="H37" i="33"/>
  <c r="F37" i="33"/>
  <c r="D37" i="33"/>
  <c r="H36" i="33"/>
  <c r="F36" i="33"/>
  <c r="D36" i="33"/>
  <c r="H35" i="33"/>
  <c r="F35" i="33"/>
  <c r="D35" i="33"/>
  <c r="H34" i="33"/>
  <c r="F34" i="33"/>
  <c r="D34" i="33"/>
  <c r="H33" i="33"/>
  <c r="F33" i="33"/>
  <c r="D33" i="33"/>
  <c r="H32" i="33"/>
  <c r="F32" i="33"/>
  <c r="D32" i="33"/>
  <c r="L6" i="33"/>
  <c r="L7" i="33"/>
  <c r="L8" i="33"/>
  <c r="L9" i="33"/>
  <c r="L10" i="33"/>
  <c r="L11" i="33"/>
  <c r="L12" i="33"/>
  <c r="L13" i="33"/>
  <c r="L14" i="33"/>
  <c r="L15" i="33"/>
  <c r="L16" i="33"/>
  <c r="L17" i="33"/>
  <c r="L18" i="33"/>
  <c r="L19" i="33"/>
  <c r="L20" i="33"/>
  <c r="L21" i="33"/>
  <c r="L22" i="33"/>
  <c r="L23" i="33"/>
  <c r="L24" i="33"/>
  <c r="L25" i="33"/>
  <c r="J25" i="33"/>
  <c r="H25" i="33"/>
  <c r="F25" i="33"/>
  <c r="D25" i="33"/>
  <c r="J24" i="33"/>
  <c r="H24" i="33"/>
  <c r="F24" i="33"/>
  <c r="D24" i="33"/>
  <c r="J23" i="33"/>
  <c r="H23" i="33"/>
  <c r="F23" i="33"/>
  <c r="D23" i="33"/>
  <c r="J22" i="33"/>
  <c r="H22" i="33"/>
  <c r="F22" i="33"/>
  <c r="D22" i="33"/>
  <c r="J21" i="33"/>
  <c r="H21" i="33"/>
  <c r="F21" i="33"/>
  <c r="D21" i="33"/>
  <c r="J20" i="33"/>
  <c r="H20" i="33"/>
  <c r="F20" i="33"/>
  <c r="D20" i="33"/>
  <c r="J19" i="33"/>
  <c r="H19" i="33"/>
  <c r="F19" i="33"/>
  <c r="D19" i="33"/>
  <c r="J18" i="33"/>
  <c r="H18" i="33"/>
  <c r="F18" i="33"/>
  <c r="D18" i="33"/>
  <c r="J17" i="33"/>
  <c r="H17" i="33"/>
  <c r="F17" i="33"/>
  <c r="D17" i="33"/>
  <c r="J16" i="33"/>
  <c r="H16" i="33"/>
  <c r="F16" i="33"/>
  <c r="D16" i="33"/>
  <c r="J15" i="33"/>
  <c r="H15" i="33"/>
  <c r="F15" i="33"/>
  <c r="D15" i="33"/>
  <c r="J14" i="33"/>
  <c r="H14" i="33"/>
  <c r="F14" i="33"/>
  <c r="D14" i="33"/>
  <c r="J13" i="33"/>
  <c r="H13" i="33"/>
  <c r="F13" i="33"/>
  <c r="D13" i="33"/>
  <c r="J12" i="33"/>
  <c r="H12" i="33"/>
  <c r="F12" i="33"/>
  <c r="D12" i="33"/>
  <c r="J11" i="33"/>
  <c r="H11" i="33"/>
  <c r="F11" i="33"/>
  <c r="D11" i="33"/>
  <c r="J10" i="33"/>
  <c r="H10" i="33"/>
  <c r="F10" i="33"/>
  <c r="D10" i="33"/>
  <c r="J9" i="33"/>
  <c r="H9" i="33"/>
  <c r="F9" i="33"/>
  <c r="D9" i="33"/>
  <c r="J8" i="33"/>
  <c r="H8" i="33"/>
  <c r="F8" i="33"/>
  <c r="D8" i="33"/>
  <c r="J7" i="33"/>
  <c r="H7" i="33"/>
  <c r="F7" i="33"/>
  <c r="D7" i="33"/>
  <c r="J6" i="33"/>
  <c r="H6" i="33"/>
  <c r="F6" i="33"/>
  <c r="D6" i="33"/>
  <c r="M18" i="32"/>
  <c r="L18" i="32"/>
  <c r="K18" i="32"/>
  <c r="J18" i="32"/>
  <c r="I18" i="32"/>
  <c r="N17" i="32"/>
  <c r="M17" i="32"/>
  <c r="L17" i="32"/>
  <c r="K17" i="32"/>
  <c r="J17" i="32"/>
  <c r="I17" i="32"/>
  <c r="L16" i="32"/>
  <c r="K16" i="32"/>
  <c r="J16" i="32"/>
  <c r="I16" i="32"/>
  <c r="U15" i="32"/>
  <c r="T15" i="32"/>
  <c r="S15" i="32"/>
  <c r="R15" i="32"/>
  <c r="P15" i="32"/>
  <c r="O15" i="32"/>
  <c r="N15" i="32"/>
  <c r="M15" i="32"/>
  <c r="L15" i="32"/>
  <c r="K15" i="32"/>
  <c r="J15" i="32"/>
  <c r="I15" i="32"/>
  <c r="H15" i="32"/>
  <c r="U14" i="32"/>
  <c r="T14" i="32"/>
  <c r="S14" i="32"/>
  <c r="R14" i="32"/>
  <c r="P14" i="32"/>
  <c r="O14" i="32"/>
  <c r="N14" i="32"/>
  <c r="M14" i="32"/>
  <c r="L14" i="32"/>
  <c r="K14" i="32"/>
  <c r="J14" i="32"/>
  <c r="I14" i="32"/>
  <c r="U13" i="32"/>
  <c r="T13" i="32"/>
  <c r="S13" i="32"/>
  <c r="R13" i="32"/>
  <c r="P13" i="32"/>
  <c r="O13" i="32"/>
  <c r="N13" i="32"/>
  <c r="M13" i="32"/>
  <c r="L13" i="32"/>
  <c r="K13" i="32"/>
  <c r="J13" i="32"/>
  <c r="I13" i="32"/>
  <c r="U12" i="32"/>
  <c r="T12" i="32"/>
  <c r="S12" i="32"/>
  <c r="R12" i="32"/>
  <c r="P12" i="32"/>
  <c r="O12" i="32"/>
  <c r="N12" i="32"/>
  <c r="M12" i="32"/>
  <c r="L12" i="32"/>
  <c r="K12" i="32"/>
  <c r="J12" i="32"/>
  <c r="I12" i="32"/>
  <c r="U11" i="32"/>
  <c r="T11" i="32"/>
  <c r="S11" i="32"/>
  <c r="R11" i="32"/>
  <c r="P11" i="32"/>
  <c r="O11" i="32"/>
  <c r="N11" i="32"/>
  <c r="M11" i="32"/>
  <c r="L11" i="32"/>
  <c r="K11" i="32"/>
  <c r="J11" i="32"/>
  <c r="I11" i="32"/>
  <c r="U10" i="32"/>
  <c r="T10" i="32"/>
  <c r="S10" i="32"/>
  <c r="R10" i="32"/>
  <c r="P10" i="32"/>
  <c r="O10" i="32"/>
  <c r="N10" i="32"/>
  <c r="M10" i="32"/>
  <c r="L10" i="32"/>
  <c r="K10" i="32"/>
  <c r="J10" i="32"/>
  <c r="I10" i="32"/>
  <c r="U9" i="32"/>
  <c r="T9" i="32"/>
  <c r="S9" i="32"/>
  <c r="R9" i="32"/>
  <c r="P9" i="32"/>
  <c r="O9" i="32"/>
  <c r="N9" i="32"/>
  <c r="M9" i="32"/>
  <c r="L9" i="32"/>
  <c r="K9" i="32"/>
  <c r="J9" i="32"/>
  <c r="I9" i="32"/>
  <c r="U8" i="32"/>
  <c r="T8" i="32"/>
  <c r="S8" i="32"/>
  <c r="R8" i="32"/>
  <c r="P8" i="32"/>
  <c r="O8" i="32"/>
  <c r="N8" i="32"/>
  <c r="M8" i="32"/>
  <c r="L8" i="32"/>
  <c r="K8" i="32"/>
  <c r="J8" i="32"/>
  <c r="I8" i="32"/>
  <c r="U7" i="32"/>
  <c r="T7" i="32"/>
  <c r="S7" i="32"/>
  <c r="R7" i="32"/>
  <c r="P7" i="32"/>
  <c r="O7" i="32"/>
  <c r="N7" i="32"/>
  <c r="M7" i="32"/>
  <c r="L7" i="32"/>
  <c r="K7" i="32"/>
  <c r="J7" i="32"/>
  <c r="I7" i="32"/>
  <c r="P6" i="32"/>
  <c r="O6" i="32"/>
  <c r="N6" i="32"/>
  <c r="M6" i="32"/>
  <c r="L6" i="32"/>
  <c r="K6" i="32"/>
  <c r="J6" i="32"/>
  <c r="I6" i="32"/>
  <c r="S5" i="32"/>
  <c r="R5" i="32"/>
  <c r="P5" i="32"/>
  <c r="O5" i="32"/>
  <c r="N5" i="32"/>
  <c r="M5" i="32"/>
  <c r="L5" i="32"/>
  <c r="K5" i="32"/>
  <c r="J5" i="32"/>
  <c r="I5" i="32"/>
  <c r="N4" i="32"/>
  <c r="M4" i="32"/>
  <c r="L4" i="32"/>
  <c r="K4" i="32"/>
  <c r="J4" i="32"/>
  <c r="I4" i="32"/>
  <c r="F42" i="29" l="1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D15" i="29"/>
  <c r="F14" i="29"/>
  <c r="D14" i="29"/>
  <c r="F13" i="29"/>
  <c r="D13" i="29"/>
  <c r="F12" i="29"/>
  <c r="D12" i="29"/>
  <c r="F11" i="29"/>
  <c r="D11" i="29"/>
  <c r="F10" i="29"/>
  <c r="D10" i="29"/>
  <c r="F9" i="29"/>
  <c r="D9" i="29"/>
  <c r="F8" i="29"/>
  <c r="D8" i="29"/>
  <c r="F7" i="29"/>
  <c r="D7" i="29"/>
  <c r="F6" i="29"/>
  <c r="D6" i="29"/>
  <c r="F5" i="29"/>
  <c r="D5" i="29"/>
  <c r="F4" i="29"/>
  <c r="D4" i="29"/>
  <c r="D23" i="22" l="1"/>
  <c r="D22" i="22"/>
  <c r="D21" i="22"/>
  <c r="D20" i="22"/>
  <c r="D19" i="22"/>
  <c r="D18" i="22"/>
  <c r="D17" i="22"/>
  <c r="D16" i="22"/>
  <c r="F15" i="22"/>
  <c r="D15" i="22"/>
  <c r="F14" i="22"/>
  <c r="D14" i="22"/>
  <c r="F13" i="22"/>
  <c r="D13" i="22"/>
  <c r="F12" i="22"/>
  <c r="D12" i="22"/>
  <c r="F11" i="22"/>
  <c r="D11" i="22"/>
  <c r="F10" i="22"/>
  <c r="D10" i="22"/>
  <c r="F9" i="22"/>
  <c r="D9" i="22"/>
  <c r="F8" i="22"/>
  <c r="D8" i="22"/>
  <c r="F7" i="22"/>
  <c r="D7" i="22"/>
  <c r="F6" i="22"/>
  <c r="D6" i="22"/>
  <c r="F5" i="22"/>
  <c r="D5" i="22"/>
  <c r="F4" i="22"/>
  <c r="D4" i="22"/>
  <c r="C40" i="3" l="1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C22" i="2"/>
  <c r="AB22" i="2"/>
  <c r="AA22" i="2"/>
  <c r="Z22" i="2"/>
  <c r="Y22" i="2"/>
  <c r="X22" i="2"/>
  <c r="V22" i="2"/>
  <c r="T22" i="2"/>
  <c r="S22" i="2"/>
  <c r="R22" i="2"/>
  <c r="Q22" i="2"/>
  <c r="N22" i="2"/>
  <c r="M22" i="2"/>
  <c r="L22" i="2"/>
  <c r="K22" i="2"/>
  <c r="I22" i="2"/>
  <c r="AW21" i="2"/>
  <c r="AV21" i="2"/>
  <c r="AU21" i="2"/>
  <c r="AT21" i="2"/>
  <c r="AS21" i="2"/>
  <c r="AR21" i="2"/>
  <c r="AQ21" i="2"/>
  <c r="AP21" i="2"/>
  <c r="AO21" i="2"/>
  <c r="AK21" i="2"/>
  <c r="AJ21" i="2"/>
  <c r="AH21" i="2"/>
  <c r="AG21" i="2"/>
  <c r="AE21" i="2"/>
  <c r="AD21" i="2"/>
  <c r="AC21" i="2"/>
  <c r="Y21" i="2"/>
  <c r="X21" i="2"/>
  <c r="W21" i="2"/>
  <c r="U21" i="2"/>
  <c r="S21" i="2"/>
  <c r="R21" i="2"/>
  <c r="Q21" i="2"/>
  <c r="M21" i="2"/>
  <c r="L21" i="2"/>
  <c r="K21" i="2"/>
  <c r="J21" i="2"/>
  <c r="I21" i="2"/>
  <c r="H21" i="2"/>
  <c r="AT20" i="2"/>
  <c r="AS20" i="2"/>
  <c r="AR20" i="2"/>
  <c r="AQ20" i="2"/>
  <c r="AP20" i="2"/>
  <c r="AO20" i="2"/>
  <c r="AN20" i="2"/>
  <c r="AM20" i="2"/>
  <c r="AK20" i="2"/>
  <c r="AJ20" i="2"/>
  <c r="AI20" i="2"/>
  <c r="AH20" i="2"/>
  <c r="AG20" i="2"/>
  <c r="AC20" i="2"/>
  <c r="AB20" i="2"/>
  <c r="AA20" i="2"/>
  <c r="Z20" i="2"/>
  <c r="Y20" i="2"/>
  <c r="X20" i="2"/>
  <c r="W20" i="2"/>
  <c r="V20" i="2"/>
  <c r="S20" i="2"/>
  <c r="R20" i="2"/>
  <c r="Q20" i="2"/>
  <c r="P20" i="2"/>
  <c r="M20" i="2"/>
  <c r="L20" i="2"/>
  <c r="K20" i="2"/>
  <c r="J20" i="2"/>
  <c r="I20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U19" i="2"/>
  <c r="S19" i="2"/>
  <c r="R19" i="2"/>
  <c r="Q19" i="2"/>
  <c r="P19" i="2"/>
  <c r="O19" i="2"/>
  <c r="N19" i="2"/>
  <c r="M19" i="2"/>
  <c r="L19" i="2"/>
  <c r="K19" i="2"/>
  <c r="H19" i="2"/>
  <c r="G19" i="2"/>
  <c r="G14" i="3" l="1"/>
  <c r="G13" i="3"/>
  <c r="G12" i="3"/>
  <c r="G11" i="3"/>
  <c r="G10" i="3"/>
  <c r="G9" i="3"/>
  <c r="G8" i="3"/>
  <c r="G7" i="3"/>
  <c r="G6" i="3"/>
  <c r="G5" i="3"/>
  <c r="E14" i="3"/>
  <c r="E13" i="3"/>
  <c r="E12" i="3"/>
  <c r="E11" i="3"/>
  <c r="E10" i="3"/>
  <c r="E9" i="3"/>
  <c r="E8" i="3"/>
  <c r="E7" i="3"/>
  <c r="E6" i="3"/>
  <c r="E5" i="3"/>
  <c r="I14" i="2"/>
  <c r="H14" i="2"/>
  <c r="G14" i="2"/>
  <c r="F14" i="2"/>
  <c r="J13" i="2"/>
  <c r="I13" i="2"/>
  <c r="H13" i="2"/>
  <c r="G13" i="2"/>
  <c r="F13" i="2"/>
  <c r="J12" i="2"/>
  <c r="I12" i="2"/>
  <c r="H12" i="2"/>
  <c r="J11" i="2"/>
  <c r="I11" i="2"/>
  <c r="H11" i="2"/>
  <c r="J10" i="2"/>
  <c r="I10" i="2"/>
  <c r="H10" i="2"/>
  <c r="J9" i="2"/>
  <c r="I9" i="2"/>
  <c r="H9" i="2"/>
  <c r="G9" i="2"/>
  <c r="C14" i="3"/>
  <c r="C13" i="3"/>
  <c r="C12" i="3"/>
  <c r="C11" i="3"/>
  <c r="C10" i="3"/>
  <c r="C9" i="3"/>
  <c r="C8" i="3"/>
  <c r="C7" i="3"/>
  <c r="C6" i="3"/>
  <c r="C5" i="3"/>
  <c r="K8" i="2"/>
  <c r="J8" i="2"/>
  <c r="I8" i="2"/>
  <c r="H8" i="2"/>
  <c r="G8" i="2"/>
  <c r="F8" i="2"/>
  <c r="I7" i="2"/>
  <c r="H7" i="2"/>
  <c r="G7" i="2"/>
  <c r="F7" i="2"/>
  <c r="E7" i="2"/>
  <c r="D7" i="2"/>
  <c r="J6" i="2"/>
  <c r="I6" i="2"/>
  <c r="H6" i="2"/>
  <c r="G6" i="2"/>
  <c r="F6" i="2"/>
  <c r="J5" i="2"/>
  <c r="I5" i="2"/>
  <c r="H5" i="2"/>
  <c r="G5" i="2"/>
  <c r="F5" i="2"/>
</calcChain>
</file>

<file path=xl/sharedStrings.xml><?xml version="1.0" encoding="utf-8"?>
<sst xmlns="http://schemas.openxmlformats.org/spreadsheetml/2006/main" count="545" uniqueCount="142">
  <si>
    <t>1/148</t>
  </si>
  <si>
    <t>IL3000</t>
  </si>
  <si>
    <t>Brain</t>
  </si>
  <si>
    <t xml:space="preserve">Gonadal Fat </t>
  </si>
  <si>
    <t>Gonads</t>
  </si>
  <si>
    <t>Heart</t>
  </si>
  <si>
    <t>Kidney</t>
  </si>
  <si>
    <t>Liver</t>
  </si>
  <si>
    <t>Lung</t>
  </si>
  <si>
    <t>Pancreas</t>
  </si>
  <si>
    <t>Spleen</t>
  </si>
  <si>
    <t>Thymus</t>
  </si>
  <si>
    <t>strain ID</t>
  </si>
  <si>
    <t>mouse #</t>
  </si>
  <si>
    <t>Tissue</t>
  </si>
  <si>
    <t>scale:</t>
  </si>
  <si>
    <t>absent</t>
  </si>
  <si>
    <t>minimal</t>
  </si>
  <si>
    <t>mild</t>
  </si>
  <si>
    <t>moderate</t>
  </si>
  <si>
    <t>marked</t>
  </si>
  <si>
    <t>Experiment replicate 1</t>
  </si>
  <si>
    <t>Experiment replicate 2</t>
  </si>
  <si>
    <t>Days post-infection</t>
  </si>
  <si>
    <t>Mouse 1</t>
  </si>
  <si>
    <t>-</t>
  </si>
  <si>
    <t>Mouse 2</t>
  </si>
  <si>
    <t>Mouse 3</t>
  </si>
  <si>
    <t>Mouse 4</t>
  </si>
  <si>
    <t xml:space="preserve">Days P.I. </t>
  </si>
  <si>
    <t># animals</t>
  </si>
  <si>
    <t>%</t>
  </si>
  <si>
    <t>*</t>
  </si>
  <si>
    <t>Experiment #</t>
  </si>
  <si>
    <t>Plotted in Figure</t>
  </si>
  <si>
    <t>strain 1/148</t>
  </si>
  <si>
    <t>Experiment 1</t>
  </si>
  <si>
    <t>Experiment 2</t>
  </si>
  <si>
    <t>Experiment 3</t>
  </si>
  <si>
    <t>Plotted in figure</t>
  </si>
  <si>
    <t>Days Post-infection</t>
  </si>
  <si>
    <t>strain IL3000</t>
  </si>
  <si>
    <t>mg/dL</t>
  </si>
  <si>
    <t>ug/mL</t>
  </si>
  <si>
    <t>Animal ID</t>
  </si>
  <si>
    <t>Ureia</t>
  </si>
  <si>
    <t>Creatinina</t>
  </si>
  <si>
    <t>NGAL</t>
  </si>
  <si>
    <t>A1</t>
  </si>
  <si>
    <t>A2</t>
  </si>
  <si>
    <t>A3</t>
  </si>
  <si>
    <t>A4</t>
  </si>
  <si>
    <t>A5</t>
  </si>
  <si>
    <t>C1</t>
  </si>
  <si>
    <t>C2</t>
  </si>
  <si>
    <t>C3</t>
  </si>
  <si>
    <t>C4</t>
  </si>
  <si>
    <t>C5</t>
  </si>
  <si>
    <t>Strain</t>
  </si>
  <si>
    <t>gWAT</t>
  </si>
  <si>
    <t>Lungs</t>
  </si>
  <si>
    <t>strain</t>
  </si>
  <si>
    <t>Days Post-Infection</t>
  </si>
  <si>
    <t>First peak (day 7/8)</t>
  </si>
  <si>
    <t>Second Peak (day 12-14)</t>
  </si>
  <si>
    <t>Post-second peak</t>
  </si>
  <si>
    <t>Olfactory bulb</t>
  </si>
  <si>
    <t>Cerebral cortex</t>
  </si>
  <si>
    <t>Septum</t>
  </si>
  <si>
    <t>Hippocampus</t>
  </si>
  <si>
    <t>Thalamus</t>
  </si>
  <si>
    <t>Hypothalamus</t>
  </si>
  <si>
    <t>Midbrain</t>
  </si>
  <si>
    <t>Pons</t>
  </si>
  <si>
    <t>Medulla</t>
  </si>
  <si>
    <t>Cerebellum</t>
  </si>
  <si>
    <t>0-10um</t>
  </si>
  <si>
    <t>10-20um</t>
  </si>
  <si>
    <t>20-40um</t>
  </si>
  <si>
    <t>40&gt;um</t>
  </si>
  <si>
    <t>Parasite load (Parasites / cm2 vessel)</t>
  </si>
  <si>
    <t>Vessel diameter</t>
  </si>
  <si>
    <t>Percentage of Parasite Sequestration (Sequestered parasites / Parasite Load * 100)</t>
  </si>
  <si>
    <t>Mouse #</t>
  </si>
  <si>
    <t>Averages</t>
  </si>
  <si>
    <t>Total Parasites/cm2 vessel 1/148</t>
  </si>
  <si>
    <t>Total Parasites/cm2 vessel IL3000</t>
  </si>
  <si>
    <t>Pearson's Correlation</t>
  </si>
  <si>
    <t xml:space="preserve">Duration of sequestration (hours) </t>
  </si>
  <si>
    <t>Non-infected</t>
  </si>
  <si>
    <t>ICAM1</t>
  </si>
  <si>
    <t>VCAM1</t>
  </si>
  <si>
    <t>ICAM2</t>
  </si>
  <si>
    <t>DC (CD11b+CD11c+)</t>
  </si>
  <si>
    <t>Monocytes (CD11b+Ly6C+)</t>
  </si>
  <si>
    <t>Macrophages (CD11b+F4/80+)</t>
  </si>
  <si>
    <t>Intravascular</t>
  </si>
  <si>
    <t>Extravascular</t>
  </si>
  <si>
    <t>B Cells (CD3+CD19+)</t>
  </si>
  <si>
    <t>CD4+T cells</t>
  </si>
  <si>
    <t>CD8+T cells</t>
  </si>
  <si>
    <t>Non-Infected</t>
  </si>
  <si>
    <t>Blood</t>
  </si>
  <si>
    <t>ICAM1+ Brain</t>
  </si>
  <si>
    <t>ICAM1+ Blood</t>
  </si>
  <si>
    <t>IL-1a</t>
  </si>
  <si>
    <t>IL-1B</t>
  </si>
  <si>
    <t>IFNy</t>
  </si>
  <si>
    <t xml:space="preserve">CXCL10 </t>
  </si>
  <si>
    <t>CXCL9</t>
  </si>
  <si>
    <t>TNFa</t>
  </si>
  <si>
    <t>a-ICAM1</t>
  </si>
  <si>
    <t>Pathology score</t>
  </si>
  <si>
    <t>a-IgG2</t>
  </si>
  <si>
    <t>WT</t>
  </si>
  <si>
    <t>RAG2 KO</t>
  </si>
  <si>
    <t>Parasite Load (Parasites / cm2 vessel)</t>
  </si>
  <si>
    <r>
      <rPr>
        <sz val="12"/>
        <color theme="1"/>
        <rFont val="Symbol"/>
        <charset val="2"/>
      </rPr>
      <t>a</t>
    </r>
    <r>
      <rPr>
        <sz val="12"/>
        <color theme="1"/>
        <rFont val="Calibri"/>
        <family val="2"/>
        <scheme val="minor"/>
      </rPr>
      <t>-ICAM1</t>
    </r>
  </si>
  <si>
    <r>
      <rPr>
        <sz val="12"/>
        <color theme="1"/>
        <rFont val="Symbol"/>
        <charset val="2"/>
      </rPr>
      <t>a</t>
    </r>
    <r>
      <rPr>
        <sz val="12"/>
        <color theme="1"/>
        <rFont val="Calibri"/>
        <family val="2"/>
        <scheme val="minor"/>
      </rPr>
      <t>-IgG2</t>
    </r>
  </si>
  <si>
    <t>% survival</t>
  </si>
  <si>
    <t>% mouse survival</t>
  </si>
  <si>
    <t># animals alive</t>
  </si>
  <si>
    <t>% animals alive</t>
  </si>
  <si>
    <t>days post-infection</t>
  </si>
  <si>
    <t>a-VCAM1</t>
  </si>
  <si>
    <t>a-ICAM2</t>
  </si>
  <si>
    <t>Percentage of Leukocytes relative to a-IgG2 control</t>
  </si>
  <si>
    <t>Total number of Leukocytes</t>
  </si>
  <si>
    <t xml:space="preserve">a-VCAM1	</t>
  </si>
  <si>
    <t>Percentage of Leukocytes relative to WT control</t>
  </si>
  <si>
    <t>a-IgG2 WT</t>
  </si>
  <si>
    <t>a-IgG2 RAG2KO</t>
  </si>
  <si>
    <t>a-ICAM1 RAG2KO</t>
  </si>
  <si>
    <t>Rag2 KO</t>
  </si>
  <si>
    <t># mice</t>
  </si>
  <si>
    <t xml:space="preserve"> -/-</t>
  </si>
  <si>
    <t xml:space="preserve">WT </t>
  </si>
  <si>
    <t>B cells</t>
  </si>
  <si>
    <t>CD4+ T cells</t>
  </si>
  <si>
    <t>CD8+ T cells</t>
  </si>
  <si>
    <t>Experiment 1 (plotted)</t>
  </si>
  <si>
    <t>Experiment 2 (replicate)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</si>
</sst>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0.0"/>
    <numFmt numFmtId="168" formatCode="#,##0.000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sz val="12"/>
      <color theme="1"/>
      <name val="Calibri"/>
      <family val="2"/>
      <charset val="2"/>
      <scheme val="minor"/>
    </font>
    <font>
      <sz val="12"/>
      <color theme="1"/>
      <name val="Symbol"/>
      <charset val="2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3" xfId="0" applyBorder="1" applyAlignment="1">
      <alignment horizontal="center" vertical="center"/>
    </xf>
    <xf numFmtId="0" fontId="0" fillId="0" borderId="5" xfId="0" applyBorder="1"/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3" fontId="0" fillId="0" borderId="0" xfId="0" applyNumberFormat="1"/>
    <xf numFmtId="11" fontId="0" fillId="0" borderId="0" xfId="0" applyNumberFormat="1"/>
    <xf numFmtId="0" fontId="5" fillId="0" borderId="0" xfId="0" applyFont="1"/>
    <xf numFmtId="0" fontId="2" fillId="0" borderId="0" xfId="0" applyFont="1"/>
    <xf numFmtId="11" fontId="0" fillId="0" borderId="0" xfId="0" applyNumberFormat="1" applyBorder="1"/>
    <xf numFmtId="9" fontId="0" fillId="0" borderId="0" xfId="1" applyFont="1"/>
    <xf numFmtId="0" fontId="4" fillId="0" borderId="0" xfId="0" applyFont="1" applyAlignment="1">
      <alignment horizontal="center"/>
    </xf>
    <xf numFmtId="0" fontId="0" fillId="0" borderId="0" xfId="0" applyFill="1" applyBorder="1"/>
    <xf numFmtId="11" fontId="0" fillId="0" borderId="0" xfId="0" applyNumberFormat="1" applyFill="1" applyBorder="1"/>
    <xf numFmtId="0" fontId="0" fillId="0" borderId="4" xfId="0" applyFill="1" applyBorder="1"/>
    <xf numFmtId="11" fontId="6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1" fontId="0" fillId="0" borderId="4" xfId="0" applyNumberFormat="1" applyFill="1" applyBorder="1"/>
    <xf numFmtId="11" fontId="0" fillId="0" borderId="5" xfId="0" applyNumberFormat="1" applyFill="1" applyBorder="1"/>
    <xf numFmtId="0" fontId="0" fillId="0" borderId="8" xfId="0" applyFill="1" applyBorder="1" applyAlignment="1">
      <alignment horizontal="center" vertical="center"/>
    </xf>
    <xf numFmtId="11" fontId="0" fillId="0" borderId="9" xfId="0" applyNumberFormat="1" applyFill="1" applyBorder="1"/>
    <xf numFmtId="0" fontId="0" fillId="0" borderId="6" xfId="0" applyFill="1" applyBorder="1" applyAlignment="1">
      <alignment horizontal="center" vertical="center"/>
    </xf>
    <xf numFmtId="11" fontId="0" fillId="0" borderId="1" xfId="0" applyNumberFormat="1" applyFill="1" applyBorder="1"/>
    <xf numFmtId="11" fontId="0" fillId="0" borderId="7" xfId="0" applyNumberFormat="1" applyFill="1" applyBorder="1"/>
    <xf numFmtId="11" fontId="0" fillId="0" borderId="4" xfId="0" applyNumberFormat="1" applyBorder="1"/>
    <xf numFmtId="11" fontId="0" fillId="0" borderId="5" xfId="0" applyNumberFormat="1" applyBorder="1"/>
    <xf numFmtId="11" fontId="0" fillId="0" borderId="9" xfId="0" applyNumberFormat="1" applyBorder="1"/>
    <xf numFmtId="11" fontId="0" fillId="0" borderId="1" xfId="0" applyNumberFormat="1" applyBorder="1"/>
    <xf numFmtId="11" fontId="0" fillId="0" borderId="7" xfId="0" applyNumberForma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9" fontId="0" fillId="0" borderId="9" xfId="1" applyFont="1" applyBorder="1"/>
    <xf numFmtId="9" fontId="0" fillId="0" borderId="7" xfId="1" applyFont="1" applyBorder="1"/>
    <xf numFmtId="0" fontId="0" fillId="0" borderId="14" xfId="0" applyBorder="1"/>
    <xf numFmtId="0" fontId="0" fillId="0" borderId="15" xfId="0" applyBorder="1"/>
    <xf numFmtId="0" fontId="0" fillId="0" borderId="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/>
    <xf numFmtId="0" fontId="0" fillId="0" borderId="1" xfId="0" applyFill="1" applyBorder="1"/>
    <xf numFmtId="11" fontId="3" fillId="0" borderId="10" xfId="0" applyNumberFormat="1" applyFont="1" applyBorder="1" applyAlignment="1">
      <alignment horizontal="center"/>
    </xf>
    <xf numFmtId="11" fontId="3" fillId="0" borderId="11" xfId="0" applyNumberFormat="1" applyFont="1" applyBorder="1" applyAlignment="1">
      <alignment horizontal="center"/>
    </xf>
    <xf numFmtId="11" fontId="3" fillId="0" borderId="12" xfId="0" applyNumberFormat="1" applyFont="1" applyBorder="1" applyAlignment="1">
      <alignment horizontal="center"/>
    </xf>
    <xf numFmtId="11" fontId="0" fillId="0" borderId="3" xfId="0" applyNumberFormat="1" applyBorder="1"/>
    <xf numFmtId="11" fontId="0" fillId="0" borderId="8" xfId="0" applyNumberFormat="1" applyBorder="1"/>
    <xf numFmtId="11" fontId="0" fillId="0" borderId="6" xfId="0" applyNumberFormat="1" applyBorder="1"/>
    <xf numFmtId="0" fontId="0" fillId="0" borderId="12" xfId="0" applyBorder="1" applyAlignment="1">
      <alignment horizontal="right"/>
    </xf>
    <xf numFmtId="0" fontId="0" fillId="0" borderId="0" xfId="0" applyAlignment="1"/>
    <xf numFmtId="0" fontId="8" fillId="0" borderId="0" xfId="0" applyFon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8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8" fontId="0" fillId="0" borderId="4" xfId="0" applyNumberFormat="1" applyBorder="1"/>
    <xf numFmtId="168" fontId="0" fillId="0" borderId="5" xfId="0" applyNumberFormat="1" applyBorder="1"/>
    <xf numFmtId="168" fontId="0" fillId="0" borderId="0" xfId="0" applyNumberFormat="1" applyBorder="1"/>
    <xf numFmtId="168" fontId="0" fillId="0" borderId="9" xfId="0" applyNumberFormat="1" applyBorder="1"/>
    <xf numFmtId="168" fontId="0" fillId="0" borderId="1" xfId="0" applyNumberFormat="1" applyBorder="1"/>
    <xf numFmtId="168" fontId="0" fillId="0" borderId="7" xfId="0" applyNumberFormat="1" applyBorder="1"/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/>
    <xf numFmtId="0" fontId="0" fillId="0" borderId="13" xfId="0" applyBorder="1"/>
    <xf numFmtId="168" fontId="0" fillId="0" borderId="3" xfId="0" applyNumberFormat="1" applyBorder="1"/>
    <xf numFmtId="168" fontId="0" fillId="0" borderId="8" xfId="0" applyNumberFormat="1" applyBorder="1"/>
    <xf numFmtId="168" fontId="0" fillId="0" borderId="6" xfId="0" applyNumberFormat="1" applyBorder="1"/>
    <xf numFmtId="0" fontId="0" fillId="0" borderId="11" xfId="0" applyBorder="1"/>
    <xf numFmtId="0" fontId="0" fillId="0" borderId="10" xfId="0" applyBorder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8" xfId="0" applyNumberFormat="1" applyBorder="1"/>
    <xf numFmtId="2" fontId="0" fillId="0" borderId="0" xfId="0" applyNumberFormat="1" applyBorder="1"/>
    <xf numFmtId="2" fontId="0" fillId="0" borderId="9" xfId="0" applyNumberFormat="1" applyBorder="1"/>
    <xf numFmtId="2" fontId="0" fillId="0" borderId="6" xfId="0" applyNumberFormat="1" applyBorder="1"/>
    <xf numFmtId="2" fontId="0" fillId="0" borderId="1" xfId="0" applyNumberFormat="1" applyBorder="1"/>
    <xf numFmtId="2" fontId="0" fillId="0" borderId="7" xfId="0" applyNumberFormat="1" applyBorder="1"/>
    <xf numFmtId="0" fontId="0" fillId="0" borderId="9" xfId="0" applyFill="1" applyBorder="1"/>
    <xf numFmtId="0" fontId="0" fillId="0" borderId="8" xfId="0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3" xfId="0" applyFill="1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6" xfId="0" applyFill="1" applyBorder="1"/>
    <xf numFmtId="0" fontId="2" fillId="0" borderId="2" xfId="0" applyFont="1" applyBorder="1"/>
    <xf numFmtId="0" fontId="11" fillId="0" borderId="2" xfId="0" applyFont="1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0" xfId="1" applyNumberFormat="1" applyFont="1"/>
    <xf numFmtId="0" fontId="12" fillId="0" borderId="0" xfId="0" applyFont="1" applyAlignment="1">
      <alignment horizontal="center"/>
    </xf>
    <xf numFmtId="0" fontId="0" fillId="0" borderId="3" xfId="0" applyBorder="1" applyAlignment="1">
      <alignment horizontal="center" vertical="center" textRotation="90"/>
    </xf>
    <xf numFmtId="0" fontId="0" fillId="0" borderId="0" xfId="0" applyBorder="1" applyAlignment="1"/>
    <xf numFmtId="3" fontId="0" fillId="0" borderId="1" xfId="0" applyNumberFormat="1" applyBorder="1"/>
    <xf numFmtId="3" fontId="0" fillId="0" borderId="7" xfId="0" applyNumberFormat="1" applyBorder="1"/>
    <xf numFmtId="3" fontId="0" fillId="0" borderId="6" xfId="0" applyNumberFormat="1" applyBorder="1"/>
    <xf numFmtId="0" fontId="0" fillId="0" borderId="0" xfId="0" applyNumberFormat="1"/>
    <xf numFmtId="0" fontId="6" fillId="0" borderId="0" xfId="0" applyFont="1"/>
    <xf numFmtId="2" fontId="6" fillId="0" borderId="0" xfId="0" applyNumberFormat="1" applyFont="1"/>
    <xf numFmtId="0" fontId="0" fillId="0" borderId="0" xfId="1" applyNumberFormat="1" applyFont="1"/>
    <xf numFmtId="0" fontId="1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0A439-AD00-1F48-B358-6075A2D1C5F1}">
  <dimension ref="A2:G40"/>
  <sheetViews>
    <sheetView topLeftCell="A3" workbookViewId="0">
      <selection activeCell="D31" sqref="D31"/>
    </sheetView>
  </sheetViews>
  <sheetFormatPr baseColWidth="10" defaultRowHeight="16"/>
  <sheetData>
    <row r="2" spans="1:7">
      <c r="A2" s="68" t="s">
        <v>0</v>
      </c>
      <c r="C2" s="68"/>
    </row>
    <row r="3" spans="1:7" ht="21">
      <c r="A3" s="38"/>
      <c r="B3" s="69" t="s">
        <v>36</v>
      </c>
      <c r="C3" s="70"/>
      <c r="D3" s="69" t="s">
        <v>37</v>
      </c>
      <c r="E3" s="70"/>
      <c r="F3" s="69" t="s">
        <v>38</v>
      </c>
      <c r="G3" s="70"/>
    </row>
    <row r="4" spans="1:7">
      <c r="A4" s="75" t="s">
        <v>29</v>
      </c>
      <c r="B4" s="76" t="s">
        <v>30</v>
      </c>
      <c r="C4" s="85" t="s">
        <v>31</v>
      </c>
      <c r="D4" s="76" t="s">
        <v>30</v>
      </c>
      <c r="E4" s="85" t="s">
        <v>31</v>
      </c>
      <c r="F4" s="76" t="s">
        <v>30</v>
      </c>
      <c r="G4" s="85" t="s">
        <v>31</v>
      </c>
    </row>
    <row r="5" spans="1:7">
      <c r="A5" s="73">
        <v>1</v>
      </c>
      <c r="B5" s="7">
        <v>4</v>
      </c>
      <c r="C5" s="71">
        <f>B5/4</f>
        <v>1</v>
      </c>
      <c r="D5" s="7">
        <v>3</v>
      </c>
      <c r="E5" s="71">
        <f>D5/3</f>
        <v>1</v>
      </c>
      <c r="F5" s="7">
        <v>3</v>
      </c>
      <c r="G5" s="71">
        <f>F5/3</f>
        <v>1</v>
      </c>
    </row>
    <row r="6" spans="1:7">
      <c r="A6" s="73">
        <v>2</v>
      </c>
      <c r="B6" s="7">
        <v>4</v>
      </c>
      <c r="C6" s="71">
        <f>B6/4</f>
        <v>1</v>
      </c>
      <c r="D6" s="7">
        <v>3</v>
      </c>
      <c r="E6" s="71">
        <f t="shared" ref="E6:E14" si="0">D6/3</f>
        <v>1</v>
      </c>
      <c r="F6" s="7">
        <v>3</v>
      </c>
      <c r="G6" s="71">
        <f t="shared" ref="G6:G14" si="1">F6/3</f>
        <v>1</v>
      </c>
    </row>
    <row r="7" spans="1:7">
      <c r="A7" s="73">
        <v>3</v>
      </c>
      <c r="B7" s="7">
        <v>4</v>
      </c>
      <c r="C7" s="71">
        <f>B7/4</f>
        <v>1</v>
      </c>
      <c r="D7" s="7">
        <v>3</v>
      </c>
      <c r="E7" s="71">
        <f t="shared" si="0"/>
        <v>1</v>
      </c>
      <c r="F7" s="7">
        <v>3</v>
      </c>
      <c r="G7" s="71">
        <f t="shared" si="1"/>
        <v>1</v>
      </c>
    </row>
    <row r="8" spans="1:7">
      <c r="A8" s="73">
        <v>4</v>
      </c>
      <c r="B8" s="7">
        <v>4</v>
      </c>
      <c r="C8" s="71">
        <f>B8/4</f>
        <v>1</v>
      </c>
      <c r="D8" s="7">
        <v>3</v>
      </c>
      <c r="E8" s="71">
        <f t="shared" si="0"/>
        <v>1</v>
      </c>
      <c r="F8" s="7">
        <v>3</v>
      </c>
      <c r="G8" s="71">
        <f t="shared" si="1"/>
        <v>1</v>
      </c>
    </row>
    <row r="9" spans="1:7">
      <c r="A9" s="73">
        <v>5</v>
      </c>
      <c r="B9" s="7">
        <v>4</v>
      </c>
      <c r="C9" s="71">
        <f>B9/4</f>
        <v>1</v>
      </c>
      <c r="D9" s="7">
        <v>3</v>
      </c>
      <c r="E9" s="71">
        <f t="shared" si="0"/>
        <v>1</v>
      </c>
      <c r="F9" s="7">
        <v>3</v>
      </c>
      <c r="G9" s="71">
        <f t="shared" si="1"/>
        <v>1</v>
      </c>
    </row>
    <row r="10" spans="1:7">
      <c r="A10" s="73">
        <v>6</v>
      </c>
      <c r="B10" s="7">
        <v>4</v>
      </c>
      <c r="C10" s="71">
        <f>B10/4</f>
        <v>1</v>
      </c>
      <c r="D10" s="7">
        <v>3</v>
      </c>
      <c r="E10" s="71">
        <f t="shared" si="0"/>
        <v>1</v>
      </c>
      <c r="F10" s="7">
        <v>3</v>
      </c>
      <c r="G10" s="71">
        <f t="shared" si="1"/>
        <v>1</v>
      </c>
    </row>
    <row r="11" spans="1:7">
      <c r="A11" s="73">
        <v>7</v>
      </c>
      <c r="B11" s="7">
        <v>4</v>
      </c>
      <c r="C11" s="71">
        <f>B11/4</f>
        <v>1</v>
      </c>
      <c r="D11" s="7">
        <v>3</v>
      </c>
      <c r="E11" s="71">
        <f t="shared" si="0"/>
        <v>1</v>
      </c>
      <c r="F11" s="7">
        <v>2</v>
      </c>
      <c r="G11" s="71">
        <f t="shared" si="1"/>
        <v>0.66666666666666663</v>
      </c>
    </row>
    <row r="12" spans="1:7">
      <c r="A12" s="73">
        <v>8</v>
      </c>
      <c r="B12" s="7">
        <v>3</v>
      </c>
      <c r="C12" s="71">
        <f>B12/4</f>
        <v>0.75</v>
      </c>
      <c r="D12" s="7">
        <v>0</v>
      </c>
      <c r="E12" s="71">
        <f t="shared" si="0"/>
        <v>0</v>
      </c>
      <c r="F12" s="7">
        <v>0</v>
      </c>
      <c r="G12" s="71">
        <f t="shared" si="1"/>
        <v>0</v>
      </c>
    </row>
    <row r="13" spans="1:7">
      <c r="A13" s="73">
        <v>9</v>
      </c>
      <c r="B13" s="7">
        <v>1</v>
      </c>
      <c r="C13" s="71">
        <f>B13/4</f>
        <v>0.25</v>
      </c>
      <c r="D13" s="7">
        <v>0</v>
      </c>
      <c r="E13" s="71">
        <f t="shared" si="0"/>
        <v>0</v>
      </c>
      <c r="F13" s="7">
        <v>0</v>
      </c>
      <c r="G13" s="71">
        <f t="shared" si="1"/>
        <v>0</v>
      </c>
    </row>
    <row r="14" spans="1:7">
      <c r="A14" s="74">
        <v>10</v>
      </c>
      <c r="B14" s="10">
        <v>0</v>
      </c>
      <c r="C14" s="72">
        <f>B14/4</f>
        <v>0</v>
      </c>
      <c r="D14" s="10">
        <v>0</v>
      </c>
      <c r="E14" s="72">
        <f t="shared" si="0"/>
        <v>0</v>
      </c>
      <c r="F14" s="10">
        <v>0</v>
      </c>
      <c r="G14" s="72">
        <f t="shared" si="1"/>
        <v>0</v>
      </c>
    </row>
    <row r="15" spans="1:7">
      <c r="B15" s="22" t="s">
        <v>39</v>
      </c>
      <c r="C15" s="24"/>
    </row>
    <row r="19" spans="1:3">
      <c r="A19" s="68" t="s">
        <v>1</v>
      </c>
    </row>
    <row r="20" spans="1:3">
      <c r="A20" s="30"/>
      <c r="B20" s="4" t="s">
        <v>36</v>
      </c>
      <c r="C20" s="6"/>
    </row>
    <row r="21" spans="1:3">
      <c r="A21" s="75" t="s">
        <v>29</v>
      </c>
      <c r="B21" s="76" t="s">
        <v>30</v>
      </c>
      <c r="C21" s="85" t="s">
        <v>31</v>
      </c>
    </row>
    <row r="22" spans="1:3">
      <c r="A22" s="73">
        <v>0</v>
      </c>
      <c r="B22" s="7">
        <v>4</v>
      </c>
      <c r="C22" s="71">
        <f>B22/4</f>
        <v>1</v>
      </c>
    </row>
    <row r="23" spans="1:3">
      <c r="A23" s="73">
        <v>5</v>
      </c>
      <c r="B23" s="7">
        <v>4</v>
      </c>
      <c r="C23" s="71">
        <f t="shared" ref="C23:C40" si="2">B23/4</f>
        <v>1</v>
      </c>
    </row>
    <row r="24" spans="1:3">
      <c r="A24" s="73">
        <v>10</v>
      </c>
      <c r="B24" s="7">
        <v>4</v>
      </c>
      <c r="C24" s="71">
        <f t="shared" si="2"/>
        <v>1</v>
      </c>
    </row>
    <row r="25" spans="1:3">
      <c r="A25" s="73">
        <v>15</v>
      </c>
      <c r="B25" s="7">
        <v>4</v>
      </c>
      <c r="C25" s="71">
        <f t="shared" si="2"/>
        <v>1</v>
      </c>
    </row>
    <row r="26" spans="1:3">
      <c r="A26" s="73">
        <v>20</v>
      </c>
      <c r="B26" s="7">
        <v>4</v>
      </c>
      <c r="C26" s="71">
        <f t="shared" si="2"/>
        <v>1</v>
      </c>
    </row>
    <row r="27" spans="1:3">
      <c r="A27" s="73">
        <v>25</v>
      </c>
      <c r="B27" s="7">
        <v>4</v>
      </c>
      <c r="C27" s="71">
        <f t="shared" si="2"/>
        <v>1</v>
      </c>
    </row>
    <row r="28" spans="1:3">
      <c r="A28" s="73">
        <v>30</v>
      </c>
      <c r="B28" s="7">
        <v>4</v>
      </c>
      <c r="C28" s="71">
        <f t="shared" si="2"/>
        <v>1</v>
      </c>
    </row>
    <row r="29" spans="1:3">
      <c r="A29" s="73">
        <v>35</v>
      </c>
      <c r="B29" s="7">
        <v>4</v>
      </c>
      <c r="C29" s="71">
        <f t="shared" si="2"/>
        <v>1</v>
      </c>
    </row>
    <row r="30" spans="1:3">
      <c r="A30" s="73">
        <v>40</v>
      </c>
      <c r="B30" s="7">
        <v>4</v>
      </c>
      <c r="C30" s="71">
        <f t="shared" si="2"/>
        <v>1</v>
      </c>
    </row>
    <row r="31" spans="1:3">
      <c r="A31" s="73">
        <v>45</v>
      </c>
      <c r="B31" s="7">
        <v>4</v>
      </c>
      <c r="C31" s="71">
        <f t="shared" si="2"/>
        <v>1</v>
      </c>
    </row>
    <row r="32" spans="1:3">
      <c r="A32" s="73">
        <v>50</v>
      </c>
      <c r="B32" s="7">
        <v>4</v>
      </c>
      <c r="C32" s="71">
        <f t="shared" si="2"/>
        <v>1</v>
      </c>
    </row>
    <row r="33" spans="1:3">
      <c r="A33" s="73">
        <v>55</v>
      </c>
      <c r="B33" s="7">
        <v>4</v>
      </c>
      <c r="C33" s="71">
        <f t="shared" si="2"/>
        <v>1</v>
      </c>
    </row>
    <row r="34" spans="1:3">
      <c r="A34" s="73">
        <v>60</v>
      </c>
      <c r="B34" s="7">
        <v>4</v>
      </c>
      <c r="C34" s="71">
        <f t="shared" si="2"/>
        <v>1</v>
      </c>
    </row>
    <row r="35" spans="1:3">
      <c r="A35" s="73">
        <v>65</v>
      </c>
      <c r="B35" s="7">
        <v>4</v>
      </c>
      <c r="C35" s="71">
        <f t="shared" si="2"/>
        <v>1</v>
      </c>
    </row>
    <row r="36" spans="1:3">
      <c r="A36" s="73">
        <v>70</v>
      </c>
      <c r="B36" s="7">
        <v>3</v>
      </c>
      <c r="C36" s="71">
        <f t="shared" si="2"/>
        <v>0.75</v>
      </c>
    </row>
    <row r="37" spans="1:3">
      <c r="A37" s="73">
        <v>75</v>
      </c>
      <c r="B37" s="7">
        <v>2</v>
      </c>
      <c r="C37" s="71">
        <f t="shared" si="2"/>
        <v>0.5</v>
      </c>
    </row>
    <row r="38" spans="1:3">
      <c r="A38" s="73">
        <v>80</v>
      </c>
      <c r="B38" s="7">
        <v>2</v>
      </c>
      <c r="C38" s="71">
        <f t="shared" si="2"/>
        <v>0.5</v>
      </c>
    </row>
    <row r="39" spans="1:3">
      <c r="A39" s="73">
        <v>85</v>
      </c>
      <c r="B39" s="7">
        <v>1</v>
      </c>
      <c r="C39" s="71">
        <f t="shared" si="2"/>
        <v>0.25</v>
      </c>
    </row>
    <row r="40" spans="1:3">
      <c r="A40" s="74">
        <v>90</v>
      </c>
      <c r="B40" s="10">
        <v>0</v>
      </c>
      <c r="C40" s="72">
        <f t="shared" si="2"/>
        <v>0</v>
      </c>
    </row>
  </sheetData>
  <mergeCells count="5">
    <mergeCell ref="B20:C20"/>
    <mergeCell ref="B3:C3"/>
    <mergeCell ref="D3:E3"/>
    <mergeCell ref="F3:G3"/>
    <mergeCell ref="B15:C1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CE005-B2CC-8742-865C-F5D424295A3C}">
  <dimension ref="B1:C114"/>
  <sheetViews>
    <sheetView workbookViewId="0">
      <selection activeCell="E7" sqref="E7"/>
    </sheetView>
  </sheetViews>
  <sheetFormatPr baseColWidth="10" defaultRowHeight="16"/>
  <cols>
    <col min="2" max="2" width="17" customWidth="1"/>
    <col min="3" max="3" width="20.83203125" customWidth="1"/>
  </cols>
  <sheetData>
    <row r="1" spans="2:3">
      <c r="B1" s="22" t="s">
        <v>88</v>
      </c>
      <c r="C1" s="24"/>
    </row>
    <row r="2" spans="2:3">
      <c r="B2" s="112" t="s">
        <v>0</v>
      </c>
      <c r="C2" s="112" t="s">
        <v>1</v>
      </c>
    </row>
    <row r="3" spans="2:3">
      <c r="B3" s="118">
        <v>0.5</v>
      </c>
      <c r="C3" s="14">
        <v>0.5</v>
      </c>
    </row>
    <row r="4" spans="2:3">
      <c r="B4" s="73">
        <v>0.5</v>
      </c>
      <c r="C4" s="9">
        <v>2.5</v>
      </c>
    </row>
    <row r="5" spans="2:3">
      <c r="B5" s="73">
        <v>0.5</v>
      </c>
      <c r="C5" s="9">
        <v>2</v>
      </c>
    </row>
    <row r="6" spans="2:3">
      <c r="B6" s="73">
        <v>0.5</v>
      </c>
      <c r="C6" s="9">
        <v>2.5</v>
      </c>
    </row>
    <row r="7" spans="2:3">
      <c r="B7" s="73">
        <v>0.5</v>
      </c>
      <c r="C7" s="9">
        <v>2</v>
      </c>
    </row>
    <row r="8" spans="2:3">
      <c r="B8" s="73">
        <v>1</v>
      </c>
      <c r="C8" s="9">
        <v>2</v>
      </c>
    </row>
    <row r="9" spans="2:3">
      <c r="B9" s="73">
        <v>1</v>
      </c>
      <c r="C9" s="9">
        <v>3.5</v>
      </c>
    </row>
    <row r="10" spans="2:3">
      <c r="B10" s="73">
        <v>1</v>
      </c>
      <c r="C10" s="9">
        <v>3.5</v>
      </c>
    </row>
    <row r="11" spans="2:3">
      <c r="B11" s="73">
        <v>1.5</v>
      </c>
      <c r="C11" s="9">
        <v>3</v>
      </c>
    </row>
    <row r="12" spans="2:3">
      <c r="B12" s="73">
        <v>1.5</v>
      </c>
      <c r="C12" s="9">
        <v>3</v>
      </c>
    </row>
    <row r="13" spans="2:3">
      <c r="B13" s="73">
        <v>1.5</v>
      </c>
      <c r="C13" s="9">
        <v>2.5</v>
      </c>
    </row>
    <row r="14" spans="2:3">
      <c r="B14" s="73">
        <v>1.5</v>
      </c>
      <c r="C14" s="9">
        <v>2</v>
      </c>
    </row>
    <row r="15" spans="2:3">
      <c r="B15" s="73">
        <v>2</v>
      </c>
      <c r="C15" s="9">
        <v>1.5</v>
      </c>
    </row>
    <row r="16" spans="2:3">
      <c r="B16" s="73">
        <v>2</v>
      </c>
      <c r="C16" s="9">
        <v>0.5</v>
      </c>
    </row>
    <row r="17" spans="2:3">
      <c r="B17" s="73">
        <v>2</v>
      </c>
      <c r="C17" s="9">
        <v>0.5</v>
      </c>
    </row>
    <row r="18" spans="2:3">
      <c r="B18" s="73">
        <v>2</v>
      </c>
      <c r="C18" s="9">
        <v>1.5</v>
      </c>
    </row>
    <row r="19" spans="2:3">
      <c r="B19" s="73">
        <v>2</v>
      </c>
      <c r="C19" s="9">
        <v>2.5</v>
      </c>
    </row>
    <row r="20" spans="2:3">
      <c r="B20" s="73">
        <v>2</v>
      </c>
      <c r="C20" s="9">
        <v>1.5</v>
      </c>
    </row>
    <row r="21" spans="2:3">
      <c r="B21" s="73">
        <v>2</v>
      </c>
      <c r="C21" s="9">
        <v>1.5</v>
      </c>
    </row>
    <row r="22" spans="2:3">
      <c r="B22" s="73">
        <v>2</v>
      </c>
      <c r="C22" s="9">
        <v>2.5</v>
      </c>
    </row>
    <row r="23" spans="2:3">
      <c r="B23" s="73">
        <v>2.5</v>
      </c>
      <c r="C23" s="9">
        <v>3.5</v>
      </c>
    </row>
    <row r="24" spans="2:3">
      <c r="B24" s="73">
        <v>2.5</v>
      </c>
      <c r="C24" s="9">
        <v>3</v>
      </c>
    </row>
    <row r="25" spans="2:3">
      <c r="B25" s="73">
        <v>2.5</v>
      </c>
      <c r="C25" s="9">
        <v>3</v>
      </c>
    </row>
    <row r="26" spans="2:3">
      <c r="B26" s="73">
        <v>2.5</v>
      </c>
      <c r="C26" s="9">
        <v>5.5</v>
      </c>
    </row>
    <row r="27" spans="2:3">
      <c r="B27" s="73">
        <v>2.5</v>
      </c>
      <c r="C27" s="9">
        <v>5.5</v>
      </c>
    </row>
    <row r="28" spans="2:3">
      <c r="B28" s="73">
        <v>2.5</v>
      </c>
      <c r="C28" s="9">
        <v>4.5</v>
      </c>
    </row>
    <row r="29" spans="2:3">
      <c r="B29" s="73">
        <v>2.5</v>
      </c>
      <c r="C29" s="9">
        <v>3.5</v>
      </c>
    </row>
    <row r="30" spans="2:3">
      <c r="B30" s="73">
        <v>3</v>
      </c>
      <c r="C30" s="9">
        <v>3</v>
      </c>
    </row>
    <row r="31" spans="2:3">
      <c r="B31" s="73">
        <v>3</v>
      </c>
      <c r="C31" s="9">
        <v>3</v>
      </c>
    </row>
    <row r="32" spans="2:3">
      <c r="B32" s="73">
        <v>3</v>
      </c>
      <c r="C32" s="9">
        <v>3</v>
      </c>
    </row>
    <row r="33" spans="2:3">
      <c r="B33" s="73">
        <v>3.5</v>
      </c>
      <c r="C33" s="9">
        <v>2.5</v>
      </c>
    </row>
    <row r="34" spans="2:3">
      <c r="B34" s="73">
        <v>3.5</v>
      </c>
      <c r="C34" s="9">
        <v>2.5</v>
      </c>
    </row>
    <row r="35" spans="2:3">
      <c r="B35" s="73">
        <v>3.5</v>
      </c>
      <c r="C35" s="9">
        <v>2</v>
      </c>
    </row>
    <row r="36" spans="2:3">
      <c r="B36" s="73">
        <v>3.5</v>
      </c>
      <c r="C36" s="9">
        <v>2.5</v>
      </c>
    </row>
    <row r="37" spans="2:3">
      <c r="B37" s="73">
        <v>3.5</v>
      </c>
      <c r="C37" s="9">
        <v>1.5</v>
      </c>
    </row>
    <row r="38" spans="2:3">
      <c r="B38" s="73">
        <v>3.5</v>
      </c>
      <c r="C38" s="9">
        <v>1.5</v>
      </c>
    </row>
    <row r="39" spans="2:3">
      <c r="B39" s="73">
        <v>3.5</v>
      </c>
      <c r="C39" s="9">
        <v>3.5</v>
      </c>
    </row>
    <row r="40" spans="2:3">
      <c r="B40" s="73">
        <v>3.5</v>
      </c>
      <c r="C40" s="9">
        <v>3.5</v>
      </c>
    </row>
    <row r="41" spans="2:3">
      <c r="B41" s="73">
        <v>3.5</v>
      </c>
      <c r="C41" s="9">
        <v>1.5</v>
      </c>
    </row>
    <row r="42" spans="2:3">
      <c r="B42" s="73">
        <v>4</v>
      </c>
      <c r="C42" s="9">
        <v>2.5</v>
      </c>
    </row>
    <row r="43" spans="2:3">
      <c r="B43" s="73">
        <v>4</v>
      </c>
      <c r="C43" s="9">
        <v>3.5</v>
      </c>
    </row>
    <row r="44" spans="2:3">
      <c r="B44" s="73">
        <v>4</v>
      </c>
      <c r="C44" s="9">
        <v>3.5</v>
      </c>
    </row>
    <row r="45" spans="2:3">
      <c r="B45" s="73">
        <v>4</v>
      </c>
      <c r="C45" s="9">
        <v>2.5</v>
      </c>
    </row>
    <row r="46" spans="2:3">
      <c r="B46" s="73">
        <v>4</v>
      </c>
      <c r="C46" s="9">
        <v>3.5</v>
      </c>
    </row>
    <row r="47" spans="2:3">
      <c r="B47" s="73">
        <v>4</v>
      </c>
      <c r="C47" s="9">
        <v>3.5</v>
      </c>
    </row>
    <row r="48" spans="2:3">
      <c r="B48" s="73">
        <v>4</v>
      </c>
      <c r="C48" s="9">
        <v>1.5</v>
      </c>
    </row>
    <row r="49" spans="2:3">
      <c r="B49" s="73">
        <v>4</v>
      </c>
      <c r="C49" s="9">
        <v>1.5</v>
      </c>
    </row>
    <row r="50" spans="2:3">
      <c r="B50" s="73">
        <v>4.5</v>
      </c>
      <c r="C50" s="9">
        <v>1</v>
      </c>
    </row>
    <row r="51" spans="2:3">
      <c r="B51" s="73">
        <v>4.5</v>
      </c>
      <c r="C51" s="9">
        <v>1</v>
      </c>
    </row>
    <row r="52" spans="2:3">
      <c r="B52" s="73">
        <v>4.5</v>
      </c>
      <c r="C52" s="9">
        <v>1.5</v>
      </c>
    </row>
    <row r="53" spans="2:3">
      <c r="B53" s="73">
        <v>4.5</v>
      </c>
      <c r="C53" s="9">
        <v>2.5</v>
      </c>
    </row>
    <row r="54" spans="2:3">
      <c r="B54" s="73">
        <v>4.5</v>
      </c>
      <c r="C54" s="9">
        <v>2.5</v>
      </c>
    </row>
    <row r="55" spans="2:3">
      <c r="B55" s="73">
        <v>4.5</v>
      </c>
      <c r="C55" s="9">
        <v>2</v>
      </c>
    </row>
    <row r="56" spans="2:3">
      <c r="B56" s="73">
        <v>4.5</v>
      </c>
      <c r="C56" s="9">
        <v>1.5</v>
      </c>
    </row>
    <row r="57" spans="2:3">
      <c r="B57" s="73">
        <v>5</v>
      </c>
      <c r="C57" s="9">
        <v>1</v>
      </c>
    </row>
    <row r="58" spans="2:3">
      <c r="B58" s="73">
        <v>5</v>
      </c>
      <c r="C58" s="9">
        <v>6.5</v>
      </c>
    </row>
    <row r="59" spans="2:3">
      <c r="B59" s="73">
        <v>5</v>
      </c>
      <c r="C59" s="9">
        <v>6</v>
      </c>
    </row>
    <row r="60" spans="2:3">
      <c r="B60" s="73">
        <v>5</v>
      </c>
      <c r="C60" s="9">
        <v>1.5</v>
      </c>
    </row>
    <row r="61" spans="2:3">
      <c r="B61" s="73">
        <v>5</v>
      </c>
      <c r="C61" s="9">
        <v>1</v>
      </c>
    </row>
    <row r="62" spans="2:3">
      <c r="B62" s="73">
        <v>5</v>
      </c>
      <c r="C62" s="9">
        <v>1</v>
      </c>
    </row>
    <row r="63" spans="2:3">
      <c r="B63" s="73">
        <v>5</v>
      </c>
      <c r="C63" s="9">
        <v>2.5</v>
      </c>
    </row>
    <row r="64" spans="2:3">
      <c r="B64" s="73">
        <v>5</v>
      </c>
      <c r="C64" s="9">
        <v>2</v>
      </c>
    </row>
    <row r="65" spans="2:3">
      <c r="B65" s="73">
        <v>5</v>
      </c>
      <c r="C65" s="9">
        <v>1.5</v>
      </c>
    </row>
    <row r="66" spans="2:3">
      <c r="B66" s="73">
        <v>5</v>
      </c>
      <c r="C66" s="9">
        <v>0.5</v>
      </c>
    </row>
    <row r="67" spans="2:3">
      <c r="B67" s="73">
        <v>5.5</v>
      </c>
      <c r="C67" s="9">
        <v>0.5</v>
      </c>
    </row>
    <row r="68" spans="2:3">
      <c r="B68" s="73">
        <v>5.5</v>
      </c>
      <c r="C68" s="9">
        <v>1.5</v>
      </c>
    </row>
    <row r="69" spans="2:3">
      <c r="B69" s="73">
        <v>5.5</v>
      </c>
      <c r="C69" s="9">
        <v>0.5</v>
      </c>
    </row>
    <row r="70" spans="2:3">
      <c r="B70" s="73">
        <v>5.5</v>
      </c>
      <c r="C70" s="9">
        <v>2.5</v>
      </c>
    </row>
    <row r="71" spans="2:3">
      <c r="B71" s="73">
        <v>5.5</v>
      </c>
      <c r="C71" s="9">
        <v>2.5</v>
      </c>
    </row>
    <row r="72" spans="2:3">
      <c r="B72" s="73">
        <v>5.5</v>
      </c>
      <c r="C72" s="9">
        <v>1.5</v>
      </c>
    </row>
    <row r="73" spans="2:3">
      <c r="B73" s="73">
        <v>5.5</v>
      </c>
      <c r="C73" s="9">
        <v>0.5</v>
      </c>
    </row>
    <row r="74" spans="2:3">
      <c r="B74" s="73">
        <v>6</v>
      </c>
      <c r="C74" s="9">
        <v>0.5</v>
      </c>
    </row>
    <row r="75" spans="2:3">
      <c r="B75" s="73">
        <v>6</v>
      </c>
      <c r="C75" s="9">
        <v>1.5</v>
      </c>
    </row>
    <row r="76" spans="2:3">
      <c r="B76" s="73">
        <v>6</v>
      </c>
      <c r="C76" s="9">
        <v>1.5</v>
      </c>
    </row>
    <row r="77" spans="2:3">
      <c r="B77" s="73">
        <v>6</v>
      </c>
      <c r="C77" s="9">
        <v>0.5</v>
      </c>
    </row>
    <row r="78" spans="2:3">
      <c r="B78" s="73">
        <v>6</v>
      </c>
      <c r="C78" s="9">
        <v>0.5</v>
      </c>
    </row>
    <row r="79" spans="2:3">
      <c r="B79" s="73">
        <v>6</v>
      </c>
      <c r="C79" s="9">
        <v>0.5</v>
      </c>
    </row>
    <row r="80" spans="2:3">
      <c r="B80" s="73">
        <v>6</v>
      </c>
      <c r="C80" s="9">
        <v>0.5</v>
      </c>
    </row>
    <row r="81" spans="2:3">
      <c r="B81" s="73">
        <v>6</v>
      </c>
      <c r="C81" s="9">
        <v>1.5</v>
      </c>
    </row>
    <row r="82" spans="2:3">
      <c r="B82" s="73">
        <v>6</v>
      </c>
      <c r="C82" s="9">
        <v>5.5</v>
      </c>
    </row>
    <row r="83" spans="2:3">
      <c r="B83" s="73">
        <v>6</v>
      </c>
      <c r="C83" s="9">
        <v>1.5</v>
      </c>
    </row>
    <row r="84" spans="2:3">
      <c r="B84" s="73">
        <v>6</v>
      </c>
      <c r="C84" s="9">
        <v>0.5</v>
      </c>
    </row>
    <row r="85" spans="2:3">
      <c r="B85" s="73">
        <v>6</v>
      </c>
      <c r="C85" s="9">
        <v>1.5</v>
      </c>
    </row>
    <row r="86" spans="2:3">
      <c r="B86" s="73">
        <v>6</v>
      </c>
      <c r="C86" s="9">
        <v>0.5</v>
      </c>
    </row>
    <row r="87" spans="2:3">
      <c r="B87" s="73">
        <v>6</v>
      </c>
      <c r="C87" s="9">
        <v>0.5</v>
      </c>
    </row>
    <row r="88" spans="2:3">
      <c r="B88" s="73">
        <v>6</v>
      </c>
      <c r="C88" s="9">
        <v>0.5</v>
      </c>
    </row>
    <row r="89" spans="2:3">
      <c r="B89" s="73">
        <v>6</v>
      </c>
      <c r="C89" s="9">
        <v>1.5</v>
      </c>
    </row>
    <row r="90" spans="2:3">
      <c r="B90" s="73">
        <v>6</v>
      </c>
      <c r="C90" s="9">
        <v>1.5</v>
      </c>
    </row>
    <row r="91" spans="2:3">
      <c r="B91" s="73">
        <v>6</v>
      </c>
      <c r="C91" s="9">
        <v>0.5</v>
      </c>
    </row>
    <row r="92" spans="2:3">
      <c r="B92" s="73">
        <v>6.2</v>
      </c>
      <c r="C92" s="9">
        <v>2.5</v>
      </c>
    </row>
    <row r="93" spans="2:3">
      <c r="B93" s="73">
        <v>6.5</v>
      </c>
      <c r="C93" s="9">
        <v>2.5</v>
      </c>
    </row>
    <row r="94" spans="2:3">
      <c r="B94" s="73">
        <v>6.5</v>
      </c>
      <c r="C94" s="9">
        <v>2</v>
      </c>
    </row>
    <row r="95" spans="2:3">
      <c r="B95" s="73">
        <v>6.5</v>
      </c>
      <c r="C95" s="9">
        <v>1.5</v>
      </c>
    </row>
    <row r="96" spans="2:3">
      <c r="B96" s="73">
        <v>6.5</v>
      </c>
      <c r="C96" s="9">
        <v>2</v>
      </c>
    </row>
    <row r="97" spans="2:3">
      <c r="B97" s="73">
        <v>6.5</v>
      </c>
      <c r="C97" s="9">
        <v>2</v>
      </c>
    </row>
    <row r="98" spans="2:3">
      <c r="B98" s="73">
        <v>6.5</v>
      </c>
      <c r="C98" s="9">
        <v>3.5</v>
      </c>
    </row>
    <row r="99" spans="2:3">
      <c r="B99" s="73">
        <v>6.5</v>
      </c>
      <c r="C99" s="9">
        <v>2.5</v>
      </c>
    </row>
    <row r="100" spans="2:3">
      <c r="B100" s="73">
        <v>6.5</v>
      </c>
      <c r="C100" s="9">
        <v>2.5</v>
      </c>
    </row>
    <row r="101" spans="2:3">
      <c r="B101" s="73">
        <v>6.5</v>
      </c>
      <c r="C101" s="9">
        <v>1.5</v>
      </c>
    </row>
    <row r="102" spans="2:3">
      <c r="B102" s="73">
        <v>6.5</v>
      </c>
      <c r="C102" s="9">
        <v>1.5</v>
      </c>
    </row>
    <row r="103" spans="2:3">
      <c r="B103" s="73">
        <v>7</v>
      </c>
      <c r="C103" s="9">
        <v>0.5</v>
      </c>
    </row>
    <row r="104" spans="2:3">
      <c r="B104" s="73">
        <v>7</v>
      </c>
      <c r="C104" s="9">
        <v>0.5</v>
      </c>
    </row>
    <row r="105" spans="2:3">
      <c r="B105" s="73">
        <v>7</v>
      </c>
      <c r="C105" s="9">
        <v>1.5</v>
      </c>
    </row>
    <row r="106" spans="2:3">
      <c r="B106" s="73">
        <v>7</v>
      </c>
      <c r="C106" s="9">
        <v>2.5</v>
      </c>
    </row>
    <row r="107" spans="2:3">
      <c r="B107" s="73">
        <v>7</v>
      </c>
      <c r="C107" s="9">
        <v>2.5</v>
      </c>
    </row>
    <row r="108" spans="2:3">
      <c r="B108" s="73">
        <v>7.5</v>
      </c>
      <c r="C108" s="9">
        <v>1.5</v>
      </c>
    </row>
    <row r="109" spans="2:3">
      <c r="B109" s="73">
        <v>7.5</v>
      </c>
      <c r="C109" s="9">
        <v>3</v>
      </c>
    </row>
    <row r="110" spans="2:3">
      <c r="B110" s="73">
        <v>8</v>
      </c>
      <c r="C110" s="9"/>
    </row>
    <row r="111" spans="2:3">
      <c r="B111" s="73">
        <v>8</v>
      </c>
      <c r="C111" s="9"/>
    </row>
    <row r="112" spans="2:3">
      <c r="B112" s="73">
        <v>8</v>
      </c>
      <c r="C112" s="9"/>
    </row>
    <row r="113" spans="2:3">
      <c r="B113" s="73">
        <v>8</v>
      </c>
      <c r="C113" s="9"/>
    </row>
    <row r="114" spans="2:3">
      <c r="B114" s="74">
        <v>8</v>
      </c>
      <c r="C114" s="12"/>
    </row>
  </sheetData>
  <mergeCells count="1">
    <mergeCell ref="B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9859A-5516-3941-8583-C7FB2AD1BE27}">
  <dimension ref="B2:L63"/>
  <sheetViews>
    <sheetView zoomScale="99" workbookViewId="0">
      <selection activeCell="C13" sqref="C13"/>
    </sheetView>
  </sheetViews>
  <sheetFormatPr baseColWidth="10" defaultRowHeight="16"/>
  <cols>
    <col min="2" max="2" width="12" bestFit="1" customWidth="1"/>
    <col min="6" max="6" width="12" bestFit="1" customWidth="1"/>
    <col min="10" max="10" width="12" bestFit="1" customWidth="1"/>
  </cols>
  <sheetData>
    <row r="2" spans="2:12">
      <c r="B2" s="2" t="s">
        <v>90</v>
      </c>
      <c r="C2" s="2"/>
      <c r="D2" s="2"/>
      <c r="F2" s="2" t="s">
        <v>92</v>
      </c>
      <c r="G2" s="2"/>
      <c r="H2" s="2"/>
      <c r="J2" s="2" t="s">
        <v>91</v>
      </c>
      <c r="K2" s="2"/>
      <c r="L2" s="2"/>
    </row>
    <row r="3" spans="2:12" s="30" customFormat="1">
      <c r="B3" s="30" t="s">
        <v>89</v>
      </c>
      <c r="C3" s="30" t="s">
        <v>0</v>
      </c>
      <c r="D3" s="30" t="s">
        <v>1</v>
      </c>
      <c r="F3" s="30" t="s">
        <v>89</v>
      </c>
      <c r="G3" s="30" t="s">
        <v>0</v>
      </c>
      <c r="H3" s="30" t="s">
        <v>1</v>
      </c>
      <c r="J3" s="30" t="s">
        <v>89</v>
      </c>
      <c r="K3" s="30" t="s">
        <v>0</v>
      </c>
      <c r="L3" s="30" t="s">
        <v>1</v>
      </c>
    </row>
    <row r="4" spans="2:12">
      <c r="B4">
        <v>99.6</v>
      </c>
      <c r="C4">
        <v>158.30000000000001</v>
      </c>
      <c r="D4">
        <v>202.7</v>
      </c>
      <c r="F4">
        <v>165.42</v>
      </c>
      <c r="G4">
        <v>171.57</v>
      </c>
      <c r="H4">
        <v>122.33</v>
      </c>
      <c r="J4">
        <v>39.119999999999997</v>
      </c>
      <c r="K4">
        <v>43.27</v>
      </c>
      <c r="L4">
        <v>19.97</v>
      </c>
    </row>
    <row r="5" spans="2:12">
      <c r="B5">
        <v>83.6</v>
      </c>
      <c r="C5">
        <v>181.9</v>
      </c>
      <c r="D5">
        <v>169.1</v>
      </c>
      <c r="F5">
        <v>191.26</v>
      </c>
      <c r="G5">
        <v>168.04</v>
      </c>
      <c r="H5">
        <v>120.09</v>
      </c>
      <c r="J5">
        <v>31.64</v>
      </c>
      <c r="K5">
        <v>43.24</v>
      </c>
      <c r="L5">
        <v>14.31</v>
      </c>
    </row>
    <row r="6" spans="2:12">
      <c r="B6">
        <v>88.4</v>
      </c>
      <c r="C6">
        <v>86.3</v>
      </c>
      <c r="D6">
        <v>250</v>
      </c>
      <c r="F6">
        <v>145.12</v>
      </c>
      <c r="G6">
        <v>164.15</v>
      </c>
      <c r="H6">
        <v>153.63</v>
      </c>
      <c r="J6">
        <v>30.29</v>
      </c>
      <c r="K6">
        <v>42.62</v>
      </c>
      <c r="L6">
        <v>14.98</v>
      </c>
    </row>
    <row r="7" spans="2:12">
      <c r="B7">
        <v>83.6</v>
      </c>
      <c r="C7">
        <v>101.5</v>
      </c>
      <c r="D7">
        <v>139.5</v>
      </c>
      <c r="F7">
        <v>184.68</v>
      </c>
      <c r="G7">
        <v>142.51</v>
      </c>
      <c r="H7">
        <v>142.93</v>
      </c>
      <c r="J7">
        <v>48.62</v>
      </c>
      <c r="K7">
        <v>47.85</v>
      </c>
      <c r="L7">
        <v>12.05</v>
      </c>
    </row>
    <row r="8" spans="2:12">
      <c r="B8">
        <v>93.2</v>
      </c>
      <c r="C8">
        <v>120.6</v>
      </c>
      <c r="D8">
        <v>70.099999999999994</v>
      </c>
      <c r="F8">
        <v>209.95</v>
      </c>
      <c r="G8">
        <v>94.19</v>
      </c>
      <c r="H8">
        <v>182.37</v>
      </c>
      <c r="J8">
        <v>46.65</v>
      </c>
      <c r="K8">
        <v>53.22</v>
      </c>
      <c r="L8">
        <v>15.37</v>
      </c>
    </row>
    <row r="9" spans="2:12">
      <c r="B9">
        <v>76.5</v>
      </c>
      <c r="C9">
        <v>60.7</v>
      </c>
      <c r="D9">
        <v>269.3</v>
      </c>
      <c r="F9">
        <v>224.07</v>
      </c>
      <c r="G9">
        <v>114.26</v>
      </c>
      <c r="H9">
        <v>194.12</v>
      </c>
      <c r="J9">
        <v>32.659999999999997</v>
      </c>
      <c r="K9">
        <v>33.909999999999997</v>
      </c>
      <c r="L9">
        <v>20.89</v>
      </c>
    </row>
    <row r="10" spans="2:12">
      <c r="B10">
        <v>145.1</v>
      </c>
      <c r="C10">
        <v>55.5</v>
      </c>
      <c r="D10">
        <v>173.3</v>
      </c>
      <c r="F10">
        <v>172.54</v>
      </c>
      <c r="G10">
        <v>199.11</v>
      </c>
      <c r="H10">
        <v>169.44</v>
      </c>
      <c r="J10">
        <v>12.42</v>
      </c>
      <c r="K10">
        <v>56.7</v>
      </c>
      <c r="L10">
        <v>22.63</v>
      </c>
    </row>
    <row r="11" spans="2:12">
      <c r="B11">
        <v>225.6</v>
      </c>
      <c r="C11">
        <v>49.1</v>
      </c>
      <c r="D11">
        <v>93.1</v>
      </c>
      <c r="F11">
        <v>166.53</v>
      </c>
      <c r="G11">
        <v>228.14</v>
      </c>
      <c r="H11">
        <v>135.1</v>
      </c>
      <c r="J11">
        <v>18.170000000000002</v>
      </c>
      <c r="K11">
        <v>27.23</v>
      </c>
      <c r="L11">
        <v>25.72</v>
      </c>
    </row>
    <row r="12" spans="2:12">
      <c r="B12">
        <v>148.19999999999999</v>
      </c>
      <c r="C12">
        <v>65.3</v>
      </c>
      <c r="D12">
        <v>136.30000000000001</v>
      </c>
      <c r="F12">
        <v>165.2</v>
      </c>
      <c r="G12">
        <v>179.54</v>
      </c>
      <c r="H12">
        <v>189.41</v>
      </c>
      <c r="J12">
        <v>32.94</v>
      </c>
      <c r="K12">
        <v>48.53</v>
      </c>
      <c r="L12">
        <v>24.58</v>
      </c>
    </row>
    <row r="13" spans="2:12">
      <c r="B13">
        <v>175.8</v>
      </c>
      <c r="C13">
        <v>116.2</v>
      </c>
      <c r="D13">
        <v>71.5</v>
      </c>
      <c r="F13">
        <v>153.99</v>
      </c>
      <c r="G13">
        <v>81.23</v>
      </c>
      <c r="H13">
        <v>216.9</v>
      </c>
      <c r="J13">
        <v>26.4</v>
      </c>
      <c r="K13">
        <v>48.07</v>
      </c>
      <c r="L13">
        <v>23.7</v>
      </c>
    </row>
    <row r="14" spans="2:12">
      <c r="B14">
        <v>184.9</v>
      </c>
      <c r="C14">
        <v>99.5</v>
      </c>
      <c r="D14">
        <v>135.5</v>
      </c>
      <c r="F14">
        <v>198.34</v>
      </c>
      <c r="G14">
        <v>143.54</v>
      </c>
      <c r="H14">
        <v>202.71</v>
      </c>
      <c r="J14">
        <v>43.35</v>
      </c>
      <c r="K14">
        <v>44.64</v>
      </c>
      <c r="L14">
        <v>21.4</v>
      </c>
    </row>
    <row r="15" spans="2:12">
      <c r="B15">
        <v>109.4</v>
      </c>
      <c r="C15">
        <v>106.7</v>
      </c>
      <c r="D15">
        <v>124.8</v>
      </c>
      <c r="F15">
        <v>149.72999999999999</v>
      </c>
      <c r="G15">
        <v>123.44</v>
      </c>
      <c r="H15">
        <v>225.33</v>
      </c>
      <c r="J15">
        <v>17.41</v>
      </c>
      <c r="K15">
        <v>50.77</v>
      </c>
      <c r="L15">
        <v>12.97</v>
      </c>
    </row>
    <row r="16" spans="2:12">
      <c r="B16">
        <v>55.1</v>
      </c>
      <c r="C16">
        <v>116.5</v>
      </c>
      <c r="D16">
        <v>187.8</v>
      </c>
      <c r="F16">
        <v>126.56</v>
      </c>
      <c r="G16">
        <v>153.15</v>
      </c>
      <c r="H16">
        <v>183.97</v>
      </c>
      <c r="J16">
        <v>17.89</v>
      </c>
      <c r="K16">
        <v>53.4</v>
      </c>
      <c r="L16">
        <v>20.48</v>
      </c>
    </row>
    <row r="17" spans="2:12">
      <c r="B17">
        <v>77</v>
      </c>
      <c r="C17">
        <v>119.8</v>
      </c>
      <c r="D17">
        <v>115.6</v>
      </c>
      <c r="F17">
        <v>181.43</v>
      </c>
      <c r="G17">
        <v>151.38999999999999</v>
      </c>
      <c r="H17">
        <v>217.35</v>
      </c>
      <c r="J17">
        <v>31.99</v>
      </c>
      <c r="K17">
        <v>61.64</v>
      </c>
      <c r="L17">
        <v>31.92</v>
      </c>
    </row>
    <row r="18" spans="2:12">
      <c r="B18">
        <v>83.9</v>
      </c>
      <c r="C18">
        <v>110.2</v>
      </c>
      <c r="D18">
        <v>203.3</v>
      </c>
      <c r="F18">
        <v>125.98</v>
      </c>
      <c r="G18">
        <v>100.67</v>
      </c>
      <c r="H18">
        <v>190.33</v>
      </c>
      <c r="J18">
        <v>35.950000000000003</v>
      </c>
      <c r="K18">
        <v>43.86</v>
      </c>
      <c r="L18">
        <v>36.46</v>
      </c>
    </row>
    <row r="19" spans="2:12">
      <c r="B19">
        <v>182.8</v>
      </c>
      <c r="C19">
        <v>208.7</v>
      </c>
      <c r="D19">
        <v>256.8</v>
      </c>
      <c r="F19">
        <v>117.05</v>
      </c>
      <c r="G19">
        <v>119.39</v>
      </c>
      <c r="H19">
        <v>148.88</v>
      </c>
      <c r="J19">
        <v>43.73</v>
      </c>
      <c r="K19">
        <v>42.61</v>
      </c>
      <c r="L19">
        <v>46.68</v>
      </c>
    </row>
    <row r="20" spans="2:12">
      <c r="B20">
        <v>106</v>
      </c>
      <c r="C20">
        <v>221.6</v>
      </c>
      <c r="D20">
        <v>141.69999999999999</v>
      </c>
      <c r="F20">
        <v>184.9</v>
      </c>
      <c r="G20">
        <v>129.81</v>
      </c>
      <c r="H20">
        <v>232.78</v>
      </c>
      <c r="J20">
        <v>36</v>
      </c>
      <c r="K20">
        <v>19.23</v>
      </c>
      <c r="L20">
        <v>31.8</v>
      </c>
    </row>
    <row r="21" spans="2:12">
      <c r="B21">
        <v>162.69999999999999</v>
      </c>
      <c r="C21">
        <v>181.5</v>
      </c>
      <c r="D21">
        <v>245.5</v>
      </c>
      <c r="F21">
        <v>127.19</v>
      </c>
      <c r="G21">
        <v>115.13</v>
      </c>
      <c r="H21">
        <v>150.54</v>
      </c>
      <c r="J21">
        <v>47.51</v>
      </c>
      <c r="K21">
        <v>25.5</v>
      </c>
      <c r="L21">
        <v>33.130000000000003</v>
      </c>
    </row>
    <row r="22" spans="2:12">
      <c r="B22">
        <v>119.5</v>
      </c>
      <c r="C22">
        <v>167</v>
      </c>
      <c r="D22">
        <v>165.3</v>
      </c>
      <c r="F22">
        <v>112.47</v>
      </c>
      <c r="G22">
        <v>121.84</v>
      </c>
      <c r="H22">
        <v>189.27</v>
      </c>
      <c r="J22">
        <v>20.94</v>
      </c>
      <c r="K22">
        <v>16.27</v>
      </c>
      <c r="L22">
        <v>49.04</v>
      </c>
    </row>
    <row r="23" spans="2:12">
      <c r="B23">
        <v>156.5</v>
      </c>
      <c r="C23">
        <v>150.30000000000001</v>
      </c>
      <c r="D23">
        <v>143.4</v>
      </c>
      <c r="F23">
        <v>141.4</v>
      </c>
      <c r="G23">
        <v>114.5</v>
      </c>
      <c r="H23">
        <v>220.19</v>
      </c>
      <c r="J23">
        <v>75.02</v>
      </c>
      <c r="K23">
        <v>56.12</v>
      </c>
      <c r="L23">
        <v>20.45</v>
      </c>
    </row>
    <row r="24" spans="2:12">
      <c r="B24">
        <v>118.3</v>
      </c>
      <c r="C24">
        <v>120.4</v>
      </c>
      <c r="D24">
        <v>6.3</v>
      </c>
      <c r="F24">
        <v>146.87</v>
      </c>
      <c r="G24">
        <v>209.85</v>
      </c>
      <c r="H24">
        <v>142.16</v>
      </c>
      <c r="J24">
        <v>71.959999999999994</v>
      </c>
      <c r="K24">
        <v>27.66</v>
      </c>
      <c r="L24">
        <v>37.85</v>
      </c>
    </row>
    <row r="25" spans="2:12">
      <c r="B25">
        <v>139.6</v>
      </c>
      <c r="C25">
        <v>105.4</v>
      </c>
      <c r="D25">
        <v>7.5</v>
      </c>
      <c r="F25">
        <v>217.12</v>
      </c>
      <c r="G25">
        <v>188.02</v>
      </c>
      <c r="H25">
        <v>142.94</v>
      </c>
      <c r="J25">
        <v>44.99</v>
      </c>
      <c r="K25">
        <v>36.22</v>
      </c>
      <c r="L25">
        <v>57.66</v>
      </c>
    </row>
    <row r="26" spans="2:12">
      <c r="B26">
        <v>164.7</v>
      </c>
      <c r="C26">
        <v>122.1</v>
      </c>
      <c r="D26">
        <v>252.8</v>
      </c>
      <c r="F26">
        <v>132.79</v>
      </c>
      <c r="G26">
        <v>187.59</v>
      </c>
      <c r="H26">
        <v>116.04</v>
      </c>
      <c r="J26">
        <v>60.04</v>
      </c>
      <c r="K26">
        <v>24.55</v>
      </c>
      <c r="L26">
        <v>30.43</v>
      </c>
    </row>
    <row r="27" spans="2:12">
      <c r="B27">
        <v>71.2</v>
      </c>
      <c r="C27">
        <v>89.9</v>
      </c>
      <c r="D27">
        <v>278.60000000000002</v>
      </c>
      <c r="F27">
        <v>135.1</v>
      </c>
      <c r="G27">
        <v>150.19</v>
      </c>
      <c r="H27">
        <v>169.08</v>
      </c>
      <c r="J27">
        <v>69.86</v>
      </c>
      <c r="K27">
        <v>24.5</v>
      </c>
      <c r="L27">
        <v>42.95</v>
      </c>
    </row>
    <row r="28" spans="2:12">
      <c r="B28">
        <v>98.5</v>
      </c>
      <c r="C28">
        <v>102.8</v>
      </c>
      <c r="D28">
        <v>215.8</v>
      </c>
      <c r="F28">
        <v>148.85</v>
      </c>
      <c r="G28">
        <v>123.19</v>
      </c>
      <c r="H28">
        <v>176.31</v>
      </c>
      <c r="J28">
        <v>32.03</v>
      </c>
      <c r="K28">
        <v>44.06</v>
      </c>
      <c r="L28">
        <v>59.6</v>
      </c>
    </row>
    <row r="29" spans="2:12">
      <c r="B29">
        <v>142.4</v>
      </c>
      <c r="C29">
        <v>103.4</v>
      </c>
      <c r="D29">
        <v>216.3</v>
      </c>
      <c r="F29">
        <v>78.819999999999993</v>
      </c>
      <c r="G29">
        <v>123.86</v>
      </c>
      <c r="H29">
        <v>159.55000000000001</v>
      </c>
      <c r="J29">
        <v>51.74</v>
      </c>
      <c r="K29">
        <v>44.26</v>
      </c>
      <c r="L29">
        <v>23.07</v>
      </c>
    </row>
    <row r="30" spans="2:12">
      <c r="B30">
        <v>128.9</v>
      </c>
      <c r="C30">
        <v>116.6</v>
      </c>
      <c r="D30">
        <v>99.7</v>
      </c>
      <c r="F30">
        <v>203.05</v>
      </c>
      <c r="G30">
        <v>105.14</v>
      </c>
      <c r="H30">
        <v>180</v>
      </c>
      <c r="J30">
        <v>25.37</v>
      </c>
      <c r="K30">
        <v>35.090000000000003</v>
      </c>
      <c r="L30">
        <v>47.08</v>
      </c>
    </row>
    <row r="31" spans="2:12">
      <c r="B31">
        <v>173</v>
      </c>
      <c r="C31">
        <v>140.9</v>
      </c>
      <c r="D31">
        <v>162.19999999999999</v>
      </c>
      <c r="F31">
        <v>157.69999999999999</v>
      </c>
      <c r="G31">
        <v>162.83000000000001</v>
      </c>
      <c r="H31">
        <v>142.72</v>
      </c>
      <c r="J31">
        <v>15.64</v>
      </c>
      <c r="K31">
        <v>37.72</v>
      </c>
      <c r="L31">
        <v>38.450000000000003</v>
      </c>
    </row>
    <row r="32" spans="2:12">
      <c r="B32">
        <v>97.2</v>
      </c>
      <c r="C32">
        <v>83.3</v>
      </c>
      <c r="D32">
        <v>188.2</v>
      </c>
      <c r="F32">
        <v>88.34</v>
      </c>
      <c r="G32">
        <v>101.34</v>
      </c>
      <c r="H32">
        <v>177.11</v>
      </c>
      <c r="J32">
        <v>24.78</v>
      </c>
      <c r="K32">
        <v>30.72</v>
      </c>
      <c r="L32">
        <v>53.18</v>
      </c>
    </row>
    <row r="33" spans="2:12">
      <c r="B33">
        <v>144.4</v>
      </c>
      <c r="C33">
        <v>62</v>
      </c>
      <c r="D33">
        <v>162.30000000000001</v>
      </c>
      <c r="F33">
        <v>88.24</v>
      </c>
      <c r="G33">
        <v>134.4</v>
      </c>
      <c r="H33">
        <v>180.15</v>
      </c>
      <c r="J33">
        <v>46.98</v>
      </c>
      <c r="K33">
        <v>34.76</v>
      </c>
      <c r="L33">
        <v>51.63</v>
      </c>
    </row>
    <row r="34" spans="2:12">
      <c r="B34">
        <v>110.4</v>
      </c>
      <c r="C34">
        <v>58.1</v>
      </c>
      <c r="D34">
        <v>239.7</v>
      </c>
      <c r="F34">
        <v>117.19</v>
      </c>
      <c r="G34">
        <v>168.6</v>
      </c>
      <c r="H34">
        <v>166.84</v>
      </c>
      <c r="J34">
        <v>33.99</v>
      </c>
      <c r="K34">
        <v>25.95</v>
      </c>
      <c r="L34">
        <v>32.56</v>
      </c>
    </row>
    <row r="35" spans="2:12">
      <c r="B35">
        <v>76</v>
      </c>
      <c r="C35">
        <v>125</v>
      </c>
      <c r="D35">
        <v>247.8</v>
      </c>
      <c r="F35">
        <v>34.94</v>
      </c>
      <c r="G35">
        <v>180.13</v>
      </c>
      <c r="H35">
        <v>151.57</v>
      </c>
      <c r="J35">
        <v>48.45</v>
      </c>
      <c r="K35">
        <v>47.97</v>
      </c>
      <c r="L35">
        <v>32.6</v>
      </c>
    </row>
    <row r="36" spans="2:12">
      <c r="B36">
        <v>156.30000000000001</v>
      </c>
      <c r="C36">
        <v>83.7</v>
      </c>
      <c r="D36">
        <v>168.3</v>
      </c>
      <c r="F36">
        <v>102.39</v>
      </c>
      <c r="G36">
        <v>190.79</v>
      </c>
      <c r="H36">
        <v>164.31</v>
      </c>
      <c r="J36">
        <v>37.200000000000003</v>
      </c>
      <c r="K36">
        <v>44.5</v>
      </c>
      <c r="L36">
        <v>40.35</v>
      </c>
    </row>
    <row r="37" spans="2:12">
      <c r="B37">
        <v>104.5</v>
      </c>
      <c r="C37">
        <v>110.1</v>
      </c>
      <c r="D37">
        <v>198.1</v>
      </c>
      <c r="F37">
        <v>75.11</v>
      </c>
      <c r="G37">
        <v>179.66</v>
      </c>
      <c r="H37">
        <v>166.88</v>
      </c>
      <c r="J37">
        <v>52.17</v>
      </c>
      <c r="K37">
        <v>51.98</v>
      </c>
      <c r="L37">
        <v>48.35</v>
      </c>
    </row>
    <row r="38" spans="2:12">
      <c r="B38">
        <v>166.2</v>
      </c>
      <c r="C38">
        <v>80.599999999999994</v>
      </c>
      <c r="D38">
        <v>219.2</v>
      </c>
      <c r="F38">
        <v>236.56</v>
      </c>
      <c r="G38">
        <v>136.16</v>
      </c>
      <c r="H38">
        <v>92.52</v>
      </c>
      <c r="J38">
        <v>39.22</v>
      </c>
      <c r="K38">
        <v>46.49</v>
      </c>
      <c r="L38">
        <v>41.97</v>
      </c>
    </row>
    <row r="39" spans="2:12">
      <c r="B39">
        <v>161.6</v>
      </c>
      <c r="C39">
        <v>81.3</v>
      </c>
      <c r="D39">
        <v>115.4</v>
      </c>
      <c r="F39">
        <v>229.39</v>
      </c>
      <c r="G39">
        <v>119.04</v>
      </c>
      <c r="H39">
        <v>136.58000000000001</v>
      </c>
      <c r="J39">
        <v>34.4</v>
      </c>
      <c r="K39">
        <v>65.010000000000005</v>
      </c>
      <c r="L39">
        <v>33.299999999999997</v>
      </c>
    </row>
    <row r="40" spans="2:12">
      <c r="B40">
        <v>140.5</v>
      </c>
      <c r="C40">
        <v>146.80000000000001</v>
      </c>
      <c r="D40">
        <v>53.8</v>
      </c>
      <c r="F40">
        <v>219.45</v>
      </c>
      <c r="G40">
        <v>127.84</v>
      </c>
      <c r="H40">
        <v>108.49</v>
      </c>
      <c r="J40">
        <v>50.9</v>
      </c>
      <c r="K40">
        <v>69.41</v>
      </c>
      <c r="L40">
        <v>66.510000000000005</v>
      </c>
    </row>
    <row r="41" spans="2:12">
      <c r="B41">
        <v>107.5</v>
      </c>
      <c r="C41">
        <v>153.80000000000001</v>
      </c>
      <c r="D41">
        <v>97</v>
      </c>
      <c r="F41">
        <v>196.45</v>
      </c>
      <c r="G41">
        <v>84.29</v>
      </c>
      <c r="H41">
        <v>163.63999999999999</v>
      </c>
      <c r="J41">
        <v>82.77</v>
      </c>
      <c r="K41">
        <v>60.17</v>
      </c>
      <c r="L41">
        <v>46.92</v>
      </c>
    </row>
    <row r="42" spans="2:12">
      <c r="B42">
        <v>36.1</v>
      </c>
      <c r="C42">
        <v>162.9</v>
      </c>
      <c r="D42">
        <v>225.3</v>
      </c>
      <c r="F42">
        <v>235.46</v>
      </c>
      <c r="G42">
        <v>130.88999999999999</v>
      </c>
      <c r="H42">
        <v>171.94</v>
      </c>
      <c r="J42">
        <v>63.88</v>
      </c>
      <c r="K42">
        <v>30.49</v>
      </c>
      <c r="L42">
        <v>62.64</v>
      </c>
    </row>
    <row r="43" spans="2:12">
      <c r="B43">
        <v>48.6</v>
      </c>
      <c r="C43">
        <v>178.1</v>
      </c>
      <c r="D43">
        <v>190</v>
      </c>
      <c r="F43">
        <v>202.95</v>
      </c>
      <c r="G43">
        <v>132.06</v>
      </c>
      <c r="H43">
        <v>183.94</v>
      </c>
      <c r="J43">
        <v>36.44</v>
      </c>
      <c r="K43">
        <v>23.05</v>
      </c>
      <c r="L43">
        <v>52.71</v>
      </c>
    </row>
    <row r="44" spans="2:12">
      <c r="B44">
        <v>53.9</v>
      </c>
      <c r="C44">
        <v>178.1</v>
      </c>
      <c r="D44">
        <v>195.6</v>
      </c>
      <c r="F44">
        <v>169.96</v>
      </c>
      <c r="G44">
        <v>150.16</v>
      </c>
      <c r="H44">
        <v>167.98</v>
      </c>
      <c r="J44">
        <v>40.93</v>
      </c>
      <c r="K44">
        <v>42.5</v>
      </c>
      <c r="L44">
        <v>35.43</v>
      </c>
    </row>
    <row r="45" spans="2:12">
      <c r="B45">
        <v>75.3</v>
      </c>
      <c r="C45">
        <v>165.8</v>
      </c>
      <c r="D45">
        <v>157.5</v>
      </c>
      <c r="F45">
        <v>140.87</v>
      </c>
      <c r="G45">
        <v>174.76</v>
      </c>
      <c r="H45">
        <v>194.33</v>
      </c>
      <c r="J45">
        <v>49.04</v>
      </c>
      <c r="K45">
        <v>41.94</v>
      </c>
      <c r="L45">
        <v>32.03</v>
      </c>
    </row>
    <row r="46" spans="2:12">
      <c r="B46">
        <v>165.8</v>
      </c>
      <c r="C46">
        <v>107.1</v>
      </c>
      <c r="D46">
        <v>138.5</v>
      </c>
      <c r="F46">
        <v>154.6</v>
      </c>
      <c r="G46">
        <v>173.8</v>
      </c>
      <c r="H46">
        <v>172.39</v>
      </c>
      <c r="J46">
        <v>24.45</v>
      </c>
      <c r="K46">
        <v>43.32</v>
      </c>
      <c r="L46">
        <v>38.700000000000003</v>
      </c>
    </row>
    <row r="47" spans="2:12">
      <c r="B47">
        <v>175.4</v>
      </c>
      <c r="C47">
        <v>172.5</v>
      </c>
      <c r="D47">
        <v>199.3</v>
      </c>
      <c r="F47">
        <v>197.36</v>
      </c>
      <c r="G47">
        <v>100.45</v>
      </c>
      <c r="H47">
        <v>154.01</v>
      </c>
      <c r="J47">
        <v>16.96</v>
      </c>
      <c r="K47">
        <v>28.46</v>
      </c>
      <c r="L47">
        <v>32.630000000000003</v>
      </c>
    </row>
    <row r="48" spans="2:12">
      <c r="B48">
        <v>149.1</v>
      </c>
      <c r="C48">
        <v>169.5</v>
      </c>
      <c r="D48">
        <v>221</v>
      </c>
      <c r="F48">
        <v>179.7</v>
      </c>
      <c r="G48">
        <v>131.80000000000001</v>
      </c>
      <c r="H48">
        <v>106.09</v>
      </c>
      <c r="J48">
        <v>22.31</v>
      </c>
      <c r="K48">
        <v>35.299999999999997</v>
      </c>
      <c r="L48">
        <v>42.11</v>
      </c>
    </row>
    <row r="49" spans="2:12">
      <c r="B49">
        <v>137.80000000000001</v>
      </c>
      <c r="C49">
        <v>146.19999999999999</v>
      </c>
      <c r="D49">
        <v>167.7</v>
      </c>
      <c r="F49">
        <v>211.51</v>
      </c>
      <c r="G49">
        <v>133.57</v>
      </c>
      <c r="H49">
        <v>42.43</v>
      </c>
      <c r="J49">
        <v>15.38</v>
      </c>
      <c r="K49">
        <v>31</v>
      </c>
      <c r="L49">
        <v>43.32</v>
      </c>
    </row>
    <row r="50" spans="2:12">
      <c r="B50">
        <v>113.5</v>
      </c>
      <c r="C50">
        <v>216</v>
      </c>
      <c r="D50">
        <v>163.69999999999999</v>
      </c>
      <c r="F50">
        <v>209.39</v>
      </c>
      <c r="G50">
        <v>182.29</v>
      </c>
      <c r="H50">
        <v>165.61</v>
      </c>
      <c r="J50">
        <v>25.54</v>
      </c>
      <c r="K50">
        <v>28.24</v>
      </c>
      <c r="L50">
        <v>38.67</v>
      </c>
    </row>
    <row r="51" spans="2:12">
      <c r="B51">
        <v>132</v>
      </c>
      <c r="C51">
        <v>217.5</v>
      </c>
      <c r="D51">
        <v>173.7</v>
      </c>
      <c r="F51">
        <v>197.55</v>
      </c>
      <c r="G51">
        <v>161.11000000000001</v>
      </c>
      <c r="H51">
        <v>193.5</v>
      </c>
      <c r="J51">
        <v>36.270000000000003</v>
      </c>
      <c r="K51">
        <v>41</v>
      </c>
      <c r="L51">
        <v>49.21</v>
      </c>
    </row>
    <row r="52" spans="2:12">
      <c r="B52">
        <v>139.5</v>
      </c>
      <c r="C52">
        <v>228.8</v>
      </c>
      <c r="D52">
        <v>79.7</v>
      </c>
      <c r="F52">
        <v>156.44999999999999</v>
      </c>
      <c r="G52">
        <v>190.77</v>
      </c>
      <c r="H52">
        <v>115.05</v>
      </c>
      <c r="J52">
        <v>50.56</v>
      </c>
      <c r="K52">
        <v>41.58</v>
      </c>
      <c r="L52">
        <v>58.92</v>
      </c>
    </row>
    <row r="53" spans="2:12">
      <c r="B53">
        <v>150.1</v>
      </c>
      <c r="C53">
        <v>296.10000000000002</v>
      </c>
      <c r="D53">
        <v>184.4</v>
      </c>
      <c r="F53">
        <v>143.49</v>
      </c>
      <c r="G53">
        <v>102.49</v>
      </c>
      <c r="H53">
        <v>54.37</v>
      </c>
      <c r="J53">
        <v>41.12</v>
      </c>
      <c r="K53">
        <v>43.66</v>
      </c>
      <c r="L53">
        <v>40.83</v>
      </c>
    </row>
    <row r="54" spans="2:12">
      <c r="B54">
        <v>101.7</v>
      </c>
      <c r="C54">
        <v>212.8</v>
      </c>
      <c r="D54">
        <v>87.1</v>
      </c>
      <c r="F54">
        <v>71.78</v>
      </c>
      <c r="G54">
        <v>167.96</v>
      </c>
      <c r="H54">
        <v>87.7</v>
      </c>
      <c r="J54">
        <v>23.74</v>
      </c>
      <c r="K54">
        <v>42.18</v>
      </c>
      <c r="L54">
        <v>60.38</v>
      </c>
    </row>
    <row r="55" spans="2:12">
      <c r="B55">
        <v>68.2</v>
      </c>
      <c r="C55">
        <v>170.2</v>
      </c>
      <c r="D55">
        <v>138.5</v>
      </c>
      <c r="F55">
        <v>36.49</v>
      </c>
      <c r="G55">
        <v>157.22999999999999</v>
      </c>
      <c r="H55">
        <v>127.58</v>
      </c>
      <c r="J55">
        <v>33.46</v>
      </c>
      <c r="K55">
        <v>36.4</v>
      </c>
      <c r="L55">
        <v>40.15</v>
      </c>
    </row>
    <row r="56" spans="2:12">
      <c r="B56">
        <v>174.1</v>
      </c>
      <c r="C56">
        <v>216.9</v>
      </c>
      <c r="D56">
        <v>106.7</v>
      </c>
      <c r="F56">
        <v>23.79</v>
      </c>
      <c r="G56">
        <v>105.93</v>
      </c>
      <c r="H56">
        <v>169.11</v>
      </c>
      <c r="J56">
        <v>45.14</v>
      </c>
      <c r="K56">
        <v>30.94</v>
      </c>
      <c r="L56">
        <v>27.01</v>
      </c>
    </row>
    <row r="57" spans="2:12">
      <c r="B57">
        <v>115</v>
      </c>
      <c r="C57">
        <v>170</v>
      </c>
      <c r="D57">
        <v>125.1</v>
      </c>
      <c r="F57">
        <v>44.61</v>
      </c>
      <c r="G57">
        <v>110.86</v>
      </c>
      <c r="H57">
        <v>197.68</v>
      </c>
      <c r="J57">
        <v>22.45</v>
      </c>
      <c r="K57">
        <v>19.68</v>
      </c>
      <c r="L57">
        <v>29.49</v>
      </c>
    </row>
    <row r="58" spans="2:12">
      <c r="B58">
        <v>156.1</v>
      </c>
      <c r="C58">
        <v>233.3</v>
      </c>
      <c r="D58">
        <v>120.2</v>
      </c>
      <c r="F58">
        <v>145.94</v>
      </c>
      <c r="G58">
        <v>102.09</v>
      </c>
      <c r="H58">
        <v>205.86</v>
      </c>
      <c r="J58">
        <v>38.24</v>
      </c>
      <c r="K58">
        <v>57.88</v>
      </c>
      <c r="L58">
        <v>43.86</v>
      </c>
    </row>
    <row r="59" spans="2:12">
      <c r="B59">
        <v>48.5</v>
      </c>
      <c r="C59">
        <v>220.8</v>
      </c>
      <c r="D59">
        <v>119</v>
      </c>
      <c r="F59">
        <v>97.44</v>
      </c>
      <c r="G59">
        <v>172.04</v>
      </c>
      <c r="H59">
        <v>189.71</v>
      </c>
      <c r="J59">
        <v>42.36</v>
      </c>
      <c r="K59">
        <v>71.760000000000005</v>
      </c>
      <c r="L59">
        <v>31.13</v>
      </c>
    </row>
    <row r="60" spans="2:12">
      <c r="B60">
        <v>100.2</v>
      </c>
      <c r="C60">
        <v>158.5</v>
      </c>
      <c r="D60">
        <v>42.5</v>
      </c>
      <c r="F60">
        <v>206.7</v>
      </c>
      <c r="G60">
        <v>117.49</v>
      </c>
      <c r="H60">
        <v>155.03</v>
      </c>
      <c r="J60">
        <v>25.32</v>
      </c>
      <c r="K60">
        <v>63.88</v>
      </c>
      <c r="L60">
        <v>30.33</v>
      </c>
    </row>
    <row r="61" spans="2:12">
      <c r="B61">
        <v>113.1</v>
      </c>
      <c r="C61">
        <v>212.6</v>
      </c>
      <c r="D61">
        <v>51.8</v>
      </c>
      <c r="F61">
        <v>196.71</v>
      </c>
      <c r="G61">
        <v>121.84</v>
      </c>
      <c r="H61">
        <v>176.23</v>
      </c>
      <c r="J61">
        <v>26.01</v>
      </c>
      <c r="K61">
        <v>53.08</v>
      </c>
      <c r="L61">
        <v>31.9</v>
      </c>
    </row>
    <row r="62" spans="2:12">
      <c r="B62">
        <v>66.5</v>
      </c>
      <c r="C62">
        <v>230.4</v>
      </c>
      <c r="D62">
        <v>89.4</v>
      </c>
      <c r="F62">
        <v>215.13</v>
      </c>
      <c r="G62">
        <v>102.67</v>
      </c>
      <c r="H62">
        <v>145.56</v>
      </c>
      <c r="J62">
        <v>31.56</v>
      </c>
      <c r="K62">
        <v>51.82</v>
      </c>
      <c r="L62">
        <v>6.98</v>
      </c>
    </row>
    <row r="63" spans="2:12">
      <c r="B63">
        <v>58</v>
      </c>
      <c r="C63">
        <v>224.2</v>
      </c>
      <c r="D63">
        <v>109.2</v>
      </c>
      <c r="F63">
        <v>125.53</v>
      </c>
      <c r="G63">
        <v>199.61</v>
      </c>
      <c r="H63">
        <v>211.35</v>
      </c>
      <c r="J63">
        <v>57.12</v>
      </c>
      <c r="K63">
        <v>61.4</v>
      </c>
      <c r="L63">
        <v>69.87</v>
      </c>
    </row>
  </sheetData>
  <mergeCells count="3">
    <mergeCell ref="B2:D2"/>
    <mergeCell ref="F2:H2"/>
    <mergeCell ref="J2:L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4E1DB-309B-5343-A929-FC84510C27CC}">
  <dimension ref="B2:M9"/>
  <sheetViews>
    <sheetView workbookViewId="0">
      <selection activeCell="H14" sqref="H14"/>
    </sheetView>
  </sheetViews>
  <sheetFormatPr baseColWidth="10" defaultRowHeight="16"/>
  <sheetData>
    <row r="2" spans="2:13">
      <c r="C2" s="22" t="s">
        <v>101</v>
      </c>
      <c r="D2" s="23"/>
      <c r="E2" s="23"/>
      <c r="F2" s="24"/>
      <c r="G2" s="22" t="s">
        <v>0</v>
      </c>
      <c r="H2" s="23"/>
      <c r="I2" s="24"/>
      <c r="J2" s="23" t="s">
        <v>1</v>
      </c>
      <c r="K2" s="23"/>
      <c r="L2" s="23"/>
      <c r="M2" s="24"/>
    </row>
    <row r="3" spans="2:13">
      <c r="C3" s="152">
        <v>1</v>
      </c>
      <c r="D3" s="153">
        <v>2</v>
      </c>
      <c r="E3" s="153">
        <v>3</v>
      </c>
      <c r="F3" s="154">
        <v>4</v>
      </c>
      <c r="G3" s="152">
        <v>1</v>
      </c>
      <c r="H3" s="153">
        <v>2</v>
      </c>
      <c r="I3" s="154">
        <v>3</v>
      </c>
      <c r="J3" s="153">
        <v>1</v>
      </c>
      <c r="K3" s="153">
        <v>2</v>
      </c>
      <c r="L3" s="153">
        <v>3</v>
      </c>
      <c r="M3" s="154">
        <v>4</v>
      </c>
    </row>
    <row r="4" spans="2:13">
      <c r="B4" s="118" t="s">
        <v>105</v>
      </c>
      <c r="C4" s="7">
        <v>378.47</v>
      </c>
      <c r="D4" s="8">
        <v>567.32000000000005</v>
      </c>
      <c r="E4" s="8">
        <v>360.4</v>
      </c>
      <c r="F4" s="9">
        <v>97.98</v>
      </c>
      <c r="G4" s="7">
        <v>65.459999999999994</v>
      </c>
      <c r="H4" s="8">
        <v>271.91000000000003</v>
      </c>
      <c r="I4" s="9">
        <v>43.2</v>
      </c>
      <c r="J4" s="8">
        <v>225.44</v>
      </c>
      <c r="K4" s="8">
        <v>26.4</v>
      </c>
      <c r="L4" s="8">
        <v>175.76</v>
      </c>
      <c r="M4" s="9">
        <v>4.07</v>
      </c>
    </row>
    <row r="5" spans="2:13">
      <c r="B5" s="73" t="s">
        <v>106</v>
      </c>
      <c r="C5" s="7">
        <v>3.25</v>
      </c>
      <c r="D5" s="8">
        <v>0.73</v>
      </c>
      <c r="E5" s="8">
        <v>3.88</v>
      </c>
      <c r="F5" s="9">
        <v>2.62</v>
      </c>
      <c r="G5" s="7">
        <v>1.36</v>
      </c>
      <c r="H5" s="8">
        <v>10.18</v>
      </c>
      <c r="I5" s="9">
        <v>3.25</v>
      </c>
      <c r="J5" s="8">
        <v>2.62</v>
      </c>
      <c r="K5" s="8">
        <v>0.1</v>
      </c>
      <c r="L5" s="8">
        <v>2.93</v>
      </c>
      <c r="M5" s="9">
        <v>1.99</v>
      </c>
    </row>
    <row r="6" spans="2:13">
      <c r="B6" s="73" t="s">
        <v>107</v>
      </c>
      <c r="C6" s="7">
        <v>1.06</v>
      </c>
      <c r="D6" s="8">
        <v>11.61</v>
      </c>
      <c r="E6" s="8">
        <v>3.94</v>
      </c>
      <c r="F6" s="9">
        <v>259.36</v>
      </c>
      <c r="G6" s="7">
        <v>317.25</v>
      </c>
      <c r="H6" s="8">
        <v>196.34</v>
      </c>
      <c r="I6" s="9">
        <v>53.87</v>
      </c>
      <c r="J6" s="8">
        <v>28.12</v>
      </c>
      <c r="K6" s="8">
        <v>96.59</v>
      </c>
      <c r="L6" s="8">
        <v>18.52</v>
      </c>
      <c r="M6" s="9">
        <v>18.64</v>
      </c>
    </row>
    <row r="7" spans="2:13">
      <c r="B7" s="73" t="s">
        <v>108</v>
      </c>
      <c r="C7" s="7">
        <v>114.8</v>
      </c>
      <c r="D7" s="8">
        <v>107.37</v>
      </c>
      <c r="E7" s="8">
        <v>137.03</v>
      </c>
      <c r="F7" s="9">
        <v>171.74</v>
      </c>
      <c r="G7" s="7">
        <v>1201.68</v>
      </c>
      <c r="H7" s="8">
        <v>336.43</v>
      </c>
      <c r="I7" s="9">
        <v>1187.22</v>
      </c>
      <c r="J7" s="8">
        <v>260.83999999999997</v>
      </c>
      <c r="K7" s="8">
        <v>1532.92</v>
      </c>
      <c r="L7" s="8">
        <v>201.82</v>
      </c>
      <c r="M7" s="9">
        <v>931.96</v>
      </c>
    </row>
    <row r="8" spans="2:13">
      <c r="B8" s="73" t="s">
        <v>109</v>
      </c>
      <c r="C8" s="7">
        <v>69.94</v>
      </c>
      <c r="D8" s="8">
        <v>58.59</v>
      </c>
      <c r="E8" s="8">
        <v>76.88</v>
      </c>
      <c r="F8" s="9">
        <v>0</v>
      </c>
      <c r="G8" s="7">
        <v>1494.14</v>
      </c>
      <c r="H8" s="8">
        <v>380.62</v>
      </c>
      <c r="I8" s="9">
        <v>1155.3599999999999</v>
      </c>
      <c r="J8" s="8">
        <v>237.09</v>
      </c>
      <c r="K8" s="8">
        <v>1200.8800000000001</v>
      </c>
      <c r="L8" s="8">
        <v>146.69999999999999</v>
      </c>
      <c r="M8" s="9">
        <v>942.22</v>
      </c>
    </row>
    <row r="9" spans="2:13">
      <c r="B9" s="74" t="s">
        <v>110</v>
      </c>
      <c r="C9" s="10">
        <v>0</v>
      </c>
      <c r="D9" s="11">
        <v>0</v>
      </c>
      <c r="E9" s="11">
        <v>0</v>
      </c>
      <c r="F9" s="12">
        <v>73.53</v>
      </c>
      <c r="G9" s="10">
        <v>308.58999999999997</v>
      </c>
      <c r="H9" s="11">
        <v>7.15</v>
      </c>
      <c r="I9" s="12">
        <v>259.43</v>
      </c>
      <c r="J9" s="11">
        <v>6.3</v>
      </c>
      <c r="K9" s="11">
        <v>273.04000000000002</v>
      </c>
      <c r="L9" s="11">
        <v>0.7</v>
      </c>
      <c r="M9" s="12">
        <v>103.33</v>
      </c>
    </row>
  </sheetData>
  <mergeCells count="3">
    <mergeCell ref="C2:F2"/>
    <mergeCell ref="G2:I2"/>
    <mergeCell ref="J2:M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E4AEB-0EE2-884A-8A06-A3B0DDB3A3D3}">
  <dimension ref="A2:M58"/>
  <sheetViews>
    <sheetView zoomScale="59" workbookViewId="0">
      <selection activeCell="I64" sqref="I64"/>
    </sheetView>
  </sheetViews>
  <sheetFormatPr baseColWidth="10" defaultRowHeight="16"/>
  <cols>
    <col min="1" max="1" width="12.1640625" bestFit="1" customWidth="1"/>
    <col min="2" max="2" width="26.33203125" bestFit="1" customWidth="1"/>
  </cols>
  <sheetData>
    <row r="2" spans="1:13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C3" s="2" t="s">
        <v>89</v>
      </c>
      <c r="D3" s="2"/>
      <c r="E3" s="2"/>
      <c r="F3" s="2"/>
      <c r="G3" s="2"/>
      <c r="H3" s="2" t="s">
        <v>1</v>
      </c>
      <c r="I3" s="2"/>
      <c r="J3" s="2"/>
      <c r="K3" s="2" t="s">
        <v>0</v>
      </c>
      <c r="L3" s="2"/>
      <c r="M3" s="2"/>
    </row>
    <row r="4" spans="1:13">
      <c r="A4" s="3" t="s">
        <v>96</v>
      </c>
      <c r="B4" t="s">
        <v>93</v>
      </c>
      <c r="C4">
        <v>5570</v>
      </c>
      <c r="D4">
        <v>1710</v>
      </c>
      <c r="E4">
        <v>3250</v>
      </c>
      <c r="F4">
        <v>6470</v>
      </c>
      <c r="G4">
        <v>20000</v>
      </c>
      <c r="H4">
        <v>3250</v>
      </c>
      <c r="I4">
        <v>6470</v>
      </c>
      <c r="J4">
        <v>20000</v>
      </c>
      <c r="K4">
        <v>44400</v>
      </c>
      <c r="L4">
        <v>27900</v>
      </c>
      <c r="M4">
        <v>38000</v>
      </c>
    </row>
    <row r="5" spans="1:13">
      <c r="A5" s="3"/>
      <c r="B5" t="s">
        <v>94</v>
      </c>
      <c r="C5">
        <v>11200</v>
      </c>
      <c r="D5">
        <v>1720</v>
      </c>
      <c r="E5">
        <v>12600</v>
      </c>
      <c r="F5">
        <v>19400</v>
      </c>
      <c r="G5">
        <v>41600</v>
      </c>
      <c r="H5">
        <v>12600</v>
      </c>
      <c r="I5">
        <v>19400</v>
      </c>
      <c r="J5">
        <v>41600</v>
      </c>
      <c r="K5">
        <v>83500</v>
      </c>
      <c r="L5">
        <v>84800</v>
      </c>
      <c r="M5">
        <v>82700</v>
      </c>
    </row>
    <row r="6" spans="1:13">
      <c r="A6" s="3"/>
      <c r="B6" t="s">
        <v>95</v>
      </c>
      <c r="C6">
        <v>1870</v>
      </c>
      <c r="D6">
        <v>1720</v>
      </c>
      <c r="E6">
        <v>3460</v>
      </c>
      <c r="F6">
        <v>6480</v>
      </c>
      <c r="G6">
        <v>8910</v>
      </c>
      <c r="H6">
        <v>3460</v>
      </c>
      <c r="I6">
        <v>6480</v>
      </c>
      <c r="J6">
        <v>8910</v>
      </c>
      <c r="K6">
        <v>23400</v>
      </c>
      <c r="L6">
        <v>14000</v>
      </c>
      <c r="M6">
        <v>18600</v>
      </c>
    </row>
    <row r="8" spans="1:13">
      <c r="A8" s="3" t="s">
        <v>97</v>
      </c>
      <c r="B8" t="s">
        <v>93</v>
      </c>
      <c r="C8">
        <v>11200</v>
      </c>
      <c r="D8">
        <v>5130</v>
      </c>
      <c r="E8">
        <v>7730</v>
      </c>
      <c r="F8">
        <v>3270</v>
      </c>
      <c r="G8">
        <v>9930</v>
      </c>
      <c r="H8">
        <v>44000</v>
      </c>
      <c r="I8">
        <v>2700</v>
      </c>
      <c r="J8">
        <v>10100</v>
      </c>
      <c r="K8">
        <v>13100</v>
      </c>
      <c r="L8">
        <v>3520</v>
      </c>
      <c r="M8">
        <v>5870</v>
      </c>
    </row>
    <row r="9" spans="1:13">
      <c r="A9" s="3"/>
      <c r="B9" t="s">
        <v>94</v>
      </c>
      <c r="C9">
        <v>46500</v>
      </c>
      <c r="D9">
        <v>18900</v>
      </c>
      <c r="E9">
        <v>42500</v>
      </c>
      <c r="F9">
        <v>30000</v>
      </c>
      <c r="G9">
        <v>48300</v>
      </c>
      <c r="H9">
        <v>33500</v>
      </c>
      <c r="I9">
        <v>26800</v>
      </c>
      <c r="J9">
        <v>25700</v>
      </c>
      <c r="K9">
        <v>28600</v>
      </c>
      <c r="L9">
        <v>25800</v>
      </c>
      <c r="M9">
        <v>12900</v>
      </c>
    </row>
    <row r="10" spans="1:13">
      <c r="A10" s="3"/>
      <c r="B10" t="s">
        <v>95</v>
      </c>
      <c r="C10">
        <v>331000</v>
      </c>
      <c r="D10">
        <v>266000</v>
      </c>
      <c r="E10">
        <v>336000</v>
      </c>
      <c r="F10">
        <v>370000</v>
      </c>
      <c r="G10">
        <v>273000</v>
      </c>
      <c r="H10">
        <v>359000</v>
      </c>
      <c r="I10">
        <v>400000</v>
      </c>
      <c r="J10">
        <v>483000</v>
      </c>
      <c r="K10">
        <v>253000</v>
      </c>
      <c r="L10">
        <v>267000</v>
      </c>
      <c r="M10">
        <v>207000</v>
      </c>
    </row>
    <row r="12" spans="1:13">
      <c r="A12" s="3" t="s">
        <v>96</v>
      </c>
      <c r="B12" t="s">
        <v>98</v>
      </c>
      <c r="C12">
        <v>9320</v>
      </c>
      <c r="D12">
        <v>6860</v>
      </c>
      <c r="E12">
        <v>17600</v>
      </c>
      <c r="F12">
        <v>32300</v>
      </c>
      <c r="G12">
        <v>49700</v>
      </c>
      <c r="H12">
        <v>10500</v>
      </c>
      <c r="I12">
        <v>28100</v>
      </c>
      <c r="J12">
        <v>7040</v>
      </c>
      <c r="K12">
        <v>5680</v>
      </c>
      <c r="L12">
        <v>16400</v>
      </c>
      <c r="M12">
        <v>9160</v>
      </c>
    </row>
    <row r="13" spans="1:13">
      <c r="A13" s="3"/>
      <c r="B13" t="s">
        <v>99</v>
      </c>
      <c r="C13">
        <v>1860</v>
      </c>
      <c r="D13">
        <v>1720</v>
      </c>
      <c r="E13">
        <v>10200</v>
      </c>
      <c r="F13">
        <v>9030</v>
      </c>
      <c r="G13">
        <v>11500</v>
      </c>
      <c r="H13">
        <v>12600</v>
      </c>
      <c r="I13">
        <v>16100</v>
      </c>
      <c r="J13">
        <v>4530</v>
      </c>
      <c r="K13">
        <v>28800</v>
      </c>
      <c r="L13">
        <v>12100</v>
      </c>
      <c r="M13">
        <v>19100</v>
      </c>
    </row>
    <row r="14" spans="1:13">
      <c r="A14" s="3"/>
      <c r="B14" t="s">
        <v>100</v>
      </c>
      <c r="C14">
        <v>0</v>
      </c>
      <c r="D14">
        <v>0</v>
      </c>
      <c r="E14">
        <v>6840</v>
      </c>
      <c r="F14">
        <v>8560</v>
      </c>
      <c r="G14">
        <v>9710</v>
      </c>
      <c r="H14">
        <v>4190</v>
      </c>
      <c r="I14">
        <v>20100</v>
      </c>
      <c r="J14">
        <v>5040</v>
      </c>
      <c r="K14">
        <v>23800</v>
      </c>
      <c r="L14">
        <v>9310</v>
      </c>
      <c r="M14">
        <v>27100</v>
      </c>
    </row>
    <row r="17" spans="1:13">
      <c r="A17" s="3" t="s">
        <v>97</v>
      </c>
      <c r="B17" t="s">
        <v>98</v>
      </c>
      <c r="C17">
        <v>14900</v>
      </c>
      <c r="D17">
        <v>22300</v>
      </c>
      <c r="E17">
        <v>21800</v>
      </c>
      <c r="F17">
        <v>6710</v>
      </c>
      <c r="G17">
        <v>54300</v>
      </c>
      <c r="H17">
        <v>39800</v>
      </c>
      <c r="I17">
        <v>71000</v>
      </c>
      <c r="J17">
        <v>40900</v>
      </c>
      <c r="K17">
        <v>21600</v>
      </c>
      <c r="L17">
        <v>30800</v>
      </c>
      <c r="M17">
        <v>74100</v>
      </c>
    </row>
    <row r="18" spans="1:13">
      <c r="A18" s="3"/>
      <c r="B18" t="s">
        <v>99</v>
      </c>
      <c r="C18">
        <v>3720</v>
      </c>
      <c r="D18">
        <v>12000</v>
      </c>
      <c r="E18">
        <v>13600</v>
      </c>
      <c r="F18">
        <v>21800</v>
      </c>
      <c r="G18">
        <v>17000</v>
      </c>
      <c r="H18">
        <v>8390</v>
      </c>
      <c r="I18">
        <v>6690</v>
      </c>
      <c r="J18">
        <v>11600</v>
      </c>
      <c r="K18">
        <v>43400</v>
      </c>
      <c r="L18">
        <v>34900</v>
      </c>
      <c r="M18">
        <v>43800</v>
      </c>
    </row>
    <row r="19" spans="1:13">
      <c r="A19" s="3"/>
      <c r="B19" t="s">
        <v>100</v>
      </c>
      <c r="C19">
        <v>7460</v>
      </c>
      <c r="D19">
        <v>8590</v>
      </c>
      <c r="E19">
        <v>24400</v>
      </c>
      <c r="F19">
        <v>16500</v>
      </c>
      <c r="G19">
        <v>20800</v>
      </c>
      <c r="H19">
        <v>16800</v>
      </c>
      <c r="I19">
        <v>16000</v>
      </c>
      <c r="J19">
        <v>14600</v>
      </c>
      <c r="K19">
        <v>46200</v>
      </c>
      <c r="L19">
        <v>16600</v>
      </c>
      <c r="M19">
        <v>25000</v>
      </c>
    </row>
    <row r="20" spans="1:13">
      <c r="A20" s="104"/>
    </row>
    <row r="21" spans="1:13">
      <c r="A21" s="3" t="s">
        <v>102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3" spans="1:13">
      <c r="A23" s="3" t="s">
        <v>96</v>
      </c>
      <c r="B23" t="s">
        <v>93</v>
      </c>
      <c r="C23">
        <v>29600</v>
      </c>
      <c r="D23">
        <v>39400</v>
      </c>
      <c r="E23">
        <v>57300</v>
      </c>
      <c r="F23">
        <v>26000</v>
      </c>
      <c r="G23">
        <v>51000</v>
      </c>
      <c r="H23">
        <v>39900</v>
      </c>
      <c r="I23">
        <v>157000</v>
      </c>
      <c r="J23">
        <v>168000</v>
      </c>
      <c r="K23">
        <v>131000</v>
      </c>
      <c r="L23">
        <v>29200</v>
      </c>
      <c r="M23">
        <v>52200</v>
      </c>
    </row>
    <row r="24" spans="1:13">
      <c r="A24" s="3"/>
      <c r="B24" t="s">
        <v>94</v>
      </c>
      <c r="C24">
        <v>132000</v>
      </c>
      <c r="D24">
        <v>233000</v>
      </c>
      <c r="E24">
        <v>386000</v>
      </c>
      <c r="F24">
        <v>302000</v>
      </c>
      <c r="G24">
        <v>90200</v>
      </c>
      <c r="H24">
        <v>227000</v>
      </c>
      <c r="I24">
        <v>116000</v>
      </c>
      <c r="J24">
        <v>187000</v>
      </c>
      <c r="K24">
        <v>166000</v>
      </c>
      <c r="L24">
        <v>255000</v>
      </c>
      <c r="M24">
        <v>80300</v>
      </c>
    </row>
    <row r="25" spans="1:13">
      <c r="A25" s="3"/>
      <c r="B25" t="s">
        <v>95</v>
      </c>
      <c r="C25">
        <v>4000</v>
      </c>
      <c r="D25">
        <v>14100</v>
      </c>
      <c r="E25">
        <v>393000</v>
      </c>
      <c r="F25">
        <v>0</v>
      </c>
      <c r="G25">
        <v>0</v>
      </c>
      <c r="H25">
        <v>5760</v>
      </c>
      <c r="I25">
        <v>622</v>
      </c>
      <c r="J25">
        <v>9330</v>
      </c>
      <c r="K25">
        <v>5590</v>
      </c>
      <c r="L25">
        <v>2160</v>
      </c>
      <c r="M25">
        <v>127000</v>
      </c>
    </row>
    <row r="27" spans="1:13">
      <c r="A27" s="3" t="s">
        <v>96</v>
      </c>
      <c r="B27" t="s">
        <v>98</v>
      </c>
      <c r="C27">
        <v>468000</v>
      </c>
      <c r="D27">
        <v>378000</v>
      </c>
      <c r="E27">
        <v>547000</v>
      </c>
      <c r="F27">
        <v>772000</v>
      </c>
      <c r="G27">
        <v>135000</v>
      </c>
      <c r="H27">
        <v>271000</v>
      </c>
      <c r="I27">
        <v>343000</v>
      </c>
      <c r="J27">
        <v>355000</v>
      </c>
      <c r="K27">
        <v>57600</v>
      </c>
      <c r="L27">
        <v>176000</v>
      </c>
      <c r="M27">
        <v>469000</v>
      </c>
    </row>
    <row r="28" spans="1:13">
      <c r="A28" s="3"/>
      <c r="B28" t="s">
        <v>99</v>
      </c>
      <c r="C28">
        <v>152000</v>
      </c>
      <c r="D28">
        <v>138000</v>
      </c>
      <c r="E28">
        <v>51900</v>
      </c>
      <c r="F28">
        <v>99500</v>
      </c>
      <c r="G28">
        <v>29900</v>
      </c>
      <c r="H28">
        <v>91300</v>
      </c>
      <c r="I28">
        <v>85500</v>
      </c>
      <c r="J28">
        <v>55900</v>
      </c>
      <c r="K28">
        <v>122000</v>
      </c>
      <c r="L28">
        <v>110000</v>
      </c>
      <c r="M28">
        <v>92400</v>
      </c>
    </row>
    <row r="29" spans="1:13">
      <c r="A29" s="3"/>
      <c r="B29" t="s">
        <v>100</v>
      </c>
      <c r="C29">
        <v>61400</v>
      </c>
      <c r="D29">
        <v>47000</v>
      </c>
      <c r="E29">
        <v>291000</v>
      </c>
      <c r="F29">
        <v>277000</v>
      </c>
      <c r="G29">
        <v>197000</v>
      </c>
      <c r="H29">
        <v>82100</v>
      </c>
      <c r="I29">
        <v>69400</v>
      </c>
      <c r="J29">
        <v>37300</v>
      </c>
      <c r="K29">
        <v>48900</v>
      </c>
      <c r="L29">
        <v>46700</v>
      </c>
      <c r="M29">
        <v>420000</v>
      </c>
    </row>
    <row r="32" spans="1:13">
      <c r="A32" s="2" t="s">
        <v>103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>
      <c r="C33" s="2" t="s">
        <v>101</v>
      </c>
      <c r="D33" s="2"/>
      <c r="E33" s="2"/>
      <c r="F33" s="2"/>
      <c r="G33" s="2"/>
      <c r="H33" s="2" t="s">
        <v>1</v>
      </c>
      <c r="I33" s="2"/>
      <c r="J33" s="2"/>
      <c r="K33" s="2" t="s">
        <v>0</v>
      </c>
      <c r="L33" s="2"/>
      <c r="M33" s="2"/>
    </row>
    <row r="34" spans="1:13">
      <c r="A34" s="3" t="s">
        <v>96</v>
      </c>
      <c r="B34" t="s">
        <v>93</v>
      </c>
      <c r="C34">
        <v>0</v>
      </c>
      <c r="D34">
        <v>0</v>
      </c>
      <c r="E34">
        <v>336</v>
      </c>
      <c r="F34">
        <v>320</v>
      </c>
      <c r="G34">
        <v>316</v>
      </c>
      <c r="H34">
        <v>0</v>
      </c>
      <c r="I34">
        <v>9390</v>
      </c>
      <c r="J34">
        <v>2520</v>
      </c>
      <c r="K34">
        <v>12600</v>
      </c>
      <c r="L34">
        <v>8900</v>
      </c>
      <c r="M34">
        <v>9230</v>
      </c>
    </row>
    <row r="35" spans="1:13">
      <c r="A35" s="3"/>
      <c r="B35" t="s">
        <v>94</v>
      </c>
      <c r="C35">
        <v>1800</v>
      </c>
      <c r="D35">
        <v>429</v>
      </c>
      <c r="E35">
        <v>672</v>
      </c>
      <c r="F35">
        <v>641</v>
      </c>
      <c r="G35">
        <v>3780</v>
      </c>
      <c r="H35">
        <v>492</v>
      </c>
      <c r="I35">
        <v>19000</v>
      </c>
      <c r="J35">
        <v>6510</v>
      </c>
      <c r="K35">
        <v>59900</v>
      </c>
      <c r="L35">
        <v>58300</v>
      </c>
      <c r="M35">
        <v>64100</v>
      </c>
    </row>
    <row r="36" spans="1:13">
      <c r="A36" s="3"/>
      <c r="B36" t="s">
        <v>95</v>
      </c>
      <c r="C36">
        <v>0</v>
      </c>
      <c r="D36">
        <v>0</v>
      </c>
      <c r="E36">
        <v>562</v>
      </c>
      <c r="F36">
        <v>162</v>
      </c>
      <c r="G36">
        <v>316</v>
      </c>
      <c r="H36">
        <v>2100</v>
      </c>
      <c r="I36">
        <v>8030</v>
      </c>
      <c r="J36">
        <v>2030</v>
      </c>
      <c r="K36">
        <v>21100</v>
      </c>
      <c r="L36">
        <v>7980</v>
      </c>
      <c r="M36">
        <v>16200</v>
      </c>
    </row>
    <row r="38" spans="1:13">
      <c r="A38" s="3" t="s">
        <v>97</v>
      </c>
      <c r="B38" t="s">
        <v>93</v>
      </c>
      <c r="C38">
        <v>5570</v>
      </c>
      <c r="D38">
        <v>1710</v>
      </c>
      <c r="E38">
        <v>1340</v>
      </c>
      <c r="F38">
        <v>1120</v>
      </c>
      <c r="G38">
        <v>869</v>
      </c>
      <c r="H38">
        <v>14700</v>
      </c>
      <c r="I38">
        <v>0</v>
      </c>
      <c r="J38">
        <v>1510</v>
      </c>
      <c r="K38">
        <v>1040</v>
      </c>
      <c r="L38">
        <v>650</v>
      </c>
      <c r="M38">
        <v>325</v>
      </c>
    </row>
    <row r="39" spans="1:13">
      <c r="A39" s="3"/>
      <c r="B39" t="s">
        <v>94</v>
      </c>
      <c r="C39">
        <v>7480</v>
      </c>
      <c r="D39">
        <v>4730</v>
      </c>
      <c r="E39">
        <v>6390</v>
      </c>
      <c r="F39">
        <v>4070</v>
      </c>
      <c r="G39">
        <v>4730</v>
      </c>
      <c r="H39">
        <v>7870</v>
      </c>
      <c r="I39">
        <v>13100</v>
      </c>
      <c r="J39">
        <v>4090</v>
      </c>
      <c r="K39">
        <v>7030</v>
      </c>
      <c r="L39">
        <v>3260</v>
      </c>
      <c r="M39">
        <v>4530</v>
      </c>
    </row>
    <row r="40" spans="1:13">
      <c r="A40" s="3"/>
      <c r="B40" t="s">
        <v>95</v>
      </c>
      <c r="C40">
        <v>44600</v>
      </c>
      <c r="D40">
        <v>29200</v>
      </c>
      <c r="E40">
        <v>1580</v>
      </c>
      <c r="F40">
        <v>968</v>
      </c>
      <c r="G40">
        <v>1350</v>
      </c>
      <c r="H40">
        <v>14700</v>
      </c>
      <c r="I40">
        <v>48100</v>
      </c>
      <c r="J40">
        <v>53200</v>
      </c>
      <c r="K40">
        <v>5520</v>
      </c>
      <c r="L40">
        <v>1310</v>
      </c>
      <c r="M40">
        <v>1500</v>
      </c>
    </row>
    <row r="42" spans="1:13">
      <c r="A42" s="3" t="s">
        <v>96</v>
      </c>
      <c r="B42" t="s">
        <v>98</v>
      </c>
      <c r="C42">
        <v>1860</v>
      </c>
      <c r="D42">
        <v>1720</v>
      </c>
      <c r="E42">
        <v>1340</v>
      </c>
      <c r="F42">
        <v>2390</v>
      </c>
      <c r="G42">
        <v>5770</v>
      </c>
      <c r="H42">
        <v>2090</v>
      </c>
      <c r="I42">
        <v>16100</v>
      </c>
      <c r="J42">
        <v>2010</v>
      </c>
      <c r="K42">
        <v>1340</v>
      </c>
      <c r="L42">
        <v>3140</v>
      </c>
      <c r="M42">
        <v>3780</v>
      </c>
    </row>
    <row r="43" spans="1:13">
      <c r="A43" s="3"/>
      <c r="B43" t="s">
        <v>99</v>
      </c>
      <c r="C43">
        <v>0</v>
      </c>
      <c r="D43">
        <v>0</v>
      </c>
      <c r="E43">
        <v>3360</v>
      </c>
      <c r="F43">
        <v>2320</v>
      </c>
      <c r="G43">
        <v>4110</v>
      </c>
      <c r="H43">
        <v>4190</v>
      </c>
      <c r="I43">
        <v>5360</v>
      </c>
      <c r="J43">
        <v>504</v>
      </c>
      <c r="K43">
        <v>19700</v>
      </c>
      <c r="L43">
        <v>5900</v>
      </c>
      <c r="M43">
        <v>15300</v>
      </c>
    </row>
    <row r="44" spans="1:13">
      <c r="A44" s="3"/>
      <c r="B44" t="s">
        <v>100</v>
      </c>
      <c r="C44">
        <v>0</v>
      </c>
      <c r="D44">
        <v>0</v>
      </c>
      <c r="E44">
        <v>4020</v>
      </c>
      <c r="F44">
        <v>5200</v>
      </c>
      <c r="G44">
        <v>7190</v>
      </c>
      <c r="H44">
        <v>0</v>
      </c>
      <c r="I44">
        <v>0</v>
      </c>
      <c r="J44">
        <v>505</v>
      </c>
      <c r="K44">
        <v>22000</v>
      </c>
      <c r="L44">
        <v>7740</v>
      </c>
      <c r="M44">
        <v>24900</v>
      </c>
    </row>
    <row r="46" spans="1:13">
      <c r="A46" s="3" t="s">
        <v>97</v>
      </c>
      <c r="B46" t="s">
        <v>98</v>
      </c>
      <c r="C46">
        <v>11200</v>
      </c>
      <c r="D46">
        <v>15500</v>
      </c>
      <c r="E46">
        <v>4020</v>
      </c>
      <c r="F46">
        <v>1040</v>
      </c>
      <c r="G46">
        <v>8060</v>
      </c>
      <c r="H46">
        <v>33500</v>
      </c>
      <c r="I46">
        <v>61600</v>
      </c>
      <c r="J46">
        <v>22200</v>
      </c>
      <c r="K46">
        <v>5510</v>
      </c>
      <c r="L46">
        <v>7190</v>
      </c>
      <c r="M46">
        <v>24600</v>
      </c>
    </row>
    <row r="47" spans="1:13">
      <c r="A47" s="3"/>
      <c r="B47" t="s">
        <v>99</v>
      </c>
      <c r="C47">
        <v>1860</v>
      </c>
      <c r="D47">
        <v>1720</v>
      </c>
      <c r="E47">
        <v>1340</v>
      </c>
      <c r="F47">
        <v>6710</v>
      </c>
      <c r="G47">
        <v>1110</v>
      </c>
      <c r="H47">
        <v>4190</v>
      </c>
      <c r="I47">
        <v>1340</v>
      </c>
      <c r="J47">
        <v>1010</v>
      </c>
      <c r="K47">
        <v>4040</v>
      </c>
      <c r="L47">
        <v>13100</v>
      </c>
      <c r="M47">
        <v>10700</v>
      </c>
    </row>
    <row r="48" spans="1:13">
      <c r="A48" s="3"/>
      <c r="B48" t="s">
        <v>100</v>
      </c>
      <c r="C48">
        <v>5590</v>
      </c>
      <c r="D48">
        <v>3440</v>
      </c>
      <c r="E48">
        <v>21600</v>
      </c>
      <c r="F48">
        <v>15300</v>
      </c>
      <c r="G48">
        <v>15100</v>
      </c>
      <c r="H48">
        <v>16800</v>
      </c>
      <c r="I48">
        <v>14700</v>
      </c>
      <c r="J48">
        <v>8080</v>
      </c>
      <c r="K48">
        <v>35900</v>
      </c>
      <c r="L48">
        <v>14600</v>
      </c>
      <c r="M48">
        <v>20500</v>
      </c>
    </row>
    <row r="51" spans="1:13">
      <c r="A51" s="2" t="s">
        <v>104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>
      <c r="A52" s="3" t="s">
        <v>96</v>
      </c>
      <c r="B52" t="s">
        <v>93</v>
      </c>
      <c r="C52">
        <v>333</v>
      </c>
      <c r="D52">
        <v>0</v>
      </c>
      <c r="E52">
        <v>19200</v>
      </c>
      <c r="F52">
        <v>0</v>
      </c>
      <c r="G52">
        <v>3620</v>
      </c>
      <c r="H52">
        <v>1430</v>
      </c>
      <c r="I52">
        <v>9290</v>
      </c>
      <c r="J52">
        <v>9350</v>
      </c>
      <c r="K52">
        <v>3590</v>
      </c>
      <c r="L52">
        <v>3680</v>
      </c>
      <c r="M52">
        <v>31100</v>
      </c>
    </row>
    <row r="53" spans="1:13">
      <c r="A53" s="3"/>
      <c r="B53" t="s">
        <v>94</v>
      </c>
      <c r="C53">
        <v>886</v>
      </c>
      <c r="D53">
        <v>256</v>
      </c>
      <c r="E53">
        <v>1660</v>
      </c>
      <c r="F53">
        <v>1430</v>
      </c>
      <c r="G53">
        <v>884</v>
      </c>
      <c r="H53">
        <v>639</v>
      </c>
      <c r="I53">
        <v>6190</v>
      </c>
      <c r="J53">
        <v>18700</v>
      </c>
      <c r="K53">
        <v>61600</v>
      </c>
      <c r="L53">
        <v>24300</v>
      </c>
      <c r="M53">
        <v>13000</v>
      </c>
    </row>
    <row r="54" spans="1:13">
      <c r="A54" s="3"/>
      <c r="B54" t="s">
        <v>95</v>
      </c>
      <c r="C54">
        <v>0</v>
      </c>
      <c r="D54">
        <v>0</v>
      </c>
      <c r="E54">
        <v>1700</v>
      </c>
      <c r="F54">
        <v>0</v>
      </c>
      <c r="G54">
        <v>300</v>
      </c>
      <c r="H54">
        <v>180</v>
      </c>
      <c r="I54">
        <v>622</v>
      </c>
      <c r="J54">
        <v>9330</v>
      </c>
      <c r="K54">
        <v>4030</v>
      </c>
      <c r="L54">
        <v>1300</v>
      </c>
      <c r="M54">
        <v>5650</v>
      </c>
    </row>
    <row r="56" spans="1:13">
      <c r="A56" s="3" t="s">
        <v>96</v>
      </c>
      <c r="B56" t="s">
        <v>98</v>
      </c>
      <c r="C56">
        <v>1310</v>
      </c>
      <c r="D56">
        <v>491</v>
      </c>
      <c r="E56">
        <v>15900</v>
      </c>
      <c r="F56">
        <v>5370</v>
      </c>
      <c r="G56">
        <v>18600</v>
      </c>
      <c r="H56">
        <v>718</v>
      </c>
      <c r="I56">
        <v>20400</v>
      </c>
      <c r="J56">
        <v>0</v>
      </c>
      <c r="K56">
        <v>3140</v>
      </c>
      <c r="L56">
        <v>7110</v>
      </c>
      <c r="M56">
        <v>8950</v>
      </c>
    </row>
    <row r="57" spans="1:13">
      <c r="A57" s="3"/>
      <c r="B57" t="s">
        <v>99</v>
      </c>
      <c r="C57">
        <v>337</v>
      </c>
      <c r="D57">
        <v>0</v>
      </c>
      <c r="E57">
        <v>1410</v>
      </c>
      <c r="F57">
        <v>1530</v>
      </c>
      <c r="G57">
        <v>684</v>
      </c>
      <c r="H57">
        <v>0</v>
      </c>
      <c r="I57">
        <v>2470</v>
      </c>
      <c r="J57">
        <v>0</v>
      </c>
      <c r="K57">
        <v>25800</v>
      </c>
      <c r="L57">
        <v>5590</v>
      </c>
      <c r="M57">
        <v>21700</v>
      </c>
    </row>
    <row r="58" spans="1:13">
      <c r="A58" s="3"/>
      <c r="B58" t="s">
        <v>100</v>
      </c>
      <c r="C58">
        <v>0</v>
      </c>
      <c r="D58">
        <v>0</v>
      </c>
      <c r="E58">
        <v>11300</v>
      </c>
      <c r="F58">
        <v>17000</v>
      </c>
      <c r="G58">
        <v>12500</v>
      </c>
      <c r="H58">
        <v>0</v>
      </c>
      <c r="I58">
        <v>0</v>
      </c>
      <c r="J58">
        <v>0</v>
      </c>
      <c r="K58">
        <v>34800</v>
      </c>
      <c r="L58">
        <v>10500</v>
      </c>
      <c r="M58">
        <v>65800</v>
      </c>
    </row>
  </sheetData>
  <mergeCells count="22">
    <mergeCell ref="A12:A14"/>
    <mergeCell ref="A17:A19"/>
    <mergeCell ref="A21:M21"/>
    <mergeCell ref="A2:M2"/>
    <mergeCell ref="A32:M32"/>
    <mergeCell ref="A51:M51"/>
    <mergeCell ref="A42:A44"/>
    <mergeCell ref="A46:A48"/>
    <mergeCell ref="A23:A25"/>
    <mergeCell ref="A27:A29"/>
    <mergeCell ref="A52:A54"/>
    <mergeCell ref="A56:A58"/>
    <mergeCell ref="C3:G3"/>
    <mergeCell ref="C33:G33"/>
    <mergeCell ref="H33:J33"/>
    <mergeCell ref="K33:M33"/>
    <mergeCell ref="A34:A36"/>
    <mergeCell ref="A38:A40"/>
    <mergeCell ref="H3:J3"/>
    <mergeCell ref="K3:M3"/>
    <mergeCell ref="A4:A6"/>
    <mergeCell ref="A8:A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9EE8F-6433-A14D-9722-FE34C3879DD1}">
  <dimension ref="B2:F37"/>
  <sheetViews>
    <sheetView zoomScale="58" workbookViewId="0">
      <selection activeCell="H37" sqref="H37"/>
    </sheetView>
  </sheetViews>
  <sheetFormatPr baseColWidth="10" defaultRowHeight="16"/>
  <sheetData>
    <row r="2" spans="2:6">
      <c r="C2" s="156" t="s">
        <v>117</v>
      </c>
      <c r="D2" s="156"/>
      <c r="E2" s="156" t="s">
        <v>118</v>
      </c>
      <c r="F2" s="156"/>
    </row>
    <row r="3" spans="2:6">
      <c r="B3" t="s">
        <v>123</v>
      </c>
      <c r="C3" t="s">
        <v>121</v>
      </c>
      <c r="D3" t="s">
        <v>122</v>
      </c>
      <c r="E3" t="s">
        <v>121</v>
      </c>
      <c r="F3" t="s">
        <v>122</v>
      </c>
    </row>
    <row r="4" spans="2:6">
      <c r="B4">
        <v>1</v>
      </c>
      <c r="C4">
        <v>6</v>
      </c>
      <c r="D4" s="155">
        <f>6/6*100</f>
        <v>100</v>
      </c>
      <c r="E4">
        <v>5</v>
      </c>
      <c r="F4" s="155">
        <f>5/5*100</f>
        <v>100</v>
      </c>
    </row>
    <row r="5" spans="2:6">
      <c r="B5">
        <v>2</v>
      </c>
      <c r="C5">
        <v>6</v>
      </c>
      <c r="D5" s="155">
        <f t="shared" ref="D5:D13" si="0">6/6*100</f>
        <v>100</v>
      </c>
      <c r="E5">
        <v>5</v>
      </c>
      <c r="F5" s="155">
        <f t="shared" ref="F5:F9" si="1">5/5*100</f>
        <v>100</v>
      </c>
    </row>
    <row r="6" spans="2:6">
      <c r="B6">
        <v>3</v>
      </c>
      <c r="C6">
        <v>6</v>
      </c>
      <c r="D6" s="155">
        <f t="shared" si="0"/>
        <v>100</v>
      </c>
      <c r="E6">
        <v>5</v>
      </c>
      <c r="F6" s="155">
        <f t="shared" si="1"/>
        <v>100</v>
      </c>
    </row>
    <row r="7" spans="2:6">
      <c r="B7">
        <v>4</v>
      </c>
      <c r="C7">
        <v>6</v>
      </c>
      <c r="D7" s="155">
        <f t="shared" si="0"/>
        <v>100</v>
      </c>
      <c r="E7">
        <v>5</v>
      </c>
      <c r="F7" s="155">
        <f t="shared" si="1"/>
        <v>100</v>
      </c>
    </row>
    <row r="8" spans="2:6">
      <c r="B8">
        <v>5</v>
      </c>
      <c r="C8">
        <v>6</v>
      </c>
      <c r="D8" s="155">
        <f t="shared" si="0"/>
        <v>100</v>
      </c>
      <c r="E8">
        <v>5</v>
      </c>
      <c r="F8" s="155">
        <f t="shared" si="1"/>
        <v>100</v>
      </c>
    </row>
    <row r="9" spans="2:6">
      <c r="B9">
        <v>6</v>
      </c>
      <c r="C9">
        <v>6</v>
      </c>
      <c r="D9" s="155">
        <f t="shared" si="0"/>
        <v>100</v>
      </c>
      <c r="E9">
        <v>5</v>
      </c>
      <c r="F9" s="155">
        <f t="shared" si="1"/>
        <v>100</v>
      </c>
    </row>
    <row r="10" spans="2:6">
      <c r="B10">
        <v>7</v>
      </c>
      <c r="C10">
        <v>6</v>
      </c>
      <c r="D10" s="155">
        <f t="shared" si="0"/>
        <v>100</v>
      </c>
      <c r="E10">
        <v>4</v>
      </c>
      <c r="F10" s="155">
        <f>4/5*100</f>
        <v>80</v>
      </c>
    </row>
    <row r="11" spans="2:6">
      <c r="B11">
        <v>8</v>
      </c>
      <c r="C11">
        <v>6</v>
      </c>
      <c r="D11" s="155">
        <f t="shared" si="0"/>
        <v>100</v>
      </c>
      <c r="E11">
        <v>4</v>
      </c>
      <c r="F11" s="155">
        <f>4/5*100</f>
        <v>80</v>
      </c>
    </row>
    <row r="12" spans="2:6">
      <c r="B12">
        <v>9</v>
      </c>
      <c r="C12">
        <v>6</v>
      </c>
      <c r="D12" s="155">
        <f t="shared" si="0"/>
        <v>100</v>
      </c>
      <c r="E12">
        <v>3</v>
      </c>
      <c r="F12" s="155">
        <f>3/5*100</f>
        <v>60</v>
      </c>
    </row>
    <row r="13" spans="2:6">
      <c r="B13">
        <v>10</v>
      </c>
      <c r="C13">
        <v>6</v>
      </c>
      <c r="D13" s="155">
        <f t="shared" si="0"/>
        <v>100</v>
      </c>
      <c r="E13">
        <v>3</v>
      </c>
      <c r="F13" s="155">
        <f>3/5*100</f>
        <v>60</v>
      </c>
    </row>
    <row r="14" spans="2:6">
      <c r="B14">
        <v>11</v>
      </c>
      <c r="C14">
        <v>5</v>
      </c>
      <c r="D14" s="155">
        <f>5/6*100</f>
        <v>83.333333333333343</v>
      </c>
      <c r="E14">
        <v>2</v>
      </c>
      <c r="F14" s="155">
        <f>2/5*100</f>
        <v>40</v>
      </c>
    </row>
    <row r="15" spans="2:6">
      <c r="B15">
        <v>12</v>
      </c>
      <c r="C15">
        <v>5</v>
      </c>
      <c r="D15" s="155">
        <f>5/6*100</f>
        <v>83.333333333333343</v>
      </c>
      <c r="E15">
        <v>2</v>
      </c>
      <c r="F15" s="155">
        <f>2/5*100</f>
        <v>40</v>
      </c>
    </row>
    <row r="16" spans="2:6">
      <c r="B16">
        <v>13</v>
      </c>
      <c r="C16">
        <v>4</v>
      </c>
      <c r="D16" s="155">
        <f>4/6*100</f>
        <v>66.666666666666657</v>
      </c>
      <c r="E16">
        <v>0</v>
      </c>
      <c r="F16" s="155">
        <v>0</v>
      </c>
    </row>
    <row r="17" spans="2:6">
      <c r="B17">
        <v>14</v>
      </c>
      <c r="C17">
        <v>4</v>
      </c>
      <c r="D17" s="155">
        <f>4/6*100</f>
        <v>66.666666666666657</v>
      </c>
      <c r="E17">
        <v>0</v>
      </c>
      <c r="F17" s="155">
        <v>0</v>
      </c>
    </row>
    <row r="18" spans="2:6">
      <c r="B18">
        <v>15</v>
      </c>
      <c r="C18">
        <v>4</v>
      </c>
      <c r="D18" s="155">
        <f>4/6*100</f>
        <v>66.666666666666657</v>
      </c>
      <c r="E18">
        <v>0</v>
      </c>
      <c r="F18" s="155">
        <v>0</v>
      </c>
    </row>
    <row r="19" spans="2:6">
      <c r="B19">
        <v>16</v>
      </c>
      <c r="C19">
        <v>4</v>
      </c>
      <c r="D19" s="155">
        <f>4/6*100</f>
        <v>66.666666666666657</v>
      </c>
      <c r="E19">
        <v>0</v>
      </c>
      <c r="F19" s="155">
        <v>0</v>
      </c>
    </row>
    <row r="20" spans="2:6">
      <c r="B20">
        <v>17</v>
      </c>
      <c r="C20">
        <v>3</v>
      </c>
      <c r="D20" s="155">
        <f>3/6*100</f>
        <v>50</v>
      </c>
      <c r="E20">
        <v>0</v>
      </c>
      <c r="F20" s="155">
        <v>0</v>
      </c>
    </row>
    <row r="21" spans="2:6">
      <c r="B21">
        <v>18</v>
      </c>
      <c r="C21">
        <v>3</v>
      </c>
      <c r="D21" s="155">
        <f>3/6*100</f>
        <v>50</v>
      </c>
      <c r="E21">
        <v>0</v>
      </c>
      <c r="F21" s="155">
        <v>0</v>
      </c>
    </row>
    <row r="22" spans="2:6">
      <c r="B22">
        <v>19</v>
      </c>
      <c r="C22">
        <v>3</v>
      </c>
      <c r="D22" s="155">
        <f>3/6*100</f>
        <v>50</v>
      </c>
      <c r="E22">
        <v>0</v>
      </c>
      <c r="F22" s="155">
        <v>0</v>
      </c>
    </row>
    <row r="23" spans="2:6">
      <c r="B23">
        <v>20</v>
      </c>
      <c r="C23">
        <v>3</v>
      </c>
      <c r="D23" s="155">
        <f>3/6*100</f>
        <v>50</v>
      </c>
      <c r="E23">
        <v>0</v>
      </c>
      <c r="F23" s="155">
        <v>0</v>
      </c>
    </row>
    <row r="26" spans="2:6">
      <c r="C26" s="37"/>
      <c r="D26" s="37"/>
      <c r="E26" s="37"/>
    </row>
    <row r="27" spans="2:6">
      <c r="C27" s="37"/>
      <c r="D27" s="37"/>
      <c r="E27" s="37"/>
    </row>
    <row r="28" spans="2:6">
      <c r="C28" s="37"/>
      <c r="D28" s="37"/>
      <c r="E28" s="37"/>
    </row>
    <row r="29" spans="2:6">
      <c r="C29" s="37"/>
      <c r="D29" s="37"/>
      <c r="E29" s="37"/>
    </row>
    <row r="30" spans="2:6">
      <c r="C30" s="37"/>
      <c r="D30" s="37"/>
      <c r="E30" s="37"/>
    </row>
    <row r="31" spans="2:6">
      <c r="C31" s="37"/>
      <c r="D31" s="37"/>
      <c r="E31" s="37"/>
    </row>
    <row r="32" spans="2:6">
      <c r="C32" s="37"/>
      <c r="D32" s="37"/>
      <c r="E32" s="37"/>
    </row>
    <row r="33" spans="3:5">
      <c r="C33" s="37"/>
      <c r="D33" s="37"/>
      <c r="E33" s="37"/>
    </row>
    <row r="34" spans="3:5">
      <c r="C34" s="37"/>
      <c r="D34" s="37"/>
      <c r="E34" s="37"/>
    </row>
    <row r="35" spans="3:5">
      <c r="C35" s="37"/>
      <c r="D35" s="37"/>
      <c r="E35" s="37"/>
    </row>
    <row r="36" spans="3:5">
      <c r="C36" s="37"/>
      <c r="D36" s="37"/>
      <c r="E36" s="37"/>
    </row>
    <row r="37" spans="3:5">
      <c r="C37" s="37"/>
      <c r="D37" s="37"/>
      <c r="E37" s="37"/>
    </row>
  </sheetData>
  <mergeCells count="2">
    <mergeCell ref="C2:D2"/>
    <mergeCell ref="E2:F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38CA5-4C67-8345-93DA-A0D3A5FDBFB5}">
  <dimension ref="A3:C21"/>
  <sheetViews>
    <sheetView workbookViewId="0">
      <selection activeCell="D8" sqref="D8"/>
    </sheetView>
  </sheetViews>
  <sheetFormatPr baseColWidth="10" defaultRowHeight="16"/>
  <cols>
    <col min="3" max="3" width="14" bestFit="1" customWidth="1"/>
  </cols>
  <sheetData>
    <row r="3" spans="1:3">
      <c r="B3" s="76" t="s">
        <v>13</v>
      </c>
      <c r="C3" s="85" t="s">
        <v>112</v>
      </c>
    </row>
    <row r="4" spans="1:3">
      <c r="A4" s="13" t="s">
        <v>111</v>
      </c>
      <c r="B4" s="18">
        <v>1</v>
      </c>
      <c r="C4" s="14">
        <v>0</v>
      </c>
    </row>
    <row r="5" spans="1:3">
      <c r="A5" s="15"/>
      <c r="B5" s="8">
        <v>2</v>
      </c>
      <c r="C5" s="9">
        <v>0</v>
      </c>
    </row>
    <row r="6" spans="1:3">
      <c r="A6" s="15"/>
      <c r="B6" s="8">
        <v>3</v>
      </c>
      <c r="C6" s="9">
        <v>1</v>
      </c>
    </row>
    <row r="7" spans="1:3">
      <c r="A7" s="15"/>
      <c r="B7" s="8">
        <v>4</v>
      </c>
      <c r="C7" s="9">
        <v>0</v>
      </c>
    </row>
    <row r="8" spans="1:3">
      <c r="A8" s="15"/>
      <c r="B8" s="8">
        <v>5</v>
      </c>
      <c r="C8" s="9">
        <v>0</v>
      </c>
    </row>
    <row r="9" spans="1:3">
      <c r="A9" s="13" t="s">
        <v>113</v>
      </c>
      <c r="B9" s="18">
        <v>1</v>
      </c>
      <c r="C9" s="14">
        <v>2</v>
      </c>
    </row>
    <row r="10" spans="1:3">
      <c r="A10" s="15"/>
      <c r="B10" s="8">
        <v>2</v>
      </c>
      <c r="C10" s="9">
        <v>0</v>
      </c>
    </row>
    <row r="11" spans="1:3">
      <c r="A11" s="15"/>
      <c r="B11" s="8">
        <v>3</v>
      </c>
      <c r="C11" s="9">
        <v>2</v>
      </c>
    </row>
    <row r="12" spans="1:3">
      <c r="A12" s="16"/>
      <c r="B12" s="11">
        <v>4</v>
      </c>
      <c r="C12" s="12">
        <v>1</v>
      </c>
    </row>
    <row r="13" spans="1:3">
      <c r="A13" s="103"/>
    </row>
    <row r="16" spans="1:3">
      <c r="A16" s="30" t="s">
        <v>15</v>
      </c>
    </row>
    <row r="17" spans="1:2">
      <c r="A17">
        <v>0</v>
      </c>
      <c r="B17" t="s">
        <v>16</v>
      </c>
    </row>
    <row r="18" spans="1:2">
      <c r="A18">
        <v>1</v>
      </c>
      <c r="B18" t="s">
        <v>17</v>
      </c>
    </row>
    <row r="19" spans="1:2">
      <c r="A19">
        <v>2</v>
      </c>
      <c r="B19" t="s">
        <v>18</v>
      </c>
    </row>
    <row r="20" spans="1:2">
      <c r="A20">
        <v>3</v>
      </c>
      <c r="B20" t="s">
        <v>19</v>
      </c>
    </row>
    <row r="21" spans="1:2">
      <c r="A21">
        <v>4</v>
      </c>
      <c r="B21" t="s">
        <v>20</v>
      </c>
    </row>
  </sheetData>
  <mergeCells count="2">
    <mergeCell ref="A4:A8"/>
    <mergeCell ref="A9:A1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C8F99-7F46-EF44-9C40-13DB3CE6E420}">
  <dimension ref="B1:H23"/>
  <sheetViews>
    <sheetView workbookViewId="0">
      <selection activeCell="B14" sqref="B14:H14"/>
    </sheetView>
  </sheetViews>
  <sheetFormatPr baseColWidth="10" defaultRowHeight="16"/>
  <sheetData>
    <row r="1" spans="2:8">
      <c r="B1" s="22" t="s">
        <v>116</v>
      </c>
      <c r="C1" s="23"/>
      <c r="D1" s="23"/>
      <c r="E1" s="23"/>
      <c r="F1" s="23"/>
      <c r="G1" s="23"/>
      <c r="H1" s="24"/>
    </row>
    <row r="2" spans="2:8">
      <c r="C2" s="4" t="s">
        <v>113</v>
      </c>
      <c r="D2" s="5"/>
      <c r="E2" s="6"/>
      <c r="F2" s="5" t="s">
        <v>111</v>
      </c>
      <c r="G2" s="5"/>
      <c r="H2" s="6"/>
    </row>
    <row r="3" spans="2:8">
      <c r="B3" s="118" t="s">
        <v>2</v>
      </c>
      <c r="C3" s="7">
        <v>334000</v>
      </c>
      <c r="D3" s="8">
        <v>371000</v>
      </c>
      <c r="E3" s="9">
        <v>405000</v>
      </c>
      <c r="F3" s="8">
        <v>247000</v>
      </c>
      <c r="G3" s="8">
        <v>454000</v>
      </c>
      <c r="H3" s="9">
        <v>177000</v>
      </c>
    </row>
    <row r="4" spans="2:8">
      <c r="B4" s="73" t="s">
        <v>59</v>
      </c>
      <c r="C4" s="7">
        <v>388000</v>
      </c>
      <c r="D4" s="8">
        <v>378000</v>
      </c>
      <c r="E4" s="9">
        <v>617000</v>
      </c>
      <c r="F4" s="8">
        <v>300000</v>
      </c>
      <c r="G4" s="8">
        <v>1590000</v>
      </c>
      <c r="H4" s="9">
        <v>602000</v>
      </c>
    </row>
    <row r="5" spans="2:8">
      <c r="B5" s="73" t="s">
        <v>5</v>
      </c>
      <c r="C5" s="7">
        <v>279000</v>
      </c>
      <c r="D5" s="8">
        <v>186000</v>
      </c>
      <c r="E5" s="9">
        <v>128000</v>
      </c>
      <c r="F5" s="8">
        <v>67100</v>
      </c>
      <c r="G5" s="8">
        <v>235000</v>
      </c>
      <c r="H5" s="9">
        <v>236000</v>
      </c>
    </row>
    <row r="6" spans="2:8">
      <c r="B6" s="73" t="s">
        <v>6</v>
      </c>
      <c r="C6" s="7">
        <v>134000</v>
      </c>
      <c r="D6" s="8">
        <v>137000</v>
      </c>
      <c r="E6" s="9">
        <v>208000</v>
      </c>
      <c r="F6" s="8">
        <v>55400</v>
      </c>
      <c r="G6" s="8">
        <v>32600</v>
      </c>
      <c r="H6" s="9">
        <v>67600</v>
      </c>
    </row>
    <row r="7" spans="2:8">
      <c r="B7" s="73" t="s">
        <v>7</v>
      </c>
      <c r="C7" s="7">
        <v>106000</v>
      </c>
      <c r="D7" s="8">
        <v>112000</v>
      </c>
      <c r="E7" s="9">
        <v>136000</v>
      </c>
      <c r="F7" s="8">
        <v>89500</v>
      </c>
      <c r="G7" s="8">
        <v>71000</v>
      </c>
      <c r="H7" s="9">
        <v>56400</v>
      </c>
    </row>
    <row r="8" spans="2:8">
      <c r="B8" s="73" t="s">
        <v>60</v>
      </c>
      <c r="C8" s="7">
        <v>116000</v>
      </c>
      <c r="D8" s="8">
        <v>157000</v>
      </c>
      <c r="E8" s="9">
        <v>199000</v>
      </c>
      <c r="F8" s="8">
        <v>174000</v>
      </c>
      <c r="G8" s="8">
        <v>286000</v>
      </c>
      <c r="H8" s="9">
        <v>206000</v>
      </c>
    </row>
    <row r="9" spans="2:8">
      <c r="B9" s="73" t="s">
        <v>9</v>
      </c>
      <c r="C9" s="7">
        <v>471000</v>
      </c>
      <c r="D9" s="8">
        <v>560000</v>
      </c>
      <c r="E9" s="9">
        <v>395000</v>
      </c>
      <c r="F9" s="8">
        <v>200000</v>
      </c>
      <c r="G9" s="8">
        <v>449000</v>
      </c>
      <c r="H9" s="9">
        <v>292000</v>
      </c>
    </row>
    <row r="10" spans="2:8">
      <c r="B10" s="74" t="s">
        <v>10</v>
      </c>
      <c r="C10" s="10">
        <v>87800</v>
      </c>
      <c r="D10" s="11">
        <v>148000</v>
      </c>
      <c r="E10" s="12">
        <v>120000</v>
      </c>
      <c r="F10" s="11">
        <v>45300</v>
      </c>
      <c r="G10" s="11">
        <v>33300</v>
      </c>
      <c r="H10" s="12">
        <v>29200</v>
      </c>
    </row>
    <row r="14" spans="2:8">
      <c r="B14" s="22" t="s">
        <v>82</v>
      </c>
      <c r="C14" s="23"/>
      <c r="D14" s="23"/>
      <c r="E14" s="23"/>
      <c r="F14" s="23"/>
      <c r="G14" s="23"/>
      <c r="H14" s="24"/>
    </row>
    <row r="15" spans="2:8">
      <c r="C15" s="4" t="s">
        <v>113</v>
      </c>
      <c r="D15" s="5"/>
      <c r="E15" s="6"/>
      <c r="F15" s="4" t="s">
        <v>111</v>
      </c>
      <c r="G15" s="5"/>
      <c r="H15" s="6"/>
    </row>
    <row r="16" spans="2:8">
      <c r="B16" s="118" t="s">
        <v>2</v>
      </c>
      <c r="C16" s="7">
        <v>77</v>
      </c>
      <c r="D16" s="8">
        <v>74</v>
      </c>
      <c r="E16" s="9">
        <v>83</v>
      </c>
      <c r="F16" s="7">
        <v>55</v>
      </c>
      <c r="G16" s="8">
        <v>13</v>
      </c>
      <c r="H16" s="9">
        <v>65</v>
      </c>
    </row>
    <row r="17" spans="2:8">
      <c r="B17" s="73" t="s">
        <v>59</v>
      </c>
      <c r="C17" s="7">
        <v>23</v>
      </c>
      <c r="D17" s="8">
        <v>23</v>
      </c>
      <c r="E17" s="9">
        <v>24</v>
      </c>
      <c r="F17" s="7">
        <v>23</v>
      </c>
      <c r="G17" s="8">
        <v>19</v>
      </c>
      <c r="H17" s="9">
        <v>24</v>
      </c>
    </row>
    <row r="18" spans="2:8">
      <c r="B18" s="73" t="s">
        <v>5</v>
      </c>
      <c r="C18" s="7">
        <v>53</v>
      </c>
      <c r="D18" s="8">
        <v>57</v>
      </c>
      <c r="E18" s="9">
        <v>51</v>
      </c>
      <c r="F18" s="7">
        <v>55</v>
      </c>
      <c r="G18" s="8">
        <v>50</v>
      </c>
      <c r="H18" s="9">
        <v>37</v>
      </c>
    </row>
    <row r="19" spans="2:8">
      <c r="B19" s="73" t="s">
        <v>6</v>
      </c>
      <c r="C19" s="7">
        <v>77</v>
      </c>
      <c r="D19" s="8">
        <v>70</v>
      </c>
      <c r="E19" s="9">
        <v>61</v>
      </c>
      <c r="F19" s="7">
        <v>46</v>
      </c>
      <c r="G19" s="8">
        <v>71</v>
      </c>
      <c r="H19" s="9">
        <v>67</v>
      </c>
    </row>
    <row r="20" spans="2:8">
      <c r="B20" s="73" t="s">
        <v>7</v>
      </c>
      <c r="C20" s="7">
        <v>60</v>
      </c>
      <c r="D20" s="8">
        <v>62</v>
      </c>
      <c r="E20" s="9">
        <v>54</v>
      </c>
      <c r="F20" s="7">
        <v>54</v>
      </c>
      <c r="G20" s="8">
        <v>64</v>
      </c>
      <c r="H20" s="9">
        <v>64</v>
      </c>
    </row>
    <row r="21" spans="2:8">
      <c r="B21" s="73" t="s">
        <v>60</v>
      </c>
      <c r="C21" s="7">
        <v>41</v>
      </c>
      <c r="D21" s="8">
        <v>36</v>
      </c>
      <c r="E21" s="9">
        <v>40</v>
      </c>
      <c r="F21" s="7">
        <v>8</v>
      </c>
      <c r="G21" s="8">
        <v>12</v>
      </c>
      <c r="H21" s="9">
        <v>19</v>
      </c>
    </row>
    <row r="22" spans="2:8">
      <c r="B22" s="73" t="s">
        <v>9</v>
      </c>
      <c r="C22" s="7">
        <v>81</v>
      </c>
      <c r="D22" s="8">
        <v>63</v>
      </c>
      <c r="E22" s="9">
        <v>78</v>
      </c>
      <c r="F22" s="7">
        <v>38</v>
      </c>
      <c r="G22" s="8">
        <v>14</v>
      </c>
      <c r="H22" s="9">
        <v>47</v>
      </c>
    </row>
    <row r="23" spans="2:8">
      <c r="B23" s="74" t="s">
        <v>10</v>
      </c>
      <c r="C23" s="10">
        <v>74</v>
      </c>
      <c r="D23" s="11">
        <v>71</v>
      </c>
      <c r="E23" s="12">
        <v>74</v>
      </c>
      <c r="F23" s="10">
        <v>74</v>
      </c>
      <c r="G23" s="11">
        <v>88</v>
      </c>
      <c r="H23" s="12">
        <v>77</v>
      </c>
    </row>
  </sheetData>
  <mergeCells count="6">
    <mergeCell ref="B14:H14"/>
    <mergeCell ref="B1:H1"/>
    <mergeCell ref="C2:E2"/>
    <mergeCell ref="F2:H2"/>
    <mergeCell ref="C15:E15"/>
    <mergeCell ref="F15:H1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9281B-8371-0044-A162-F607C4D8B318}">
  <dimension ref="A1:R11"/>
  <sheetViews>
    <sheetView workbookViewId="0">
      <selection activeCell="B1" sqref="B1:I1"/>
    </sheetView>
  </sheetViews>
  <sheetFormatPr baseColWidth="10" defaultRowHeight="16"/>
  <sheetData>
    <row r="1" spans="1:18">
      <c r="B1" s="22" t="s">
        <v>126</v>
      </c>
      <c r="C1" s="23"/>
      <c r="D1" s="23"/>
      <c r="E1" s="23"/>
      <c r="F1" s="23"/>
      <c r="G1" s="23"/>
      <c r="H1" s="23"/>
      <c r="I1" s="24"/>
    </row>
    <row r="2" spans="1:18">
      <c r="B2" s="22" t="s">
        <v>111</v>
      </c>
      <c r="C2" s="23"/>
      <c r="D2" s="23"/>
      <c r="E2" s="22" t="s">
        <v>125</v>
      </c>
      <c r="F2" s="23"/>
      <c r="G2" s="24"/>
      <c r="H2" s="23" t="s">
        <v>124</v>
      </c>
      <c r="I2" s="24"/>
    </row>
    <row r="3" spans="1:18">
      <c r="A3" s="118" t="s">
        <v>13</v>
      </c>
      <c r="B3" s="7">
        <v>1</v>
      </c>
      <c r="C3" s="8">
        <v>2</v>
      </c>
      <c r="D3" s="8">
        <v>3</v>
      </c>
      <c r="E3" s="7">
        <v>1</v>
      </c>
      <c r="F3" s="8">
        <v>2</v>
      </c>
      <c r="G3" s="9">
        <v>3</v>
      </c>
      <c r="H3" s="8">
        <v>1</v>
      </c>
      <c r="I3" s="9">
        <v>2</v>
      </c>
      <c r="J3" s="86"/>
    </row>
    <row r="4" spans="1:18">
      <c r="A4" s="74" t="s">
        <v>2</v>
      </c>
      <c r="B4" s="10">
        <v>38</v>
      </c>
      <c r="C4" s="11">
        <v>40</v>
      </c>
      <c r="D4" s="11">
        <v>21</v>
      </c>
      <c r="E4" s="10">
        <v>84</v>
      </c>
      <c r="F4" s="11">
        <v>100</v>
      </c>
      <c r="G4" s="12">
        <v>87</v>
      </c>
      <c r="H4" s="11">
        <v>101</v>
      </c>
      <c r="I4" s="12">
        <v>106</v>
      </c>
    </row>
    <row r="7" spans="1:18">
      <c r="B7" s="4" t="s">
        <v>127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spans="1:18">
      <c r="B8" s="4" t="s">
        <v>113</v>
      </c>
      <c r="C8" s="5"/>
      <c r="D8" s="5"/>
      <c r="E8" s="5"/>
      <c r="F8" s="5"/>
      <c r="G8" s="6"/>
      <c r="H8" s="4" t="s">
        <v>111</v>
      </c>
      <c r="I8" s="5"/>
      <c r="J8" s="6"/>
      <c r="K8" s="4" t="s">
        <v>125</v>
      </c>
      <c r="L8" s="5"/>
      <c r="M8" s="6"/>
      <c r="N8" s="4" t="s">
        <v>128</v>
      </c>
      <c r="O8" s="6"/>
      <c r="Q8" s="86"/>
      <c r="R8" s="86"/>
    </row>
    <row r="9" spans="1:18">
      <c r="A9" s="117" t="s">
        <v>13</v>
      </c>
      <c r="B9" s="126">
        <v>1</v>
      </c>
      <c r="C9" s="127">
        <v>2</v>
      </c>
      <c r="D9" s="127">
        <v>3</v>
      </c>
      <c r="E9" s="127">
        <v>4</v>
      </c>
      <c r="F9" s="127">
        <v>5</v>
      </c>
      <c r="G9" s="128">
        <v>6</v>
      </c>
      <c r="H9" s="126">
        <v>1</v>
      </c>
      <c r="I9" s="127">
        <v>2</v>
      </c>
      <c r="J9" s="128">
        <v>3</v>
      </c>
      <c r="K9" s="126">
        <v>1</v>
      </c>
      <c r="L9" s="127">
        <v>2</v>
      </c>
      <c r="M9" s="128">
        <v>3</v>
      </c>
      <c r="N9" s="126">
        <v>1</v>
      </c>
      <c r="O9" s="128">
        <v>2</v>
      </c>
      <c r="Q9" s="86"/>
      <c r="R9" s="86"/>
    </row>
    <row r="10" spans="1:18">
      <c r="A10" s="74" t="s">
        <v>2</v>
      </c>
      <c r="B10" s="152">
        <v>204047.8713</v>
      </c>
      <c r="C10" s="153">
        <v>196973.40429999999</v>
      </c>
      <c r="D10" s="153">
        <v>250441.38159999999</v>
      </c>
      <c r="E10" s="153">
        <v>79100</v>
      </c>
      <c r="F10" s="153">
        <v>158000</v>
      </c>
      <c r="G10" s="154">
        <v>171000</v>
      </c>
      <c r="H10" s="152">
        <v>83592.023159999997</v>
      </c>
      <c r="I10" s="153">
        <v>87626.099430000002</v>
      </c>
      <c r="J10" s="12">
        <v>45562.393709999997</v>
      </c>
      <c r="K10" s="10">
        <v>182313.2837</v>
      </c>
      <c r="L10" s="11">
        <v>217747.3854</v>
      </c>
      <c r="M10" s="12">
        <v>187857.81039999999</v>
      </c>
      <c r="N10" s="10">
        <v>138000</v>
      </c>
      <c r="O10" s="12">
        <v>144000</v>
      </c>
    </row>
    <row r="11" spans="1:18">
      <c r="B11" s="32"/>
      <c r="C11" s="32"/>
      <c r="D11" s="32"/>
      <c r="H11" s="32"/>
      <c r="I11" s="32"/>
      <c r="J11" s="32"/>
      <c r="N11" s="32"/>
      <c r="O11" s="32"/>
      <c r="P11" s="32"/>
    </row>
  </sheetData>
  <mergeCells count="9">
    <mergeCell ref="B8:G8"/>
    <mergeCell ref="H8:J8"/>
    <mergeCell ref="K8:M8"/>
    <mergeCell ref="N8:O8"/>
    <mergeCell ref="B7:O7"/>
    <mergeCell ref="H2:I2"/>
    <mergeCell ref="E2:G2"/>
    <mergeCell ref="B2:D2"/>
    <mergeCell ref="B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1A188-5545-0B4E-8FF3-62BE6C6ABC29}">
  <dimension ref="B3:K5"/>
  <sheetViews>
    <sheetView workbookViewId="0">
      <selection activeCell="D13" sqref="D13"/>
    </sheetView>
  </sheetViews>
  <sheetFormatPr baseColWidth="10" defaultRowHeight="16"/>
  <cols>
    <col min="4" max="4" width="16.1640625" customWidth="1"/>
    <col min="5" max="5" width="19.6640625" customWidth="1"/>
    <col min="6" max="11" width="10.83203125" style="8"/>
  </cols>
  <sheetData>
    <row r="3" spans="2:10">
      <c r="B3" s="17"/>
      <c r="C3" s="22" t="s">
        <v>129</v>
      </c>
      <c r="D3" s="23"/>
      <c r="E3" s="24"/>
      <c r="F3" s="158"/>
      <c r="G3" s="158"/>
      <c r="H3" s="158"/>
      <c r="I3" s="158"/>
      <c r="J3" s="158"/>
    </row>
    <row r="4" spans="2:10">
      <c r="B4" s="117" t="s">
        <v>13</v>
      </c>
      <c r="C4" s="17">
        <v>1</v>
      </c>
      <c r="D4" s="18">
        <v>2</v>
      </c>
      <c r="E4" s="14">
        <v>3</v>
      </c>
    </row>
    <row r="5" spans="2:10">
      <c r="B5" s="10" t="s">
        <v>2</v>
      </c>
      <c r="C5" s="161">
        <v>29.69945431</v>
      </c>
      <c r="D5" s="159">
        <v>51.005980360000002</v>
      </c>
      <c r="E5" s="160">
        <v>42.273525169999999</v>
      </c>
    </row>
  </sheetData>
  <mergeCells count="1">
    <mergeCell ref="C3:E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DF8D7-C6EB-9A4D-8630-0DB907141E86}">
  <dimension ref="A2:H23"/>
  <sheetViews>
    <sheetView workbookViewId="0">
      <selection activeCell="D4" sqref="D4"/>
    </sheetView>
  </sheetViews>
  <sheetFormatPr baseColWidth="10" defaultRowHeight="16"/>
  <cols>
    <col min="1" max="1" width="3.6640625" bestFit="1" customWidth="1"/>
  </cols>
  <sheetData>
    <row r="2" spans="1:8">
      <c r="C2" s="22" t="s">
        <v>114</v>
      </c>
      <c r="D2" s="23"/>
      <c r="E2" s="24"/>
      <c r="F2" s="22" t="s">
        <v>115</v>
      </c>
      <c r="G2" s="23"/>
      <c r="H2" s="24"/>
    </row>
    <row r="3" spans="1:8">
      <c r="B3" s="117" t="s">
        <v>13</v>
      </c>
      <c r="C3" s="10">
        <v>1</v>
      </c>
      <c r="D3" s="11">
        <v>2</v>
      </c>
      <c r="E3" s="12">
        <v>3</v>
      </c>
      <c r="F3" s="10">
        <v>1</v>
      </c>
      <c r="G3" s="11">
        <v>2</v>
      </c>
      <c r="H3" s="12">
        <v>3</v>
      </c>
    </row>
    <row r="4" spans="1:8">
      <c r="A4" s="157" t="s">
        <v>23</v>
      </c>
      <c r="B4" s="73">
        <v>1</v>
      </c>
      <c r="C4" s="7">
        <v>0</v>
      </c>
      <c r="D4" s="8">
        <v>0</v>
      </c>
      <c r="E4" s="9">
        <v>0</v>
      </c>
      <c r="F4" s="7">
        <v>0</v>
      </c>
      <c r="G4" s="8">
        <v>0</v>
      </c>
      <c r="H4" s="9">
        <v>0</v>
      </c>
    </row>
    <row r="5" spans="1:8">
      <c r="A5" s="25"/>
      <c r="B5" s="73">
        <v>2</v>
      </c>
      <c r="C5" s="7">
        <v>0</v>
      </c>
      <c r="D5" s="8">
        <v>0</v>
      </c>
      <c r="E5" s="9">
        <v>0</v>
      </c>
      <c r="F5" s="7">
        <v>0</v>
      </c>
      <c r="G5" s="8">
        <v>0</v>
      </c>
      <c r="H5" s="9">
        <v>0</v>
      </c>
    </row>
    <row r="6" spans="1:8">
      <c r="A6" s="25"/>
      <c r="B6" s="73">
        <v>3</v>
      </c>
      <c r="C6" s="7">
        <v>0</v>
      </c>
      <c r="D6" s="8">
        <v>0</v>
      </c>
      <c r="E6" s="9">
        <v>0</v>
      </c>
      <c r="F6" s="7">
        <v>0</v>
      </c>
      <c r="G6" s="8">
        <v>0</v>
      </c>
      <c r="H6" s="9">
        <v>0</v>
      </c>
    </row>
    <row r="7" spans="1:8">
      <c r="A7" s="25"/>
      <c r="B7" s="73">
        <v>4</v>
      </c>
      <c r="C7" s="83">
        <v>13500000</v>
      </c>
      <c r="D7" s="8">
        <v>5250000</v>
      </c>
      <c r="E7" s="55">
        <v>12000000</v>
      </c>
      <c r="F7" s="7">
        <v>1500000</v>
      </c>
      <c r="G7" s="8">
        <v>6000000</v>
      </c>
      <c r="H7" s="9">
        <v>1500000</v>
      </c>
    </row>
    <row r="8" spans="1:8">
      <c r="A8" s="25"/>
      <c r="B8" s="73">
        <v>5</v>
      </c>
      <c r="C8" s="83">
        <v>24800000</v>
      </c>
      <c r="D8" s="36">
        <v>16500000</v>
      </c>
      <c r="E8" s="55">
        <v>36800000</v>
      </c>
      <c r="F8" s="83">
        <v>27000000</v>
      </c>
      <c r="G8" s="36">
        <v>24000000</v>
      </c>
      <c r="H8" s="55">
        <v>22500000</v>
      </c>
    </row>
    <row r="9" spans="1:8">
      <c r="A9" s="25"/>
      <c r="B9" s="73">
        <v>6</v>
      </c>
      <c r="C9" s="83">
        <v>18800000</v>
      </c>
      <c r="D9" s="36">
        <v>26300000</v>
      </c>
      <c r="E9" s="55">
        <v>54000000</v>
      </c>
      <c r="F9" s="83">
        <v>33000000</v>
      </c>
      <c r="G9" s="36">
        <v>49500000</v>
      </c>
      <c r="H9" s="55">
        <v>66000000</v>
      </c>
    </row>
    <row r="10" spans="1:8">
      <c r="A10" s="25"/>
      <c r="B10" s="73">
        <v>7</v>
      </c>
      <c r="C10" s="83">
        <v>38300000</v>
      </c>
      <c r="D10" s="36">
        <v>79500000</v>
      </c>
      <c r="E10" s="55">
        <v>125000000</v>
      </c>
      <c r="F10" s="83">
        <v>45000000</v>
      </c>
      <c r="G10" s="36">
        <v>28500000</v>
      </c>
      <c r="H10" s="55">
        <v>19500000</v>
      </c>
    </row>
    <row r="11" spans="1:8">
      <c r="A11" s="25"/>
      <c r="B11" s="73">
        <v>8</v>
      </c>
      <c r="C11" s="7"/>
      <c r="D11" s="8"/>
      <c r="E11" s="9"/>
      <c r="F11" s="83">
        <v>31500000</v>
      </c>
      <c r="G11" s="36">
        <v>49500000</v>
      </c>
      <c r="H11" s="55">
        <v>57000000</v>
      </c>
    </row>
    <row r="12" spans="1:8">
      <c r="A12" s="25"/>
      <c r="B12" s="73">
        <v>9</v>
      </c>
      <c r="C12" s="7"/>
      <c r="D12" s="8"/>
      <c r="E12" s="9"/>
      <c r="F12" s="83">
        <v>61500000</v>
      </c>
      <c r="G12" s="36">
        <v>39800000</v>
      </c>
      <c r="H12" s="55">
        <v>113000000</v>
      </c>
    </row>
    <row r="13" spans="1:8">
      <c r="A13" s="25"/>
      <c r="B13" s="73">
        <v>10</v>
      </c>
      <c r="C13" s="7"/>
      <c r="D13" s="8"/>
      <c r="E13" s="9"/>
      <c r="F13" s="83">
        <v>51000000</v>
      </c>
      <c r="G13" s="36">
        <v>30800000</v>
      </c>
      <c r="H13" s="55">
        <v>29300000</v>
      </c>
    </row>
    <row r="14" spans="1:8">
      <c r="A14" s="25"/>
      <c r="B14" s="73">
        <v>11</v>
      </c>
      <c r="C14" s="7"/>
      <c r="D14" s="8"/>
      <c r="E14" s="9"/>
      <c r="F14" s="83">
        <v>45800000</v>
      </c>
      <c r="G14" s="36">
        <v>30000000</v>
      </c>
      <c r="H14" s="55">
        <v>49500000</v>
      </c>
    </row>
    <row r="15" spans="1:8">
      <c r="A15" s="25"/>
      <c r="B15" s="73">
        <v>12</v>
      </c>
      <c r="C15" s="7"/>
      <c r="D15" s="8"/>
      <c r="E15" s="9"/>
      <c r="F15" s="83">
        <v>25500000</v>
      </c>
      <c r="G15" s="36">
        <v>29300000</v>
      </c>
      <c r="H15" s="55">
        <v>19500000</v>
      </c>
    </row>
    <row r="16" spans="1:8">
      <c r="A16" s="25"/>
      <c r="B16" s="73">
        <v>13</v>
      </c>
      <c r="C16" s="7"/>
      <c r="D16" s="8"/>
      <c r="E16" s="9"/>
      <c r="F16" s="83">
        <v>78800000</v>
      </c>
      <c r="G16" s="36">
        <v>46500000</v>
      </c>
      <c r="H16" s="55">
        <v>44300000</v>
      </c>
    </row>
    <row r="17" spans="1:8">
      <c r="A17" s="25"/>
      <c r="B17" s="73">
        <v>14</v>
      </c>
      <c r="C17" s="7"/>
      <c r="D17" s="8"/>
      <c r="E17" s="9"/>
      <c r="F17" s="83">
        <v>73500000</v>
      </c>
      <c r="G17" s="36">
        <v>39000000</v>
      </c>
      <c r="H17" s="55">
        <v>43500000</v>
      </c>
    </row>
    <row r="18" spans="1:8">
      <c r="A18" s="25"/>
      <c r="B18" s="73">
        <v>15</v>
      </c>
      <c r="C18" s="7"/>
      <c r="D18" s="8"/>
      <c r="E18" s="9"/>
      <c r="F18" s="83">
        <v>58500000</v>
      </c>
      <c r="G18" s="36">
        <v>46500000</v>
      </c>
      <c r="H18" s="55">
        <v>48000000</v>
      </c>
    </row>
    <row r="19" spans="1:8">
      <c r="A19" s="25"/>
      <c r="B19" s="73">
        <v>16</v>
      </c>
      <c r="C19" s="7"/>
      <c r="D19" s="8"/>
      <c r="E19" s="9"/>
      <c r="F19" s="83">
        <v>24000000</v>
      </c>
      <c r="G19" s="36">
        <v>36000000</v>
      </c>
      <c r="H19" s="55">
        <v>27000000</v>
      </c>
    </row>
    <row r="20" spans="1:8">
      <c r="A20" s="25"/>
      <c r="B20" s="73">
        <v>17</v>
      </c>
      <c r="C20" s="7"/>
      <c r="D20" s="8"/>
      <c r="E20" s="9"/>
      <c r="F20" s="83">
        <v>25500000</v>
      </c>
      <c r="G20" s="36">
        <v>23300000</v>
      </c>
      <c r="H20" s="55">
        <v>13500000</v>
      </c>
    </row>
    <row r="21" spans="1:8">
      <c r="A21" s="25"/>
      <c r="B21" s="73">
        <v>18</v>
      </c>
      <c r="C21" s="7"/>
      <c r="D21" s="8"/>
      <c r="E21" s="9"/>
      <c r="F21" s="83">
        <v>22500000</v>
      </c>
      <c r="G21" s="36">
        <v>42800000</v>
      </c>
      <c r="H21" s="55">
        <v>39000000</v>
      </c>
    </row>
    <row r="22" spans="1:8">
      <c r="A22" s="25"/>
      <c r="B22" s="73">
        <v>19</v>
      </c>
      <c r="C22" s="7"/>
      <c r="D22" s="8"/>
      <c r="E22" s="9"/>
      <c r="F22" s="83">
        <v>35300000</v>
      </c>
      <c r="G22" s="36">
        <v>16500000</v>
      </c>
      <c r="H22" s="55">
        <v>28500000</v>
      </c>
    </row>
    <row r="23" spans="1:8">
      <c r="A23" s="26"/>
      <c r="B23" s="74">
        <v>20</v>
      </c>
      <c r="C23" s="10"/>
      <c r="D23" s="11"/>
      <c r="E23" s="12"/>
      <c r="F23" s="84">
        <v>21000000</v>
      </c>
      <c r="G23" s="56">
        <v>42000000</v>
      </c>
      <c r="H23" s="57">
        <v>34500000</v>
      </c>
    </row>
  </sheetData>
  <mergeCells count="3">
    <mergeCell ref="C2:E2"/>
    <mergeCell ref="F2:H2"/>
    <mergeCell ref="A4:A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0DBB7-06EA-DC46-9A1C-FFAD0852A0E6}">
  <dimension ref="A2:AX42"/>
  <sheetViews>
    <sheetView workbookViewId="0">
      <selection activeCell="D10" sqref="D10"/>
    </sheetView>
  </sheetViews>
  <sheetFormatPr baseColWidth="10" defaultRowHeight="16"/>
  <cols>
    <col min="1" max="1" width="12.83203125" bestFit="1" customWidth="1"/>
  </cols>
  <sheetData>
    <row r="2" spans="1:13">
      <c r="A2" s="67" t="s">
        <v>35</v>
      </c>
    </row>
    <row r="3" spans="1:13">
      <c r="C3" s="61" t="s">
        <v>40</v>
      </c>
      <c r="D3" s="62"/>
      <c r="E3" s="62"/>
      <c r="F3" s="62"/>
      <c r="G3" s="62"/>
      <c r="H3" s="62"/>
      <c r="I3" s="62"/>
      <c r="J3" s="62"/>
      <c r="K3" s="62"/>
      <c r="L3" s="63"/>
    </row>
    <row r="4" spans="1:13">
      <c r="A4" s="35" t="s">
        <v>33</v>
      </c>
      <c r="B4" s="34"/>
      <c r="C4" s="58">
        <v>1</v>
      </c>
      <c r="D4" s="59">
        <v>2</v>
      </c>
      <c r="E4" s="59">
        <v>3</v>
      </c>
      <c r="F4" s="59">
        <v>4</v>
      </c>
      <c r="G4" s="59">
        <v>5</v>
      </c>
      <c r="H4" s="59">
        <v>6</v>
      </c>
      <c r="I4" s="59">
        <v>7</v>
      </c>
      <c r="J4" s="59">
        <v>8</v>
      </c>
      <c r="K4" s="59">
        <v>9</v>
      </c>
      <c r="L4" s="60">
        <v>10</v>
      </c>
    </row>
    <row r="5" spans="1:13">
      <c r="A5" s="13">
        <v>1</v>
      </c>
      <c r="B5" s="18" t="s">
        <v>24</v>
      </c>
      <c r="C5" s="53">
        <v>0</v>
      </c>
      <c r="D5" s="53">
        <v>0</v>
      </c>
      <c r="E5" s="53">
        <v>0</v>
      </c>
      <c r="F5" s="53">
        <f>AVERAGE(1,1)*150*10000</f>
        <v>1500000</v>
      </c>
      <c r="G5" s="53">
        <f>AVERAGE(22,25)*150*10000</f>
        <v>35250000</v>
      </c>
      <c r="H5" s="53">
        <f>AVERAGE(50, 80)*150*10000</f>
        <v>97500000</v>
      </c>
      <c r="I5" s="53">
        <f>AVERAGE(45,52)*150*10000</f>
        <v>72750000</v>
      </c>
      <c r="J5" s="53">
        <f>AVERAGE(26,36)*150*10000</f>
        <v>46500000</v>
      </c>
      <c r="K5" s="18" t="s">
        <v>25</v>
      </c>
      <c r="L5" s="54" t="s">
        <v>25</v>
      </c>
      <c r="M5" s="64" t="s">
        <v>34</v>
      </c>
    </row>
    <row r="6" spans="1:13">
      <c r="A6" s="15"/>
      <c r="B6" s="8" t="s">
        <v>26</v>
      </c>
      <c r="C6" s="36">
        <v>0</v>
      </c>
      <c r="D6" s="36">
        <v>0</v>
      </c>
      <c r="E6" s="36">
        <v>0</v>
      </c>
      <c r="F6" s="36">
        <f>AVERAGE(1,0)*150*10000</f>
        <v>750000</v>
      </c>
      <c r="G6" s="36">
        <f>AVERAGE(3,3)*150*10000</f>
        <v>4500000</v>
      </c>
      <c r="H6" s="36">
        <f>AVERAGE(48,50)*150*10000</f>
        <v>73500000</v>
      </c>
      <c r="I6" s="36">
        <f>AVERAGE(76,102)*150*10000</f>
        <v>133500000</v>
      </c>
      <c r="J6" s="36">
        <f>AVERAGE(84,124)*150*10000</f>
        <v>156000000</v>
      </c>
      <c r="K6" s="8" t="s">
        <v>25</v>
      </c>
      <c r="L6" s="55" t="s">
        <v>25</v>
      </c>
      <c r="M6" s="65"/>
    </row>
    <row r="7" spans="1:13">
      <c r="A7" s="15"/>
      <c r="B7" s="8" t="s">
        <v>27</v>
      </c>
      <c r="C7" s="36">
        <v>0</v>
      </c>
      <c r="D7" s="36">
        <f>AVERAGE(1,0,0,0)*150*10000</f>
        <v>375000</v>
      </c>
      <c r="E7" s="36">
        <f>AVERAGE(1,0,0,0)*150*10000</f>
        <v>375000</v>
      </c>
      <c r="F7" s="36">
        <f>AVERAGE(1,0)*150*10000</f>
        <v>750000</v>
      </c>
      <c r="G7" s="36">
        <f>AVERAGE(33,30)*150*10000</f>
        <v>47250000</v>
      </c>
      <c r="H7" s="36">
        <f>AVERAGE(62, 88)*150*10000</f>
        <v>112500000</v>
      </c>
      <c r="I7" s="36">
        <f>AVERAGE(130,164)*150*10000</f>
        <v>220500000</v>
      </c>
      <c r="J7" s="36" t="s">
        <v>25</v>
      </c>
      <c r="K7" s="36" t="s">
        <v>25</v>
      </c>
      <c r="L7" s="55" t="s">
        <v>25</v>
      </c>
      <c r="M7" s="65"/>
    </row>
    <row r="8" spans="1:13">
      <c r="A8" s="16"/>
      <c r="B8" s="11" t="s">
        <v>28</v>
      </c>
      <c r="C8" s="56">
        <v>0</v>
      </c>
      <c r="D8" s="56">
        <v>0</v>
      </c>
      <c r="E8" s="56">
        <v>0</v>
      </c>
      <c r="F8" s="56">
        <f>AVERAGE(1,0)*150*10000</f>
        <v>750000</v>
      </c>
      <c r="G8" s="56">
        <f>AVERAGE(8.5)*150*10000</f>
        <v>12750000</v>
      </c>
      <c r="H8" s="56">
        <f>AVERAGE(82,82)*150*10000</f>
        <v>123000000</v>
      </c>
      <c r="I8" s="56">
        <f>AVERAGE(64,82)*150*10000</f>
        <v>109500000</v>
      </c>
      <c r="J8" s="56">
        <f>AVERAGE(48,80)*150*10000</f>
        <v>96000000</v>
      </c>
      <c r="K8" s="56">
        <f>AVERAGE(5,10)*150*10000</f>
        <v>11250000</v>
      </c>
      <c r="L8" s="57" t="s">
        <v>25</v>
      </c>
      <c r="M8" s="66"/>
    </row>
    <row r="9" spans="1:13">
      <c r="A9" s="45">
        <v>2</v>
      </c>
      <c r="B9" s="18" t="s">
        <v>24</v>
      </c>
      <c r="C9" s="46">
        <v>0</v>
      </c>
      <c r="D9" s="46">
        <v>0</v>
      </c>
      <c r="E9" s="46">
        <v>0</v>
      </c>
      <c r="F9" s="46">
        <v>0</v>
      </c>
      <c r="G9" s="46">
        <f>AVERAGE(0,0,0,1)*150*10000</f>
        <v>375000</v>
      </c>
      <c r="H9" s="46">
        <f>AVERAGE(7,9)*150*10000</f>
        <v>12000000</v>
      </c>
      <c r="I9" s="46">
        <f>AVERAGE(26,34)*150*10000</f>
        <v>45000000</v>
      </c>
      <c r="J9" s="46">
        <f>AVERAGE(54,62)*150*10000</f>
        <v>87000000</v>
      </c>
      <c r="K9" s="46" t="s">
        <v>25</v>
      </c>
      <c r="L9" s="47" t="s">
        <v>25</v>
      </c>
    </row>
    <row r="10" spans="1:13">
      <c r="A10" s="48"/>
      <c r="B10" s="8" t="s">
        <v>26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f>AVERAGE(9,13)*150*10000</f>
        <v>16500000</v>
      </c>
      <c r="I10" s="40">
        <f>AVERAGE(38,26)*150*10000</f>
        <v>48000000</v>
      </c>
      <c r="J10" s="40">
        <f>AVERAGE(126,104)*150*10000</f>
        <v>172500000</v>
      </c>
      <c r="K10" s="40" t="s">
        <v>25</v>
      </c>
      <c r="L10" s="49" t="s">
        <v>25</v>
      </c>
    </row>
    <row r="11" spans="1:13">
      <c r="A11" s="50"/>
      <c r="B11" s="11" t="s">
        <v>27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f>AVERAGE(8,8)*150*10000</f>
        <v>12000000</v>
      </c>
      <c r="I11" s="51">
        <f>AVERAGE(28,26)*150*10000</f>
        <v>40500000</v>
      </c>
      <c r="J11" s="51">
        <f>AVERAGE(74,54)*150*10000</f>
        <v>96000000</v>
      </c>
      <c r="K11" s="51" t="s">
        <v>25</v>
      </c>
      <c r="L11" s="52" t="s">
        <v>25</v>
      </c>
    </row>
    <row r="12" spans="1:13">
      <c r="A12" s="45">
        <v>3</v>
      </c>
      <c r="B12" s="18" t="s">
        <v>24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f>AVERAGE(4,3)*150*10000</f>
        <v>5250000</v>
      </c>
      <c r="I12" s="46">
        <f>AVERAGE(30,22)*150*10000</f>
        <v>39000000</v>
      </c>
      <c r="J12" s="46">
        <f>AVERAGE(132,110)*150*10000</f>
        <v>181500000</v>
      </c>
      <c r="K12" s="46" t="s">
        <v>25</v>
      </c>
      <c r="L12" s="47" t="s">
        <v>25</v>
      </c>
    </row>
    <row r="13" spans="1:13">
      <c r="A13" s="48"/>
      <c r="B13" s="8" t="s">
        <v>26</v>
      </c>
      <c r="C13" s="40">
        <v>0</v>
      </c>
      <c r="D13" s="40">
        <v>0</v>
      </c>
      <c r="E13" s="40">
        <v>0</v>
      </c>
      <c r="F13" s="40">
        <f>AVERAGE(1,0)*150*10000</f>
        <v>750000</v>
      </c>
      <c r="G13" s="40">
        <f>AVERAGE(12,7)*150*10000</f>
        <v>14250000</v>
      </c>
      <c r="H13" s="40">
        <f>AVERAGE(19,15)*150*10000</f>
        <v>25500000</v>
      </c>
      <c r="I13" s="40">
        <f>AVERAGE((23*4))*150*10000</f>
        <v>138000000</v>
      </c>
      <c r="J13" s="40">
        <f>AVERAGE(52,36)*150*10000</f>
        <v>66000000</v>
      </c>
      <c r="K13" s="40" t="s">
        <v>25</v>
      </c>
      <c r="L13" s="49" t="s">
        <v>25</v>
      </c>
    </row>
    <row r="14" spans="1:13">
      <c r="A14" s="50"/>
      <c r="B14" s="11" t="s">
        <v>27</v>
      </c>
      <c r="C14" s="51">
        <v>0</v>
      </c>
      <c r="D14" s="51">
        <v>0</v>
      </c>
      <c r="E14" s="51">
        <v>0</v>
      </c>
      <c r="F14" s="51">
        <f>AVERAGE(1,0,0,0)*150*10000</f>
        <v>375000</v>
      </c>
      <c r="G14" s="51">
        <f>AVERAGE(4,5,5)*150*10000</f>
        <v>7000000</v>
      </c>
      <c r="H14" s="51">
        <f>AVERAGE(36,39)*150*10000</f>
        <v>56250000</v>
      </c>
      <c r="I14" s="51">
        <f>AVERAGE((22*4))*150*10000</f>
        <v>132000000</v>
      </c>
      <c r="J14" s="51" t="s">
        <v>25</v>
      </c>
      <c r="K14" s="51" t="s">
        <v>25</v>
      </c>
      <c r="L14" s="52" t="s">
        <v>25</v>
      </c>
    </row>
    <row r="15" spans="1:13">
      <c r="A15" s="39"/>
      <c r="B15" s="39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3">
      <c r="A16" s="39"/>
      <c r="B16" s="39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39"/>
    </row>
    <row r="17" spans="1:50">
      <c r="A17" s="67" t="s">
        <v>41</v>
      </c>
      <c r="B17" s="33"/>
      <c r="C17" s="79" t="s">
        <v>40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1"/>
    </row>
    <row r="18" spans="1:50">
      <c r="A18" s="34"/>
      <c r="B18" s="34"/>
      <c r="C18" s="58">
        <v>0</v>
      </c>
      <c r="D18" s="59">
        <v>2</v>
      </c>
      <c r="E18" s="59">
        <v>3</v>
      </c>
      <c r="F18" s="59">
        <v>4</v>
      </c>
      <c r="G18" s="59">
        <v>5</v>
      </c>
      <c r="H18" s="59">
        <v>6</v>
      </c>
      <c r="I18" s="59">
        <v>7</v>
      </c>
      <c r="J18" s="59">
        <v>8</v>
      </c>
      <c r="K18" s="59">
        <v>9</v>
      </c>
      <c r="L18" s="59">
        <v>10</v>
      </c>
      <c r="M18" s="59">
        <v>11</v>
      </c>
      <c r="N18" s="59">
        <v>12</v>
      </c>
      <c r="O18" s="59">
        <v>13</v>
      </c>
      <c r="P18" s="59">
        <v>14</v>
      </c>
      <c r="Q18" s="59">
        <v>15</v>
      </c>
      <c r="R18" s="59">
        <v>16</v>
      </c>
      <c r="S18" s="59">
        <v>17</v>
      </c>
      <c r="T18" s="59">
        <v>18</v>
      </c>
      <c r="U18" s="59">
        <v>19</v>
      </c>
      <c r="V18" s="59">
        <v>20</v>
      </c>
      <c r="W18" s="59">
        <v>21</v>
      </c>
      <c r="X18" s="59">
        <v>22</v>
      </c>
      <c r="Y18" s="59">
        <v>23</v>
      </c>
      <c r="Z18" s="59">
        <v>24</v>
      </c>
      <c r="AA18" s="59">
        <v>25</v>
      </c>
      <c r="AB18" s="59">
        <v>27</v>
      </c>
      <c r="AC18" s="59">
        <v>29</v>
      </c>
      <c r="AD18" s="59">
        <v>31</v>
      </c>
      <c r="AE18" s="59">
        <v>33</v>
      </c>
      <c r="AF18" s="59">
        <v>35</v>
      </c>
      <c r="AG18" s="59">
        <v>37</v>
      </c>
      <c r="AH18" s="59">
        <v>39</v>
      </c>
      <c r="AI18" s="59">
        <v>41</v>
      </c>
      <c r="AJ18" s="59">
        <v>43</v>
      </c>
      <c r="AK18" s="59">
        <v>46</v>
      </c>
      <c r="AL18" s="59">
        <v>49</v>
      </c>
      <c r="AM18" s="59">
        <v>52</v>
      </c>
      <c r="AN18" s="59">
        <v>55</v>
      </c>
      <c r="AO18" s="59">
        <v>58</v>
      </c>
      <c r="AP18" s="59">
        <v>61</v>
      </c>
      <c r="AQ18" s="59">
        <v>64</v>
      </c>
      <c r="AR18" s="59">
        <v>67</v>
      </c>
      <c r="AS18" s="59">
        <v>70</v>
      </c>
      <c r="AT18" s="59">
        <v>73</v>
      </c>
      <c r="AU18" s="59">
        <v>76</v>
      </c>
      <c r="AV18" s="59">
        <v>79</v>
      </c>
      <c r="AW18" s="59">
        <v>82</v>
      </c>
      <c r="AX18" s="60">
        <v>85</v>
      </c>
    </row>
    <row r="19" spans="1:50">
      <c r="A19" s="13">
        <v>1</v>
      </c>
      <c r="B19" s="18" t="s">
        <v>24</v>
      </c>
      <c r="C19" s="82">
        <v>0</v>
      </c>
      <c r="D19" s="53">
        <v>0</v>
      </c>
      <c r="E19" s="53">
        <v>0</v>
      </c>
      <c r="F19" s="53">
        <v>0</v>
      </c>
      <c r="G19" s="53">
        <f>AVERAGE(1,0,0,0)*150*10000</f>
        <v>375000</v>
      </c>
      <c r="H19" s="53">
        <f>AVERAGE(2,0,0,0)*150*10000</f>
        <v>750000</v>
      </c>
      <c r="I19" s="53">
        <v>0</v>
      </c>
      <c r="J19" s="53">
        <v>0</v>
      </c>
      <c r="K19" s="53">
        <f>AVERAGE(1,1,0,0)*150*10000</f>
        <v>750000</v>
      </c>
      <c r="L19" s="53">
        <f>AVERAGE(4,4)*150*10000</f>
        <v>6000000</v>
      </c>
      <c r="M19" s="53">
        <f>AVERAGE(23,31)*150*10000</f>
        <v>40500000</v>
      </c>
      <c r="N19" s="53">
        <f>AVERAGE(15,16)*150*10000</f>
        <v>23250000</v>
      </c>
      <c r="O19" s="53">
        <f>AVERAGE(0,0,1)*150*10000</f>
        <v>500000</v>
      </c>
      <c r="P19" s="53">
        <f>AVERAGE(0,1,0,1)*150*10000</f>
        <v>750000</v>
      </c>
      <c r="Q19" s="53">
        <f>AVERAGE(3,3,2,1)*150*10000</f>
        <v>3375000</v>
      </c>
      <c r="R19" s="53">
        <f>AVERAGE(16,8,7)*150*10000</f>
        <v>15500000</v>
      </c>
      <c r="S19" s="53">
        <f>AVERAGE(16,11,13,27)*150*10000</f>
        <v>25125000</v>
      </c>
      <c r="T19" s="18">
        <v>0</v>
      </c>
      <c r="U19" s="53">
        <f>AVERAGE(1,0,0,0)*150*10000</f>
        <v>375000</v>
      </c>
      <c r="V19" s="53">
        <v>0</v>
      </c>
      <c r="W19" s="53">
        <v>0</v>
      </c>
      <c r="X19" s="46">
        <v>0</v>
      </c>
      <c r="Y19" s="53">
        <f>AVERAGE(4,6,2,6)*150*10000</f>
        <v>6750000</v>
      </c>
      <c r="Z19" s="53">
        <f>AVERAGE(3,7,5,4)*150*10000</f>
        <v>7125000</v>
      </c>
      <c r="AA19" s="53">
        <f>AVERAGE(1,1,0,0)*150*10000</f>
        <v>750000</v>
      </c>
      <c r="AB19" s="53">
        <f>AVERAGE(1,1,6,3)*150*10000</f>
        <v>4125000</v>
      </c>
      <c r="AC19" s="53">
        <f>AVERAGE(3,3,7,2)*150*10000</f>
        <v>5625000</v>
      </c>
      <c r="AD19" s="53">
        <f>AVERAGE(5,4,7,8)*150*10000</f>
        <v>9000000</v>
      </c>
      <c r="AE19" s="53">
        <f>AVERAGE(1,2,2,1)*150*10000</f>
        <v>2250000</v>
      </c>
      <c r="AF19" s="53">
        <f>AVERAGE(2,0,0,1)*150*10000</f>
        <v>1125000</v>
      </c>
      <c r="AG19" s="53">
        <f>AVERAGE(7,3,2,4)*150*10000</f>
        <v>6000000</v>
      </c>
      <c r="AH19" s="53">
        <f>AVERAGE(3,3,2,3)*150*10000</f>
        <v>4125000</v>
      </c>
      <c r="AI19" s="53">
        <f>AVERAGE(1,3,0,3)*150*10000</f>
        <v>2625000</v>
      </c>
      <c r="AJ19" s="53">
        <f>AVERAGE(7,5,5)*150*10000</f>
        <v>8500000</v>
      </c>
      <c r="AK19" s="53">
        <f>AVERAGE(19,21)*150*10000</f>
        <v>30000000</v>
      </c>
      <c r="AL19" s="53">
        <f>AVERAGE(28,29,38)*150*10000</f>
        <v>47500000</v>
      </c>
      <c r="AM19" s="53">
        <f>AVERAGE(10,14)*150*10000</f>
        <v>18000000</v>
      </c>
      <c r="AN19" s="53">
        <f>AVERAGE(1,5,1,1)*150*10000</f>
        <v>3000000</v>
      </c>
      <c r="AO19" s="53">
        <f>AVERAGE(4,12,10,8)*150*10000</f>
        <v>12750000</v>
      </c>
      <c r="AP19" s="53">
        <f>AVERAGE(1,17)*150*10000</f>
        <v>13500000</v>
      </c>
      <c r="AQ19" s="53">
        <f>AVERAGE(29,39,32)*150*10000</f>
        <v>50000000</v>
      </c>
      <c r="AR19" s="53" t="s">
        <v>25</v>
      </c>
      <c r="AS19" s="53" t="s">
        <v>25</v>
      </c>
      <c r="AT19" s="53" t="s">
        <v>25</v>
      </c>
      <c r="AU19" s="53" t="s">
        <v>25</v>
      </c>
      <c r="AV19" s="53" t="s">
        <v>25</v>
      </c>
      <c r="AW19" s="53" t="s">
        <v>25</v>
      </c>
      <c r="AX19" s="54" t="s">
        <v>25</v>
      </c>
    </row>
    <row r="20" spans="1:50">
      <c r="A20" s="15"/>
      <c r="B20" s="8" t="s">
        <v>26</v>
      </c>
      <c r="C20" s="83">
        <v>0</v>
      </c>
      <c r="D20" s="36">
        <v>0</v>
      </c>
      <c r="E20" s="36">
        <v>0</v>
      </c>
      <c r="F20" s="36">
        <v>0</v>
      </c>
      <c r="G20" s="40">
        <v>0</v>
      </c>
      <c r="H20" s="36">
        <v>0</v>
      </c>
      <c r="I20" s="36">
        <f>AVERAGE(1,1,0,0)*150*10000</f>
        <v>750000</v>
      </c>
      <c r="J20" s="36">
        <f>AVERAGE(1,1,1,1)*150*10000</f>
        <v>1500000</v>
      </c>
      <c r="K20" s="36">
        <f>AVERAGE(6,8)*150*10000</f>
        <v>10500000</v>
      </c>
      <c r="L20" s="36">
        <f>AVERAGE(22,21)*150*10000</f>
        <v>32250000</v>
      </c>
      <c r="M20" s="36">
        <f>AVERAGE(29,24)*150*10000</f>
        <v>39750000</v>
      </c>
      <c r="N20" s="36">
        <v>0</v>
      </c>
      <c r="O20" s="8">
        <v>0</v>
      </c>
      <c r="P20" s="36">
        <f>AVERAGE(0,0,3,1)*150*10000</f>
        <v>1500000</v>
      </c>
      <c r="Q20" s="36">
        <f>AVERAGE(21,14,16,20)*150*10000</f>
        <v>26625000</v>
      </c>
      <c r="R20" s="36">
        <f>AVERAGE(4,6)*150*10000</f>
        <v>7500000</v>
      </c>
      <c r="S20" s="36">
        <f>AVERAGE(1,0,0,0)*150*10000</f>
        <v>375000</v>
      </c>
      <c r="T20" s="8">
        <v>0</v>
      </c>
      <c r="U20" s="8">
        <v>0</v>
      </c>
      <c r="V20" s="36">
        <f>AVERAGE(6,5)*150*10000</f>
        <v>8250000</v>
      </c>
      <c r="W20" s="36">
        <f>AVERAGE(24,30)*150*10000</f>
        <v>40500000</v>
      </c>
      <c r="X20" s="36">
        <f>AVERAGE(3,4,5,2)*150*10000</f>
        <v>5250000</v>
      </c>
      <c r="Y20" s="36">
        <f>AVERAGE(1,1,0,0)*150*10000</f>
        <v>750000</v>
      </c>
      <c r="Z20" s="36">
        <f>AVERAGE(1,1,2,1)*150*10000</f>
        <v>1875000</v>
      </c>
      <c r="AA20" s="36">
        <f>AVERAGE(1,0,0,0)*150*10000</f>
        <v>375000</v>
      </c>
      <c r="AB20" s="36">
        <f>AVERAGE(1,1,2,0)*150*10000</f>
        <v>1500000</v>
      </c>
      <c r="AC20" s="36">
        <f>AVERAGE(2,1,1,0)*150*10000</f>
        <v>1500000</v>
      </c>
      <c r="AD20" s="36">
        <v>0</v>
      </c>
      <c r="AE20" s="8">
        <v>0</v>
      </c>
      <c r="AF20" s="36">
        <v>0</v>
      </c>
      <c r="AG20" s="36">
        <f>AVERAGE(5,3,2,4)*150*10000</f>
        <v>5250000</v>
      </c>
      <c r="AH20" s="36">
        <f>AVERAGE(3,2,2,3)*150*10000</f>
        <v>3750000</v>
      </c>
      <c r="AI20" s="36">
        <f>AVERAGE(0)*150*10000</f>
        <v>0</v>
      </c>
      <c r="AJ20" s="36">
        <f>AVERAGE(1,1,0,0)*150*10000</f>
        <v>750000</v>
      </c>
      <c r="AK20" s="36">
        <f>AVERAGE(1,0)*150*10000</f>
        <v>750000</v>
      </c>
      <c r="AL20" s="8">
        <v>0</v>
      </c>
      <c r="AM20" s="36">
        <f>AVERAGE(1,1,0,0)*150*10000</f>
        <v>750000</v>
      </c>
      <c r="AN20" s="36">
        <f>AVERAGE(2,2,1,0)*150*10000</f>
        <v>1875000</v>
      </c>
      <c r="AO20" s="36">
        <f>AVERAGE(1,3,1,0)*150*10000</f>
        <v>1875000</v>
      </c>
      <c r="AP20" s="36">
        <f>AVERAGE(2,2,2,2)*150*10000</f>
        <v>3000000</v>
      </c>
      <c r="AQ20" s="36">
        <f>AVERAGE(3,3,2)*150*10000</f>
        <v>4000000</v>
      </c>
      <c r="AR20" s="36">
        <f>AVERAGE(15,20)*150*10000</f>
        <v>26250000</v>
      </c>
      <c r="AS20" s="36">
        <f>AVERAGE(14,19)*150*10000</f>
        <v>24750000</v>
      </c>
      <c r="AT20" s="36">
        <f>AVERAGE(11,9)*150*10000</f>
        <v>15000000</v>
      </c>
      <c r="AU20" s="36" t="s">
        <v>25</v>
      </c>
      <c r="AV20" s="36" t="s">
        <v>25</v>
      </c>
      <c r="AW20" s="36" t="s">
        <v>25</v>
      </c>
      <c r="AX20" s="55" t="s">
        <v>25</v>
      </c>
    </row>
    <row r="21" spans="1:50">
      <c r="A21" s="15"/>
      <c r="B21" s="8" t="s">
        <v>27</v>
      </c>
      <c r="C21" s="83">
        <v>0</v>
      </c>
      <c r="D21" s="36">
        <v>0</v>
      </c>
      <c r="E21" s="36">
        <v>0</v>
      </c>
      <c r="F21" s="36">
        <v>0</v>
      </c>
      <c r="G21" s="40">
        <v>0</v>
      </c>
      <c r="H21" s="36">
        <f>AVERAGE(1,0,0,0)*150*10000</f>
        <v>375000</v>
      </c>
      <c r="I21" s="36">
        <f>AVERAGE(1,0,0,0)*150*10000</f>
        <v>375000</v>
      </c>
      <c r="J21" s="36">
        <f>AVERAGE(1,0,0,0)*150*10000</f>
        <v>375000</v>
      </c>
      <c r="K21" s="36">
        <f>AVERAGE(1,2,0,0)*150*10000</f>
        <v>1125000</v>
      </c>
      <c r="L21" s="36">
        <f>AVERAGE(11,11)*150*10000</f>
        <v>16500000</v>
      </c>
      <c r="M21" s="36">
        <f>AVERAGE(25,24)*150*10000</f>
        <v>36750000</v>
      </c>
      <c r="N21" s="36">
        <v>0</v>
      </c>
      <c r="O21" s="8">
        <v>0</v>
      </c>
      <c r="P21" s="36">
        <v>0</v>
      </c>
      <c r="Q21" s="36">
        <f>AVERAGE(5,4,4,5)*150*10000</f>
        <v>6750000</v>
      </c>
      <c r="R21" s="36">
        <f>AVERAGE(17,13)*150*10000</f>
        <v>22500000</v>
      </c>
      <c r="S21" s="36">
        <f>AVERAGE(5,0,3,6)*150*10000</f>
        <v>5250000</v>
      </c>
      <c r="T21" s="8">
        <v>0</v>
      </c>
      <c r="U21" s="36">
        <f>AVERAGE(1,0,0,0)*150*10000</f>
        <v>375000</v>
      </c>
      <c r="V21" s="36">
        <v>0</v>
      </c>
      <c r="W21" s="36">
        <f>AVERAGE(1,0,1,0)*150*10000</f>
        <v>750000</v>
      </c>
      <c r="X21" s="36">
        <f>AVERAGE(1,2,0,1)*150*10000</f>
        <v>1500000</v>
      </c>
      <c r="Y21" s="36">
        <f>AVERAGE(3,5,3,2)*150*10000</f>
        <v>4875000</v>
      </c>
      <c r="Z21" s="36">
        <v>0</v>
      </c>
      <c r="AA21" s="36">
        <v>0</v>
      </c>
      <c r="AB21" s="36">
        <v>0</v>
      </c>
      <c r="AC21" s="36">
        <f>AVERAGE(0,1,2,0)*150*10000</f>
        <v>1125000</v>
      </c>
      <c r="AD21" s="36">
        <f>AVERAGE(0,0,0,1)*150*10000</f>
        <v>375000</v>
      </c>
      <c r="AE21" s="36">
        <f>AVERAGE(0,0,0,1)*150*10000</f>
        <v>375000</v>
      </c>
      <c r="AF21" s="36">
        <v>0</v>
      </c>
      <c r="AG21" s="36">
        <f>AVERAGE(1,0,0,0)*150*10000</f>
        <v>375000</v>
      </c>
      <c r="AH21" s="36">
        <f>AVERAGE(3,1,0,0)*150*10000</f>
        <v>1500000</v>
      </c>
      <c r="AI21" s="36">
        <v>0</v>
      </c>
      <c r="AJ21" s="36">
        <f>AVERAGE(2,2,3,1)*150*10000</f>
        <v>3000000</v>
      </c>
      <c r="AK21" s="36">
        <f>AVERAGE(0)*150*10000</f>
        <v>0</v>
      </c>
      <c r="AL21" s="39">
        <v>0</v>
      </c>
      <c r="AM21" s="36">
        <v>0</v>
      </c>
      <c r="AN21" s="40">
        <v>0</v>
      </c>
      <c r="AO21" s="36">
        <f>AVERAGE(1,2,0,0)*150*10000</f>
        <v>1125000</v>
      </c>
      <c r="AP21" s="36">
        <f>AVERAGE(0)*150*10000</f>
        <v>0</v>
      </c>
      <c r="AQ21" s="36">
        <f>AVERAGE(2,2,0,2)*150*10000</f>
        <v>2250000</v>
      </c>
      <c r="AR21" s="36">
        <f>AVERAGE(2,0)*150*10000</f>
        <v>1500000</v>
      </c>
      <c r="AS21" s="36">
        <f>AVERAGE(1,1,2,1)*150*10000</f>
        <v>1875000</v>
      </c>
      <c r="AT21" s="36">
        <f>AVERAGE(3,8,10)*150*10000</f>
        <v>10500000</v>
      </c>
      <c r="AU21" s="36">
        <f>AVERAGE(10,12)*150*10000</f>
        <v>16500000</v>
      </c>
      <c r="AV21" s="36">
        <f>AVERAGE(15,17)*150*10000</f>
        <v>24000000</v>
      </c>
      <c r="AW21" s="36">
        <f>AVERAGE(1,2)*150*10000</f>
        <v>2250000</v>
      </c>
      <c r="AX21" s="55" t="s">
        <v>25</v>
      </c>
    </row>
    <row r="22" spans="1:50">
      <c r="A22" s="16"/>
      <c r="B22" s="11" t="s">
        <v>28</v>
      </c>
      <c r="C22" s="84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f>AVERAGE(1,1,0,0)*150*10000</f>
        <v>750000</v>
      </c>
      <c r="J22" s="56">
        <v>0</v>
      </c>
      <c r="K22" s="56">
        <f>AVERAGE(1,0,0,0)*150*10000</f>
        <v>375000</v>
      </c>
      <c r="L22" s="56">
        <f>AVERAGE(12,10)*150*10000</f>
        <v>16500000</v>
      </c>
      <c r="M22" s="56">
        <f>AVERAGE(25,31)*150*10000</f>
        <v>42000000</v>
      </c>
      <c r="N22" s="56">
        <f>AVERAGE(10,14)*150*10000</f>
        <v>18000000</v>
      </c>
      <c r="O22" s="11">
        <v>0</v>
      </c>
      <c r="P22" s="56">
        <v>0</v>
      </c>
      <c r="Q22" s="56">
        <f>AVERAGE(1,1,1,0)*150*10000</f>
        <v>1125000</v>
      </c>
      <c r="R22" s="56">
        <f>AVERAGE(10,10)*150*10000</f>
        <v>15000000</v>
      </c>
      <c r="S22" s="56">
        <f>AVERAGE(21,14,22,16)*150*10000</f>
        <v>27375000</v>
      </c>
      <c r="T22" s="56">
        <f>AVERAGE(4,5,1,4)*150*10000</f>
        <v>5250000</v>
      </c>
      <c r="U22" s="78">
        <v>0</v>
      </c>
      <c r="V22" s="56">
        <f>AVERAGE(1,0,0,0)*150*10000</f>
        <v>375000</v>
      </c>
      <c r="W22" s="56">
        <v>0</v>
      </c>
      <c r="X22" s="56">
        <f>AVERAGE(4,1,0,4)*150*10000</f>
        <v>3375000</v>
      </c>
      <c r="Y22" s="56">
        <f>AVERAGE(5,6,0,2)*150*10000</f>
        <v>4875000</v>
      </c>
      <c r="Z22" s="56">
        <f>AVERAGE(0,2,0,1)*150*10000</f>
        <v>1125000</v>
      </c>
      <c r="AA22" s="56">
        <f>AVERAGE(1,1,0,0)*150*10000</f>
        <v>750000</v>
      </c>
      <c r="AB22" s="56">
        <f>AVERAGE(2,0,0,0)*150*10000</f>
        <v>750000</v>
      </c>
      <c r="AC22" s="56">
        <f>AVERAGE(1,3,5,1)*150*10000</f>
        <v>3750000</v>
      </c>
      <c r="AD22" s="56">
        <v>0</v>
      </c>
      <c r="AE22" s="11">
        <v>0</v>
      </c>
      <c r="AF22" s="56">
        <f>AVERAGE(3,1,1,0)*150*10000</f>
        <v>1875000</v>
      </c>
      <c r="AG22" s="56">
        <f>AVERAGE(6,7,4,7)*150*10000</f>
        <v>9000000</v>
      </c>
      <c r="AH22" s="56">
        <f>AVERAGE(15,14,28,16)*150*10000</f>
        <v>27375000</v>
      </c>
      <c r="AI22" s="56">
        <f>AVERAGE(19,20)*150*10000</f>
        <v>29250000</v>
      </c>
      <c r="AJ22" s="56">
        <f>AVERAGE(18,24)*150*10000</f>
        <v>31500000</v>
      </c>
      <c r="AK22" s="56">
        <f>AVERAGE(8,11)*150*10000</f>
        <v>14250000</v>
      </c>
      <c r="AL22" s="56">
        <f>AVERAGE(0,5,1,1)*150*10000</f>
        <v>2625000</v>
      </c>
      <c r="AM22" s="56">
        <f>AVERAGE(5,7,4,7)*150*10000</f>
        <v>8625000</v>
      </c>
      <c r="AN22" s="56">
        <f>AVERAGE(10,12,10,8)*150*10000</f>
        <v>15000000</v>
      </c>
      <c r="AO22" s="56">
        <f>AVERAGE(5,11,14,16)*150*10000</f>
        <v>17250000</v>
      </c>
      <c r="AP22" s="56">
        <f>AVERAGE(38,37)*150*10000</f>
        <v>56250000</v>
      </c>
      <c r="AQ22" s="56">
        <f>AVERAGE(21, 24)*150*10000</f>
        <v>33750000</v>
      </c>
      <c r="AR22" s="56">
        <f>AVERAGE(52,54)*150*10000</f>
        <v>79500000</v>
      </c>
      <c r="AS22" s="56">
        <f>AVERAGE(22,16,28)*150*10000</f>
        <v>33000000</v>
      </c>
      <c r="AT22" s="56">
        <f>AVERAGE(20,18)*150*10000</f>
        <v>28500000</v>
      </c>
      <c r="AU22" s="56">
        <f>AVERAGE(14, 30, 31)*150*10000</f>
        <v>37500000</v>
      </c>
      <c r="AV22" s="56">
        <f>AVERAGE(32, 26)*150*10000</f>
        <v>43500000</v>
      </c>
      <c r="AW22" s="56">
        <f>AVERAGE(1,2)*150*10000</f>
        <v>2250000</v>
      </c>
      <c r="AX22" s="57">
        <v>0</v>
      </c>
    </row>
    <row r="23" spans="1:50">
      <c r="B23" s="33"/>
      <c r="C23" s="33"/>
      <c r="D23" s="33"/>
      <c r="E23" s="33"/>
    </row>
    <row r="24" spans="1:50">
      <c r="B24" s="33"/>
      <c r="C24" s="33"/>
      <c r="D24" s="33"/>
      <c r="E24" s="33"/>
    </row>
    <row r="25" spans="1:50">
      <c r="B25" s="33"/>
      <c r="C25" s="33"/>
      <c r="D25" s="33"/>
      <c r="E25" s="33"/>
    </row>
    <row r="26" spans="1:50">
      <c r="B26" s="33"/>
      <c r="C26" s="33"/>
      <c r="D26" s="33"/>
      <c r="E26" s="33"/>
    </row>
    <row r="27" spans="1:50">
      <c r="B27" s="33"/>
      <c r="C27" s="33"/>
      <c r="D27" s="33"/>
      <c r="E27" s="33"/>
    </row>
    <row r="28" spans="1:50">
      <c r="B28" s="33"/>
      <c r="C28" s="33"/>
      <c r="D28" s="33"/>
      <c r="E28" s="33"/>
    </row>
    <row r="29" spans="1:50">
      <c r="B29" s="33"/>
      <c r="C29" s="33"/>
      <c r="D29" s="33"/>
      <c r="E29" s="33"/>
    </row>
    <row r="30" spans="1:50">
      <c r="B30" s="33"/>
      <c r="C30" s="33"/>
      <c r="D30" s="33"/>
      <c r="E30" s="33"/>
    </row>
    <row r="31" spans="1:50">
      <c r="B31" s="33"/>
      <c r="C31" s="33"/>
      <c r="D31" s="33"/>
      <c r="E31" s="33"/>
    </row>
    <row r="32" spans="1:50">
      <c r="B32" s="33"/>
      <c r="C32" s="33"/>
      <c r="D32" s="33"/>
      <c r="E32" s="33"/>
    </row>
    <row r="33" spans="2:5">
      <c r="B33" s="33"/>
      <c r="C33" s="33"/>
      <c r="D33" s="33"/>
      <c r="E33" s="33"/>
    </row>
    <row r="34" spans="2:5">
      <c r="B34" s="33"/>
      <c r="C34" s="33"/>
      <c r="D34" s="33"/>
      <c r="E34" s="33"/>
    </row>
    <row r="35" spans="2:5">
      <c r="B35" s="33"/>
      <c r="C35" s="33"/>
      <c r="D35" s="33"/>
      <c r="E35" s="33"/>
    </row>
    <row r="36" spans="2:5">
      <c r="B36" s="33"/>
      <c r="C36" s="33"/>
      <c r="D36" s="33"/>
      <c r="E36" s="33"/>
    </row>
    <row r="37" spans="2:5">
      <c r="B37" s="33"/>
      <c r="C37" s="33"/>
      <c r="D37" s="33"/>
      <c r="E37" s="33"/>
    </row>
    <row r="38" spans="2:5">
      <c r="B38" s="33"/>
      <c r="C38" s="33"/>
      <c r="D38" s="33"/>
      <c r="E38" s="33"/>
    </row>
    <row r="39" spans="2:5">
      <c r="B39" s="33"/>
      <c r="C39" s="33"/>
      <c r="D39" s="33"/>
      <c r="E39" s="33"/>
    </row>
    <row r="40" spans="2:5">
      <c r="B40" s="33"/>
      <c r="C40" s="33"/>
      <c r="D40" s="33"/>
      <c r="E40" s="33"/>
    </row>
    <row r="41" spans="2:5">
      <c r="B41" s="33"/>
      <c r="C41" s="33"/>
      <c r="D41" s="33"/>
      <c r="E41" s="33"/>
    </row>
    <row r="42" spans="2:5">
      <c r="B42" s="33"/>
      <c r="C42" s="33"/>
      <c r="D42" s="33"/>
      <c r="E42" s="33"/>
    </row>
  </sheetData>
  <mergeCells count="7">
    <mergeCell ref="A12:A14"/>
    <mergeCell ref="A5:A8"/>
    <mergeCell ref="M5:M8"/>
    <mergeCell ref="C17:AX17"/>
    <mergeCell ref="A19:A22"/>
    <mergeCell ref="C3:L3"/>
    <mergeCell ref="A9:A1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E4064-0CE3-E447-80AA-BF8111F810E4}">
  <dimension ref="B2:F43"/>
  <sheetViews>
    <sheetView workbookViewId="0">
      <selection activeCell="J8" sqref="J8"/>
    </sheetView>
  </sheetViews>
  <sheetFormatPr baseColWidth="10" defaultRowHeight="16"/>
  <cols>
    <col min="2" max="2" width="17" bestFit="1" customWidth="1"/>
  </cols>
  <sheetData>
    <row r="2" spans="2:6">
      <c r="C2" s="2" t="s">
        <v>114</v>
      </c>
      <c r="D2" s="2"/>
      <c r="E2" s="2" t="s">
        <v>133</v>
      </c>
      <c r="F2" s="2"/>
    </row>
    <row r="3" spans="2:6">
      <c r="B3" t="s">
        <v>23</v>
      </c>
      <c r="C3" s="30" t="s">
        <v>134</v>
      </c>
      <c r="D3" s="30" t="s">
        <v>119</v>
      </c>
      <c r="E3" s="30" t="s">
        <v>134</v>
      </c>
      <c r="F3" s="30" t="s">
        <v>119</v>
      </c>
    </row>
    <row r="4" spans="2:6">
      <c r="B4">
        <v>1</v>
      </c>
      <c r="C4">
        <v>3</v>
      </c>
      <c r="D4" s="37">
        <f>3/3</f>
        <v>1</v>
      </c>
      <c r="E4" s="162">
        <v>3</v>
      </c>
      <c r="F4" s="37">
        <f>3/3</f>
        <v>1</v>
      </c>
    </row>
    <row r="5" spans="2:6">
      <c r="B5">
        <v>2</v>
      </c>
      <c r="C5">
        <v>3</v>
      </c>
      <c r="D5" s="37">
        <f t="shared" ref="D5:F20" si="0">3/3</f>
        <v>1</v>
      </c>
      <c r="E5" s="162">
        <v>3</v>
      </c>
      <c r="F5" s="37">
        <f t="shared" si="0"/>
        <v>1</v>
      </c>
    </row>
    <row r="6" spans="2:6">
      <c r="B6">
        <v>3</v>
      </c>
      <c r="C6">
        <v>3</v>
      </c>
      <c r="D6" s="37">
        <f t="shared" si="0"/>
        <v>1</v>
      </c>
      <c r="E6" s="162">
        <v>3</v>
      </c>
      <c r="F6" s="37">
        <f t="shared" si="0"/>
        <v>1</v>
      </c>
    </row>
    <row r="7" spans="2:6">
      <c r="B7">
        <v>4</v>
      </c>
      <c r="C7">
        <v>3</v>
      </c>
      <c r="D7" s="37">
        <f t="shared" si="0"/>
        <v>1</v>
      </c>
      <c r="E7" s="162">
        <v>3</v>
      </c>
      <c r="F7" s="37">
        <f t="shared" si="0"/>
        <v>1</v>
      </c>
    </row>
    <row r="8" spans="2:6">
      <c r="B8">
        <v>5</v>
      </c>
      <c r="C8">
        <v>3</v>
      </c>
      <c r="D8" s="37">
        <f t="shared" si="0"/>
        <v>1</v>
      </c>
      <c r="E8" s="162">
        <v>3</v>
      </c>
      <c r="F8" s="37">
        <f t="shared" si="0"/>
        <v>1</v>
      </c>
    </row>
    <row r="9" spans="2:6">
      <c r="B9">
        <v>6</v>
      </c>
      <c r="C9">
        <v>3</v>
      </c>
      <c r="D9" s="37">
        <f t="shared" si="0"/>
        <v>1</v>
      </c>
      <c r="E9" s="162">
        <v>3</v>
      </c>
      <c r="F9" s="37">
        <f t="shared" si="0"/>
        <v>1</v>
      </c>
    </row>
    <row r="10" spans="2:6">
      <c r="B10">
        <v>7</v>
      </c>
      <c r="C10">
        <v>2</v>
      </c>
      <c r="D10" s="37">
        <f>2/3</f>
        <v>0.66666666666666663</v>
      </c>
      <c r="E10" s="162">
        <v>3</v>
      </c>
      <c r="F10" s="37">
        <f t="shared" si="0"/>
        <v>1</v>
      </c>
    </row>
    <row r="11" spans="2:6">
      <c r="B11">
        <v>8</v>
      </c>
      <c r="C11">
        <v>2</v>
      </c>
      <c r="D11" s="37">
        <f>2/3</f>
        <v>0.66666666666666663</v>
      </c>
      <c r="E11" s="162">
        <v>3</v>
      </c>
      <c r="F11" s="37">
        <f t="shared" si="0"/>
        <v>1</v>
      </c>
    </row>
    <row r="12" spans="2:6">
      <c r="B12">
        <v>9</v>
      </c>
      <c r="C12">
        <v>2</v>
      </c>
      <c r="D12" s="37">
        <f>2/3</f>
        <v>0.66666666666666663</v>
      </c>
      <c r="E12" s="162">
        <v>3</v>
      </c>
      <c r="F12" s="37">
        <f t="shared" si="0"/>
        <v>1</v>
      </c>
    </row>
    <row r="13" spans="2:6">
      <c r="B13">
        <v>10</v>
      </c>
      <c r="C13">
        <v>1</v>
      </c>
      <c r="D13" s="37">
        <f>1/3</f>
        <v>0.33333333333333331</v>
      </c>
      <c r="E13" s="162">
        <v>3</v>
      </c>
      <c r="F13" s="37">
        <f t="shared" si="0"/>
        <v>1</v>
      </c>
    </row>
    <row r="14" spans="2:6">
      <c r="B14">
        <v>11</v>
      </c>
      <c r="C14">
        <v>1</v>
      </c>
      <c r="D14" s="37">
        <f t="shared" ref="D14:D15" si="1">1/3</f>
        <v>0.33333333333333331</v>
      </c>
      <c r="E14" s="162">
        <v>3</v>
      </c>
      <c r="F14" s="37">
        <f t="shared" si="0"/>
        <v>1</v>
      </c>
    </row>
    <row r="15" spans="2:6">
      <c r="B15">
        <v>12</v>
      </c>
      <c r="C15">
        <v>1</v>
      </c>
      <c r="D15" s="37">
        <f t="shared" si="1"/>
        <v>0.33333333333333331</v>
      </c>
      <c r="E15" s="162">
        <v>3</v>
      </c>
      <c r="F15" s="37">
        <f t="shared" si="0"/>
        <v>1</v>
      </c>
    </row>
    <row r="16" spans="2:6">
      <c r="B16">
        <v>13</v>
      </c>
      <c r="C16">
        <v>0</v>
      </c>
      <c r="D16" s="37">
        <v>0</v>
      </c>
      <c r="E16" s="162">
        <v>3</v>
      </c>
      <c r="F16" s="37">
        <f t="shared" si="0"/>
        <v>1</v>
      </c>
    </row>
    <row r="17" spans="2:6">
      <c r="B17">
        <v>14</v>
      </c>
      <c r="C17">
        <v>0</v>
      </c>
      <c r="D17" s="37">
        <v>0</v>
      </c>
      <c r="E17" s="162">
        <v>3</v>
      </c>
      <c r="F17" s="37">
        <f t="shared" si="0"/>
        <v>1</v>
      </c>
    </row>
    <row r="18" spans="2:6">
      <c r="B18">
        <v>15</v>
      </c>
      <c r="C18">
        <v>0</v>
      </c>
      <c r="D18" s="37">
        <v>0</v>
      </c>
      <c r="E18" s="162">
        <v>3</v>
      </c>
      <c r="F18" s="37">
        <f t="shared" si="0"/>
        <v>1</v>
      </c>
    </row>
    <row r="19" spans="2:6">
      <c r="B19">
        <v>16</v>
      </c>
      <c r="C19">
        <v>0</v>
      </c>
      <c r="D19" s="37">
        <v>0</v>
      </c>
      <c r="E19" s="162">
        <v>3</v>
      </c>
      <c r="F19" s="37">
        <f t="shared" si="0"/>
        <v>1</v>
      </c>
    </row>
    <row r="20" spans="2:6">
      <c r="B20">
        <v>17</v>
      </c>
      <c r="C20">
        <v>0</v>
      </c>
      <c r="D20" s="37">
        <v>0</v>
      </c>
      <c r="E20" s="162">
        <v>3</v>
      </c>
      <c r="F20" s="37">
        <f t="shared" si="0"/>
        <v>1</v>
      </c>
    </row>
    <row r="21" spans="2:6">
      <c r="B21">
        <v>18</v>
      </c>
      <c r="C21">
        <v>0</v>
      </c>
      <c r="D21" s="37">
        <v>0</v>
      </c>
      <c r="E21" s="162">
        <v>3</v>
      </c>
      <c r="F21" s="37">
        <f t="shared" ref="F21:F40" si="2">3/3</f>
        <v>1</v>
      </c>
    </row>
    <row r="22" spans="2:6">
      <c r="B22">
        <v>19</v>
      </c>
      <c r="C22">
        <v>0</v>
      </c>
      <c r="D22" s="37">
        <v>0</v>
      </c>
      <c r="E22" s="162">
        <v>3</v>
      </c>
      <c r="F22" s="37">
        <f t="shared" si="2"/>
        <v>1</v>
      </c>
    </row>
    <row r="23" spans="2:6">
      <c r="B23">
        <v>20</v>
      </c>
      <c r="C23">
        <v>0</v>
      </c>
      <c r="D23" s="37">
        <v>0</v>
      </c>
      <c r="E23" s="162">
        <v>3</v>
      </c>
      <c r="F23" s="37">
        <f t="shared" si="2"/>
        <v>1</v>
      </c>
    </row>
    <row r="24" spans="2:6">
      <c r="B24">
        <v>21</v>
      </c>
      <c r="C24">
        <v>0</v>
      </c>
      <c r="D24" s="37">
        <v>0</v>
      </c>
      <c r="E24" s="162">
        <v>3</v>
      </c>
      <c r="F24" s="37">
        <f t="shared" si="2"/>
        <v>1</v>
      </c>
    </row>
    <row r="25" spans="2:6">
      <c r="B25">
        <v>22</v>
      </c>
      <c r="C25">
        <v>0</v>
      </c>
      <c r="D25" s="37">
        <v>0</v>
      </c>
      <c r="E25" s="162">
        <v>3</v>
      </c>
      <c r="F25" s="37">
        <f t="shared" si="2"/>
        <v>1</v>
      </c>
    </row>
    <row r="26" spans="2:6">
      <c r="B26">
        <v>23</v>
      </c>
      <c r="C26">
        <v>0</v>
      </c>
      <c r="D26" s="37">
        <v>0</v>
      </c>
      <c r="E26" s="162">
        <v>3</v>
      </c>
      <c r="F26" s="37">
        <f t="shared" si="2"/>
        <v>1</v>
      </c>
    </row>
    <row r="27" spans="2:6">
      <c r="B27">
        <v>24</v>
      </c>
      <c r="C27">
        <v>0</v>
      </c>
      <c r="D27" s="37">
        <v>0</v>
      </c>
      <c r="E27" s="162">
        <v>3</v>
      </c>
      <c r="F27" s="37">
        <f t="shared" si="2"/>
        <v>1</v>
      </c>
    </row>
    <row r="28" spans="2:6">
      <c r="B28">
        <v>25</v>
      </c>
      <c r="C28">
        <v>0</v>
      </c>
      <c r="D28" s="37">
        <v>0</v>
      </c>
      <c r="E28" s="162">
        <v>3</v>
      </c>
      <c r="F28" s="37">
        <f t="shared" si="2"/>
        <v>1</v>
      </c>
    </row>
    <row r="29" spans="2:6">
      <c r="B29">
        <v>26</v>
      </c>
      <c r="C29">
        <v>0</v>
      </c>
      <c r="D29" s="37">
        <v>0</v>
      </c>
      <c r="E29" s="162">
        <v>3</v>
      </c>
      <c r="F29" s="37">
        <f t="shared" si="2"/>
        <v>1</v>
      </c>
    </row>
    <row r="30" spans="2:6">
      <c r="B30">
        <v>27</v>
      </c>
      <c r="C30">
        <v>0</v>
      </c>
      <c r="D30" s="37">
        <v>0</v>
      </c>
      <c r="E30" s="162">
        <v>3</v>
      </c>
      <c r="F30" s="37">
        <f t="shared" si="2"/>
        <v>1</v>
      </c>
    </row>
    <row r="31" spans="2:6">
      <c r="B31">
        <v>28</v>
      </c>
      <c r="C31">
        <v>0</v>
      </c>
      <c r="D31" s="37">
        <v>0</v>
      </c>
      <c r="E31" s="162">
        <v>3</v>
      </c>
      <c r="F31" s="37">
        <f t="shared" si="2"/>
        <v>1</v>
      </c>
    </row>
    <row r="32" spans="2:6">
      <c r="B32">
        <v>29</v>
      </c>
      <c r="C32">
        <v>0</v>
      </c>
      <c r="D32" s="37">
        <v>0</v>
      </c>
      <c r="E32" s="162">
        <v>3</v>
      </c>
      <c r="F32" s="37">
        <f t="shared" si="2"/>
        <v>1</v>
      </c>
    </row>
    <row r="33" spans="2:6">
      <c r="B33">
        <v>30</v>
      </c>
      <c r="C33">
        <v>0</v>
      </c>
      <c r="D33" s="37">
        <v>0</v>
      </c>
      <c r="E33" s="162">
        <v>3</v>
      </c>
      <c r="F33" s="37">
        <f t="shared" si="2"/>
        <v>1</v>
      </c>
    </row>
    <row r="34" spans="2:6">
      <c r="B34">
        <v>31</v>
      </c>
      <c r="C34">
        <v>0</v>
      </c>
      <c r="D34" s="37">
        <v>0</v>
      </c>
      <c r="E34" s="162">
        <v>3</v>
      </c>
      <c r="F34" s="37">
        <f t="shared" si="2"/>
        <v>1</v>
      </c>
    </row>
    <row r="35" spans="2:6">
      <c r="B35">
        <v>32</v>
      </c>
      <c r="C35">
        <v>0</v>
      </c>
      <c r="D35" s="37">
        <v>0</v>
      </c>
      <c r="E35" s="162">
        <v>3</v>
      </c>
      <c r="F35" s="37">
        <f t="shared" si="2"/>
        <v>1</v>
      </c>
    </row>
    <row r="36" spans="2:6">
      <c r="B36">
        <v>33</v>
      </c>
      <c r="C36">
        <v>0</v>
      </c>
      <c r="D36" s="37">
        <v>0</v>
      </c>
      <c r="E36" s="162">
        <v>3</v>
      </c>
      <c r="F36" s="37">
        <f t="shared" si="2"/>
        <v>1</v>
      </c>
    </row>
    <row r="37" spans="2:6">
      <c r="B37">
        <v>34</v>
      </c>
      <c r="C37">
        <v>0</v>
      </c>
      <c r="D37" s="37">
        <v>0</v>
      </c>
      <c r="E37" s="162">
        <v>3</v>
      </c>
      <c r="F37" s="37">
        <f t="shared" si="2"/>
        <v>1</v>
      </c>
    </row>
    <row r="38" spans="2:6">
      <c r="B38">
        <v>35</v>
      </c>
      <c r="C38">
        <v>0</v>
      </c>
      <c r="D38" s="37">
        <v>0</v>
      </c>
      <c r="E38" s="162">
        <v>3</v>
      </c>
      <c r="F38" s="37">
        <f t="shared" si="2"/>
        <v>1</v>
      </c>
    </row>
    <row r="39" spans="2:6">
      <c r="B39">
        <v>36</v>
      </c>
      <c r="C39">
        <v>0</v>
      </c>
      <c r="D39" s="37">
        <v>0</v>
      </c>
      <c r="E39" s="162">
        <v>3</v>
      </c>
      <c r="F39" s="37">
        <f t="shared" si="2"/>
        <v>1</v>
      </c>
    </row>
    <row r="40" spans="2:6">
      <c r="B40">
        <v>37</v>
      </c>
      <c r="C40">
        <v>0</v>
      </c>
      <c r="D40" s="37">
        <v>0</v>
      </c>
      <c r="E40" s="162">
        <v>1</v>
      </c>
      <c r="F40" s="37">
        <f>1/3</f>
        <v>0.33333333333333331</v>
      </c>
    </row>
    <row r="41" spans="2:6">
      <c r="B41">
        <v>38</v>
      </c>
      <c r="C41">
        <v>0</v>
      </c>
      <c r="D41" s="37">
        <v>0</v>
      </c>
      <c r="E41" s="162">
        <v>1</v>
      </c>
      <c r="F41" s="37">
        <f>1/3</f>
        <v>0.33333333333333331</v>
      </c>
    </row>
    <row r="42" spans="2:6">
      <c r="B42">
        <v>39</v>
      </c>
      <c r="C42">
        <v>0</v>
      </c>
      <c r="D42" s="37">
        <v>0</v>
      </c>
      <c r="E42" s="162">
        <v>1</v>
      </c>
      <c r="F42" s="37">
        <f>1/3</f>
        <v>0.33333333333333331</v>
      </c>
    </row>
    <row r="43" spans="2:6">
      <c r="B43">
        <v>40</v>
      </c>
      <c r="C43">
        <v>0</v>
      </c>
      <c r="D43" s="37">
        <v>0</v>
      </c>
      <c r="E43" s="162">
        <v>0</v>
      </c>
      <c r="F43" s="37">
        <v>0</v>
      </c>
    </row>
  </sheetData>
  <mergeCells count="2">
    <mergeCell ref="C2:D2"/>
    <mergeCell ref="E2:F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8557D-3CD3-5D41-B89F-E3CCCD8BE5E3}">
  <dimension ref="A3:C21"/>
  <sheetViews>
    <sheetView workbookViewId="0">
      <selection activeCell="D11" sqref="D11"/>
    </sheetView>
  </sheetViews>
  <sheetFormatPr baseColWidth="10" defaultRowHeight="16"/>
  <cols>
    <col min="3" max="3" width="14" bestFit="1" customWidth="1"/>
  </cols>
  <sheetData>
    <row r="3" spans="1:3">
      <c r="B3" s="76" t="s">
        <v>13</v>
      </c>
      <c r="C3" s="85" t="s">
        <v>112</v>
      </c>
    </row>
    <row r="4" spans="1:3">
      <c r="A4" s="13" t="s">
        <v>115</v>
      </c>
      <c r="B4" s="18">
        <v>1</v>
      </c>
      <c r="C4">
        <v>2</v>
      </c>
    </row>
    <row r="5" spans="1:3">
      <c r="A5" s="15"/>
      <c r="B5" s="8">
        <v>2</v>
      </c>
      <c r="C5">
        <v>1</v>
      </c>
    </row>
    <row r="6" spans="1:3">
      <c r="A6" s="15"/>
      <c r="B6" s="8">
        <v>3</v>
      </c>
      <c r="C6">
        <v>0</v>
      </c>
    </row>
    <row r="7" spans="1:3">
      <c r="A7" s="15"/>
      <c r="B7" s="8">
        <v>4</v>
      </c>
      <c r="C7">
        <v>0</v>
      </c>
    </row>
    <row r="8" spans="1:3">
      <c r="A8" s="15"/>
      <c r="B8" s="8">
        <v>5</v>
      </c>
      <c r="C8">
        <v>3</v>
      </c>
    </row>
    <row r="9" spans="1:3">
      <c r="A9" s="13" t="s">
        <v>114</v>
      </c>
      <c r="B9" s="18">
        <v>1</v>
      </c>
      <c r="C9" s="14">
        <v>1</v>
      </c>
    </row>
    <row r="10" spans="1:3">
      <c r="A10" s="15"/>
      <c r="B10" s="8">
        <v>2</v>
      </c>
      <c r="C10" s="9">
        <v>2</v>
      </c>
    </row>
    <row r="11" spans="1:3">
      <c r="A11" s="15"/>
      <c r="B11" s="8">
        <v>3</v>
      </c>
      <c r="C11" s="9">
        <v>3</v>
      </c>
    </row>
    <row r="12" spans="1:3">
      <c r="A12" s="16"/>
      <c r="B12" s="11">
        <v>4</v>
      </c>
      <c r="C12" s="12">
        <v>3</v>
      </c>
    </row>
    <row r="13" spans="1:3">
      <c r="A13" s="103"/>
    </row>
    <row r="16" spans="1:3">
      <c r="A16" s="30" t="s">
        <v>15</v>
      </c>
    </row>
    <row r="17" spans="1:2">
      <c r="A17">
        <v>0</v>
      </c>
      <c r="B17" t="s">
        <v>16</v>
      </c>
    </row>
    <row r="18" spans="1:2">
      <c r="A18">
        <v>1</v>
      </c>
      <c r="B18" t="s">
        <v>17</v>
      </c>
    </row>
    <row r="19" spans="1:2">
      <c r="A19">
        <v>2</v>
      </c>
      <c r="B19" t="s">
        <v>18</v>
      </c>
    </row>
    <row r="20" spans="1:2">
      <c r="A20">
        <v>3</v>
      </c>
      <c r="B20" t="s">
        <v>19</v>
      </c>
    </row>
    <row r="21" spans="1:2">
      <c r="A21">
        <v>4</v>
      </c>
      <c r="B21" t="s">
        <v>20</v>
      </c>
    </row>
  </sheetData>
  <mergeCells count="2">
    <mergeCell ref="A4:A8"/>
    <mergeCell ref="A9:A1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33EAE-2218-8E44-941A-43EBD7F27576}">
  <dimension ref="B1:K11"/>
  <sheetViews>
    <sheetView workbookViewId="0">
      <selection activeCell="C1" sqref="C1:K3"/>
    </sheetView>
  </sheetViews>
  <sheetFormatPr baseColWidth="10" defaultRowHeight="16"/>
  <sheetData>
    <row r="1" spans="2:11">
      <c r="C1" s="22" t="s">
        <v>116</v>
      </c>
      <c r="D1" s="23"/>
      <c r="E1" s="23"/>
      <c r="F1" s="23"/>
      <c r="G1" s="23"/>
      <c r="H1" s="23"/>
      <c r="I1" s="23"/>
      <c r="J1" s="23"/>
      <c r="K1" s="24"/>
    </row>
    <row r="2" spans="2:11">
      <c r="C2" s="22" t="s">
        <v>130</v>
      </c>
      <c r="D2" s="23"/>
      <c r="E2" s="24"/>
      <c r="F2" s="23" t="s">
        <v>131</v>
      </c>
      <c r="G2" s="23"/>
      <c r="H2" s="23"/>
      <c r="I2" s="22" t="s">
        <v>132</v>
      </c>
      <c r="J2" s="23"/>
      <c r="K2" s="24"/>
    </row>
    <row r="3" spans="2:11">
      <c r="C3" s="126">
        <v>1</v>
      </c>
      <c r="D3" s="127">
        <v>2</v>
      </c>
      <c r="E3" s="128">
        <v>3</v>
      </c>
      <c r="F3" s="127">
        <v>1</v>
      </c>
      <c r="G3" s="127">
        <v>2</v>
      </c>
      <c r="H3" s="127">
        <v>3</v>
      </c>
      <c r="I3" s="126">
        <v>1</v>
      </c>
      <c r="J3" s="127">
        <v>2</v>
      </c>
      <c r="K3" s="128">
        <v>3</v>
      </c>
    </row>
    <row r="4" spans="2:11">
      <c r="B4" s="118" t="s">
        <v>2</v>
      </c>
      <c r="C4" s="7">
        <v>334000</v>
      </c>
      <c r="D4" s="8">
        <v>371000</v>
      </c>
      <c r="E4" s="9">
        <v>405000</v>
      </c>
      <c r="F4" s="8">
        <v>398000</v>
      </c>
      <c r="G4" s="8">
        <v>501000</v>
      </c>
      <c r="H4" s="8">
        <v>410000</v>
      </c>
      <c r="I4" s="7">
        <v>546000</v>
      </c>
      <c r="J4" s="8">
        <v>292000</v>
      </c>
      <c r="K4" s="9">
        <v>583000</v>
      </c>
    </row>
    <row r="5" spans="2:11">
      <c r="B5" s="73" t="s">
        <v>59</v>
      </c>
      <c r="C5" s="7">
        <v>388000</v>
      </c>
      <c r="D5" s="8">
        <v>378000</v>
      </c>
      <c r="E5" s="9">
        <v>617000</v>
      </c>
      <c r="F5" s="8">
        <v>66100</v>
      </c>
      <c r="G5" s="8">
        <v>143000</v>
      </c>
      <c r="H5" s="8">
        <v>151000</v>
      </c>
      <c r="I5" s="7">
        <v>241000</v>
      </c>
      <c r="J5" s="8">
        <v>26700</v>
      </c>
      <c r="K5" s="9">
        <v>162000</v>
      </c>
    </row>
    <row r="6" spans="2:11">
      <c r="B6" s="73" t="s">
        <v>5</v>
      </c>
      <c r="C6" s="7">
        <v>279000</v>
      </c>
      <c r="D6" s="8">
        <v>186000</v>
      </c>
      <c r="E6" s="9">
        <v>128000</v>
      </c>
      <c r="F6" s="8">
        <v>52700</v>
      </c>
      <c r="G6" s="8">
        <v>44400</v>
      </c>
      <c r="H6" s="8">
        <v>51500</v>
      </c>
      <c r="I6" s="7">
        <v>66700</v>
      </c>
      <c r="J6" s="8">
        <v>36500</v>
      </c>
      <c r="K6" s="9">
        <v>67500</v>
      </c>
    </row>
    <row r="7" spans="2:11">
      <c r="B7" s="73" t="s">
        <v>6</v>
      </c>
      <c r="C7" s="7">
        <v>134000</v>
      </c>
      <c r="D7" s="8">
        <v>137000</v>
      </c>
      <c r="E7" s="9">
        <v>208000</v>
      </c>
      <c r="F7" s="8">
        <v>16900</v>
      </c>
      <c r="G7" s="8">
        <v>46700</v>
      </c>
      <c r="H7" s="8">
        <v>80500</v>
      </c>
      <c r="I7" s="7">
        <v>4930</v>
      </c>
      <c r="J7" s="8">
        <v>82900</v>
      </c>
      <c r="K7" s="9">
        <v>41000</v>
      </c>
    </row>
    <row r="8" spans="2:11">
      <c r="B8" s="73" t="s">
        <v>7</v>
      </c>
      <c r="C8" s="7">
        <v>106000</v>
      </c>
      <c r="D8" s="8">
        <v>112000</v>
      </c>
      <c r="E8" s="9">
        <v>136000</v>
      </c>
      <c r="F8" s="8">
        <v>244000</v>
      </c>
      <c r="G8" s="8">
        <v>147000</v>
      </c>
      <c r="H8" s="8">
        <v>54400</v>
      </c>
      <c r="I8" s="7">
        <v>286000</v>
      </c>
      <c r="J8" s="8">
        <v>345000</v>
      </c>
      <c r="K8" s="9">
        <v>285000</v>
      </c>
    </row>
    <row r="9" spans="2:11">
      <c r="B9" s="73" t="s">
        <v>60</v>
      </c>
      <c r="C9" s="7">
        <v>116000</v>
      </c>
      <c r="D9" s="8">
        <v>157000</v>
      </c>
      <c r="E9" s="9">
        <v>199000</v>
      </c>
      <c r="F9" s="8">
        <v>146000</v>
      </c>
      <c r="G9" s="8">
        <v>98100</v>
      </c>
      <c r="H9" s="8">
        <v>112000</v>
      </c>
      <c r="I9" s="7">
        <v>196000</v>
      </c>
      <c r="J9" s="8">
        <v>99200</v>
      </c>
      <c r="K9" s="9">
        <v>281000</v>
      </c>
    </row>
    <row r="10" spans="2:11">
      <c r="B10" s="73" t="s">
        <v>9</v>
      </c>
      <c r="C10" s="7">
        <v>471000</v>
      </c>
      <c r="D10" s="8">
        <v>560000</v>
      </c>
      <c r="E10" s="9">
        <v>395000</v>
      </c>
      <c r="F10" s="8">
        <v>80000</v>
      </c>
      <c r="G10" s="8">
        <v>19300</v>
      </c>
      <c r="H10" s="8">
        <v>98100</v>
      </c>
      <c r="I10" s="7">
        <v>107000</v>
      </c>
      <c r="J10" s="8">
        <v>143000</v>
      </c>
      <c r="K10" s="9">
        <v>47800</v>
      </c>
    </row>
    <row r="11" spans="2:11">
      <c r="B11" s="74" t="s">
        <v>10</v>
      </c>
      <c r="C11" s="10">
        <v>87800</v>
      </c>
      <c r="D11" s="11">
        <v>148000</v>
      </c>
      <c r="E11" s="12">
        <v>120000</v>
      </c>
      <c r="F11" s="11">
        <v>298000</v>
      </c>
      <c r="G11" s="11">
        <v>26000</v>
      </c>
      <c r="H11" s="11">
        <v>64800</v>
      </c>
      <c r="I11" s="10">
        <v>316000</v>
      </c>
      <c r="J11" s="11">
        <v>164000</v>
      </c>
      <c r="K11" s="12">
        <v>65200</v>
      </c>
    </row>
  </sheetData>
  <mergeCells count="4">
    <mergeCell ref="C1:K1"/>
    <mergeCell ref="C2:E2"/>
    <mergeCell ref="F2:H2"/>
    <mergeCell ref="I2:K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E854F-6069-7340-A8D6-86A1A3C9AB91}">
  <dimension ref="B2:K12"/>
  <sheetViews>
    <sheetView workbookViewId="0">
      <selection activeCell="N26" sqref="N26"/>
    </sheetView>
  </sheetViews>
  <sheetFormatPr baseColWidth="10" defaultRowHeight="16"/>
  <sheetData>
    <row r="2" spans="2:11">
      <c r="C2" s="22" t="s">
        <v>82</v>
      </c>
      <c r="D2" s="23"/>
      <c r="E2" s="23"/>
      <c r="F2" s="23"/>
      <c r="G2" s="23"/>
      <c r="H2" s="23"/>
      <c r="I2" s="23"/>
      <c r="J2" s="23"/>
      <c r="K2" s="24"/>
    </row>
    <row r="3" spans="2:11">
      <c r="C3" s="22" t="s">
        <v>130</v>
      </c>
      <c r="D3" s="23"/>
      <c r="E3" s="24"/>
      <c r="F3" s="23" t="s">
        <v>131</v>
      </c>
      <c r="G3" s="23"/>
      <c r="H3" s="23"/>
      <c r="I3" s="22" t="s">
        <v>132</v>
      </c>
      <c r="J3" s="23"/>
      <c r="K3" s="24"/>
    </row>
    <row r="4" spans="2:11">
      <c r="C4" s="125">
        <v>1</v>
      </c>
      <c r="D4" s="31">
        <v>2</v>
      </c>
      <c r="E4" s="124">
        <v>3</v>
      </c>
      <c r="F4" s="31">
        <v>1</v>
      </c>
      <c r="G4" s="31">
        <v>2</v>
      </c>
      <c r="H4" s="31">
        <v>3</v>
      </c>
      <c r="I4" s="125">
        <v>1</v>
      </c>
      <c r="J4" s="31">
        <v>2</v>
      </c>
      <c r="K4" s="124">
        <v>3</v>
      </c>
    </row>
    <row r="5" spans="2:11">
      <c r="B5" s="17" t="s">
        <v>2</v>
      </c>
      <c r="C5" s="17">
        <v>77</v>
      </c>
      <c r="D5" s="18">
        <v>74</v>
      </c>
      <c r="E5" s="14">
        <v>83</v>
      </c>
      <c r="F5" s="18">
        <v>54</v>
      </c>
      <c r="G5" s="18">
        <v>61</v>
      </c>
      <c r="H5" s="18">
        <v>53</v>
      </c>
      <c r="I5" s="17">
        <v>44</v>
      </c>
      <c r="J5" s="18">
        <v>65</v>
      </c>
      <c r="K5" s="14">
        <v>72</v>
      </c>
    </row>
    <row r="6" spans="2:11">
      <c r="B6" s="7" t="s">
        <v>59</v>
      </c>
      <c r="C6" s="7">
        <v>23</v>
      </c>
      <c r="D6" s="8">
        <v>23</v>
      </c>
      <c r="E6" s="9">
        <v>24</v>
      </c>
      <c r="F6" s="8">
        <v>50</v>
      </c>
      <c r="G6" s="8">
        <v>38</v>
      </c>
      <c r="H6" s="8">
        <v>60</v>
      </c>
      <c r="I6" s="7">
        <v>64</v>
      </c>
      <c r="J6" s="8">
        <v>0</v>
      </c>
      <c r="K6" s="9">
        <v>27</v>
      </c>
    </row>
    <row r="7" spans="2:11">
      <c r="B7" s="7" t="s">
        <v>5</v>
      </c>
      <c r="C7" s="7">
        <v>53</v>
      </c>
      <c r="D7" s="8">
        <v>57</v>
      </c>
      <c r="E7" s="9">
        <v>51</v>
      </c>
      <c r="F7" s="8">
        <v>55</v>
      </c>
      <c r="G7" s="8">
        <v>56</v>
      </c>
      <c r="H7" s="8">
        <v>43</v>
      </c>
      <c r="I7" s="7">
        <v>44</v>
      </c>
      <c r="J7" s="8">
        <v>32</v>
      </c>
      <c r="K7" s="9">
        <v>62</v>
      </c>
    </row>
    <row r="8" spans="2:11">
      <c r="B8" s="7" t="s">
        <v>6</v>
      </c>
      <c r="C8" s="7">
        <v>77</v>
      </c>
      <c r="D8" s="8">
        <v>70</v>
      </c>
      <c r="E8" s="9">
        <v>61</v>
      </c>
      <c r="F8" s="8">
        <v>83</v>
      </c>
      <c r="G8" s="8">
        <v>63</v>
      </c>
      <c r="H8" s="8">
        <v>44</v>
      </c>
      <c r="I8" s="7">
        <v>100</v>
      </c>
      <c r="J8" s="8">
        <v>55</v>
      </c>
      <c r="K8" s="9">
        <v>66</v>
      </c>
    </row>
    <row r="9" spans="2:11">
      <c r="B9" s="7" t="s">
        <v>7</v>
      </c>
      <c r="C9" s="7">
        <v>60</v>
      </c>
      <c r="D9" s="8">
        <v>62</v>
      </c>
      <c r="E9" s="9">
        <v>54</v>
      </c>
      <c r="F9" s="8">
        <v>77</v>
      </c>
      <c r="G9" s="8">
        <v>82</v>
      </c>
      <c r="H9" s="8">
        <v>86</v>
      </c>
      <c r="I9" s="7">
        <v>97</v>
      </c>
      <c r="J9" s="8">
        <v>77</v>
      </c>
      <c r="K9" s="9">
        <v>84</v>
      </c>
    </row>
    <row r="10" spans="2:11">
      <c r="B10" s="7" t="s">
        <v>60</v>
      </c>
      <c r="C10" s="7">
        <v>41</v>
      </c>
      <c r="D10" s="8">
        <v>36</v>
      </c>
      <c r="E10" s="9">
        <v>40</v>
      </c>
      <c r="F10" s="8">
        <v>47</v>
      </c>
      <c r="G10" s="8">
        <v>42</v>
      </c>
      <c r="H10" s="8">
        <v>50</v>
      </c>
      <c r="I10" s="7">
        <v>24</v>
      </c>
      <c r="J10" s="8">
        <v>54</v>
      </c>
      <c r="K10" s="9">
        <v>31</v>
      </c>
    </row>
    <row r="11" spans="2:11">
      <c r="B11" s="7" t="s">
        <v>9</v>
      </c>
      <c r="C11" s="7">
        <v>81</v>
      </c>
      <c r="D11" s="8">
        <v>63</v>
      </c>
      <c r="E11" s="9">
        <v>78</v>
      </c>
      <c r="F11" s="8">
        <v>59</v>
      </c>
      <c r="G11" s="8">
        <v>50</v>
      </c>
      <c r="H11" s="8">
        <v>86</v>
      </c>
      <c r="I11" s="7">
        <v>32</v>
      </c>
      <c r="J11" s="8">
        <v>27</v>
      </c>
      <c r="K11" s="9">
        <v>62</v>
      </c>
    </row>
    <row r="12" spans="2:11">
      <c r="B12" s="10" t="s">
        <v>10</v>
      </c>
      <c r="C12" s="10">
        <v>74</v>
      </c>
      <c r="D12" s="11">
        <v>71</v>
      </c>
      <c r="E12" s="12">
        <v>74</v>
      </c>
      <c r="F12" s="11">
        <v>100</v>
      </c>
      <c r="G12" s="11">
        <v>81</v>
      </c>
      <c r="H12" s="11">
        <v>65</v>
      </c>
      <c r="I12" s="10">
        <v>97</v>
      </c>
      <c r="J12" s="11">
        <v>90</v>
      </c>
      <c r="K12" s="12">
        <v>91</v>
      </c>
    </row>
  </sheetData>
  <mergeCells count="4">
    <mergeCell ref="C2:K2"/>
    <mergeCell ref="C3:E3"/>
    <mergeCell ref="F3:H3"/>
    <mergeCell ref="I3:K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E5680-3ADC-E04E-ADC5-4874195F753F}">
  <dimension ref="A1:Y44"/>
  <sheetViews>
    <sheetView tabSelected="1" zoomScale="66" workbookViewId="0">
      <selection activeCell="F21" sqref="F21"/>
    </sheetView>
  </sheetViews>
  <sheetFormatPr baseColWidth="10" defaultRowHeight="16"/>
  <cols>
    <col min="3" max="3" width="12.33203125" bestFit="1" customWidth="1"/>
  </cols>
  <sheetData>
    <row r="1" spans="1:25">
      <c r="A1" s="166" t="s">
        <v>140</v>
      </c>
    </row>
    <row r="2" spans="1:25">
      <c r="E2" s="4" t="s">
        <v>23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86"/>
      <c r="W2" s="86"/>
      <c r="X2" s="86"/>
      <c r="Y2" s="86"/>
    </row>
    <row r="3" spans="1:25">
      <c r="D3" s="117" t="s">
        <v>83</v>
      </c>
      <c r="E3" s="123">
        <v>0</v>
      </c>
      <c r="F3" s="122">
        <v>1</v>
      </c>
      <c r="G3" s="122">
        <v>2</v>
      </c>
      <c r="H3" s="122">
        <v>3</v>
      </c>
      <c r="I3" s="122">
        <v>4</v>
      </c>
      <c r="J3" s="122">
        <v>5</v>
      </c>
      <c r="K3" s="122">
        <v>6</v>
      </c>
      <c r="L3" s="122">
        <v>7</v>
      </c>
      <c r="M3" s="122">
        <v>8</v>
      </c>
      <c r="N3" s="122">
        <v>9</v>
      </c>
      <c r="O3" s="122">
        <v>10</v>
      </c>
      <c r="P3" s="122">
        <v>11</v>
      </c>
      <c r="Q3" s="122">
        <v>12</v>
      </c>
      <c r="R3" s="122">
        <v>13</v>
      </c>
      <c r="S3" s="122">
        <v>14</v>
      </c>
      <c r="T3" s="122">
        <v>15</v>
      </c>
      <c r="U3" s="77">
        <v>16</v>
      </c>
    </row>
    <row r="4" spans="1:25">
      <c r="B4" s="113" t="s">
        <v>133</v>
      </c>
      <c r="C4" s="113" t="s">
        <v>138</v>
      </c>
      <c r="D4" s="14">
        <v>1</v>
      </c>
      <c r="E4" s="83">
        <v>0</v>
      </c>
      <c r="F4" s="36">
        <v>0</v>
      </c>
      <c r="G4" s="36">
        <v>0</v>
      </c>
      <c r="H4" s="36">
        <v>0</v>
      </c>
      <c r="I4" s="36">
        <f>AVERAGE(2,7)*150*10000</f>
        <v>6750000</v>
      </c>
      <c r="J4" s="36">
        <f>AVERAGE(28,34)*150*10000</f>
        <v>46500000</v>
      </c>
      <c r="K4" s="36">
        <f>AVERAGE(30,28)*150*10000</f>
        <v>43500000</v>
      </c>
      <c r="L4" s="36">
        <f>AVERAGE(75)*150*10000</f>
        <v>112500000</v>
      </c>
      <c r="M4" s="36">
        <f>70*150*10000</f>
        <v>105000000</v>
      </c>
      <c r="N4" s="36">
        <f>88*150*10000</f>
        <v>132000000</v>
      </c>
      <c r="O4" s="36" t="s">
        <v>32</v>
      </c>
      <c r="P4" s="36" t="s">
        <v>32</v>
      </c>
      <c r="Q4" s="36" t="s">
        <v>32</v>
      </c>
      <c r="R4" s="36" t="s">
        <v>32</v>
      </c>
      <c r="S4" s="36" t="s">
        <v>32</v>
      </c>
      <c r="T4" s="36" t="s">
        <v>32</v>
      </c>
      <c r="U4" s="55" t="s">
        <v>32</v>
      </c>
      <c r="V4" s="33"/>
      <c r="W4" s="33"/>
      <c r="X4" s="33"/>
      <c r="Y4" s="33"/>
    </row>
    <row r="5" spans="1:25">
      <c r="B5" s="114"/>
      <c r="C5" s="114"/>
      <c r="D5" s="9">
        <v>2</v>
      </c>
      <c r="E5" s="83">
        <v>0</v>
      </c>
      <c r="F5" s="36">
        <v>0</v>
      </c>
      <c r="G5" s="36">
        <v>0</v>
      </c>
      <c r="H5" s="36">
        <v>0</v>
      </c>
      <c r="I5" s="36">
        <f>AVERAGE(6,2)*150*10000</f>
        <v>6000000</v>
      </c>
      <c r="J5" s="36">
        <f>AVERAGE(8,3)*150*10000</f>
        <v>8250000</v>
      </c>
      <c r="K5" s="36">
        <f>AVERAGE(36,32)*150*10000</f>
        <v>51000000</v>
      </c>
      <c r="L5" s="36">
        <f>AVERAGE(60)*150*10000</f>
        <v>90000000</v>
      </c>
      <c r="M5" s="36">
        <f>52*150*10000</f>
        <v>78000000</v>
      </c>
      <c r="N5" s="36">
        <f>57*150*10000</f>
        <v>85500000</v>
      </c>
      <c r="O5" s="36">
        <f>40*150*10000</f>
        <v>60000000</v>
      </c>
      <c r="P5" s="36">
        <f>40*150*10000</f>
        <v>60000000</v>
      </c>
      <c r="Q5" s="36"/>
      <c r="R5" s="36">
        <f>100*150*10000</f>
        <v>150000000</v>
      </c>
      <c r="S5" s="36">
        <f>52*150*10000</f>
        <v>78000000</v>
      </c>
      <c r="T5" s="36" t="s">
        <v>32</v>
      </c>
      <c r="U5" s="55" t="s">
        <v>32</v>
      </c>
      <c r="V5" s="33"/>
      <c r="W5" s="33"/>
      <c r="X5" s="33"/>
      <c r="Y5" s="33"/>
    </row>
    <row r="6" spans="1:25">
      <c r="B6" s="114"/>
      <c r="C6" s="114"/>
      <c r="D6" s="9">
        <v>3</v>
      </c>
      <c r="E6" s="83">
        <v>0</v>
      </c>
      <c r="F6" s="36">
        <v>0</v>
      </c>
      <c r="G6" s="36">
        <v>0</v>
      </c>
      <c r="H6" s="36">
        <v>0</v>
      </c>
      <c r="I6" s="36">
        <f>AVERAGE(5,8)*150*10000</f>
        <v>9750000</v>
      </c>
      <c r="J6" s="36">
        <f>AVERAGE(11,17)*150*10000</f>
        <v>21000000</v>
      </c>
      <c r="K6" s="36">
        <f>AVERAGE(30,31)*150*10000</f>
        <v>45750000</v>
      </c>
      <c r="L6" s="36">
        <f>AVERAGE(56)*150*10000</f>
        <v>84000000</v>
      </c>
      <c r="M6" s="36">
        <f>32*150*10000</f>
        <v>48000000</v>
      </c>
      <c r="N6" s="36">
        <f>80*150*10000</f>
        <v>120000000</v>
      </c>
      <c r="O6" s="36">
        <f>193*150*10000</f>
        <v>289500000</v>
      </c>
      <c r="P6" s="36">
        <f>80*150*10000</f>
        <v>120000000</v>
      </c>
      <c r="Q6" s="36" t="s">
        <v>32</v>
      </c>
      <c r="R6" s="36" t="s">
        <v>32</v>
      </c>
      <c r="S6" s="36" t="s">
        <v>32</v>
      </c>
      <c r="T6" s="36" t="s">
        <v>32</v>
      </c>
      <c r="U6" s="55" t="s">
        <v>32</v>
      </c>
      <c r="V6" s="33"/>
      <c r="W6" s="33"/>
      <c r="X6" s="33"/>
      <c r="Y6" s="33"/>
    </row>
    <row r="7" spans="1:25">
      <c r="B7" s="114"/>
      <c r="C7" s="113" t="s">
        <v>139</v>
      </c>
      <c r="D7" s="14">
        <v>1</v>
      </c>
      <c r="E7" s="82">
        <v>0</v>
      </c>
      <c r="F7" s="53">
        <v>0</v>
      </c>
      <c r="G7" s="53">
        <v>0</v>
      </c>
      <c r="H7" s="53">
        <v>0</v>
      </c>
      <c r="I7" s="53">
        <f>AVERAGE(7,3)*150*10000</f>
        <v>7500000</v>
      </c>
      <c r="J7" s="53">
        <f>AVERAGE(32,40)*150*10000</f>
        <v>54000000</v>
      </c>
      <c r="K7" s="53">
        <f>AVERAGE(28,33)*150*10000</f>
        <v>45750000</v>
      </c>
      <c r="L7" s="53">
        <f>AVERAGE(59)*150*10000</f>
        <v>88500000</v>
      </c>
      <c r="M7" s="53">
        <f>24*150*10000</f>
        <v>36000000</v>
      </c>
      <c r="N7" s="53">
        <f>64*150*10000</f>
        <v>96000000</v>
      </c>
      <c r="O7" s="53">
        <f>43*150*10000</f>
        <v>64500000</v>
      </c>
      <c r="P7" s="53">
        <f>30*150*10000</f>
        <v>45000000</v>
      </c>
      <c r="Q7" s="53"/>
      <c r="R7" s="53">
        <f>32*150*10000</f>
        <v>48000000</v>
      </c>
      <c r="S7" s="53">
        <f>53*150*10000</f>
        <v>79500000</v>
      </c>
      <c r="T7" s="53">
        <f>44*150*10000</f>
        <v>66000000</v>
      </c>
      <c r="U7" s="54">
        <f>32*150*10000</f>
        <v>48000000</v>
      </c>
      <c r="V7" s="33"/>
      <c r="W7" s="33"/>
      <c r="X7" s="33"/>
      <c r="Y7" s="33"/>
    </row>
    <row r="8" spans="1:25">
      <c r="B8" s="114"/>
      <c r="C8" s="114"/>
      <c r="D8" s="9">
        <v>2</v>
      </c>
      <c r="E8" s="83">
        <v>0</v>
      </c>
      <c r="F8" s="36">
        <v>0</v>
      </c>
      <c r="G8" s="36">
        <v>0</v>
      </c>
      <c r="H8" s="36">
        <v>0</v>
      </c>
      <c r="I8" s="36">
        <f>AVERAGE(9,12)*150*10000</f>
        <v>15750000</v>
      </c>
      <c r="J8" s="36">
        <f>AVERAGE(13,22)*150*10000</f>
        <v>26250000</v>
      </c>
      <c r="K8" s="36">
        <f>AVERAGE(36,37)*150*10000</f>
        <v>54750000</v>
      </c>
      <c r="L8" s="36">
        <f>AVERAGE(48)*150*10000</f>
        <v>72000000</v>
      </c>
      <c r="M8" s="36">
        <f>40*150*10000</f>
        <v>60000000</v>
      </c>
      <c r="N8" s="36">
        <f>40*150*10000</f>
        <v>60000000</v>
      </c>
      <c r="O8" s="36">
        <f>52*150*10000</f>
        <v>78000000</v>
      </c>
      <c r="P8" s="36">
        <f>32*150*10000</f>
        <v>48000000</v>
      </c>
      <c r="Q8" s="36"/>
      <c r="R8" s="36">
        <f>46*150*10000</f>
        <v>69000000</v>
      </c>
      <c r="S8" s="36">
        <f>36*150*10000</f>
        <v>54000000</v>
      </c>
      <c r="T8" s="36">
        <f>52*150*10000</f>
        <v>78000000</v>
      </c>
      <c r="U8" s="55">
        <f>36*150*10000</f>
        <v>54000000</v>
      </c>
      <c r="V8" s="33"/>
      <c r="W8" s="33"/>
      <c r="X8" s="33"/>
      <c r="Y8" s="33"/>
    </row>
    <row r="9" spans="1:25">
      <c r="B9" s="114"/>
      <c r="C9" s="115"/>
      <c r="D9" s="12">
        <v>3</v>
      </c>
      <c r="E9" s="84">
        <v>0</v>
      </c>
      <c r="F9" s="56">
        <v>0</v>
      </c>
      <c r="G9" s="56">
        <v>0</v>
      </c>
      <c r="H9" s="56">
        <v>0</v>
      </c>
      <c r="I9" s="56">
        <f>AVERAGE(5,3)*150*10000</f>
        <v>6000000</v>
      </c>
      <c r="J9" s="56">
        <f>AVERAGE(25,30)*150*10000</f>
        <v>41250000</v>
      </c>
      <c r="K9" s="56">
        <f>AVERAGE(38,41)*150*10000</f>
        <v>59250000</v>
      </c>
      <c r="L9" s="56">
        <f>AVERAGE(32)*150*10000</f>
        <v>48000000</v>
      </c>
      <c r="M9" s="56">
        <f>60*150*10000</f>
        <v>90000000</v>
      </c>
      <c r="N9" s="56">
        <f>88*150*10000</f>
        <v>132000000</v>
      </c>
      <c r="O9" s="56">
        <f>44*150*10000</f>
        <v>66000000</v>
      </c>
      <c r="P9" s="56">
        <f>31*150*10000</f>
        <v>46500000</v>
      </c>
      <c r="Q9" s="56"/>
      <c r="R9" s="56">
        <f>52*150*10000</f>
        <v>78000000</v>
      </c>
      <c r="S9" s="56">
        <f>20*150*10000</f>
        <v>30000000</v>
      </c>
      <c r="T9" s="56">
        <f>36*150*10000</f>
        <v>54000000</v>
      </c>
      <c r="U9" s="57">
        <f>20*150*10000</f>
        <v>30000000</v>
      </c>
      <c r="V9" s="33"/>
      <c r="W9" s="33"/>
      <c r="X9" s="33"/>
      <c r="Y9" s="33"/>
    </row>
    <row r="10" spans="1:25">
      <c r="B10" s="114"/>
      <c r="C10" s="113" t="s">
        <v>137</v>
      </c>
      <c r="D10" s="14">
        <v>1</v>
      </c>
      <c r="E10" s="82">
        <v>0</v>
      </c>
      <c r="F10" s="53">
        <v>0</v>
      </c>
      <c r="G10" s="53">
        <v>0</v>
      </c>
      <c r="H10" s="53">
        <v>0</v>
      </c>
      <c r="I10" s="53">
        <f>AVERAGE(1,3)*150*10000</f>
        <v>3000000</v>
      </c>
      <c r="J10" s="53">
        <f>AVERAGE(40,37)*150*10000</f>
        <v>57750000</v>
      </c>
      <c r="K10" s="53">
        <f>AVERAGE(38,35)*150*10000</f>
        <v>54750000</v>
      </c>
      <c r="L10" s="53">
        <f>AVERAGE(44)*150*10000</f>
        <v>66000000</v>
      </c>
      <c r="M10" s="53">
        <f>38*150*10000</f>
        <v>57000000</v>
      </c>
      <c r="N10" s="53">
        <f>102*150*10000</f>
        <v>153000000</v>
      </c>
      <c r="O10" s="53">
        <f>56*150*10000</f>
        <v>84000000</v>
      </c>
      <c r="P10" s="53">
        <f>25*150*10000</f>
        <v>37500000</v>
      </c>
      <c r="Q10" s="53"/>
      <c r="R10" s="53">
        <f>69*150*10000</f>
        <v>103500000</v>
      </c>
      <c r="S10" s="53">
        <f>28*150*10000</f>
        <v>42000000</v>
      </c>
      <c r="T10" s="53">
        <f>(14*4)*150*10000</f>
        <v>84000000</v>
      </c>
      <c r="U10" s="54">
        <f>28*150*10000</f>
        <v>42000000</v>
      </c>
      <c r="V10" s="33"/>
      <c r="W10" s="33"/>
      <c r="X10" s="33"/>
      <c r="Y10" s="33"/>
    </row>
    <row r="11" spans="1:25">
      <c r="B11" s="114"/>
      <c r="C11" s="114"/>
      <c r="D11" s="9">
        <v>2</v>
      </c>
      <c r="E11" s="83">
        <v>0</v>
      </c>
      <c r="F11" s="36">
        <v>0</v>
      </c>
      <c r="G11" s="36">
        <v>0</v>
      </c>
      <c r="H11" s="36">
        <v>0</v>
      </c>
      <c r="I11" s="36">
        <f>AVERAGE(4,4)*150*10000</f>
        <v>6000000</v>
      </c>
      <c r="J11" s="36">
        <f>AVERAGE(15,17)*150*10000</f>
        <v>24000000</v>
      </c>
      <c r="K11" s="36">
        <f>AVERAGE(34,30)*150*10000</f>
        <v>48000000</v>
      </c>
      <c r="L11" s="36">
        <f>AVERAGE(58)*150*10000</f>
        <v>87000000</v>
      </c>
      <c r="M11" s="36">
        <f>32*150*10000</f>
        <v>48000000</v>
      </c>
      <c r="N11" s="36">
        <f>45*150*10000</f>
        <v>67500000</v>
      </c>
      <c r="O11" s="36">
        <f>40*150*10000</f>
        <v>60000000</v>
      </c>
      <c r="P11" s="36">
        <f>64*150*10000</f>
        <v>96000000</v>
      </c>
      <c r="Q11" s="36"/>
      <c r="R11" s="36">
        <f>52*150*10000</f>
        <v>78000000</v>
      </c>
      <c r="S11" s="36">
        <f>72*150*10000</f>
        <v>108000000</v>
      </c>
      <c r="T11" s="36">
        <f>(12*4)*150*10000</f>
        <v>72000000</v>
      </c>
      <c r="U11" s="55">
        <f>24*150*10000</f>
        <v>36000000</v>
      </c>
      <c r="V11" s="33"/>
      <c r="W11" s="33"/>
      <c r="X11" s="33"/>
      <c r="Y11" s="33"/>
    </row>
    <row r="12" spans="1:25">
      <c r="B12" s="114"/>
      <c r="C12" s="115"/>
      <c r="D12" s="12">
        <v>3</v>
      </c>
      <c r="E12" s="84">
        <v>0</v>
      </c>
      <c r="F12" s="56">
        <v>0</v>
      </c>
      <c r="G12" s="56">
        <v>0</v>
      </c>
      <c r="H12" s="56">
        <v>0</v>
      </c>
      <c r="I12" s="56">
        <f>AVERAGE(3,5)*150*10000</f>
        <v>6000000</v>
      </c>
      <c r="J12" s="56">
        <f>AVERAGE(1,3,5)*150*10000</f>
        <v>4500000</v>
      </c>
      <c r="K12" s="56">
        <f>AVERAGE(42,45)*150*10000</f>
        <v>65250000</v>
      </c>
      <c r="L12" s="56">
        <f>AVERAGE(50)*150*10000</f>
        <v>75000000</v>
      </c>
      <c r="M12" s="56">
        <f>31*150*10000</f>
        <v>46500000</v>
      </c>
      <c r="N12" s="56">
        <f>56*150*10000</f>
        <v>84000000</v>
      </c>
      <c r="O12" s="56">
        <f>28*150*10000</f>
        <v>42000000</v>
      </c>
      <c r="P12" s="56">
        <f>32*150*10000</f>
        <v>48000000</v>
      </c>
      <c r="Q12" s="56"/>
      <c r="R12" s="56">
        <f>100*150*10000</f>
        <v>150000000</v>
      </c>
      <c r="S12" s="56">
        <f>71*150*10000</f>
        <v>106500000</v>
      </c>
      <c r="T12" s="56">
        <f>40*150*10000</f>
        <v>60000000</v>
      </c>
      <c r="U12" s="57">
        <f>40*150*10000</f>
        <v>60000000</v>
      </c>
      <c r="V12" s="33"/>
      <c r="W12" s="33"/>
      <c r="X12" s="33"/>
      <c r="Y12" s="33"/>
    </row>
    <row r="13" spans="1:25">
      <c r="B13" s="114"/>
      <c r="C13" s="113" t="s">
        <v>135</v>
      </c>
      <c r="D13" s="14">
        <v>1</v>
      </c>
      <c r="E13" s="82">
        <v>0</v>
      </c>
      <c r="F13" s="53">
        <v>0</v>
      </c>
      <c r="G13" s="53">
        <v>0</v>
      </c>
      <c r="H13" s="53">
        <v>0</v>
      </c>
      <c r="I13" s="53">
        <f>AVERAGE(5,5)*150*10000</f>
        <v>7500000</v>
      </c>
      <c r="J13" s="53">
        <f>AVERAGE(34,17)*150*10000</f>
        <v>38250000</v>
      </c>
      <c r="K13" s="53">
        <f>AVERAGE(40,36)*150*10000</f>
        <v>57000000</v>
      </c>
      <c r="L13" s="53">
        <f>AVERAGE(52)*150*10000</f>
        <v>78000000</v>
      </c>
      <c r="M13" s="53">
        <f>42*150*10000</f>
        <v>63000000</v>
      </c>
      <c r="N13" s="53">
        <f>50*150*10000</f>
        <v>75000000</v>
      </c>
      <c r="O13" s="53">
        <f>44*150*10000</f>
        <v>66000000</v>
      </c>
      <c r="P13" s="53">
        <f>16*150*10000</f>
        <v>24000000</v>
      </c>
      <c r="Q13" s="53"/>
      <c r="R13" s="53">
        <f>40*150*10000</f>
        <v>60000000</v>
      </c>
      <c r="S13" s="53">
        <f>48*150*10000</f>
        <v>72000000</v>
      </c>
      <c r="T13" s="53">
        <f>32*150*10000</f>
        <v>48000000</v>
      </c>
      <c r="U13" s="54">
        <f>34*150*10000</f>
        <v>51000000</v>
      </c>
      <c r="V13" s="33"/>
      <c r="W13" s="33"/>
      <c r="X13" s="33"/>
      <c r="Y13" s="33"/>
    </row>
    <row r="14" spans="1:25">
      <c r="B14" s="114"/>
      <c r="C14" s="114"/>
      <c r="D14" s="9">
        <v>2</v>
      </c>
      <c r="E14" s="83">
        <v>0</v>
      </c>
      <c r="F14" s="36">
        <v>0</v>
      </c>
      <c r="G14" s="36">
        <v>0</v>
      </c>
      <c r="H14" s="36">
        <v>0</v>
      </c>
      <c r="I14" s="36">
        <f>AVERAGE(4,3)*150*10000</f>
        <v>5250000</v>
      </c>
      <c r="J14" s="36">
        <f>AVERAGE(6,16)*150*10000</f>
        <v>16500000</v>
      </c>
      <c r="K14" s="36">
        <f>AVERAGE(38,42)*150*10000</f>
        <v>60000000</v>
      </c>
      <c r="L14" s="36">
        <f>AVERAGE(36)*150*10000</f>
        <v>54000000</v>
      </c>
      <c r="M14" s="36">
        <f>52*150*10000</f>
        <v>78000000</v>
      </c>
      <c r="N14" s="36">
        <f>44*150*10000</f>
        <v>66000000</v>
      </c>
      <c r="O14" s="36">
        <f>68*150*10000</f>
        <v>102000000</v>
      </c>
      <c r="P14" s="36">
        <f>80*150*10000</f>
        <v>120000000</v>
      </c>
      <c r="Q14" s="36"/>
      <c r="R14" s="36">
        <f>120*150*10000</f>
        <v>180000000</v>
      </c>
      <c r="S14" s="36">
        <f>44*150*10000</f>
        <v>66000000</v>
      </c>
      <c r="T14" s="36">
        <f>44*150*10000</f>
        <v>66000000</v>
      </c>
      <c r="U14" s="55">
        <f>20*150*10000</f>
        <v>30000000</v>
      </c>
      <c r="V14" s="33"/>
      <c r="W14" s="33"/>
      <c r="X14" s="33"/>
      <c r="Y14" s="33"/>
    </row>
    <row r="15" spans="1:25">
      <c r="B15" s="114"/>
      <c r="C15" s="115"/>
      <c r="D15" s="12">
        <v>3</v>
      </c>
      <c r="E15" s="84">
        <v>0</v>
      </c>
      <c r="F15" s="56">
        <v>0</v>
      </c>
      <c r="G15" s="56">
        <v>0</v>
      </c>
      <c r="H15" s="56">
        <f>AVERAGE(1,0,0,0)*150*10000</f>
        <v>375000</v>
      </c>
      <c r="I15" s="56">
        <f>AVERAGE(1,1)*150*10000</f>
        <v>1500000</v>
      </c>
      <c r="J15" s="56">
        <f>AVERAGE(22,20)*150*10000</f>
        <v>31500000</v>
      </c>
      <c r="K15" s="56">
        <f>AVERAGE(26,34)*150*10000</f>
        <v>45000000</v>
      </c>
      <c r="L15" s="56">
        <f>AVERAGE(16)*150*10000</f>
        <v>24000000</v>
      </c>
      <c r="M15" s="56">
        <f>22*150*10000</f>
        <v>33000000</v>
      </c>
      <c r="N15" s="56">
        <f>88*150*10000</f>
        <v>132000000</v>
      </c>
      <c r="O15" s="56">
        <f>32*150*10000</f>
        <v>48000000</v>
      </c>
      <c r="P15" s="56">
        <f>52*150*10000</f>
        <v>78000000</v>
      </c>
      <c r="Q15" s="56"/>
      <c r="R15" s="56">
        <f>112*150*10000</f>
        <v>168000000</v>
      </c>
      <c r="S15" s="56">
        <f>20*150*10000</f>
        <v>30000000</v>
      </c>
      <c r="T15" s="56">
        <f>20*150*10000</f>
        <v>30000000</v>
      </c>
      <c r="U15" s="57">
        <f>20*150*10000</f>
        <v>30000000</v>
      </c>
      <c r="V15" s="33"/>
      <c r="W15" s="33"/>
      <c r="X15" s="33"/>
      <c r="Y15" s="33"/>
    </row>
    <row r="16" spans="1:25">
      <c r="B16" s="113" t="s">
        <v>136</v>
      </c>
      <c r="C16" s="113" t="s">
        <v>135</v>
      </c>
      <c r="D16" s="14">
        <v>1</v>
      </c>
      <c r="E16" s="82">
        <v>0</v>
      </c>
      <c r="F16" s="53">
        <v>0</v>
      </c>
      <c r="G16" s="53">
        <v>0</v>
      </c>
      <c r="H16" s="53">
        <v>0</v>
      </c>
      <c r="I16" s="53">
        <f>AVERAGE(10,2,5)*150*10000</f>
        <v>8500000</v>
      </c>
      <c r="J16" s="53">
        <f>AVERAGE(9,10)*150*10000</f>
        <v>14250000</v>
      </c>
      <c r="K16" s="53">
        <f>AVERAGE(36,48)*150*10000</f>
        <v>63000000</v>
      </c>
      <c r="L16" s="53">
        <f>AVERAGE(70)*150*10000</f>
        <v>105000000</v>
      </c>
      <c r="M16" s="53" t="s">
        <v>32</v>
      </c>
      <c r="N16" s="53" t="s">
        <v>32</v>
      </c>
      <c r="O16" s="53" t="s">
        <v>32</v>
      </c>
      <c r="P16" s="53" t="s">
        <v>32</v>
      </c>
      <c r="Q16" s="53" t="s">
        <v>32</v>
      </c>
      <c r="R16" s="53" t="s">
        <v>32</v>
      </c>
      <c r="S16" s="53" t="s">
        <v>32</v>
      </c>
      <c r="T16" s="53" t="s">
        <v>32</v>
      </c>
      <c r="U16" s="54" t="s">
        <v>32</v>
      </c>
      <c r="V16" s="33"/>
      <c r="W16" s="33"/>
      <c r="X16" s="33"/>
      <c r="Y16" s="33"/>
    </row>
    <row r="17" spans="1:25">
      <c r="B17" s="114"/>
      <c r="C17" s="114"/>
      <c r="D17" s="9">
        <v>2</v>
      </c>
      <c r="E17" s="83">
        <v>0</v>
      </c>
      <c r="F17" s="36">
        <v>0</v>
      </c>
      <c r="G17" s="36">
        <v>0</v>
      </c>
      <c r="H17" s="36">
        <v>0</v>
      </c>
      <c r="I17" s="36">
        <f>AVERAGE(2,5)*150*10000</f>
        <v>5250000</v>
      </c>
      <c r="J17" s="36">
        <f>AVERAGE(9,9)*150*10000</f>
        <v>13500000</v>
      </c>
      <c r="K17" s="36">
        <f>AVERAGE(36,26)*150*10000</f>
        <v>46500000</v>
      </c>
      <c r="L17" s="36">
        <f>AVERAGE(45)*150*10000</f>
        <v>67500000</v>
      </c>
      <c r="M17" s="36">
        <f>52*150*10000</f>
        <v>78000000</v>
      </c>
      <c r="N17" s="36">
        <f>56*150*10000</f>
        <v>84000000</v>
      </c>
      <c r="O17" s="36" t="s">
        <v>32</v>
      </c>
      <c r="P17" s="36" t="s">
        <v>32</v>
      </c>
      <c r="Q17" s="36" t="s">
        <v>32</v>
      </c>
      <c r="R17" s="36" t="s">
        <v>32</v>
      </c>
      <c r="S17" s="36" t="s">
        <v>32</v>
      </c>
      <c r="T17" s="36" t="s">
        <v>32</v>
      </c>
      <c r="U17" s="55" t="s">
        <v>32</v>
      </c>
      <c r="V17" s="33"/>
      <c r="W17" s="33"/>
      <c r="X17" s="33"/>
      <c r="Y17" s="33"/>
    </row>
    <row r="18" spans="1:25">
      <c r="B18" s="115"/>
      <c r="C18" s="115"/>
      <c r="D18" s="12">
        <v>3</v>
      </c>
      <c r="E18" s="84">
        <v>0</v>
      </c>
      <c r="F18" s="56">
        <v>0</v>
      </c>
      <c r="G18" s="56">
        <v>0</v>
      </c>
      <c r="H18" s="56">
        <v>0</v>
      </c>
      <c r="I18" s="56">
        <f>AVERAGE(9,10)*150*10000</f>
        <v>14250000</v>
      </c>
      <c r="J18" s="56">
        <f>AVERAGE(9,18)*150*10000</f>
        <v>20250000</v>
      </c>
      <c r="K18" s="56">
        <f>AVERAGE(34,52)*150*10000</f>
        <v>64500000</v>
      </c>
      <c r="L18" s="56">
        <f>AVERAGE(111)*150*10000</f>
        <v>166500000</v>
      </c>
      <c r="M18" s="56">
        <f>35*150*10000</f>
        <v>52500000</v>
      </c>
      <c r="N18" s="56" t="s">
        <v>32</v>
      </c>
      <c r="O18" s="56" t="s">
        <v>32</v>
      </c>
      <c r="P18" s="56" t="s">
        <v>32</v>
      </c>
      <c r="Q18" s="56" t="s">
        <v>32</v>
      </c>
      <c r="R18" s="56" t="s">
        <v>32</v>
      </c>
      <c r="S18" s="56" t="s">
        <v>32</v>
      </c>
      <c r="T18" s="56" t="s">
        <v>32</v>
      </c>
      <c r="U18" s="57" t="s">
        <v>32</v>
      </c>
      <c r="V18" s="33"/>
      <c r="W18" s="33"/>
      <c r="X18" s="33"/>
      <c r="Y18" s="33"/>
    </row>
    <row r="19" spans="1:25">
      <c r="B19" s="163"/>
      <c r="C19" s="163"/>
      <c r="D19" s="163"/>
      <c r="E19" s="164"/>
      <c r="F19" s="164"/>
      <c r="G19" s="164"/>
    </row>
    <row r="20" spans="1:25">
      <c r="B20" s="163"/>
      <c r="C20" s="163"/>
      <c r="D20" s="163"/>
      <c r="E20" s="164"/>
      <c r="F20" s="164"/>
      <c r="G20" s="164"/>
    </row>
    <row r="21" spans="1:25">
      <c r="B21" s="163"/>
      <c r="C21" s="163"/>
      <c r="D21" s="163"/>
      <c r="E21" s="164"/>
      <c r="F21" s="164"/>
      <c r="G21" s="164"/>
    </row>
    <row r="22" spans="1:25">
      <c r="B22" s="163"/>
      <c r="C22" s="163"/>
      <c r="D22" s="163"/>
      <c r="E22" s="164"/>
      <c r="F22" s="164"/>
      <c r="G22" s="164"/>
    </row>
    <row r="23" spans="1:25">
      <c r="B23" s="163"/>
      <c r="C23" s="163"/>
      <c r="D23" s="163"/>
      <c r="E23" s="164"/>
      <c r="F23" s="164"/>
      <c r="G23" s="164"/>
    </row>
    <row r="24" spans="1:25">
      <c r="A24" t="s">
        <v>141</v>
      </c>
      <c r="B24" s="163"/>
      <c r="C24" s="163"/>
      <c r="D24" s="163"/>
      <c r="E24" s="164"/>
      <c r="F24" s="164"/>
      <c r="G24" s="164"/>
    </row>
    <row r="25" spans="1:25">
      <c r="B25" s="163"/>
      <c r="C25" s="163"/>
      <c r="D25" s="163"/>
      <c r="E25" s="22" t="s">
        <v>23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4"/>
    </row>
    <row r="26" spans="1:25">
      <c r="E26" s="10">
        <v>0</v>
      </c>
      <c r="F26" s="11">
        <v>1</v>
      </c>
      <c r="G26" s="11">
        <v>2</v>
      </c>
      <c r="H26" s="11">
        <v>3</v>
      </c>
      <c r="I26" s="11">
        <v>4</v>
      </c>
      <c r="J26" s="11">
        <v>5</v>
      </c>
      <c r="K26" s="11">
        <v>6</v>
      </c>
      <c r="L26" s="11">
        <v>7</v>
      </c>
      <c r="M26" s="11">
        <v>8</v>
      </c>
      <c r="N26" s="11">
        <v>9</v>
      </c>
      <c r="O26" s="11">
        <v>10</v>
      </c>
      <c r="P26" s="11">
        <v>11</v>
      </c>
      <c r="Q26" s="11">
        <v>12</v>
      </c>
      <c r="R26" s="11">
        <v>13</v>
      </c>
      <c r="S26" s="11">
        <v>14</v>
      </c>
      <c r="T26" s="11">
        <v>15</v>
      </c>
      <c r="U26" s="11">
        <v>16</v>
      </c>
      <c r="V26" s="11">
        <v>17</v>
      </c>
      <c r="W26" s="11">
        <v>18</v>
      </c>
      <c r="X26" s="11">
        <v>19</v>
      </c>
      <c r="Y26" s="12">
        <v>20</v>
      </c>
    </row>
    <row r="27" spans="1:25">
      <c r="B27" s="13" t="s">
        <v>133</v>
      </c>
      <c r="C27" s="113" t="s">
        <v>138</v>
      </c>
      <c r="D27" s="17">
        <v>1</v>
      </c>
      <c r="E27" s="53">
        <v>0</v>
      </c>
      <c r="F27" s="53">
        <v>0</v>
      </c>
      <c r="G27" s="53">
        <v>0</v>
      </c>
      <c r="H27" s="53">
        <v>0</v>
      </c>
      <c r="I27" s="53"/>
      <c r="J27" s="53">
        <f>21*150*10000</f>
        <v>31500000</v>
      </c>
      <c r="K27" s="53">
        <f>20*150*10000</f>
        <v>30000000</v>
      </c>
      <c r="L27" s="53">
        <f>10*150*10000</f>
        <v>15000000</v>
      </c>
      <c r="M27" s="53">
        <f>32*150*10000</f>
        <v>48000000</v>
      </c>
      <c r="N27" s="53">
        <f>88*150*10000</f>
        <v>132000000</v>
      </c>
      <c r="O27" s="53" t="s">
        <v>32</v>
      </c>
      <c r="P27" s="53" t="s">
        <v>32</v>
      </c>
      <c r="Q27" s="53" t="s">
        <v>32</v>
      </c>
      <c r="R27" s="53" t="s">
        <v>32</v>
      </c>
      <c r="S27" s="53" t="s">
        <v>32</v>
      </c>
      <c r="T27" s="53" t="s">
        <v>32</v>
      </c>
      <c r="U27" s="53" t="s">
        <v>32</v>
      </c>
      <c r="V27" s="53" t="s">
        <v>32</v>
      </c>
      <c r="W27" s="53" t="s">
        <v>32</v>
      </c>
      <c r="X27" s="53" t="s">
        <v>32</v>
      </c>
      <c r="Y27" s="54" t="s">
        <v>32</v>
      </c>
    </row>
    <row r="28" spans="1:25">
      <c r="B28" s="15"/>
      <c r="C28" s="114"/>
      <c r="D28" s="10">
        <v>2</v>
      </c>
      <c r="E28" s="56">
        <v>0</v>
      </c>
      <c r="F28" s="56">
        <v>0</v>
      </c>
      <c r="G28" s="56">
        <v>0</v>
      </c>
      <c r="H28" s="56">
        <v>0</v>
      </c>
      <c r="I28" s="56"/>
      <c r="J28" s="56">
        <f>19*150*10000</f>
        <v>28500000</v>
      </c>
      <c r="K28" s="56">
        <f>22*150*10000</f>
        <v>33000000</v>
      </c>
      <c r="L28" s="56">
        <f>9*150*10000</f>
        <v>13500000</v>
      </c>
      <c r="M28" s="56">
        <f>12*150*10000</f>
        <v>18000000</v>
      </c>
      <c r="N28" s="56">
        <f>68*150*10000</f>
        <v>102000000</v>
      </c>
      <c r="O28" s="56">
        <f>68*150*10000</f>
        <v>102000000</v>
      </c>
      <c r="P28" s="56">
        <f>92*150*10000</f>
        <v>138000000</v>
      </c>
      <c r="Q28" s="56">
        <f>88*150*10000</f>
        <v>132000000</v>
      </c>
      <c r="R28" s="56" t="s">
        <v>32</v>
      </c>
      <c r="S28" s="56" t="s">
        <v>32</v>
      </c>
      <c r="T28" s="56" t="s">
        <v>32</v>
      </c>
      <c r="U28" s="56" t="s">
        <v>32</v>
      </c>
      <c r="V28" s="56" t="s">
        <v>32</v>
      </c>
      <c r="W28" s="56" t="s">
        <v>32</v>
      </c>
      <c r="X28" s="56" t="s">
        <v>32</v>
      </c>
      <c r="Y28" s="57" t="s">
        <v>32</v>
      </c>
    </row>
    <row r="29" spans="1:25">
      <c r="B29" s="15"/>
      <c r="C29" s="113" t="s">
        <v>135</v>
      </c>
      <c r="D29" s="8">
        <v>1</v>
      </c>
      <c r="E29" s="36">
        <v>0</v>
      </c>
      <c r="F29" s="36">
        <v>0</v>
      </c>
      <c r="G29" s="36">
        <v>0</v>
      </c>
      <c r="H29" s="36">
        <v>0</v>
      </c>
      <c r="I29" s="36"/>
      <c r="J29" s="36">
        <f>20*150*10000</f>
        <v>30000000</v>
      </c>
      <c r="K29" s="36">
        <f>44*150*10000</f>
        <v>66000000</v>
      </c>
      <c r="L29" s="36">
        <f>11*150*10000</f>
        <v>16500000</v>
      </c>
      <c r="M29" s="36">
        <f>27*150*10000</f>
        <v>40500000</v>
      </c>
      <c r="N29" s="36">
        <f>60*150*10000</f>
        <v>90000000</v>
      </c>
      <c r="O29" s="36">
        <f>24*150*10000</f>
        <v>36000000</v>
      </c>
      <c r="P29" s="36">
        <f>12*150*10000</f>
        <v>18000000</v>
      </c>
      <c r="Q29" s="36">
        <f>24*150*10000</f>
        <v>36000000</v>
      </c>
      <c r="R29" s="36">
        <f>13*150*10000</f>
        <v>19500000</v>
      </c>
      <c r="S29" s="36">
        <f>10*150*10000</f>
        <v>15000000</v>
      </c>
      <c r="T29" s="36">
        <f>6*150*10000</f>
        <v>9000000</v>
      </c>
      <c r="U29" s="36">
        <f>42*150*10000</f>
        <v>63000000</v>
      </c>
      <c r="V29" s="36">
        <f>12*150*10000</f>
        <v>18000000</v>
      </c>
      <c r="W29" s="36"/>
      <c r="X29" s="36">
        <f>10*150*10000</f>
        <v>15000000</v>
      </c>
      <c r="Y29" s="55">
        <f>20*150*10000</f>
        <v>30000000</v>
      </c>
    </row>
    <row r="30" spans="1:25">
      <c r="B30" s="16"/>
      <c r="C30" s="115"/>
      <c r="D30" s="11">
        <v>2</v>
      </c>
      <c r="E30" s="56">
        <v>0</v>
      </c>
      <c r="F30" s="56">
        <v>0</v>
      </c>
      <c r="G30" s="56">
        <v>0</v>
      </c>
      <c r="H30" s="56">
        <v>0</v>
      </c>
      <c r="I30" s="56"/>
      <c r="J30" s="56">
        <f>16*150*10000</f>
        <v>24000000</v>
      </c>
      <c r="K30" s="56">
        <f>57*150*10000</f>
        <v>85500000</v>
      </c>
      <c r="L30" s="56">
        <f>19*150*10000</f>
        <v>28500000</v>
      </c>
      <c r="M30" s="56">
        <f>45*150*10000</f>
        <v>67500000</v>
      </c>
      <c r="N30" s="56">
        <f>45*150*10000</f>
        <v>67500000</v>
      </c>
      <c r="O30" s="56">
        <f>50*150*10000</f>
        <v>75000000</v>
      </c>
      <c r="P30" s="56">
        <f>66*150*10000</f>
        <v>99000000</v>
      </c>
      <c r="Q30" s="56">
        <f>90*150*10000</f>
        <v>135000000</v>
      </c>
      <c r="R30" s="56">
        <f>21*150*10000</f>
        <v>31500000</v>
      </c>
      <c r="S30" s="56">
        <f>15*150*10000</f>
        <v>22500000</v>
      </c>
      <c r="T30" s="56">
        <f>20*150*10000</f>
        <v>30000000</v>
      </c>
      <c r="U30" s="56">
        <f>18*150*10000</f>
        <v>27000000</v>
      </c>
      <c r="V30" s="56">
        <f>21*150*10000</f>
        <v>31500000</v>
      </c>
      <c r="W30" s="56"/>
      <c r="X30" s="56">
        <f>33*150*10000</f>
        <v>49500000</v>
      </c>
      <c r="Y30" s="57">
        <f t="shared" ref="Y30" si="0">10*150*10000</f>
        <v>15000000</v>
      </c>
    </row>
    <row r="31" spans="1:25">
      <c r="B31" s="114" t="s">
        <v>114</v>
      </c>
      <c r="C31" s="114" t="s">
        <v>135</v>
      </c>
      <c r="D31" s="8">
        <v>1</v>
      </c>
      <c r="E31" s="36">
        <v>0</v>
      </c>
      <c r="F31" s="36">
        <v>0</v>
      </c>
      <c r="G31" s="36">
        <v>0</v>
      </c>
      <c r="H31" s="36">
        <v>0</v>
      </c>
      <c r="I31" s="36"/>
      <c r="J31" s="36">
        <f>30*150*10000</f>
        <v>45000000</v>
      </c>
      <c r="K31" s="36">
        <f>34*150*10000</f>
        <v>51000000</v>
      </c>
      <c r="L31" s="36">
        <f>40*150*10000</f>
        <v>60000000</v>
      </c>
      <c r="M31" s="36">
        <f>89*150*10000</f>
        <v>133500000</v>
      </c>
      <c r="N31" s="36">
        <f>58*150*10000</f>
        <v>87000000</v>
      </c>
      <c r="O31" s="36">
        <f>64*150*10000</f>
        <v>96000000</v>
      </c>
      <c r="P31" s="36" t="s">
        <v>32</v>
      </c>
      <c r="Q31" s="36" t="s">
        <v>32</v>
      </c>
      <c r="R31" s="36" t="s">
        <v>32</v>
      </c>
      <c r="S31" s="36" t="s">
        <v>32</v>
      </c>
      <c r="T31" s="36" t="s">
        <v>32</v>
      </c>
      <c r="U31" s="36" t="s">
        <v>32</v>
      </c>
      <c r="V31" s="36" t="s">
        <v>32</v>
      </c>
      <c r="W31" s="36" t="s">
        <v>32</v>
      </c>
      <c r="X31" s="36" t="s">
        <v>32</v>
      </c>
      <c r="Y31" s="55" t="s">
        <v>32</v>
      </c>
    </row>
    <row r="32" spans="1:25">
      <c r="B32" s="115"/>
      <c r="C32" s="115"/>
      <c r="D32" s="11">
        <v>2</v>
      </c>
      <c r="E32" s="56">
        <v>0</v>
      </c>
      <c r="F32" s="56">
        <v>0</v>
      </c>
      <c r="G32" s="56">
        <v>0</v>
      </c>
      <c r="H32" s="56">
        <v>0</v>
      </c>
      <c r="I32" s="56"/>
      <c r="J32" s="56">
        <f>32*150*10000</f>
        <v>48000000</v>
      </c>
      <c r="K32" s="56">
        <f>55*150*10000</f>
        <v>82500000</v>
      </c>
      <c r="L32" s="56">
        <f>46*150*10000</f>
        <v>69000000</v>
      </c>
      <c r="M32" s="56">
        <f>71*150*10000</f>
        <v>106500000</v>
      </c>
      <c r="N32" s="56" t="s">
        <v>32</v>
      </c>
      <c r="O32" s="56" t="s">
        <v>32</v>
      </c>
      <c r="P32" s="56" t="s">
        <v>32</v>
      </c>
      <c r="Q32" s="56" t="s">
        <v>32</v>
      </c>
      <c r="R32" s="56" t="s">
        <v>32</v>
      </c>
      <c r="S32" s="56" t="s">
        <v>32</v>
      </c>
      <c r="T32" s="56" t="s">
        <v>32</v>
      </c>
      <c r="U32" s="56" t="s">
        <v>32</v>
      </c>
      <c r="V32" s="56" t="s">
        <v>32</v>
      </c>
      <c r="W32" s="56" t="s">
        <v>32</v>
      </c>
      <c r="X32" s="56" t="s">
        <v>32</v>
      </c>
      <c r="Y32" s="57" t="s">
        <v>32</v>
      </c>
    </row>
    <row r="33" spans="2:7">
      <c r="B33" s="163"/>
      <c r="C33" s="163"/>
      <c r="D33" s="163"/>
      <c r="E33" s="164"/>
      <c r="F33" s="164"/>
      <c r="G33" s="164"/>
    </row>
    <row r="34" spans="2:7">
      <c r="B34" s="163"/>
      <c r="C34" s="163"/>
      <c r="D34" s="163"/>
      <c r="E34" s="164"/>
      <c r="F34" s="164"/>
      <c r="G34" s="164"/>
    </row>
    <row r="35" spans="2:7">
      <c r="B35" s="163"/>
      <c r="C35" s="163"/>
      <c r="D35" s="163"/>
      <c r="E35" s="164"/>
      <c r="F35" s="164"/>
      <c r="G35" s="164"/>
    </row>
    <row r="36" spans="2:7">
      <c r="B36" s="163"/>
      <c r="C36" s="163"/>
      <c r="D36" s="163"/>
      <c r="E36" s="164"/>
      <c r="F36" s="164"/>
      <c r="G36" s="164"/>
    </row>
    <row r="37" spans="2:7">
      <c r="B37" s="163"/>
      <c r="C37" s="163"/>
      <c r="D37" s="163"/>
      <c r="E37" s="164"/>
      <c r="F37" s="164"/>
      <c r="G37" s="164"/>
    </row>
    <row r="38" spans="2:7">
      <c r="B38" s="163"/>
      <c r="C38" s="163"/>
      <c r="D38" s="163"/>
      <c r="E38" s="164"/>
      <c r="F38" s="164"/>
      <c r="G38" s="164"/>
    </row>
    <row r="39" spans="2:7">
      <c r="B39" s="163"/>
      <c r="C39" s="163"/>
      <c r="D39" s="163"/>
      <c r="E39" s="164"/>
      <c r="F39" s="164"/>
      <c r="G39" s="164"/>
    </row>
    <row r="40" spans="2:7">
      <c r="B40" s="163"/>
      <c r="C40" s="163"/>
      <c r="D40" s="163"/>
      <c r="E40" s="164"/>
      <c r="F40" s="164"/>
      <c r="G40" s="164"/>
    </row>
    <row r="41" spans="2:7">
      <c r="B41" s="163"/>
      <c r="C41" s="163"/>
      <c r="D41" s="163"/>
      <c r="E41" s="164"/>
      <c r="F41" s="164"/>
      <c r="G41" s="164"/>
    </row>
    <row r="42" spans="2:7">
      <c r="B42" s="163"/>
      <c r="C42" s="163"/>
      <c r="D42" s="163"/>
      <c r="E42" s="164"/>
      <c r="F42" s="164"/>
      <c r="G42" s="164"/>
    </row>
    <row r="43" spans="2:7">
      <c r="B43" s="163"/>
      <c r="C43" s="163"/>
      <c r="D43" s="163"/>
      <c r="E43" s="164"/>
      <c r="F43" s="164"/>
      <c r="G43" s="164"/>
    </row>
    <row r="44" spans="2:7">
      <c r="B44" s="163"/>
      <c r="C44" s="163"/>
      <c r="D44" s="163"/>
      <c r="E44" s="164"/>
      <c r="F44" s="164"/>
      <c r="G44" s="164"/>
    </row>
  </sheetData>
  <mergeCells count="14">
    <mergeCell ref="C31:C32"/>
    <mergeCell ref="B31:B32"/>
    <mergeCell ref="E25:Y25"/>
    <mergeCell ref="B16:B18"/>
    <mergeCell ref="C16:C18"/>
    <mergeCell ref="E2:U2"/>
    <mergeCell ref="B27:B30"/>
    <mergeCell ref="C27:C28"/>
    <mergeCell ref="C29:C30"/>
    <mergeCell ref="B4:B15"/>
    <mergeCell ref="C4:C6"/>
    <mergeCell ref="C7:C9"/>
    <mergeCell ref="C10:C12"/>
    <mergeCell ref="C13:C1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B142D-6808-A944-818A-44663F792E56}">
  <dimension ref="A2:L51"/>
  <sheetViews>
    <sheetView workbookViewId="0">
      <selection activeCell="A28" sqref="A28"/>
    </sheetView>
  </sheetViews>
  <sheetFormatPr baseColWidth="10" defaultRowHeight="16"/>
  <cols>
    <col min="3" max="3" width="13.5" bestFit="1" customWidth="1"/>
    <col min="4" max="4" width="15.33203125" bestFit="1" customWidth="1"/>
    <col min="5" max="5" width="13.5" bestFit="1" customWidth="1"/>
    <col min="6" max="6" width="15.33203125" bestFit="1" customWidth="1"/>
    <col min="7" max="7" width="13.5" bestFit="1" customWidth="1"/>
    <col min="8" max="8" width="15.33203125" bestFit="1" customWidth="1"/>
    <col min="9" max="9" width="13.5" bestFit="1" customWidth="1"/>
    <col min="10" max="10" width="15.33203125" bestFit="1" customWidth="1"/>
    <col min="11" max="11" width="13.5" bestFit="1" customWidth="1"/>
    <col min="12" max="12" width="15.33203125" bestFit="1" customWidth="1"/>
  </cols>
  <sheetData>
    <row r="2" spans="1:12">
      <c r="A2" s="166" t="s">
        <v>140</v>
      </c>
    </row>
    <row r="3" spans="1:12">
      <c r="C3" s="2" t="s">
        <v>115</v>
      </c>
      <c r="D3" s="2"/>
      <c r="E3" s="2"/>
      <c r="F3" s="2"/>
      <c r="G3" s="2"/>
      <c r="H3" s="2"/>
      <c r="I3" s="2"/>
      <c r="J3" s="2"/>
      <c r="K3" s="2" t="s">
        <v>114</v>
      </c>
      <c r="L3" s="2"/>
    </row>
    <row r="4" spans="1:12">
      <c r="C4" s="2" t="s">
        <v>138</v>
      </c>
      <c r="D4" s="2"/>
      <c r="E4" s="2" t="s">
        <v>139</v>
      </c>
      <c r="F4" s="2"/>
      <c r="G4" s="2" t="s">
        <v>137</v>
      </c>
      <c r="H4" s="2"/>
      <c r="I4" s="2" t="s">
        <v>135</v>
      </c>
      <c r="J4" s="2"/>
      <c r="K4" s="2" t="s">
        <v>135</v>
      </c>
      <c r="L4" s="2"/>
    </row>
    <row r="5" spans="1:12">
      <c r="A5" s="86"/>
      <c r="C5" s="1" t="s">
        <v>121</v>
      </c>
      <c r="D5" s="1" t="s">
        <v>120</v>
      </c>
      <c r="E5" s="1" t="s">
        <v>121</v>
      </c>
      <c r="F5" s="1" t="s">
        <v>120</v>
      </c>
      <c r="G5" s="1" t="s">
        <v>121</v>
      </c>
      <c r="H5" s="1" t="s">
        <v>120</v>
      </c>
      <c r="I5" s="1" t="s">
        <v>121</v>
      </c>
      <c r="J5" s="1" t="s">
        <v>120</v>
      </c>
      <c r="K5" s="1" t="s">
        <v>121</v>
      </c>
      <c r="L5" s="1" t="s">
        <v>120</v>
      </c>
    </row>
    <row r="6" spans="1:12">
      <c r="A6" s="86"/>
      <c r="B6">
        <v>1</v>
      </c>
      <c r="C6">
        <v>3</v>
      </c>
      <c r="D6" s="37">
        <f>3/3</f>
        <v>1</v>
      </c>
      <c r="E6" s="165">
        <v>3</v>
      </c>
      <c r="F6" s="37">
        <f t="shared" ref="F6:L13" si="0">3/3</f>
        <v>1</v>
      </c>
      <c r="G6" s="165">
        <v>3</v>
      </c>
      <c r="H6" s="37">
        <f t="shared" si="0"/>
        <v>1</v>
      </c>
      <c r="I6" s="165">
        <v>3</v>
      </c>
      <c r="J6" s="37">
        <f t="shared" si="0"/>
        <v>1</v>
      </c>
      <c r="K6" s="165">
        <v>3</v>
      </c>
      <c r="L6" s="37">
        <f t="shared" si="0"/>
        <v>1</v>
      </c>
    </row>
    <row r="7" spans="1:12">
      <c r="A7" s="86"/>
      <c r="B7">
        <v>2</v>
      </c>
      <c r="C7">
        <v>3</v>
      </c>
      <c r="D7" s="37">
        <f t="shared" ref="D7:J22" si="1">3/3</f>
        <v>1</v>
      </c>
      <c r="E7" s="165">
        <v>3</v>
      </c>
      <c r="F7" s="37">
        <f t="shared" si="0"/>
        <v>1</v>
      </c>
      <c r="G7" s="165">
        <v>3</v>
      </c>
      <c r="H7" s="37">
        <f t="shared" si="0"/>
        <v>1</v>
      </c>
      <c r="I7" s="165">
        <v>3</v>
      </c>
      <c r="J7" s="37">
        <f t="shared" si="0"/>
        <v>1</v>
      </c>
      <c r="K7" s="165">
        <v>3</v>
      </c>
      <c r="L7" s="37">
        <f t="shared" si="0"/>
        <v>1</v>
      </c>
    </row>
    <row r="8" spans="1:12">
      <c r="A8" s="86"/>
      <c r="B8">
        <v>3</v>
      </c>
      <c r="C8">
        <v>3</v>
      </c>
      <c r="D8" s="37">
        <f t="shared" si="1"/>
        <v>1</v>
      </c>
      <c r="E8" s="165">
        <v>3</v>
      </c>
      <c r="F8" s="37">
        <f t="shared" si="0"/>
        <v>1</v>
      </c>
      <c r="G8" s="165">
        <v>3</v>
      </c>
      <c r="H8" s="37">
        <f t="shared" si="0"/>
        <v>1</v>
      </c>
      <c r="I8" s="165">
        <v>3</v>
      </c>
      <c r="J8" s="37">
        <f t="shared" si="0"/>
        <v>1</v>
      </c>
      <c r="K8" s="165">
        <v>3</v>
      </c>
      <c r="L8" s="37">
        <f t="shared" si="0"/>
        <v>1</v>
      </c>
    </row>
    <row r="9" spans="1:12">
      <c r="A9" s="86"/>
      <c r="B9">
        <v>4</v>
      </c>
      <c r="C9">
        <v>3</v>
      </c>
      <c r="D9" s="37">
        <f t="shared" si="1"/>
        <v>1</v>
      </c>
      <c r="E9" s="165">
        <v>3</v>
      </c>
      <c r="F9" s="37">
        <f t="shared" si="0"/>
        <v>1</v>
      </c>
      <c r="G9" s="165">
        <v>3</v>
      </c>
      <c r="H9" s="37">
        <f t="shared" si="0"/>
        <v>1</v>
      </c>
      <c r="I9" s="165">
        <v>3</v>
      </c>
      <c r="J9" s="37">
        <f t="shared" si="0"/>
        <v>1</v>
      </c>
      <c r="K9" s="165">
        <v>3</v>
      </c>
      <c r="L9" s="37">
        <f t="shared" si="0"/>
        <v>1</v>
      </c>
    </row>
    <row r="10" spans="1:12">
      <c r="A10" s="86"/>
      <c r="B10">
        <v>5</v>
      </c>
      <c r="C10">
        <v>3</v>
      </c>
      <c r="D10" s="37">
        <f t="shared" si="1"/>
        <v>1</v>
      </c>
      <c r="E10" s="165">
        <v>3</v>
      </c>
      <c r="F10" s="37">
        <f t="shared" si="0"/>
        <v>1</v>
      </c>
      <c r="G10" s="165">
        <v>3</v>
      </c>
      <c r="H10" s="37">
        <f t="shared" si="0"/>
        <v>1</v>
      </c>
      <c r="I10" s="165">
        <v>3</v>
      </c>
      <c r="J10" s="37">
        <f t="shared" si="0"/>
        <v>1</v>
      </c>
      <c r="K10" s="165">
        <v>3</v>
      </c>
      <c r="L10" s="37">
        <f t="shared" si="0"/>
        <v>1</v>
      </c>
    </row>
    <row r="11" spans="1:12">
      <c r="A11" s="86"/>
      <c r="B11">
        <v>6</v>
      </c>
      <c r="C11">
        <v>3</v>
      </c>
      <c r="D11" s="37">
        <f t="shared" si="1"/>
        <v>1</v>
      </c>
      <c r="E11" s="165">
        <v>3</v>
      </c>
      <c r="F11" s="37">
        <f t="shared" si="0"/>
        <v>1</v>
      </c>
      <c r="G11" s="165">
        <v>3</v>
      </c>
      <c r="H11" s="37">
        <f t="shared" si="0"/>
        <v>1</v>
      </c>
      <c r="I11" s="165">
        <v>3</v>
      </c>
      <c r="J11" s="37">
        <f t="shared" si="0"/>
        <v>1</v>
      </c>
      <c r="K11" s="165">
        <v>3</v>
      </c>
      <c r="L11" s="37">
        <f t="shared" si="0"/>
        <v>1</v>
      </c>
    </row>
    <row r="12" spans="1:12">
      <c r="A12" s="86"/>
      <c r="B12">
        <v>7</v>
      </c>
      <c r="C12">
        <v>3</v>
      </c>
      <c r="D12" s="37">
        <f t="shared" si="1"/>
        <v>1</v>
      </c>
      <c r="E12" s="165">
        <v>3</v>
      </c>
      <c r="F12" s="37">
        <f t="shared" si="0"/>
        <v>1</v>
      </c>
      <c r="G12" s="165">
        <v>3</v>
      </c>
      <c r="H12" s="37">
        <f t="shared" si="0"/>
        <v>1</v>
      </c>
      <c r="I12" s="165">
        <v>3</v>
      </c>
      <c r="J12" s="37">
        <f t="shared" si="0"/>
        <v>1</v>
      </c>
      <c r="K12" s="165">
        <v>3</v>
      </c>
      <c r="L12" s="37">
        <f>2/3</f>
        <v>0.66666666666666663</v>
      </c>
    </row>
    <row r="13" spans="1:12">
      <c r="A13" s="86"/>
      <c r="B13">
        <v>8</v>
      </c>
      <c r="C13">
        <v>3</v>
      </c>
      <c r="D13" s="37">
        <f t="shared" si="1"/>
        <v>1</v>
      </c>
      <c r="E13" s="165">
        <v>3</v>
      </c>
      <c r="F13" s="37">
        <f t="shared" si="0"/>
        <v>1</v>
      </c>
      <c r="G13" s="165">
        <v>3</v>
      </c>
      <c r="H13" s="37">
        <f t="shared" si="0"/>
        <v>1</v>
      </c>
      <c r="I13" s="165">
        <v>3</v>
      </c>
      <c r="J13" s="37">
        <f t="shared" si="0"/>
        <v>1</v>
      </c>
      <c r="K13" s="165">
        <v>3</v>
      </c>
      <c r="L13" s="37">
        <f>1/3</f>
        <v>0.33333333333333331</v>
      </c>
    </row>
    <row r="14" spans="1:12">
      <c r="A14" s="86"/>
      <c r="B14">
        <v>9</v>
      </c>
      <c r="C14">
        <v>3</v>
      </c>
      <c r="D14" s="37">
        <f t="shared" si="1"/>
        <v>1</v>
      </c>
      <c r="E14" s="165">
        <v>3</v>
      </c>
      <c r="F14" s="37">
        <f t="shared" si="1"/>
        <v>1</v>
      </c>
      <c r="G14" s="165">
        <v>3</v>
      </c>
      <c r="H14" s="37">
        <f t="shared" si="1"/>
        <v>1</v>
      </c>
      <c r="I14" s="165">
        <v>3</v>
      </c>
      <c r="J14" s="37">
        <f t="shared" si="1"/>
        <v>1</v>
      </c>
      <c r="K14" s="165">
        <v>3</v>
      </c>
      <c r="L14" s="37">
        <f>0/3</f>
        <v>0</v>
      </c>
    </row>
    <row r="15" spans="1:12">
      <c r="A15" s="86"/>
      <c r="B15">
        <v>10</v>
      </c>
      <c r="C15">
        <v>2</v>
      </c>
      <c r="D15" s="37">
        <f>2/3</f>
        <v>0.66666666666666663</v>
      </c>
      <c r="E15" s="165">
        <v>3</v>
      </c>
      <c r="F15" s="37">
        <f t="shared" si="1"/>
        <v>1</v>
      </c>
      <c r="G15" s="165">
        <v>3</v>
      </c>
      <c r="H15" s="37">
        <f t="shared" si="1"/>
        <v>1</v>
      </c>
      <c r="I15" s="165">
        <v>3</v>
      </c>
      <c r="J15" s="37">
        <f t="shared" si="1"/>
        <v>1</v>
      </c>
      <c r="K15" s="165">
        <v>3</v>
      </c>
      <c r="L15" s="37">
        <f>0/3</f>
        <v>0</v>
      </c>
    </row>
    <row r="16" spans="1:12">
      <c r="A16" s="86"/>
      <c r="B16">
        <v>11</v>
      </c>
      <c r="C16">
        <v>2</v>
      </c>
      <c r="D16" s="37">
        <f>2/3</f>
        <v>0.66666666666666663</v>
      </c>
      <c r="E16" s="165">
        <v>3</v>
      </c>
      <c r="F16" s="37">
        <f t="shared" si="1"/>
        <v>1</v>
      </c>
      <c r="G16" s="165">
        <v>3</v>
      </c>
      <c r="H16" s="37">
        <f t="shared" si="1"/>
        <v>1</v>
      </c>
      <c r="I16" s="165">
        <v>3</v>
      </c>
      <c r="J16" s="37">
        <f t="shared" si="1"/>
        <v>1</v>
      </c>
      <c r="K16" s="165">
        <v>3</v>
      </c>
      <c r="L16" s="37">
        <f t="shared" ref="L16:L25" si="2">0/3</f>
        <v>0</v>
      </c>
    </row>
    <row r="17" spans="1:12">
      <c r="A17" s="86"/>
      <c r="B17">
        <v>12</v>
      </c>
      <c r="C17">
        <v>1</v>
      </c>
      <c r="D17" s="37">
        <f>1/3</f>
        <v>0.33333333333333331</v>
      </c>
      <c r="E17" s="165">
        <v>3</v>
      </c>
      <c r="F17" s="37">
        <f t="shared" si="1"/>
        <v>1</v>
      </c>
      <c r="G17" s="165">
        <v>3</v>
      </c>
      <c r="H17" s="37">
        <f t="shared" si="1"/>
        <v>1</v>
      </c>
      <c r="I17" s="165">
        <v>3</v>
      </c>
      <c r="J17" s="37">
        <f t="shared" si="1"/>
        <v>1</v>
      </c>
      <c r="K17" s="165">
        <v>3</v>
      </c>
      <c r="L17" s="37">
        <f t="shared" si="2"/>
        <v>0</v>
      </c>
    </row>
    <row r="18" spans="1:12">
      <c r="A18" s="86"/>
      <c r="B18">
        <v>13</v>
      </c>
      <c r="C18">
        <v>1</v>
      </c>
      <c r="D18" s="37">
        <f>1/3</f>
        <v>0.33333333333333331</v>
      </c>
      <c r="E18" s="165">
        <v>3</v>
      </c>
      <c r="F18" s="37">
        <f t="shared" si="1"/>
        <v>1</v>
      </c>
      <c r="G18" s="165">
        <v>3</v>
      </c>
      <c r="H18" s="37">
        <f t="shared" si="1"/>
        <v>1</v>
      </c>
      <c r="I18" s="165">
        <v>3</v>
      </c>
      <c r="J18" s="37">
        <f t="shared" si="1"/>
        <v>1</v>
      </c>
      <c r="K18" s="165">
        <v>3</v>
      </c>
      <c r="L18" s="37">
        <f t="shared" si="2"/>
        <v>0</v>
      </c>
    </row>
    <row r="19" spans="1:12">
      <c r="A19" s="86"/>
      <c r="B19">
        <v>14</v>
      </c>
      <c r="C19">
        <v>1</v>
      </c>
      <c r="D19" s="37">
        <f>1/3</f>
        <v>0.33333333333333331</v>
      </c>
      <c r="E19" s="165">
        <v>3</v>
      </c>
      <c r="F19" s="37">
        <f t="shared" si="1"/>
        <v>1</v>
      </c>
      <c r="G19" s="165">
        <v>3</v>
      </c>
      <c r="H19" s="37">
        <f t="shared" si="1"/>
        <v>1</v>
      </c>
      <c r="I19" s="165">
        <v>3</v>
      </c>
      <c r="J19" s="37">
        <f t="shared" si="1"/>
        <v>1</v>
      </c>
      <c r="K19" s="165">
        <v>3</v>
      </c>
      <c r="L19" s="37">
        <f t="shared" si="2"/>
        <v>0</v>
      </c>
    </row>
    <row r="20" spans="1:12">
      <c r="A20" s="86"/>
      <c r="B20">
        <v>15</v>
      </c>
      <c r="C20">
        <v>0</v>
      </c>
      <c r="D20" s="37">
        <f>0/3</f>
        <v>0</v>
      </c>
      <c r="E20" s="165">
        <v>3</v>
      </c>
      <c r="F20" s="37">
        <f t="shared" si="1"/>
        <v>1</v>
      </c>
      <c r="G20" s="165">
        <v>3</v>
      </c>
      <c r="H20" s="37">
        <f t="shared" si="1"/>
        <v>1</v>
      </c>
      <c r="I20" s="165">
        <v>3</v>
      </c>
      <c r="J20" s="37">
        <f t="shared" si="1"/>
        <v>1</v>
      </c>
      <c r="K20" s="165">
        <v>3</v>
      </c>
      <c r="L20" s="37">
        <f t="shared" si="2"/>
        <v>0</v>
      </c>
    </row>
    <row r="21" spans="1:12">
      <c r="A21" s="86"/>
      <c r="B21">
        <v>16</v>
      </c>
      <c r="C21">
        <v>0</v>
      </c>
      <c r="D21" s="37">
        <f t="shared" ref="D21:D25" si="3">0/3</f>
        <v>0</v>
      </c>
      <c r="E21" s="165">
        <v>3</v>
      </c>
      <c r="F21" s="37">
        <f t="shared" si="1"/>
        <v>1</v>
      </c>
      <c r="G21" s="165">
        <v>3</v>
      </c>
      <c r="H21" s="37">
        <f t="shared" si="1"/>
        <v>1</v>
      </c>
      <c r="I21" s="165">
        <v>3</v>
      </c>
      <c r="J21" s="37">
        <f t="shared" si="1"/>
        <v>1</v>
      </c>
      <c r="K21" s="165">
        <v>3</v>
      </c>
      <c r="L21" s="37">
        <f t="shared" si="2"/>
        <v>0</v>
      </c>
    </row>
    <row r="22" spans="1:12">
      <c r="A22" s="86"/>
      <c r="B22">
        <v>17</v>
      </c>
      <c r="C22">
        <v>0</v>
      </c>
      <c r="D22" s="37">
        <f t="shared" si="3"/>
        <v>0</v>
      </c>
      <c r="E22" s="165">
        <v>3</v>
      </c>
      <c r="F22" s="37">
        <f t="shared" si="1"/>
        <v>1</v>
      </c>
      <c r="G22" s="165">
        <v>3</v>
      </c>
      <c r="H22" s="37">
        <f t="shared" si="1"/>
        <v>1</v>
      </c>
      <c r="I22" s="165">
        <v>3</v>
      </c>
      <c r="J22" s="37">
        <f t="shared" si="1"/>
        <v>1</v>
      </c>
      <c r="K22" s="165">
        <v>3</v>
      </c>
      <c r="L22" s="37">
        <f t="shared" si="2"/>
        <v>0</v>
      </c>
    </row>
    <row r="23" spans="1:12">
      <c r="A23" s="86"/>
      <c r="B23">
        <v>18</v>
      </c>
      <c r="C23">
        <v>0</v>
      </c>
      <c r="D23" s="37">
        <f t="shared" si="3"/>
        <v>0</v>
      </c>
      <c r="E23" s="165">
        <v>3</v>
      </c>
      <c r="F23" s="37">
        <f t="shared" ref="F23:J25" si="4">3/3</f>
        <v>1</v>
      </c>
      <c r="G23" s="165">
        <v>3</v>
      </c>
      <c r="H23" s="37">
        <f t="shared" si="4"/>
        <v>1</v>
      </c>
      <c r="I23" s="165">
        <v>3</v>
      </c>
      <c r="J23" s="37">
        <f t="shared" si="4"/>
        <v>1</v>
      </c>
      <c r="K23" s="165">
        <v>3</v>
      </c>
      <c r="L23" s="37">
        <f t="shared" si="2"/>
        <v>0</v>
      </c>
    </row>
    <row r="24" spans="1:12">
      <c r="A24" s="86"/>
      <c r="B24">
        <v>19</v>
      </c>
      <c r="C24">
        <v>0</v>
      </c>
      <c r="D24" s="37">
        <f t="shared" si="3"/>
        <v>0</v>
      </c>
      <c r="E24" s="165">
        <v>3</v>
      </c>
      <c r="F24" s="37">
        <f t="shared" si="4"/>
        <v>1</v>
      </c>
      <c r="G24" s="165">
        <v>3</v>
      </c>
      <c r="H24" s="37">
        <f t="shared" si="4"/>
        <v>1</v>
      </c>
      <c r="I24" s="165">
        <v>3</v>
      </c>
      <c r="J24" s="37">
        <f t="shared" si="4"/>
        <v>1</v>
      </c>
      <c r="K24" s="165">
        <v>3</v>
      </c>
      <c r="L24" s="37">
        <f t="shared" si="2"/>
        <v>0</v>
      </c>
    </row>
    <row r="25" spans="1:12">
      <c r="A25" s="86"/>
      <c r="B25">
        <v>20</v>
      </c>
      <c r="C25">
        <v>0</v>
      </c>
      <c r="D25" s="37">
        <f t="shared" si="3"/>
        <v>0</v>
      </c>
      <c r="E25" s="165">
        <v>3</v>
      </c>
      <c r="F25" s="37">
        <f t="shared" si="4"/>
        <v>1</v>
      </c>
      <c r="G25" s="165">
        <v>3</v>
      </c>
      <c r="H25" s="37">
        <f t="shared" si="4"/>
        <v>1</v>
      </c>
      <c r="I25" s="165">
        <v>3</v>
      </c>
      <c r="J25" s="37">
        <f t="shared" si="4"/>
        <v>1</v>
      </c>
      <c r="K25" s="165">
        <v>3</v>
      </c>
      <c r="L25" s="37">
        <f t="shared" si="2"/>
        <v>0</v>
      </c>
    </row>
    <row r="28" spans="1:12">
      <c r="A28" t="s">
        <v>141</v>
      </c>
    </row>
    <row r="29" spans="1:12">
      <c r="C29" s="2" t="s">
        <v>115</v>
      </c>
      <c r="D29" s="2"/>
      <c r="E29" s="2"/>
      <c r="F29" s="2"/>
      <c r="G29" s="2" t="s">
        <v>114</v>
      </c>
      <c r="H29" s="2"/>
    </row>
    <row r="30" spans="1:12">
      <c r="C30" s="2" t="s">
        <v>138</v>
      </c>
      <c r="D30" s="2"/>
      <c r="E30" s="2" t="s">
        <v>135</v>
      </c>
      <c r="F30" s="2"/>
      <c r="G30" s="2" t="s">
        <v>135</v>
      </c>
      <c r="H30" s="2"/>
    </row>
    <row r="31" spans="1:12">
      <c r="C31" s="1" t="s">
        <v>121</v>
      </c>
      <c r="D31" s="1" t="s">
        <v>120</v>
      </c>
      <c r="E31" s="1" t="s">
        <v>121</v>
      </c>
      <c r="F31" s="1" t="s">
        <v>120</v>
      </c>
      <c r="G31" s="1" t="s">
        <v>121</v>
      </c>
      <c r="H31" s="1" t="s">
        <v>120</v>
      </c>
    </row>
    <row r="32" spans="1:12">
      <c r="B32">
        <v>1</v>
      </c>
      <c r="C32">
        <v>2</v>
      </c>
      <c r="D32" s="37">
        <f>2/2</f>
        <v>1</v>
      </c>
      <c r="E32" s="165">
        <v>2</v>
      </c>
      <c r="F32" s="37">
        <f>2/2</f>
        <v>1</v>
      </c>
      <c r="G32" s="165">
        <v>2</v>
      </c>
      <c r="H32" s="37">
        <f t="shared" ref="H32:H39" si="5">2/2</f>
        <v>1</v>
      </c>
    </row>
    <row r="33" spans="2:8">
      <c r="B33">
        <v>2</v>
      </c>
      <c r="C33">
        <v>2</v>
      </c>
      <c r="D33" s="37">
        <f t="shared" ref="D33:F48" si="6">2/2</f>
        <v>1</v>
      </c>
      <c r="E33" s="165">
        <v>2</v>
      </c>
      <c r="F33" s="37">
        <f t="shared" si="6"/>
        <v>1</v>
      </c>
      <c r="G33" s="165">
        <v>2</v>
      </c>
      <c r="H33" s="37">
        <f t="shared" si="5"/>
        <v>1</v>
      </c>
    </row>
    <row r="34" spans="2:8">
      <c r="B34">
        <v>3</v>
      </c>
      <c r="C34">
        <v>2</v>
      </c>
      <c r="D34" s="37">
        <f t="shared" si="6"/>
        <v>1</v>
      </c>
      <c r="E34" s="165">
        <v>2</v>
      </c>
      <c r="F34" s="37">
        <f t="shared" si="6"/>
        <v>1</v>
      </c>
      <c r="G34" s="165">
        <v>2</v>
      </c>
      <c r="H34" s="37">
        <f t="shared" si="5"/>
        <v>1</v>
      </c>
    </row>
    <row r="35" spans="2:8">
      <c r="B35">
        <v>4</v>
      </c>
      <c r="C35">
        <v>2</v>
      </c>
      <c r="D35" s="37">
        <f t="shared" si="6"/>
        <v>1</v>
      </c>
      <c r="E35" s="165">
        <v>2</v>
      </c>
      <c r="F35" s="37">
        <f t="shared" si="6"/>
        <v>1</v>
      </c>
      <c r="G35" s="165">
        <v>2</v>
      </c>
      <c r="H35" s="37">
        <f t="shared" si="5"/>
        <v>1</v>
      </c>
    </row>
    <row r="36" spans="2:8">
      <c r="B36">
        <v>5</v>
      </c>
      <c r="C36">
        <v>2</v>
      </c>
      <c r="D36" s="37">
        <f t="shared" si="6"/>
        <v>1</v>
      </c>
      <c r="E36" s="165">
        <v>2</v>
      </c>
      <c r="F36" s="37">
        <f t="shared" si="6"/>
        <v>1</v>
      </c>
      <c r="G36" s="165">
        <v>2</v>
      </c>
      <c r="H36" s="37">
        <f t="shared" si="5"/>
        <v>1</v>
      </c>
    </row>
    <row r="37" spans="2:8">
      <c r="B37">
        <v>6</v>
      </c>
      <c r="C37">
        <v>2</v>
      </c>
      <c r="D37" s="37">
        <f t="shared" si="6"/>
        <v>1</v>
      </c>
      <c r="E37" s="165">
        <v>2</v>
      </c>
      <c r="F37" s="37">
        <f t="shared" si="6"/>
        <v>1</v>
      </c>
      <c r="G37" s="165">
        <v>2</v>
      </c>
      <c r="H37" s="37">
        <f t="shared" si="5"/>
        <v>1</v>
      </c>
    </row>
    <row r="38" spans="2:8">
      <c r="B38">
        <v>7</v>
      </c>
      <c r="C38">
        <v>2</v>
      </c>
      <c r="D38" s="37">
        <f t="shared" si="6"/>
        <v>1</v>
      </c>
      <c r="E38" s="165">
        <v>2</v>
      </c>
      <c r="F38" s="37">
        <f t="shared" si="6"/>
        <v>1</v>
      </c>
      <c r="G38" s="165">
        <v>2</v>
      </c>
      <c r="H38" s="37">
        <f t="shared" si="5"/>
        <v>1</v>
      </c>
    </row>
    <row r="39" spans="2:8">
      <c r="B39">
        <v>8</v>
      </c>
      <c r="C39">
        <v>2</v>
      </c>
      <c r="D39" s="37">
        <f t="shared" si="6"/>
        <v>1</v>
      </c>
      <c r="E39" s="165">
        <v>2</v>
      </c>
      <c r="F39" s="37">
        <f t="shared" si="6"/>
        <v>1</v>
      </c>
      <c r="G39" s="165">
        <v>2</v>
      </c>
      <c r="H39" s="37">
        <f t="shared" si="5"/>
        <v>1</v>
      </c>
    </row>
    <row r="40" spans="2:8">
      <c r="B40">
        <v>9</v>
      </c>
      <c r="C40">
        <v>2</v>
      </c>
      <c r="D40" s="37">
        <f t="shared" si="6"/>
        <v>1</v>
      </c>
      <c r="E40" s="165">
        <v>2</v>
      </c>
      <c r="F40" s="37">
        <f t="shared" si="6"/>
        <v>1</v>
      </c>
      <c r="G40" s="165">
        <v>2</v>
      </c>
      <c r="H40" s="37">
        <f>1/2</f>
        <v>0.5</v>
      </c>
    </row>
    <row r="41" spans="2:8">
      <c r="B41">
        <v>10</v>
      </c>
      <c r="C41">
        <v>1</v>
      </c>
      <c r="D41" s="37">
        <f>1/2</f>
        <v>0.5</v>
      </c>
      <c r="E41" s="165">
        <v>2</v>
      </c>
      <c r="F41" s="37">
        <f t="shared" si="6"/>
        <v>1</v>
      </c>
      <c r="G41" s="165">
        <v>2</v>
      </c>
      <c r="H41" s="37">
        <f>1/2</f>
        <v>0.5</v>
      </c>
    </row>
    <row r="42" spans="2:8">
      <c r="B42">
        <v>11</v>
      </c>
      <c r="C42">
        <v>1</v>
      </c>
      <c r="D42" s="37">
        <f>1/2</f>
        <v>0.5</v>
      </c>
      <c r="E42" s="165">
        <v>2</v>
      </c>
      <c r="F42" s="37">
        <f t="shared" si="6"/>
        <v>1</v>
      </c>
      <c r="G42" s="165">
        <v>2</v>
      </c>
      <c r="H42" s="37">
        <v>0</v>
      </c>
    </row>
    <row r="43" spans="2:8">
      <c r="B43">
        <v>12</v>
      </c>
      <c r="C43">
        <v>1</v>
      </c>
      <c r="D43" s="37">
        <f>1/2</f>
        <v>0.5</v>
      </c>
      <c r="E43" s="165">
        <v>2</v>
      </c>
      <c r="F43" s="37">
        <f t="shared" si="6"/>
        <v>1</v>
      </c>
      <c r="G43" s="165">
        <v>2</v>
      </c>
      <c r="H43" s="37">
        <v>0</v>
      </c>
    </row>
    <row r="44" spans="2:8">
      <c r="B44">
        <v>13</v>
      </c>
      <c r="C44">
        <v>0</v>
      </c>
      <c r="D44" s="37">
        <v>0</v>
      </c>
      <c r="E44" s="165">
        <v>2</v>
      </c>
      <c r="F44" s="37">
        <f t="shared" si="6"/>
        <v>1</v>
      </c>
      <c r="G44" s="165">
        <v>2</v>
      </c>
      <c r="H44" s="37">
        <v>0</v>
      </c>
    </row>
    <row r="45" spans="2:8">
      <c r="B45">
        <v>14</v>
      </c>
      <c r="C45">
        <v>0</v>
      </c>
      <c r="D45" s="37">
        <v>0</v>
      </c>
      <c r="E45" s="165">
        <v>2</v>
      </c>
      <c r="F45" s="37">
        <f t="shared" si="6"/>
        <v>1</v>
      </c>
      <c r="G45" s="165">
        <v>2</v>
      </c>
      <c r="H45" s="37">
        <v>0</v>
      </c>
    </row>
    <row r="46" spans="2:8">
      <c r="B46">
        <v>15</v>
      </c>
      <c r="C46">
        <v>0</v>
      </c>
      <c r="D46" s="37">
        <v>0</v>
      </c>
      <c r="E46" s="165">
        <v>2</v>
      </c>
      <c r="F46" s="37">
        <f t="shared" si="6"/>
        <v>1</v>
      </c>
      <c r="G46" s="165">
        <v>2</v>
      </c>
      <c r="H46" s="37">
        <v>0</v>
      </c>
    </row>
    <row r="47" spans="2:8">
      <c r="B47">
        <v>16</v>
      </c>
      <c r="C47">
        <v>0</v>
      </c>
      <c r="D47" s="37">
        <v>0</v>
      </c>
      <c r="E47" s="165">
        <v>2</v>
      </c>
      <c r="F47" s="37">
        <f t="shared" si="6"/>
        <v>1</v>
      </c>
      <c r="G47" s="165">
        <v>2</v>
      </c>
      <c r="H47" s="37">
        <v>0</v>
      </c>
    </row>
    <row r="48" spans="2:8">
      <c r="B48">
        <v>17</v>
      </c>
      <c r="C48">
        <v>0</v>
      </c>
      <c r="D48" s="37">
        <v>0</v>
      </c>
      <c r="E48" s="165">
        <v>2</v>
      </c>
      <c r="F48" s="37">
        <f t="shared" si="6"/>
        <v>1</v>
      </c>
      <c r="G48" s="165">
        <v>2</v>
      </c>
      <c r="H48" s="37">
        <v>0</v>
      </c>
    </row>
    <row r="49" spans="2:8">
      <c r="B49">
        <v>18</v>
      </c>
      <c r="C49">
        <v>0</v>
      </c>
      <c r="D49" s="37">
        <v>0</v>
      </c>
      <c r="E49" s="165">
        <v>2</v>
      </c>
      <c r="F49" s="37">
        <f t="shared" ref="F49:F51" si="7">2/2</f>
        <v>1</v>
      </c>
      <c r="G49" s="165">
        <v>2</v>
      </c>
      <c r="H49" s="37">
        <v>0</v>
      </c>
    </row>
    <row r="50" spans="2:8">
      <c r="B50">
        <v>19</v>
      </c>
      <c r="C50">
        <v>0</v>
      </c>
      <c r="D50" s="37">
        <v>0</v>
      </c>
      <c r="E50" s="165">
        <v>2</v>
      </c>
      <c r="F50" s="37">
        <f t="shared" si="7"/>
        <v>1</v>
      </c>
      <c r="G50" s="165">
        <v>2</v>
      </c>
      <c r="H50" s="37">
        <v>0</v>
      </c>
    </row>
    <row r="51" spans="2:8">
      <c r="B51">
        <v>20</v>
      </c>
      <c r="C51">
        <v>0</v>
      </c>
      <c r="D51" s="37">
        <v>0</v>
      </c>
      <c r="E51" s="165">
        <v>2</v>
      </c>
      <c r="F51" s="37">
        <f t="shared" si="7"/>
        <v>1</v>
      </c>
      <c r="G51" s="165">
        <v>2</v>
      </c>
      <c r="H51" s="37">
        <v>0</v>
      </c>
    </row>
  </sheetData>
  <mergeCells count="12">
    <mergeCell ref="C30:D30"/>
    <mergeCell ref="E30:F30"/>
    <mergeCell ref="G30:H30"/>
    <mergeCell ref="G29:H29"/>
    <mergeCell ref="C29:F29"/>
    <mergeCell ref="K4:L4"/>
    <mergeCell ref="I4:J4"/>
    <mergeCell ref="G4:H4"/>
    <mergeCell ref="E4:F4"/>
    <mergeCell ref="C4:D4"/>
    <mergeCell ref="K3:L3"/>
    <mergeCell ref="C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5B841-952A-5149-83B6-EF942A52E3FB}">
  <dimension ref="A2:M21"/>
  <sheetViews>
    <sheetView workbookViewId="0">
      <selection activeCell="B16" sqref="B16:C21"/>
    </sheetView>
  </sheetViews>
  <sheetFormatPr baseColWidth="10" defaultRowHeight="16"/>
  <cols>
    <col min="1" max="1" width="8.1640625" bestFit="1" customWidth="1"/>
    <col min="2" max="2" width="11.6640625" bestFit="1" customWidth="1"/>
  </cols>
  <sheetData>
    <row r="2" spans="1:13">
      <c r="B2" s="17" t="s">
        <v>12</v>
      </c>
      <c r="C2" s="22" t="s">
        <v>0</v>
      </c>
      <c r="D2" s="23"/>
      <c r="E2" s="23"/>
      <c r="F2" s="23"/>
      <c r="G2" s="23"/>
      <c r="H2" s="23"/>
      <c r="I2" s="24"/>
      <c r="J2" s="22" t="s">
        <v>1</v>
      </c>
      <c r="K2" s="23"/>
      <c r="L2" s="23"/>
      <c r="M2" s="24"/>
    </row>
    <row r="3" spans="1:13">
      <c r="B3" s="10" t="s">
        <v>13</v>
      </c>
      <c r="C3" s="19">
        <v>1</v>
      </c>
      <c r="D3" s="20">
        <v>2</v>
      </c>
      <c r="E3" s="21">
        <v>3</v>
      </c>
      <c r="F3" s="19">
        <v>4</v>
      </c>
      <c r="G3" s="20">
        <v>5</v>
      </c>
      <c r="H3" s="20">
        <v>6</v>
      </c>
      <c r="I3" s="21">
        <v>7</v>
      </c>
      <c r="J3" s="19">
        <v>1</v>
      </c>
      <c r="K3" s="20">
        <v>2</v>
      </c>
      <c r="L3" s="20">
        <v>3</v>
      </c>
      <c r="M3" s="21">
        <v>4</v>
      </c>
    </row>
    <row r="4" spans="1:13">
      <c r="A4" s="27" t="s">
        <v>14</v>
      </c>
      <c r="B4" s="8" t="s">
        <v>2</v>
      </c>
      <c r="C4" s="7">
        <v>3</v>
      </c>
      <c r="D4" s="8">
        <v>4</v>
      </c>
      <c r="E4" s="9">
        <v>4</v>
      </c>
      <c r="F4" s="7">
        <v>4</v>
      </c>
      <c r="G4" s="8">
        <v>4</v>
      </c>
      <c r="H4" s="8">
        <v>3.5</v>
      </c>
      <c r="I4" s="9">
        <v>3</v>
      </c>
      <c r="J4" s="17">
        <v>0</v>
      </c>
      <c r="K4" s="18">
        <v>0</v>
      </c>
      <c r="L4" s="18">
        <v>0</v>
      </c>
      <c r="M4" s="14">
        <v>1</v>
      </c>
    </row>
    <row r="5" spans="1:13">
      <c r="A5" s="28"/>
      <c r="B5" s="8" t="s">
        <v>3</v>
      </c>
      <c r="C5" s="7">
        <v>1</v>
      </c>
      <c r="D5" s="8">
        <v>0</v>
      </c>
      <c r="E5" s="9">
        <v>1</v>
      </c>
      <c r="F5" s="7">
        <v>1</v>
      </c>
      <c r="G5" s="8">
        <v>0</v>
      </c>
      <c r="H5" s="8">
        <v>0</v>
      </c>
      <c r="I5" s="9">
        <v>0</v>
      </c>
      <c r="J5" s="7">
        <v>0</v>
      </c>
      <c r="K5" s="8">
        <v>0</v>
      </c>
      <c r="L5" s="8">
        <v>0</v>
      </c>
      <c r="M5" s="9">
        <v>0</v>
      </c>
    </row>
    <row r="6" spans="1:13">
      <c r="A6" s="28"/>
      <c r="B6" s="8" t="s">
        <v>4</v>
      </c>
      <c r="C6" s="7">
        <v>1</v>
      </c>
      <c r="D6" s="8">
        <v>0</v>
      </c>
      <c r="E6" s="9">
        <v>1</v>
      </c>
      <c r="F6" s="7">
        <v>1</v>
      </c>
      <c r="G6" s="8">
        <v>0</v>
      </c>
      <c r="H6" s="8">
        <v>0</v>
      </c>
      <c r="I6" s="9">
        <v>0</v>
      </c>
      <c r="J6" s="7">
        <v>0</v>
      </c>
      <c r="K6" s="8">
        <v>0</v>
      </c>
      <c r="L6" s="8">
        <v>0</v>
      </c>
      <c r="M6" s="9">
        <v>2</v>
      </c>
    </row>
    <row r="7" spans="1:13">
      <c r="A7" s="28"/>
      <c r="B7" s="8" t="s">
        <v>5</v>
      </c>
      <c r="C7" s="7">
        <v>1</v>
      </c>
      <c r="D7" s="8">
        <v>0</v>
      </c>
      <c r="E7" s="9">
        <v>1</v>
      </c>
      <c r="F7" s="7">
        <v>0</v>
      </c>
      <c r="G7" s="8">
        <v>2</v>
      </c>
      <c r="H7" s="8">
        <v>2</v>
      </c>
      <c r="I7" s="9">
        <v>2</v>
      </c>
      <c r="J7" s="7">
        <v>0</v>
      </c>
      <c r="K7" s="8">
        <v>0</v>
      </c>
      <c r="L7" s="8">
        <v>1</v>
      </c>
      <c r="M7" s="9">
        <v>1</v>
      </c>
    </row>
    <row r="8" spans="1:13">
      <c r="A8" s="28"/>
      <c r="B8" s="8" t="s">
        <v>6</v>
      </c>
      <c r="C8" s="7">
        <v>1</v>
      </c>
      <c r="D8" s="8">
        <v>2</v>
      </c>
      <c r="E8" s="9">
        <v>0</v>
      </c>
      <c r="F8" s="7">
        <v>2</v>
      </c>
      <c r="G8" s="8">
        <v>4</v>
      </c>
      <c r="H8" s="8">
        <v>3</v>
      </c>
      <c r="I8" s="9">
        <v>2</v>
      </c>
      <c r="J8" s="7">
        <v>0</v>
      </c>
      <c r="K8" s="8">
        <v>0</v>
      </c>
      <c r="L8" s="8">
        <v>0</v>
      </c>
      <c r="M8" s="9">
        <v>0</v>
      </c>
    </row>
    <row r="9" spans="1:13">
      <c r="A9" s="28"/>
      <c r="B9" s="8" t="s">
        <v>7</v>
      </c>
      <c r="C9" s="7">
        <v>3</v>
      </c>
      <c r="D9" s="8">
        <v>3</v>
      </c>
      <c r="E9" s="9">
        <v>3</v>
      </c>
      <c r="F9" s="7">
        <v>3</v>
      </c>
      <c r="G9" s="8">
        <v>3.5</v>
      </c>
      <c r="H9" s="8">
        <v>3.5</v>
      </c>
      <c r="I9" s="9">
        <v>2.5</v>
      </c>
      <c r="J9" s="7">
        <v>1</v>
      </c>
      <c r="K9" s="8">
        <v>2</v>
      </c>
      <c r="L9" s="8">
        <v>3</v>
      </c>
      <c r="M9" s="9">
        <v>4</v>
      </c>
    </row>
    <row r="10" spans="1:13">
      <c r="A10" s="28"/>
      <c r="B10" s="8" t="s">
        <v>8</v>
      </c>
      <c r="C10" s="7">
        <v>2</v>
      </c>
      <c r="D10" s="8">
        <v>2</v>
      </c>
      <c r="E10" s="9">
        <v>2</v>
      </c>
      <c r="F10" s="7">
        <v>2</v>
      </c>
      <c r="G10" s="8">
        <v>2</v>
      </c>
      <c r="H10" s="8">
        <v>2</v>
      </c>
      <c r="I10" s="9"/>
      <c r="J10" s="7">
        <v>0</v>
      </c>
      <c r="K10" s="8">
        <v>0</v>
      </c>
      <c r="L10" s="8">
        <v>0</v>
      </c>
      <c r="M10" s="9">
        <v>0</v>
      </c>
    </row>
    <row r="11" spans="1:13">
      <c r="A11" s="28"/>
      <c r="B11" s="8" t="s">
        <v>9</v>
      </c>
      <c r="C11" s="7">
        <v>3</v>
      </c>
      <c r="D11" s="8">
        <v>3</v>
      </c>
      <c r="E11" s="9">
        <v>3</v>
      </c>
      <c r="F11" s="7">
        <v>3</v>
      </c>
      <c r="G11" s="8">
        <v>0</v>
      </c>
      <c r="H11" s="8"/>
      <c r="I11" s="9"/>
      <c r="J11" s="7">
        <v>0</v>
      </c>
      <c r="K11" s="8">
        <v>0</v>
      </c>
      <c r="L11" s="8">
        <v>0</v>
      </c>
      <c r="M11" s="9">
        <v>0</v>
      </c>
    </row>
    <row r="12" spans="1:13">
      <c r="A12" s="28"/>
      <c r="B12" s="8" t="s">
        <v>10</v>
      </c>
      <c r="C12" s="7">
        <v>3</v>
      </c>
      <c r="D12" s="8">
        <v>3</v>
      </c>
      <c r="E12" s="9">
        <v>3</v>
      </c>
      <c r="F12" s="7">
        <v>3</v>
      </c>
      <c r="G12" s="8">
        <v>3</v>
      </c>
      <c r="H12" s="8">
        <v>2</v>
      </c>
      <c r="I12" s="9"/>
      <c r="J12" s="7">
        <v>2.5</v>
      </c>
      <c r="K12" s="8">
        <v>2.5</v>
      </c>
      <c r="L12" s="8">
        <v>2.5</v>
      </c>
      <c r="M12" s="9">
        <v>2.5</v>
      </c>
    </row>
    <row r="13" spans="1:13">
      <c r="A13" s="29"/>
      <c r="B13" s="11" t="s">
        <v>11</v>
      </c>
      <c r="C13" s="10">
        <v>4</v>
      </c>
      <c r="D13" s="11">
        <v>4</v>
      </c>
      <c r="E13" s="12">
        <v>4</v>
      </c>
      <c r="F13" s="10"/>
      <c r="G13" s="11"/>
      <c r="H13" s="11"/>
      <c r="I13" s="12"/>
      <c r="J13" s="10">
        <v>0</v>
      </c>
      <c r="K13" s="11">
        <v>2.5</v>
      </c>
      <c r="L13" s="11">
        <v>3</v>
      </c>
      <c r="M13" s="12">
        <v>3</v>
      </c>
    </row>
    <row r="14" spans="1:13">
      <c r="C14" s="22" t="s">
        <v>21</v>
      </c>
      <c r="D14" s="23"/>
      <c r="E14" s="24"/>
      <c r="F14" s="22" t="s">
        <v>22</v>
      </c>
      <c r="G14" s="23"/>
      <c r="H14" s="23"/>
      <c r="I14" s="24"/>
      <c r="J14" s="22" t="s">
        <v>21</v>
      </c>
      <c r="K14" s="23"/>
      <c r="L14" s="23"/>
      <c r="M14" s="24"/>
    </row>
    <row r="16" spans="1:13">
      <c r="B16" s="30" t="s">
        <v>15</v>
      </c>
    </row>
    <row r="17" spans="2:3">
      <c r="B17">
        <v>0</v>
      </c>
      <c r="C17" t="s">
        <v>16</v>
      </c>
    </row>
    <row r="18" spans="2:3">
      <c r="B18">
        <v>1</v>
      </c>
      <c r="C18" t="s">
        <v>17</v>
      </c>
    </row>
    <row r="19" spans="2:3">
      <c r="B19">
        <v>2</v>
      </c>
      <c r="C19" t="s">
        <v>18</v>
      </c>
    </row>
    <row r="20" spans="2:3">
      <c r="B20">
        <v>3</v>
      </c>
      <c r="C20" t="s">
        <v>19</v>
      </c>
    </row>
    <row r="21" spans="2:3">
      <c r="B21">
        <v>4</v>
      </c>
      <c r="C21" t="s">
        <v>20</v>
      </c>
    </row>
  </sheetData>
  <mergeCells count="6">
    <mergeCell ref="A4:A13"/>
    <mergeCell ref="C2:I2"/>
    <mergeCell ref="J2:M2"/>
    <mergeCell ref="C14:E14"/>
    <mergeCell ref="F14:I14"/>
    <mergeCell ref="J14:M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3EF07-F470-9C45-B683-39FEF4425095}">
  <dimension ref="A2:E14"/>
  <sheetViews>
    <sheetView workbookViewId="0">
      <selection activeCell="E16" sqref="E16"/>
    </sheetView>
  </sheetViews>
  <sheetFormatPr baseColWidth="10" defaultRowHeight="16"/>
  <sheetData>
    <row r="2" spans="1:5">
      <c r="A2" s="87"/>
      <c r="B2" s="87"/>
      <c r="C2" s="94" t="s">
        <v>42</v>
      </c>
      <c r="D2" s="95"/>
      <c r="E2" s="96" t="s">
        <v>43</v>
      </c>
    </row>
    <row r="3" spans="1:5">
      <c r="A3" s="92" t="s">
        <v>58</v>
      </c>
      <c r="B3" s="97" t="s">
        <v>44</v>
      </c>
      <c r="C3" s="93" t="s">
        <v>45</v>
      </c>
      <c r="D3" s="97" t="s">
        <v>46</v>
      </c>
      <c r="E3" s="97" t="s">
        <v>47</v>
      </c>
    </row>
    <row r="4" spans="1:5">
      <c r="A4" s="89" t="s">
        <v>0</v>
      </c>
      <c r="B4" s="99" t="s">
        <v>48</v>
      </c>
      <c r="C4" s="88">
        <v>79.7</v>
      </c>
      <c r="D4" s="98">
        <v>0.33</v>
      </c>
      <c r="E4" s="98">
        <v>13.19</v>
      </c>
    </row>
    <row r="5" spans="1:5">
      <c r="A5" s="89" t="s">
        <v>0</v>
      </c>
      <c r="B5" s="99" t="s">
        <v>49</v>
      </c>
      <c r="C5" s="88">
        <v>63.1</v>
      </c>
      <c r="D5" s="98">
        <v>0.3</v>
      </c>
      <c r="E5" s="98">
        <v>6.51</v>
      </c>
    </row>
    <row r="6" spans="1:5">
      <c r="A6" s="89" t="s">
        <v>0</v>
      </c>
      <c r="B6" s="99" t="s">
        <v>50</v>
      </c>
      <c r="C6" s="88">
        <v>70.7</v>
      </c>
      <c r="D6" s="98">
        <v>0.3</v>
      </c>
      <c r="E6" s="98">
        <v>11.7</v>
      </c>
    </row>
    <row r="7" spans="1:5">
      <c r="A7" s="89" t="s">
        <v>0</v>
      </c>
      <c r="B7" s="99" t="s">
        <v>51</v>
      </c>
      <c r="C7" s="43">
        <v>90.1</v>
      </c>
      <c r="D7" s="99">
        <v>0.28999999999999998</v>
      </c>
      <c r="E7" s="99">
        <v>13.65</v>
      </c>
    </row>
    <row r="8" spans="1:5">
      <c r="A8" s="89" t="s">
        <v>0</v>
      </c>
      <c r="B8" s="99" t="s">
        <v>52</v>
      </c>
      <c r="C8" s="88">
        <v>63.4</v>
      </c>
      <c r="D8" s="98">
        <v>0.31</v>
      </c>
      <c r="E8" s="98">
        <v>6.71</v>
      </c>
    </row>
    <row r="9" spans="1:5">
      <c r="A9" s="89" t="s">
        <v>1</v>
      </c>
      <c r="B9" s="99" t="s">
        <v>53</v>
      </c>
      <c r="C9" s="88">
        <v>46.1</v>
      </c>
      <c r="D9" s="98">
        <v>0.38</v>
      </c>
      <c r="E9" s="98">
        <v>0.51</v>
      </c>
    </row>
    <row r="10" spans="1:5">
      <c r="A10" s="89" t="s">
        <v>1</v>
      </c>
      <c r="B10" s="99" t="s">
        <v>54</v>
      </c>
      <c r="C10" s="43">
        <v>65.8</v>
      </c>
      <c r="D10" s="99">
        <v>0.39</v>
      </c>
      <c r="E10" s="99">
        <v>0.51</v>
      </c>
    </row>
    <row r="11" spans="1:5">
      <c r="A11" s="89" t="s">
        <v>1</v>
      </c>
      <c r="B11" s="99" t="s">
        <v>55</v>
      </c>
      <c r="C11" s="88">
        <v>68.2</v>
      </c>
      <c r="D11" s="98">
        <v>0.35</v>
      </c>
      <c r="E11" s="98">
        <v>0.72</v>
      </c>
    </row>
    <row r="12" spans="1:5">
      <c r="A12" s="89" t="s">
        <v>1</v>
      </c>
      <c r="B12" s="99" t="s">
        <v>56</v>
      </c>
      <c r="C12" s="43">
        <v>68.8</v>
      </c>
      <c r="D12" s="99">
        <v>0.36</v>
      </c>
      <c r="E12" s="99">
        <v>0.28000000000000003</v>
      </c>
    </row>
    <row r="13" spans="1:5">
      <c r="A13" s="90" t="s">
        <v>1</v>
      </c>
      <c r="B13" s="101" t="s">
        <v>57</v>
      </c>
      <c r="C13" s="91">
        <v>65.7</v>
      </c>
      <c r="D13" s="100">
        <v>0.36</v>
      </c>
      <c r="E13" s="100">
        <v>1.41</v>
      </c>
    </row>
    <row r="14" spans="1:5">
      <c r="A14" s="8"/>
      <c r="B14" s="8"/>
      <c r="C14" s="8"/>
      <c r="D14" s="8"/>
      <c r="E14" s="8"/>
    </row>
  </sheetData>
  <mergeCells count="2">
    <mergeCell ref="A2:B2"/>
    <mergeCell ref="C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5BBAE-AE1A-944B-8354-07D0CC1CBF63}">
  <dimension ref="A2:AH13"/>
  <sheetViews>
    <sheetView zoomScale="50" workbookViewId="0">
      <selection activeCell="H48" sqref="H48"/>
    </sheetView>
  </sheetViews>
  <sheetFormatPr baseColWidth="10" defaultRowHeight="16"/>
  <cols>
    <col min="2" max="2" width="21.5" bestFit="1" customWidth="1"/>
  </cols>
  <sheetData>
    <row r="2" spans="1:34">
      <c r="C2" s="4" t="s">
        <v>2</v>
      </c>
      <c r="D2" s="5"/>
      <c r="E2" s="5"/>
      <c r="F2" s="5"/>
      <c r="G2" s="4" t="s">
        <v>59</v>
      </c>
      <c r="H2" s="5"/>
      <c r="I2" s="5"/>
      <c r="J2" s="6"/>
      <c r="K2" s="5" t="s">
        <v>5</v>
      </c>
      <c r="L2" s="5"/>
      <c r="M2" s="5"/>
      <c r="N2" s="5"/>
      <c r="O2" s="4" t="s">
        <v>6</v>
      </c>
      <c r="P2" s="5"/>
      <c r="Q2" s="5"/>
      <c r="R2" s="6"/>
      <c r="S2" s="5" t="s">
        <v>7</v>
      </c>
      <c r="T2" s="5"/>
      <c r="U2" s="5"/>
      <c r="V2" s="5"/>
      <c r="W2" s="4" t="s">
        <v>60</v>
      </c>
      <c r="X2" s="5"/>
      <c r="Y2" s="5"/>
      <c r="Z2" s="6"/>
      <c r="AA2" s="5" t="s">
        <v>9</v>
      </c>
      <c r="AB2" s="5"/>
      <c r="AC2" s="5"/>
      <c r="AD2" s="5"/>
      <c r="AE2" s="4" t="s">
        <v>10</v>
      </c>
      <c r="AF2" s="5"/>
      <c r="AG2" s="5"/>
      <c r="AH2" s="6"/>
    </row>
    <row r="3" spans="1:34">
      <c r="A3" s="112" t="s">
        <v>61</v>
      </c>
      <c r="B3" s="117" t="s">
        <v>62</v>
      </c>
      <c r="C3" s="11">
        <v>1</v>
      </c>
      <c r="D3" s="11">
        <v>2</v>
      </c>
      <c r="E3" s="11">
        <v>3</v>
      </c>
      <c r="F3" s="11">
        <v>4</v>
      </c>
      <c r="G3" s="10">
        <v>1</v>
      </c>
      <c r="H3" s="11">
        <v>2</v>
      </c>
      <c r="I3" s="11">
        <v>3</v>
      </c>
      <c r="J3" s="12">
        <v>4</v>
      </c>
      <c r="K3" s="11">
        <v>1</v>
      </c>
      <c r="L3" s="11">
        <v>2</v>
      </c>
      <c r="M3" s="11">
        <v>3</v>
      </c>
      <c r="N3" s="11">
        <v>4</v>
      </c>
      <c r="O3" s="10">
        <v>1</v>
      </c>
      <c r="P3" s="11">
        <v>2</v>
      </c>
      <c r="Q3" s="11">
        <v>3</v>
      </c>
      <c r="R3" s="12">
        <v>4</v>
      </c>
      <c r="S3" s="11">
        <v>1</v>
      </c>
      <c r="T3" s="11">
        <v>2</v>
      </c>
      <c r="U3" s="11">
        <v>3</v>
      </c>
      <c r="V3" s="11">
        <v>4</v>
      </c>
      <c r="W3" s="10">
        <v>1</v>
      </c>
      <c r="X3" s="11">
        <v>2</v>
      </c>
      <c r="Y3" s="11">
        <v>3</v>
      </c>
      <c r="Z3" s="12">
        <v>4</v>
      </c>
      <c r="AA3" s="11">
        <v>1</v>
      </c>
      <c r="AB3" s="11">
        <v>2</v>
      </c>
      <c r="AC3" s="11">
        <v>3</v>
      </c>
      <c r="AD3" s="11">
        <v>4</v>
      </c>
      <c r="AE3" s="10">
        <v>1</v>
      </c>
      <c r="AF3" s="11">
        <v>2</v>
      </c>
      <c r="AG3" s="11">
        <v>3</v>
      </c>
      <c r="AH3" s="12">
        <v>4</v>
      </c>
    </row>
    <row r="4" spans="1:34">
      <c r="A4" s="113" t="s">
        <v>0</v>
      </c>
      <c r="B4" s="118">
        <v>1</v>
      </c>
      <c r="C4" s="105">
        <v>3.145695355</v>
      </c>
      <c r="D4" s="105">
        <v>1.8870272269999999</v>
      </c>
      <c r="E4" s="105">
        <v>2.6336091150000001</v>
      </c>
      <c r="F4" s="105"/>
      <c r="G4" s="119">
        <v>1E-4</v>
      </c>
      <c r="H4" s="105">
        <v>3.48</v>
      </c>
      <c r="I4" s="105">
        <v>3.53</v>
      </c>
      <c r="J4" s="106"/>
      <c r="K4" s="105">
        <v>3.53</v>
      </c>
      <c r="L4" s="105">
        <v>3.57</v>
      </c>
      <c r="M4" s="105">
        <v>1.0000000000000001E-5</v>
      </c>
      <c r="N4" s="105">
        <v>1.0000000000000001E-5</v>
      </c>
      <c r="O4" s="119">
        <v>3.2383243820000001</v>
      </c>
      <c r="P4" s="105">
        <v>1.0000000000000001E-5</v>
      </c>
      <c r="Q4" s="105">
        <v>1.0000000000000001E-5</v>
      </c>
      <c r="R4" s="106"/>
      <c r="S4" s="105">
        <v>2.595851535</v>
      </c>
      <c r="T4" s="105">
        <v>3.7581632090000001</v>
      </c>
      <c r="U4" s="105">
        <v>3.9290584919999998</v>
      </c>
      <c r="V4" s="105">
        <v>1.0000000000000001E-5</v>
      </c>
      <c r="W4" s="119">
        <v>3.301311434</v>
      </c>
      <c r="X4" s="105">
        <v>1.0000000000000001E-5</v>
      </c>
      <c r="Y4" s="105">
        <v>3.6792549050000001</v>
      </c>
      <c r="Z4" s="106"/>
      <c r="AA4" s="105">
        <v>1.1886701470000001</v>
      </c>
      <c r="AB4" s="105">
        <v>1.0000000000000001E-5</v>
      </c>
      <c r="AC4" s="105">
        <v>0.94004811200000005</v>
      </c>
      <c r="AD4" s="105">
        <v>1.0000000000000001E-5</v>
      </c>
      <c r="AE4" s="119">
        <v>1.0000000000000001E-5</v>
      </c>
      <c r="AF4" s="105">
        <v>3.6126982700000001</v>
      </c>
      <c r="AG4" s="105">
        <v>1.0000000000000001E-5</v>
      </c>
      <c r="AH4" s="106"/>
    </row>
    <row r="5" spans="1:34">
      <c r="A5" s="114"/>
      <c r="B5" s="73">
        <v>2</v>
      </c>
      <c r="C5" s="107">
        <v>1.958110716</v>
      </c>
      <c r="D5" s="107">
        <v>2.0534600350000001</v>
      </c>
      <c r="E5" s="107">
        <v>2.187469417</v>
      </c>
      <c r="F5" s="107"/>
      <c r="G5" s="120">
        <v>3.42</v>
      </c>
      <c r="H5" s="107">
        <v>3.67</v>
      </c>
      <c r="I5" s="107">
        <v>2.5861999999999998</v>
      </c>
      <c r="J5" s="108"/>
      <c r="K5" s="107">
        <v>3.42</v>
      </c>
      <c r="L5" s="107">
        <v>1.99</v>
      </c>
      <c r="M5" s="107">
        <v>3.41</v>
      </c>
      <c r="N5" s="107">
        <v>1.0000000000000001E-5</v>
      </c>
      <c r="O5" s="120">
        <v>1.0000000000000001E-5</v>
      </c>
      <c r="P5" s="107">
        <v>1.8364501470000001</v>
      </c>
      <c r="Q5" s="107">
        <v>2.9722113810000002</v>
      </c>
      <c r="R5" s="108"/>
      <c r="S5" s="107">
        <v>2.1470095320000002</v>
      </c>
      <c r="T5" s="107">
        <v>2.6193164019999999</v>
      </c>
      <c r="U5" s="107">
        <v>3.1404421519999999</v>
      </c>
      <c r="V5" s="107">
        <v>1.0000000000000001E-5</v>
      </c>
      <c r="W5" s="120">
        <v>2.4822748290000001</v>
      </c>
      <c r="X5" s="107">
        <v>1.2265850330000001</v>
      </c>
      <c r="Y5" s="107">
        <v>1.0000000000000001E-5</v>
      </c>
      <c r="Z5" s="108"/>
      <c r="AA5" s="107">
        <v>1.0000000000000001E-5</v>
      </c>
      <c r="AB5" s="107">
        <v>1.0000000000000001E-5</v>
      </c>
      <c r="AC5" s="107">
        <v>1.0000000000000001E-5</v>
      </c>
      <c r="AD5" s="107">
        <v>1.0000000000000001E-5</v>
      </c>
      <c r="AE5" s="120">
        <v>1.734785765</v>
      </c>
      <c r="AF5" s="107">
        <v>3.9741334020000001</v>
      </c>
      <c r="AG5" s="107">
        <v>2.5436899419999999</v>
      </c>
      <c r="AH5" s="108"/>
    </row>
    <row r="6" spans="1:34">
      <c r="A6" s="114"/>
      <c r="B6" s="73">
        <v>3</v>
      </c>
      <c r="C6" s="107">
        <v>2.1206639350000001</v>
      </c>
      <c r="D6" s="107">
        <v>0.80701056000000004</v>
      </c>
      <c r="E6" s="107">
        <v>1.6892071829999999</v>
      </c>
      <c r="F6" s="107"/>
      <c r="G6" s="120">
        <v>2.8725000000000001</v>
      </c>
      <c r="H6" s="107">
        <v>3.35</v>
      </c>
      <c r="I6" s="107">
        <v>1.0857000000000001</v>
      </c>
      <c r="J6" s="108"/>
      <c r="K6" s="107">
        <v>2.6465000000000001</v>
      </c>
      <c r="L6" s="107">
        <v>3.43</v>
      </c>
      <c r="M6" s="107">
        <v>1.0000000000000001E-5</v>
      </c>
      <c r="N6" s="107">
        <v>1.0000000000000001E-5</v>
      </c>
      <c r="O6" s="120">
        <v>1.0000000000000001E-5</v>
      </c>
      <c r="P6" s="107">
        <v>3.0817900479999998</v>
      </c>
      <c r="Q6" s="107">
        <v>1.0000000000000001E-5</v>
      </c>
      <c r="R6" s="108"/>
      <c r="S6" s="107">
        <v>3.5412202079999999</v>
      </c>
      <c r="T6" s="107">
        <v>3.5070108769999999</v>
      </c>
      <c r="U6" s="107">
        <v>3.5082291109999999</v>
      </c>
      <c r="V6" s="107">
        <v>1.0000000000000001E-5</v>
      </c>
      <c r="W6" s="120">
        <v>2.6933613670000001</v>
      </c>
      <c r="X6" s="107">
        <v>0.72652645400000004</v>
      </c>
      <c r="Y6" s="107">
        <v>1.0000000000000001E-5</v>
      </c>
      <c r="Z6" s="108"/>
      <c r="AA6" s="107">
        <v>1.0000000000000001E-5</v>
      </c>
      <c r="AB6" s="107">
        <v>1.0000000000000001E-5</v>
      </c>
      <c r="AC6" s="107">
        <v>1.0000000000000001E-5</v>
      </c>
      <c r="AD6" s="107">
        <v>1.0000000000000001E-5</v>
      </c>
      <c r="AE6" s="120">
        <v>1.950354962</v>
      </c>
      <c r="AF6" s="107">
        <v>3.4732010199999999</v>
      </c>
      <c r="AG6" s="107">
        <v>1.0000000000000001E-5</v>
      </c>
      <c r="AH6" s="108"/>
    </row>
    <row r="7" spans="1:34">
      <c r="A7" s="114"/>
      <c r="B7" s="73">
        <v>4</v>
      </c>
      <c r="C7" s="107">
        <v>3.5195567990000001</v>
      </c>
      <c r="D7" s="107">
        <v>5.2562525100000004</v>
      </c>
      <c r="E7" s="107">
        <v>1.8474014000000001</v>
      </c>
      <c r="F7" s="107"/>
      <c r="G7" s="120">
        <v>3.63</v>
      </c>
      <c r="H7" s="107">
        <v>1.2276</v>
      </c>
      <c r="I7" s="107">
        <v>2.6196999999999999</v>
      </c>
      <c r="J7" s="108"/>
      <c r="K7" s="107">
        <v>3.27</v>
      </c>
      <c r="L7" s="107">
        <v>1.925</v>
      </c>
      <c r="M7" s="107">
        <v>3.53</v>
      </c>
      <c r="N7" s="107">
        <v>1.0000000000000001E-5</v>
      </c>
      <c r="O7" s="120">
        <v>3.3721810539999999</v>
      </c>
      <c r="P7" s="107">
        <v>1.682736429</v>
      </c>
      <c r="Q7" s="107">
        <v>3.125155795</v>
      </c>
      <c r="R7" s="108"/>
      <c r="S7" s="107">
        <v>3.2651273220000001</v>
      </c>
      <c r="T7" s="107">
        <v>3.1541288920000001</v>
      </c>
      <c r="U7" s="107">
        <v>3.0860947080000001</v>
      </c>
      <c r="V7" s="107">
        <v>1.0000000000000001E-5</v>
      </c>
      <c r="W7" s="120">
        <v>0.83989354599999999</v>
      </c>
      <c r="X7" s="107">
        <v>1.070615882</v>
      </c>
      <c r="Y7" s="107">
        <v>3.5089632850000001</v>
      </c>
      <c r="Z7" s="108"/>
      <c r="AA7" s="107">
        <v>2.1620415500000001</v>
      </c>
      <c r="AB7" s="107">
        <v>0.13852924999999999</v>
      </c>
      <c r="AC7" s="107">
        <v>0.18637341900000001</v>
      </c>
      <c r="AD7" s="107">
        <v>1.0000000000000001E-5</v>
      </c>
      <c r="AE7" s="120">
        <v>3.5978696559999999</v>
      </c>
      <c r="AF7" s="107">
        <v>0.51198347600000005</v>
      </c>
      <c r="AG7" s="107">
        <v>4.1645781059999996</v>
      </c>
      <c r="AH7" s="108"/>
    </row>
    <row r="8" spans="1:34">
      <c r="A8" s="114"/>
      <c r="B8" s="73">
        <v>5</v>
      </c>
      <c r="C8" s="107">
        <v>4.2108356430000002</v>
      </c>
      <c r="D8" s="107">
        <v>1.7678087069999999</v>
      </c>
      <c r="E8" s="107">
        <v>2.6303175959999998</v>
      </c>
      <c r="F8" s="107"/>
      <c r="G8" s="120">
        <v>0.96389999999999998</v>
      </c>
      <c r="H8" s="107">
        <v>4.6059999999999999</v>
      </c>
      <c r="I8" s="107">
        <v>4.9800000000000004</v>
      </c>
      <c r="J8" s="108"/>
      <c r="K8" s="107">
        <v>2.0350000000000001</v>
      </c>
      <c r="L8" s="107">
        <v>1.0000000000000001E-5</v>
      </c>
      <c r="M8" s="107">
        <v>1.4222999999999999</v>
      </c>
      <c r="N8" s="107">
        <v>1.0000000000000001E-5</v>
      </c>
      <c r="O8" s="120">
        <v>1.0000000000000001E-5</v>
      </c>
      <c r="P8" s="107">
        <v>3.6379989180000001</v>
      </c>
      <c r="Q8" s="107">
        <v>3.8344955989999998</v>
      </c>
      <c r="R8" s="108"/>
      <c r="S8" s="107">
        <v>3.1206784760000001</v>
      </c>
      <c r="T8" s="107">
        <v>2.1162536379999999</v>
      </c>
      <c r="U8" s="107">
        <v>1.5948197710000001</v>
      </c>
      <c r="V8" s="107">
        <v>1.0000000000000001E-5</v>
      </c>
      <c r="W8" s="120">
        <v>1.6263980950000001</v>
      </c>
      <c r="X8" s="107">
        <v>2.854375723</v>
      </c>
      <c r="Y8" s="107">
        <v>1.0000000000000001E-5</v>
      </c>
      <c r="Z8" s="108"/>
      <c r="AA8" s="107">
        <v>0.56771269899999999</v>
      </c>
      <c r="AB8" s="107">
        <v>0.293045165</v>
      </c>
      <c r="AC8" s="107">
        <v>2.5441336950000002</v>
      </c>
      <c r="AD8" s="107">
        <v>1.0000000000000001E-5</v>
      </c>
      <c r="AE8" s="120">
        <v>1.2403868440000001</v>
      </c>
      <c r="AF8" s="107">
        <v>3.8840043359999998</v>
      </c>
      <c r="AG8" s="107">
        <v>4.5635663170000003</v>
      </c>
      <c r="AH8" s="108"/>
    </row>
    <row r="9" spans="1:34">
      <c r="A9" s="115"/>
      <c r="B9" s="74">
        <v>6</v>
      </c>
      <c r="C9" s="109">
        <v>4.2882915979999998</v>
      </c>
      <c r="D9" s="109">
        <v>4.956948648</v>
      </c>
      <c r="E9" s="109">
        <v>4.5886608869999996</v>
      </c>
      <c r="F9" s="109">
        <v>3.8165436580000001</v>
      </c>
      <c r="G9" s="121">
        <v>0.495</v>
      </c>
      <c r="H9" s="109">
        <v>1.704</v>
      </c>
      <c r="I9" s="109">
        <v>4.4029999999999996</v>
      </c>
      <c r="J9" s="110">
        <v>1.06</v>
      </c>
      <c r="K9" s="109">
        <v>3.403</v>
      </c>
      <c r="L9" s="109">
        <v>1.96</v>
      </c>
      <c r="M9" s="109">
        <v>1.6986000000000001</v>
      </c>
      <c r="N9" s="109">
        <v>1.0000000000000001E-5</v>
      </c>
      <c r="O9" s="121">
        <v>4.0380518329999999</v>
      </c>
      <c r="P9" s="109">
        <v>2.544347793</v>
      </c>
      <c r="Q9" s="109">
        <v>2.8090861509999998</v>
      </c>
      <c r="R9" s="110"/>
      <c r="S9" s="109">
        <v>2.4685329029999998</v>
      </c>
      <c r="T9" s="109">
        <v>1.7612890510000001</v>
      </c>
      <c r="U9" s="109">
        <v>3.152261014</v>
      </c>
      <c r="V9" s="109">
        <v>3.0759277690000002</v>
      </c>
      <c r="W9" s="121">
        <v>1.4460040670000001</v>
      </c>
      <c r="X9" s="109">
        <v>1.78253259</v>
      </c>
      <c r="Y9" s="109">
        <v>2.9980311020000001</v>
      </c>
      <c r="Z9" s="110"/>
      <c r="AA9" s="109">
        <v>3.6646039510000001</v>
      </c>
      <c r="AB9" s="109">
        <v>3.9005657619999998</v>
      </c>
      <c r="AC9" s="109">
        <v>3.6772113059999998</v>
      </c>
      <c r="AD9" s="109">
        <v>2.9730317309999998</v>
      </c>
      <c r="AE9" s="121">
        <v>4.3982771749999996</v>
      </c>
      <c r="AF9" s="109">
        <v>3.2900485270000002</v>
      </c>
      <c r="AG9" s="109">
        <v>1.0000000000000001E-5</v>
      </c>
      <c r="AH9" s="110"/>
    </row>
    <row r="10" spans="1:34">
      <c r="A10" s="116"/>
      <c r="B10" s="73"/>
      <c r="C10" s="102"/>
      <c r="D10" s="102"/>
      <c r="E10" s="102"/>
      <c r="F10" s="102"/>
      <c r="G10" s="120"/>
      <c r="H10" s="107"/>
      <c r="I10" s="107"/>
      <c r="J10" s="108"/>
      <c r="K10" s="102"/>
      <c r="L10" s="102"/>
      <c r="M10" s="102"/>
      <c r="N10" s="102"/>
      <c r="O10" s="120"/>
      <c r="P10" s="107"/>
      <c r="Q10" s="107"/>
      <c r="R10" s="108"/>
      <c r="S10" s="102"/>
      <c r="T10" s="102"/>
      <c r="U10" s="102"/>
      <c r="V10" s="102"/>
      <c r="W10" s="120"/>
      <c r="X10" s="107"/>
      <c r="Y10" s="107"/>
      <c r="Z10" s="108"/>
      <c r="AA10" s="102"/>
      <c r="AB10" s="102"/>
      <c r="AC10" s="102"/>
      <c r="AD10" s="102"/>
      <c r="AE10" s="120"/>
      <c r="AF10" s="107"/>
      <c r="AG10" s="107"/>
      <c r="AH10" s="108"/>
    </row>
    <row r="11" spans="1:34">
      <c r="A11" s="113" t="s">
        <v>1</v>
      </c>
      <c r="B11" s="118" t="s">
        <v>63</v>
      </c>
      <c r="C11" s="105">
        <v>2.718665106</v>
      </c>
      <c r="D11" s="105">
        <v>2.961356646</v>
      </c>
      <c r="E11" s="105">
        <v>3.3518400000000002</v>
      </c>
      <c r="F11" s="105"/>
      <c r="G11" s="119">
        <v>1.903143587</v>
      </c>
      <c r="H11" s="105">
        <v>1.817104863</v>
      </c>
      <c r="I11" s="105">
        <v>3.5465588110000001</v>
      </c>
      <c r="J11" s="106"/>
      <c r="K11" s="105">
        <v>4.3000361949999997</v>
      </c>
      <c r="L11" s="105">
        <v>4.9289614799999999</v>
      </c>
      <c r="M11" s="105">
        <v>4.6337545110000002</v>
      </c>
      <c r="N11" s="105">
        <v>4.1303721749999998</v>
      </c>
      <c r="O11" s="119">
        <v>5.2062576519999997</v>
      </c>
      <c r="P11" s="105">
        <v>1.0000000000000001E-5</v>
      </c>
      <c r="Q11" s="105">
        <v>4.1889623460000003</v>
      </c>
      <c r="R11" s="106"/>
      <c r="S11" s="105">
        <v>0.86399999999999999</v>
      </c>
      <c r="T11" s="105">
        <v>2.556</v>
      </c>
      <c r="U11" s="105">
        <v>2.4089999999999998</v>
      </c>
      <c r="V11" s="105">
        <v>2.6168999999999998</v>
      </c>
      <c r="W11" s="119">
        <v>4.7385000000000002</v>
      </c>
      <c r="X11" s="105">
        <v>4.617</v>
      </c>
      <c r="Y11" s="105">
        <v>4.0587999999999997</v>
      </c>
      <c r="Z11" s="106">
        <v>3.9575999999999998</v>
      </c>
      <c r="AA11" s="105">
        <v>2.1714000000000002</v>
      </c>
      <c r="AB11" s="105">
        <v>1.9651000000000001</v>
      </c>
      <c r="AC11" s="105">
        <v>2.1903000000000001</v>
      </c>
      <c r="AD11" s="105">
        <v>1.2663</v>
      </c>
      <c r="AE11" s="119">
        <v>4.72</v>
      </c>
      <c r="AF11" s="105">
        <v>4.29</v>
      </c>
      <c r="AG11" s="105">
        <v>4.57</v>
      </c>
      <c r="AH11" s="106">
        <v>4.71</v>
      </c>
    </row>
    <row r="12" spans="1:34">
      <c r="A12" s="114"/>
      <c r="B12" s="73" t="s">
        <v>64</v>
      </c>
      <c r="C12" s="107">
        <v>1.2581566609999999</v>
      </c>
      <c r="D12" s="107">
        <v>3.1185744130000002</v>
      </c>
      <c r="E12" s="107">
        <v>2.7209614420000001</v>
      </c>
      <c r="F12" s="107"/>
      <c r="G12" s="120">
        <v>2.8319442050000001</v>
      </c>
      <c r="H12" s="107">
        <v>1.8529377600000001</v>
      </c>
      <c r="I12" s="107">
        <v>3.9089089000000001</v>
      </c>
      <c r="J12" s="108"/>
      <c r="K12" s="107">
        <v>4.4010440900000001</v>
      </c>
      <c r="L12" s="107">
        <v>4.5953375809999999</v>
      </c>
      <c r="M12" s="107">
        <v>3.4657192320000001</v>
      </c>
      <c r="N12" s="107">
        <v>1.0000000000000001E-5</v>
      </c>
      <c r="O12" s="120">
        <v>4.2178872759999999</v>
      </c>
      <c r="P12" s="107">
        <v>3.6588624940000001</v>
      </c>
      <c r="Q12" s="107">
        <v>3.587561945</v>
      </c>
      <c r="R12" s="108"/>
      <c r="S12" s="107">
        <v>3.488</v>
      </c>
      <c r="T12" s="107">
        <v>3.5861999999999998</v>
      </c>
      <c r="U12" s="107">
        <v>2.3650000000000002</v>
      </c>
      <c r="V12" s="107">
        <v>3.7989000000000002</v>
      </c>
      <c r="W12" s="120">
        <v>0.76500000000000001</v>
      </c>
      <c r="X12" s="107">
        <v>0.23760000000000001</v>
      </c>
      <c r="Y12" s="107">
        <v>0.82879999999999998</v>
      </c>
      <c r="Z12" s="108"/>
      <c r="AA12" s="107">
        <v>3.4155000000000002</v>
      </c>
      <c r="AB12" s="107">
        <v>1.4168000000000001</v>
      </c>
      <c r="AC12" s="107">
        <v>1.8942000000000001</v>
      </c>
      <c r="AD12" s="107">
        <v>1E-4</v>
      </c>
      <c r="AE12" s="120">
        <v>2.8664999999999998</v>
      </c>
      <c r="AF12" s="107">
        <v>2.9849999999999999</v>
      </c>
      <c r="AG12" s="107">
        <v>1.845</v>
      </c>
      <c r="AH12" s="108"/>
    </row>
    <row r="13" spans="1:34">
      <c r="A13" s="115"/>
      <c r="B13" s="74" t="s">
        <v>65</v>
      </c>
      <c r="C13" s="109">
        <v>1.0000000000000001E-5</v>
      </c>
      <c r="D13" s="109">
        <v>1.0000000000000001E-5</v>
      </c>
      <c r="E13" s="109">
        <v>0</v>
      </c>
      <c r="F13" s="109"/>
      <c r="G13" s="121">
        <v>1E-4</v>
      </c>
      <c r="H13" s="109">
        <v>1E-4</v>
      </c>
      <c r="I13" s="109">
        <v>1E-4</v>
      </c>
      <c r="J13" s="110"/>
      <c r="K13" s="109">
        <v>3.1536866749999999</v>
      </c>
      <c r="L13" s="109">
        <v>4.063834527</v>
      </c>
      <c r="M13" s="109">
        <v>1E-4</v>
      </c>
      <c r="N13" s="109">
        <v>1E-4</v>
      </c>
      <c r="O13" s="121">
        <v>1E-4</v>
      </c>
      <c r="P13" s="109">
        <v>1E-4</v>
      </c>
      <c r="Q13" s="109">
        <v>1E-4</v>
      </c>
      <c r="R13" s="110"/>
      <c r="S13" s="109">
        <v>1E-4</v>
      </c>
      <c r="T13" s="109">
        <v>1E-4</v>
      </c>
      <c r="U13" s="109">
        <v>1E-4</v>
      </c>
      <c r="V13" s="109">
        <v>1E-4</v>
      </c>
      <c r="W13" s="121">
        <v>3.1</v>
      </c>
      <c r="X13" s="109">
        <v>3.24</v>
      </c>
      <c r="Y13" s="109">
        <v>0</v>
      </c>
      <c r="Z13" s="110"/>
      <c r="AA13" s="109">
        <v>1.85</v>
      </c>
      <c r="AB13" s="109">
        <v>3.6</v>
      </c>
      <c r="AC13" s="109">
        <v>1.2804</v>
      </c>
      <c r="AD13" s="109">
        <v>1E-4</v>
      </c>
      <c r="AE13" s="121">
        <v>3.36</v>
      </c>
      <c r="AF13" s="109">
        <v>1E-4</v>
      </c>
      <c r="AG13" s="109">
        <v>2.9</v>
      </c>
      <c r="AH13" s="110"/>
    </row>
  </sheetData>
  <mergeCells count="10">
    <mergeCell ref="A4:A9"/>
    <mergeCell ref="A11:A13"/>
    <mergeCell ref="C2:F2"/>
    <mergeCell ref="G2:J2"/>
    <mergeCell ref="K2:N2"/>
    <mergeCell ref="AE2:AH2"/>
    <mergeCell ref="AA2:AD2"/>
    <mergeCell ref="W2:Z2"/>
    <mergeCell ref="S2:V2"/>
    <mergeCell ref="O2:R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48DEB-3C94-F341-99FD-B0627A016039}">
  <dimension ref="B1:T13"/>
  <sheetViews>
    <sheetView zoomScale="63" workbookViewId="0">
      <selection activeCell="M1" sqref="C1:T1"/>
    </sheetView>
  </sheetViews>
  <sheetFormatPr baseColWidth="10" defaultRowHeight="16"/>
  <cols>
    <col min="2" max="2" width="15" bestFit="1" customWidth="1"/>
    <col min="12" max="12" width="15" bestFit="1" customWidth="1"/>
  </cols>
  <sheetData>
    <row r="1" spans="2:20">
      <c r="C1" s="22" t="s">
        <v>80</v>
      </c>
      <c r="D1" s="23"/>
      <c r="E1" s="23"/>
      <c r="F1" s="23"/>
      <c r="G1" s="23"/>
      <c r="H1" s="23"/>
      <c r="I1" s="23"/>
      <c r="J1" s="24"/>
      <c r="M1" s="22" t="s">
        <v>82</v>
      </c>
      <c r="N1" s="23"/>
      <c r="O1" s="23"/>
      <c r="P1" s="23"/>
      <c r="Q1" s="23"/>
      <c r="R1" s="23"/>
      <c r="S1" s="23"/>
      <c r="T1" s="24"/>
    </row>
    <row r="2" spans="2:20">
      <c r="C2" s="22" t="s">
        <v>0</v>
      </c>
      <c r="D2" s="23"/>
      <c r="E2" s="23"/>
      <c r="F2" s="24"/>
      <c r="G2" s="23" t="s">
        <v>1</v>
      </c>
      <c r="H2" s="23"/>
      <c r="I2" s="23"/>
      <c r="J2" s="24"/>
      <c r="M2" s="22" t="s">
        <v>0</v>
      </c>
      <c r="N2" s="23"/>
      <c r="O2" s="23"/>
      <c r="P2" s="24"/>
      <c r="Q2" s="22" t="s">
        <v>1</v>
      </c>
      <c r="R2" s="23"/>
      <c r="S2" s="23"/>
      <c r="T2" s="24"/>
    </row>
    <row r="3" spans="2:20">
      <c r="C3" s="10">
        <v>1</v>
      </c>
      <c r="D3" s="11">
        <v>2</v>
      </c>
      <c r="E3" s="11">
        <v>3</v>
      </c>
      <c r="F3" s="12">
        <v>4</v>
      </c>
      <c r="G3" s="11">
        <v>1</v>
      </c>
      <c r="H3" s="11">
        <v>2</v>
      </c>
      <c r="I3" s="11">
        <v>3</v>
      </c>
      <c r="J3" s="12">
        <v>4</v>
      </c>
      <c r="M3" s="10">
        <v>1</v>
      </c>
      <c r="N3" s="11">
        <v>2</v>
      </c>
      <c r="O3" s="11">
        <v>3</v>
      </c>
      <c r="P3" s="12">
        <v>4</v>
      </c>
      <c r="Q3" s="10">
        <v>1</v>
      </c>
      <c r="R3" s="11">
        <v>2</v>
      </c>
      <c r="S3" s="11">
        <v>3</v>
      </c>
      <c r="T3" s="12">
        <v>4</v>
      </c>
    </row>
    <row r="4" spans="2:20">
      <c r="B4" s="118" t="s">
        <v>66</v>
      </c>
      <c r="C4" s="7">
        <v>273307.28139999998</v>
      </c>
      <c r="D4" s="8">
        <v>414069.8823</v>
      </c>
      <c r="E4" s="8">
        <v>561501.30570000003</v>
      </c>
      <c r="F4" s="9">
        <v>384305.13069999998</v>
      </c>
      <c r="G4" s="17">
        <v>163631.06969999999</v>
      </c>
      <c r="H4" s="18">
        <v>182143.201</v>
      </c>
      <c r="I4" s="18">
        <v>268185.92849999998</v>
      </c>
      <c r="J4" s="14">
        <v>255870.01800000001</v>
      </c>
      <c r="L4" s="118" t="s">
        <v>66</v>
      </c>
      <c r="M4" s="133">
        <v>77.064220180000007</v>
      </c>
      <c r="N4" s="134">
        <v>75.213675210000005</v>
      </c>
      <c r="O4" s="134">
        <v>72.289156629999994</v>
      </c>
      <c r="P4" s="135">
        <v>76.237623760000005</v>
      </c>
      <c r="Q4" s="133">
        <v>27.941176469999998</v>
      </c>
      <c r="R4" s="134">
        <v>18.571428569999998</v>
      </c>
      <c r="S4" s="134">
        <v>23.07692308</v>
      </c>
      <c r="T4" s="135">
        <v>9.375</v>
      </c>
    </row>
    <row r="5" spans="2:20">
      <c r="B5" s="73" t="s">
        <v>67</v>
      </c>
      <c r="C5" s="7">
        <v>401554.87920000002</v>
      </c>
      <c r="D5" s="8">
        <v>449917.54859999998</v>
      </c>
      <c r="E5" s="8">
        <v>468242.88339999999</v>
      </c>
      <c r="F5" s="9">
        <v>395069.99359999999</v>
      </c>
      <c r="G5" s="7">
        <v>114665.3183</v>
      </c>
      <c r="H5" s="8">
        <v>119215.7623</v>
      </c>
      <c r="I5" s="8">
        <v>113889.3425</v>
      </c>
      <c r="J5" s="9">
        <v>100812.77499999999</v>
      </c>
      <c r="L5" s="73" t="s">
        <v>67</v>
      </c>
      <c r="M5" s="133">
        <v>71.689497720000006</v>
      </c>
      <c r="N5" s="134">
        <v>74.107142859999996</v>
      </c>
      <c r="O5" s="134">
        <v>68.240343350000003</v>
      </c>
      <c r="P5" s="135">
        <v>77.339901479999995</v>
      </c>
      <c r="Q5" s="133">
        <v>27.868852459999999</v>
      </c>
      <c r="R5" s="134">
        <v>23.728813559999999</v>
      </c>
      <c r="S5" s="134">
        <v>16.981132079999998</v>
      </c>
      <c r="T5" s="135">
        <v>22.222222219999999</v>
      </c>
    </row>
    <row r="6" spans="2:20">
      <c r="B6" s="73" t="s">
        <v>68</v>
      </c>
      <c r="C6" s="7">
        <v>271002.71000000002</v>
      </c>
      <c r="D6" s="8">
        <v>249003.49969999999</v>
      </c>
      <c r="E6" s="8">
        <v>284776.4179</v>
      </c>
      <c r="F6" s="9">
        <v>275980.07419999997</v>
      </c>
      <c r="G6" s="7">
        <v>162351.0429</v>
      </c>
      <c r="H6" s="8">
        <v>168926.66409999999</v>
      </c>
      <c r="I6" s="8">
        <v>127311.76949999999</v>
      </c>
      <c r="J6" s="9">
        <v>134456.24669999999</v>
      </c>
      <c r="L6" s="73" t="s">
        <v>68</v>
      </c>
      <c r="M6" s="133">
        <v>76.991150439999998</v>
      </c>
      <c r="N6" s="134">
        <v>73.4375</v>
      </c>
      <c r="O6" s="134">
        <v>72.519083969999997</v>
      </c>
      <c r="P6" s="135">
        <v>64.166666669999998</v>
      </c>
      <c r="Q6" s="133">
        <v>44.61538462</v>
      </c>
      <c r="R6" s="134">
        <v>48.571428570000002</v>
      </c>
      <c r="S6" s="134">
        <v>38.333333330000002</v>
      </c>
      <c r="T6" s="135">
        <v>38.18181818</v>
      </c>
    </row>
    <row r="7" spans="2:20">
      <c r="B7" s="73" t="s">
        <v>69</v>
      </c>
      <c r="C7" s="7">
        <v>176922.6286</v>
      </c>
      <c r="D7" s="8">
        <v>284302.4436</v>
      </c>
      <c r="E7" s="8">
        <v>290388.89189999999</v>
      </c>
      <c r="F7" s="9">
        <v>378262.87829999998</v>
      </c>
      <c r="G7" s="7">
        <v>148515.51990000001</v>
      </c>
      <c r="H7" s="8">
        <v>142420.5704</v>
      </c>
      <c r="I7" s="8">
        <v>116027.6357</v>
      </c>
      <c r="J7" s="9">
        <v>113031.1923</v>
      </c>
      <c r="L7" s="73" t="s">
        <v>69</v>
      </c>
      <c r="M7" s="133">
        <v>68.235294120000006</v>
      </c>
      <c r="N7" s="134">
        <v>61.904761899999997</v>
      </c>
      <c r="O7" s="134">
        <v>67.543859650000002</v>
      </c>
      <c r="P7" s="135">
        <v>75.572519080000006</v>
      </c>
      <c r="Q7" s="133">
        <v>43.939393940000002</v>
      </c>
      <c r="R7" s="134">
        <v>38.983050849999998</v>
      </c>
      <c r="S7" s="134">
        <v>27.272727270000001</v>
      </c>
      <c r="T7" s="135">
        <v>30.76923077</v>
      </c>
    </row>
    <row r="8" spans="2:20">
      <c r="B8" s="73" t="s">
        <v>70</v>
      </c>
      <c r="C8" s="7">
        <v>223269.53969999999</v>
      </c>
      <c r="D8" s="8">
        <v>220335.72070000001</v>
      </c>
      <c r="E8" s="8">
        <v>222120.29689999999</v>
      </c>
      <c r="F8" s="9">
        <v>260366.00880000001</v>
      </c>
      <c r="G8" s="7">
        <v>157629.25599999999</v>
      </c>
      <c r="H8" s="8">
        <v>120352.3507</v>
      </c>
      <c r="I8" s="8">
        <v>145169.677</v>
      </c>
      <c r="J8" s="9">
        <v>129044.51059999999</v>
      </c>
      <c r="L8" s="73" t="s">
        <v>70</v>
      </c>
      <c r="M8" s="133">
        <v>67.391304349999999</v>
      </c>
      <c r="N8" s="134">
        <v>68.965517239999997</v>
      </c>
      <c r="O8" s="134">
        <v>74.02597403</v>
      </c>
      <c r="P8" s="135">
        <v>78.160919539999995</v>
      </c>
      <c r="Q8" s="133">
        <v>36.666666669999998</v>
      </c>
      <c r="R8" s="134">
        <v>25.531914889999999</v>
      </c>
      <c r="S8" s="134">
        <v>38.18181818</v>
      </c>
      <c r="T8" s="135">
        <v>43.396226419999998</v>
      </c>
    </row>
    <row r="9" spans="2:20">
      <c r="B9" s="73" t="s">
        <v>71</v>
      </c>
      <c r="C9" s="7">
        <v>407839.84710000001</v>
      </c>
      <c r="D9" s="8">
        <v>360159.09639999998</v>
      </c>
      <c r="E9" s="8">
        <v>368290.21269999997</v>
      </c>
      <c r="F9" s="9">
        <v>449811.2648</v>
      </c>
      <c r="G9" s="7">
        <v>268968.7634</v>
      </c>
      <c r="H9" s="8">
        <v>331976.80739999999</v>
      </c>
      <c r="I9" s="8">
        <v>277954.46889999998</v>
      </c>
      <c r="J9" s="9">
        <v>271461.0871</v>
      </c>
      <c r="L9" s="73" t="s">
        <v>71</v>
      </c>
      <c r="M9" s="133">
        <v>48.571428570000002</v>
      </c>
      <c r="N9" s="134">
        <v>60.869565219999998</v>
      </c>
      <c r="O9" s="134">
        <v>76.388888890000004</v>
      </c>
      <c r="P9" s="135">
        <v>75.257731960000001</v>
      </c>
      <c r="Q9" s="133">
        <v>40.38461538</v>
      </c>
      <c r="R9" s="134">
        <v>39.655172409999999</v>
      </c>
      <c r="S9" s="134">
        <v>38.46153846</v>
      </c>
      <c r="T9" s="135">
        <v>50</v>
      </c>
    </row>
    <row r="10" spans="2:20">
      <c r="B10" s="73" t="s">
        <v>72</v>
      </c>
      <c r="C10" s="7">
        <v>500990.1924</v>
      </c>
      <c r="D10" s="8">
        <v>420973.33470000001</v>
      </c>
      <c r="E10" s="8">
        <v>420323.48100000003</v>
      </c>
      <c r="F10" s="9">
        <v>467889.04969999997</v>
      </c>
      <c r="G10" s="7">
        <v>343377.1139</v>
      </c>
      <c r="H10" s="8">
        <v>362126.55699999997</v>
      </c>
      <c r="I10" s="8">
        <v>329698.65539999999</v>
      </c>
      <c r="J10" s="9">
        <v>399261.97029999999</v>
      </c>
      <c r="L10" s="73" t="s">
        <v>72</v>
      </c>
      <c r="M10" s="133">
        <v>69.41176471</v>
      </c>
      <c r="N10" s="134">
        <v>72.368421049999995</v>
      </c>
      <c r="O10" s="134">
        <v>61.333333330000002</v>
      </c>
      <c r="P10" s="135">
        <v>76.470588239999998</v>
      </c>
      <c r="Q10" s="133">
        <v>60.714285709999999</v>
      </c>
      <c r="R10" s="134">
        <v>60.344827590000001</v>
      </c>
      <c r="S10" s="134">
        <v>58.18181818</v>
      </c>
      <c r="T10" s="135">
        <v>62.121212120000003</v>
      </c>
    </row>
    <row r="11" spans="2:20">
      <c r="B11" s="73" t="s">
        <v>73</v>
      </c>
      <c r="C11" s="7">
        <v>434529.82040000003</v>
      </c>
      <c r="D11" s="8">
        <v>582619.30099999998</v>
      </c>
      <c r="E11" s="8">
        <v>610204.05709999998</v>
      </c>
      <c r="F11" s="9">
        <v>612389.73939999996</v>
      </c>
      <c r="G11" s="7">
        <v>214373.0515</v>
      </c>
      <c r="H11" s="8">
        <v>195247.2849</v>
      </c>
      <c r="I11" s="8">
        <v>210283.5436</v>
      </c>
      <c r="J11" s="9">
        <v>257691.571</v>
      </c>
      <c r="L11" s="73" t="s">
        <v>73</v>
      </c>
      <c r="M11" s="133">
        <v>59.859154930000003</v>
      </c>
      <c r="N11" s="134">
        <v>76.666666669999998</v>
      </c>
      <c r="O11" s="134">
        <v>78.28947368</v>
      </c>
      <c r="P11" s="135">
        <v>70.860927149999995</v>
      </c>
      <c r="Q11" s="133">
        <v>58.024691359999998</v>
      </c>
      <c r="R11" s="134">
        <v>53.623188409999997</v>
      </c>
      <c r="S11" s="134">
        <v>69.354838709999996</v>
      </c>
      <c r="T11" s="135">
        <v>62.162162160000001</v>
      </c>
    </row>
    <row r="12" spans="2:20">
      <c r="B12" s="73" t="s">
        <v>74</v>
      </c>
      <c r="C12" s="7">
        <v>495089.13089999999</v>
      </c>
      <c r="D12" s="8">
        <v>504802.2991</v>
      </c>
      <c r="E12" s="8">
        <v>755566.59889999998</v>
      </c>
      <c r="F12" s="9">
        <v>620315.67929999996</v>
      </c>
      <c r="G12" s="7">
        <v>263701.11609999998</v>
      </c>
      <c r="H12" s="8">
        <v>297965.63280000002</v>
      </c>
      <c r="I12" s="8">
        <v>295935.34240000002</v>
      </c>
      <c r="J12" s="9">
        <v>291000.47950000002</v>
      </c>
      <c r="L12" s="73" t="s">
        <v>74</v>
      </c>
      <c r="M12" s="133">
        <v>53.892215569999998</v>
      </c>
      <c r="N12" s="134">
        <v>64.550264549999994</v>
      </c>
      <c r="O12" s="134">
        <v>75.838926169999993</v>
      </c>
      <c r="P12" s="135">
        <v>68.131868130000001</v>
      </c>
      <c r="Q12" s="133">
        <v>66.666666669999998</v>
      </c>
      <c r="R12" s="134">
        <v>66.055045870000001</v>
      </c>
      <c r="S12" s="134">
        <v>59.223300969999997</v>
      </c>
      <c r="T12" s="135">
        <v>57.954545449999998</v>
      </c>
    </row>
    <row r="13" spans="2:20">
      <c r="B13" s="74" t="s">
        <v>75</v>
      </c>
      <c r="C13" s="10">
        <v>896425.83479999995</v>
      </c>
      <c r="D13" s="11">
        <v>715997.31370000006</v>
      </c>
      <c r="E13" s="11">
        <v>835613.14549999998</v>
      </c>
      <c r="F13" s="12">
        <v>967991.53090000001</v>
      </c>
      <c r="G13" s="10">
        <v>456128.82380000001</v>
      </c>
      <c r="H13" s="11">
        <v>459439.97840000002</v>
      </c>
      <c r="I13" s="11">
        <v>398516.68979999999</v>
      </c>
      <c r="J13" s="12">
        <v>434812.85649999999</v>
      </c>
      <c r="L13" s="74" t="s">
        <v>75</v>
      </c>
      <c r="M13" s="136">
        <v>69.966996699999996</v>
      </c>
      <c r="N13" s="137">
        <v>70.437956200000002</v>
      </c>
      <c r="O13" s="137">
        <v>78.767123290000001</v>
      </c>
      <c r="P13" s="138">
        <v>70.568561869999996</v>
      </c>
      <c r="Q13" s="136">
        <v>70.833333330000002</v>
      </c>
      <c r="R13" s="137">
        <v>70.059880239999998</v>
      </c>
      <c r="S13" s="137">
        <v>62.337662340000001</v>
      </c>
      <c r="T13" s="138">
        <v>61.333333330000002</v>
      </c>
    </row>
  </sheetData>
  <mergeCells count="6">
    <mergeCell ref="M1:T1"/>
    <mergeCell ref="M2:P2"/>
    <mergeCell ref="Q2:T2"/>
    <mergeCell ref="C2:F2"/>
    <mergeCell ref="G2:J2"/>
    <mergeCell ref="C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BEA1C-C890-5D40-96C3-9517C373CC65}">
  <dimension ref="A3:R33"/>
  <sheetViews>
    <sheetView zoomScale="50" workbookViewId="0">
      <selection activeCell="B3" sqref="B3:I3"/>
    </sheetView>
  </sheetViews>
  <sheetFormatPr baseColWidth="10" defaultRowHeight="16"/>
  <cols>
    <col min="1" max="1" width="14.5" bestFit="1" customWidth="1"/>
  </cols>
  <sheetData>
    <row r="3" spans="1:18">
      <c r="B3" s="22" t="s">
        <v>80</v>
      </c>
      <c r="C3" s="23"/>
      <c r="D3" s="23"/>
      <c r="E3" s="23"/>
      <c r="F3" s="23"/>
      <c r="G3" s="23"/>
      <c r="H3" s="23"/>
      <c r="I3" s="24"/>
      <c r="K3" s="22" t="s">
        <v>82</v>
      </c>
      <c r="L3" s="23"/>
      <c r="M3" s="23"/>
      <c r="N3" s="23"/>
      <c r="O3" s="23"/>
      <c r="P3" s="23"/>
      <c r="Q3" s="23"/>
      <c r="R3" s="24"/>
    </row>
    <row r="4" spans="1:18">
      <c r="B4" s="22" t="s">
        <v>0</v>
      </c>
      <c r="C4" s="23"/>
      <c r="D4" s="23"/>
      <c r="E4" s="24"/>
      <c r="F4" s="22" t="s">
        <v>1</v>
      </c>
      <c r="G4" s="23"/>
      <c r="H4" s="23"/>
      <c r="I4" s="24"/>
      <c r="K4" s="22" t="s">
        <v>0</v>
      </c>
      <c r="L4" s="23"/>
      <c r="M4" s="23"/>
      <c r="N4" s="24"/>
      <c r="O4" s="22" t="s">
        <v>1</v>
      </c>
      <c r="P4" s="23"/>
      <c r="Q4" s="23"/>
      <c r="R4" s="24"/>
    </row>
    <row r="5" spans="1:18" s="104" customFormat="1">
      <c r="A5" s="104" t="s">
        <v>81</v>
      </c>
      <c r="B5" s="131" t="s">
        <v>76</v>
      </c>
      <c r="C5" s="44" t="s">
        <v>77</v>
      </c>
      <c r="D5" s="44" t="s">
        <v>78</v>
      </c>
      <c r="E5" s="132" t="s">
        <v>79</v>
      </c>
      <c r="F5" s="131" t="s">
        <v>76</v>
      </c>
      <c r="G5" s="44" t="s">
        <v>77</v>
      </c>
      <c r="H5" s="44" t="s">
        <v>78</v>
      </c>
      <c r="I5" s="132" t="s">
        <v>79</v>
      </c>
      <c r="K5" s="111" t="s">
        <v>76</v>
      </c>
      <c r="L5" s="129" t="s">
        <v>77</v>
      </c>
      <c r="M5" s="129" t="s">
        <v>78</v>
      </c>
      <c r="N5" s="130" t="s">
        <v>79</v>
      </c>
      <c r="O5" s="111" t="s">
        <v>76</v>
      </c>
      <c r="P5" s="129" t="s">
        <v>77</v>
      </c>
      <c r="Q5" s="129" t="s">
        <v>78</v>
      </c>
      <c r="R5" s="130" t="s">
        <v>79</v>
      </c>
    </row>
    <row r="6" spans="1:18">
      <c r="B6" s="7">
        <v>75689.913560000001</v>
      </c>
      <c r="C6" s="8">
        <v>47526.484129999997</v>
      </c>
      <c r="D6" s="8">
        <v>33800.112889999997</v>
      </c>
      <c r="E6" s="9">
        <v>28053.245060000001</v>
      </c>
      <c r="F6" s="7">
        <v>82553.887050000005</v>
      </c>
      <c r="G6" s="8">
        <v>24866.467069999999</v>
      </c>
      <c r="H6" s="8">
        <v>24271.137729999999</v>
      </c>
      <c r="I6" s="9">
        <v>17036.732899999999</v>
      </c>
      <c r="K6" s="7">
        <v>100</v>
      </c>
      <c r="L6" s="8">
        <v>50</v>
      </c>
      <c r="M6" s="8">
        <v>100</v>
      </c>
      <c r="N6" s="9">
        <v>50</v>
      </c>
      <c r="O6" s="7">
        <v>100</v>
      </c>
      <c r="P6" s="8">
        <v>0</v>
      </c>
      <c r="Q6" s="8">
        <v>100</v>
      </c>
      <c r="R6" s="9">
        <v>100</v>
      </c>
    </row>
    <row r="7" spans="1:18">
      <c r="B7" s="7">
        <v>85317.680380000005</v>
      </c>
      <c r="C7" s="8">
        <v>63770.833129999999</v>
      </c>
      <c r="D7" s="8">
        <v>38296.421970000003</v>
      </c>
      <c r="E7" s="9">
        <v>35600.237809999999</v>
      </c>
      <c r="F7" s="7">
        <v>91402.665299999993</v>
      </c>
      <c r="G7" s="8">
        <v>34985.463539999997</v>
      </c>
      <c r="H7" s="8">
        <v>24993.001960000001</v>
      </c>
      <c r="I7" s="9">
        <v>25663.56351</v>
      </c>
      <c r="K7" s="7">
        <v>100</v>
      </c>
      <c r="L7" s="8">
        <v>100</v>
      </c>
      <c r="M7" s="8">
        <v>0</v>
      </c>
      <c r="N7" s="9">
        <v>100</v>
      </c>
      <c r="O7" s="7">
        <v>0</v>
      </c>
      <c r="P7" s="8">
        <v>100</v>
      </c>
      <c r="Q7" s="8">
        <v>100</v>
      </c>
      <c r="R7" s="9">
        <v>100</v>
      </c>
    </row>
    <row r="8" spans="1:18">
      <c r="B8" s="7">
        <v>90979.393169999996</v>
      </c>
      <c r="C8" s="8">
        <v>70310.138019999999</v>
      </c>
      <c r="D8" s="8">
        <v>53319.3992</v>
      </c>
      <c r="E8" s="9">
        <v>39870.023719999997</v>
      </c>
      <c r="F8" s="7">
        <v>109506.23639999999</v>
      </c>
      <c r="G8" s="8">
        <v>43642.203759999997</v>
      </c>
      <c r="H8" s="8">
        <v>25848.67668</v>
      </c>
      <c r="I8" s="9">
        <v>25967.88811</v>
      </c>
      <c r="K8" s="7">
        <v>100</v>
      </c>
      <c r="L8" s="8">
        <v>50</v>
      </c>
      <c r="M8" s="8">
        <v>100</v>
      </c>
      <c r="N8" s="9">
        <v>100</v>
      </c>
      <c r="O8" s="7">
        <v>50</v>
      </c>
      <c r="P8" s="8">
        <v>100</v>
      </c>
      <c r="Q8" s="8">
        <v>50</v>
      </c>
      <c r="R8" s="9">
        <v>100</v>
      </c>
    </row>
    <row r="9" spans="1:18">
      <c r="B9" s="7">
        <v>126043.0059</v>
      </c>
      <c r="C9" s="8">
        <v>86830.805829999998</v>
      </c>
      <c r="D9" s="8">
        <v>53597.748890000003</v>
      </c>
      <c r="E9" s="9">
        <v>59227.057289999997</v>
      </c>
      <c r="F9" s="7">
        <v>141620.9939</v>
      </c>
      <c r="G9" s="8">
        <v>95339.33653</v>
      </c>
      <c r="H9" s="8">
        <v>28412.359939999998</v>
      </c>
      <c r="I9" s="9">
        <v>30018.851839999999</v>
      </c>
      <c r="K9" s="7">
        <v>0</v>
      </c>
      <c r="L9" s="8">
        <v>100</v>
      </c>
      <c r="M9" s="8">
        <v>100</v>
      </c>
      <c r="N9" s="9">
        <v>100</v>
      </c>
      <c r="O9" s="7">
        <v>100</v>
      </c>
      <c r="P9" s="8">
        <v>100</v>
      </c>
      <c r="Q9" s="8">
        <v>0</v>
      </c>
      <c r="R9" s="9">
        <v>50</v>
      </c>
    </row>
    <row r="10" spans="1:18">
      <c r="B10" s="7">
        <v>142610.63020000001</v>
      </c>
      <c r="C10" s="8">
        <v>92125.142789999998</v>
      </c>
      <c r="D10" s="8">
        <v>54721.20912</v>
      </c>
      <c r="E10" s="9">
        <v>102841.51089999999</v>
      </c>
      <c r="F10" s="7">
        <v>253353.77050000001</v>
      </c>
      <c r="G10" s="8">
        <v>96857.459719999999</v>
      </c>
      <c r="H10" s="8">
        <v>33703.907800000001</v>
      </c>
      <c r="I10" s="9">
        <v>42291.702790000003</v>
      </c>
      <c r="K10" s="7">
        <v>100</v>
      </c>
      <c r="L10" s="8">
        <v>0</v>
      </c>
      <c r="M10" s="8">
        <v>100</v>
      </c>
      <c r="N10" s="9">
        <v>67</v>
      </c>
      <c r="O10" s="7">
        <v>50</v>
      </c>
      <c r="P10" s="8">
        <v>100</v>
      </c>
      <c r="Q10" s="8">
        <v>0</v>
      </c>
      <c r="R10" s="9">
        <v>75</v>
      </c>
    </row>
    <row r="11" spans="1:18">
      <c r="B11" s="7">
        <v>268269.12760000001</v>
      </c>
      <c r="C11" s="8">
        <v>92845.338239999997</v>
      </c>
      <c r="D11" s="8">
        <v>68347.249590000007</v>
      </c>
      <c r="E11" s="9">
        <v>108404.0218</v>
      </c>
      <c r="F11" s="7">
        <v>611583.38939999999</v>
      </c>
      <c r="G11" s="8">
        <v>98341.954639999996</v>
      </c>
      <c r="H11" s="8">
        <v>40884.913059999999</v>
      </c>
      <c r="I11" s="9">
        <v>43126.560640000003</v>
      </c>
      <c r="K11" s="7">
        <v>100</v>
      </c>
      <c r="L11" s="8">
        <v>67</v>
      </c>
      <c r="M11" s="8">
        <v>0</v>
      </c>
      <c r="N11" s="9">
        <v>100</v>
      </c>
      <c r="O11" s="7">
        <v>100</v>
      </c>
      <c r="P11" s="8">
        <v>100</v>
      </c>
      <c r="Q11" s="8">
        <v>50</v>
      </c>
      <c r="R11" s="9">
        <v>100</v>
      </c>
    </row>
    <row r="12" spans="1:18">
      <c r="B12" s="7">
        <v>281357.26750000002</v>
      </c>
      <c r="C12" s="8">
        <v>98911.968349999996</v>
      </c>
      <c r="D12" s="8">
        <v>73046.819359999994</v>
      </c>
      <c r="E12" s="9">
        <v>109211.3195</v>
      </c>
      <c r="F12" s="7">
        <v>843217.71880000003</v>
      </c>
      <c r="G12" s="8">
        <v>110358.8317</v>
      </c>
      <c r="H12" s="8">
        <v>42201.037300000004</v>
      </c>
      <c r="I12" s="9">
        <v>48027.279490000001</v>
      </c>
      <c r="K12" s="7">
        <v>100</v>
      </c>
      <c r="L12" s="8">
        <v>100</v>
      </c>
      <c r="M12" s="8">
        <v>50</v>
      </c>
      <c r="N12" s="9">
        <v>80</v>
      </c>
      <c r="O12" s="7">
        <v>33</v>
      </c>
      <c r="P12" s="8">
        <v>50</v>
      </c>
      <c r="Q12" s="8">
        <v>100</v>
      </c>
      <c r="R12" s="9">
        <v>0</v>
      </c>
    </row>
    <row r="13" spans="1:18">
      <c r="B13" s="7">
        <v>394306.2182</v>
      </c>
      <c r="C13" s="8">
        <v>113137.53</v>
      </c>
      <c r="D13" s="8">
        <v>78514.505550000002</v>
      </c>
      <c r="E13" s="9">
        <v>134722.38529999999</v>
      </c>
      <c r="F13" s="7">
        <v>982221.78570000001</v>
      </c>
      <c r="G13" s="8">
        <v>112398.069</v>
      </c>
      <c r="H13" s="8">
        <v>49469.195529999997</v>
      </c>
      <c r="I13" s="9">
        <v>51427.895519999998</v>
      </c>
      <c r="K13" s="7">
        <v>100</v>
      </c>
      <c r="L13" s="8">
        <v>0</v>
      </c>
      <c r="M13" s="8">
        <v>67</v>
      </c>
      <c r="N13" s="9">
        <v>86</v>
      </c>
      <c r="O13" s="7">
        <v>0</v>
      </c>
      <c r="P13" s="8">
        <v>100</v>
      </c>
      <c r="Q13" s="8">
        <v>100</v>
      </c>
      <c r="R13" s="9">
        <v>0</v>
      </c>
    </row>
    <row r="14" spans="1:18">
      <c r="B14" s="7">
        <v>405109.78480000002</v>
      </c>
      <c r="C14" s="8">
        <v>119079.5153</v>
      </c>
      <c r="D14" s="8">
        <v>100903.08259999999</v>
      </c>
      <c r="E14" s="9">
        <v>138079.2078</v>
      </c>
      <c r="F14" s="7"/>
      <c r="G14" s="8">
        <v>124664.9629</v>
      </c>
      <c r="H14" s="8">
        <v>50312.946530000001</v>
      </c>
      <c r="I14" s="9">
        <v>52584.391380000001</v>
      </c>
      <c r="K14" s="7">
        <v>67</v>
      </c>
      <c r="L14" s="8">
        <v>100</v>
      </c>
      <c r="M14" s="8">
        <v>67</v>
      </c>
      <c r="N14" s="9">
        <v>80</v>
      </c>
      <c r="O14" s="7"/>
      <c r="P14" s="8">
        <v>50</v>
      </c>
      <c r="Q14" s="8">
        <v>100</v>
      </c>
      <c r="R14" s="9">
        <v>50</v>
      </c>
    </row>
    <row r="15" spans="1:18">
      <c r="B15" s="7">
        <v>411590.38520000002</v>
      </c>
      <c r="C15" s="8">
        <v>152850.04190000001</v>
      </c>
      <c r="D15" s="8">
        <v>116442.9022</v>
      </c>
      <c r="E15" s="9">
        <v>192726.03750000001</v>
      </c>
      <c r="F15" s="7"/>
      <c r="G15" s="8">
        <v>134743.04500000001</v>
      </c>
      <c r="H15" s="8">
        <v>53213.567329999998</v>
      </c>
      <c r="I15" s="9">
        <v>53741.867059999997</v>
      </c>
      <c r="K15" s="7">
        <v>67</v>
      </c>
      <c r="L15" s="8">
        <v>0</v>
      </c>
      <c r="M15" s="8">
        <v>100</v>
      </c>
      <c r="N15" s="9">
        <v>81</v>
      </c>
      <c r="O15" s="7"/>
      <c r="P15" s="8">
        <v>67</v>
      </c>
      <c r="Q15" s="8">
        <v>50</v>
      </c>
      <c r="R15" s="9">
        <v>67</v>
      </c>
    </row>
    <row r="16" spans="1:18">
      <c r="B16" s="7">
        <v>454235.74839999998</v>
      </c>
      <c r="C16" s="8">
        <v>207043.62409999999</v>
      </c>
      <c r="D16" s="8">
        <v>125664.8456</v>
      </c>
      <c r="E16" s="9">
        <v>204696.41819999999</v>
      </c>
      <c r="F16" s="7"/>
      <c r="G16" s="8">
        <v>146291.86689999999</v>
      </c>
      <c r="H16" s="8">
        <v>55512.481979999997</v>
      </c>
      <c r="I16" s="9">
        <v>63232.009310000001</v>
      </c>
      <c r="K16" s="7">
        <v>100</v>
      </c>
      <c r="L16" s="8">
        <v>50</v>
      </c>
      <c r="M16" s="8">
        <v>75</v>
      </c>
      <c r="N16" s="9">
        <v>67</v>
      </c>
      <c r="O16" s="7"/>
      <c r="P16" s="8">
        <v>50</v>
      </c>
      <c r="Q16" s="8">
        <v>100</v>
      </c>
      <c r="R16" s="9">
        <v>100</v>
      </c>
    </row>
    <row r="17" spans="2:18">
      <c r="B17" s="7">
        <v>486499.63510000001</v>
      </c>
      <c r="C17" s="8">
        <v>277560.61229999998</v>
      </c>
      <c r="D17" s="8">
        <v>125870.30319999999</v>
      </c>
      <c r="E17" s="9">
        <v>245118.83549999999</v>
      </c>
      <c r="F17" s="7"/>
      <c r="G17" s="8">
        <v>153885.217</v>
      </c>
      <c r="H17" s="8">
        <v>57462.512889999998</v>
      </c>
      <c r="I17" s="9">
        <v>65491.530310000002</v>
      </c>
      <c r="K17" s="7">
        <v>100</v>
      </c>
      <c r="L17" s="8">
        <v>100</v>
      </c>
      <c r="M17" s="8">
        <v>57</v>
      </c>
      <c r="N17" s="9">
        <v>54</v>
      </c>
      <c r="O17" s="7"/>
      <c r="P17" s="8">
        <v>100</v>
      </c>
      <c r="Q17" s="8">
        <v>50</v>
      </c>
      <c r="R17" s="9">
        <v>75</v>
      </c>
    </row>
    <row r="18" spans="2:18">
      <c r="B18" s="7">
        <v>502260.17080000002</v>
      </c>
      <c r="C18" s="8">
        <v>282568.35800000001</v>
      </c>
      <c r="D18" s="8">
        <v>126259.1191</v>
      </c>
      <c r="E18" s="9">
        <v>256868.26209999999</v>
      </c>
      <c r="F18" s="7"/>
      <c r="G18" s="8">
        <v>166316.0171</v>
      </c>
      <c r="H18" s="8">
        <v>58252.653409999999</v>
      </c>
      <c r="I18" s="9">
        <v>69311.276939999996</v>
      </c>
      <c r="K18" s="7">
        <v>100</v>
      </c>
      <c r="L18" s="8">
        <v>100</v>
      </c>
      <c r="M18" s="8">
        <v>80</v>
      </c>
      <c r="N18" s="9">
        <v>62</v>
      </c>
      <c r="O18" s="7"/>
      <c r="P18" s="8">
        <v>0</v>
      </c>
      <c r="Q18" s="8">
        <v>50</v>
      </c>
      <c r="R18" s="9">
        <v>100</v>
      </c>
    </row>
    <row r="19" spans="2:18">
      <c r="B19" s="7">
        <v>518483.95289999997</v>
      </c>
      <c r="C19" s="8">
        <v>299339.74209999997</v>
      </c>
      <c r="D19" s="8">
        <v>158720.71109999999</v>
      </c>
      <c r="E19" s="9"/>
      <c r="F19" s="7"/>
      <c r="G19" s="8">
        <v>166381.73790000001</v>
      </c>
      <c r="H19" s="8">
        <v>65999.485199999996</v>
      </c>
      <c r="I19" s="9">
        <v>69398.901419999995</v>
      </c>
      <c r="K19" s="7">
        <v>0</v>
      </c>
      <c r="L19" s="8">
        <v>71</v>
      </c>
      <c r="M19" s="8">
        <v>50</v>
      </c>
      <c r="N19" s="9"/>
      <c r="O19" s="7"/>
      <c r="P19" s="8">
        <v>75</v>
      </c>
      <c r="Q19" s="8">
        <v>67</v>
      </c>
      <c r="R19" s="9">
        <v>75</v>
      </c>
    </row>
    <row r="20" spans="2:18">
      <c r="B20" s="7">
        <v>1228350.3259999999</v>
      </c>
      <c r="C20" s="8">
        <v>395530.50530000002</v>
      </c>
      <c r="D20" s="8">
        <v>167186.33749999999</v>
      </c>
      <c r="E20" s="9"/>
      <c r="F20" s="7"/>
      <c r="G20" s="8">
        <v>233434.33259999999</v>
      </c>
      <c r="H20" s="8">
        <v>68045.109370000006</v>
      </c>
      <c r="I20" s="9">
        <v>70755.084109999996</v>
      </c>
      <c r="K20" s="7">
        <v>100</v>
      </c>
      <c r="L20" s="8">
        <v>100</v>
      </c>
      <c r="M20" s="8">
        <v>75</v>
      </c>
      <c r="N20" s="9"/>
      <c r="O20" s="7"/>
      <c r="P20" s="8">
        <v>80</v>
      </c>
      <c r="Q20" s="8">
        <v>100</v>
      </c>
      <c r="R20" s="9">
        <v>100</v>
      </c>
    </row>
    <row r="21" spans="2:18">
      <c r="B21" s="7">
        <v>1646158.2779999999</v>
      </c>
      <c r="C21" s="8">
        <v>418971.00719999999</v>
      </c>
      <c r="D21" s="8">
        <v>170678.31830000001</v>
      </c>
      <c r="E21" s="9"/>
      <c r="F21" s="7"/>
      <c r="G21" s="8">
        <v>268918.41019999998</v>
      </c>
      <c r="H21" s="8">
        <v>69915.695649999994</v>
      </c>
      <c r="I21" s="9">
        <v>78991.312539999999</v>
      </c>
      <c r="K21" s="7">
        <v>75</v>
      </c>
      <c r="L21" s="8">
        <v>88</v>
      </c>
      <c r="M21" s="8">
        <v>88</v>
      </c>
      <c r="N21" s="9"/>
      <c r="O21" s="7"/>
      <c r="P21" s="8">
        <v>17</v>
      </c>
      <c r="Q21" s="8">
        <v>40</v>
      </c>
      <c r="R21" s="9">
        <v>80</v>
      </c>
    </row>
    <row r="22" spans="2:18">
      <c r="B22" s="7"/>
      <c r="C22" s="8">
        <v>465565.60399999999</v>
      </c>
      <c r="D22" s="8">
        <v>208936.20129999999</v>
      </c>
      <c r="E22" s="9"/>
      <c r="F22" s="7"/>
      <c r="G22" s="8">
        <v>285404.41810000001</v>
      </c>
      <c r="H22" s="8">
        <v>75087.101039999994</v>
      </c>
      <c r="I22" s="9">
        <v>83096.853539999996</v>
      </c>
      <c r="K22" s="7"/>
      <c r="L22" s="8">
        <v>50</v>
      </c>
      <c r="M22" s="8">
        <v>50</v>
      </c>
      <c r="N22" s="9"/>
      <c r="O22" s="7"/>
      <c r="P22" s="8">
        <v>100</v>
      </c>
      <c r="Q22" s="8">
        <v>33</v>
      </c>
      <c r="R22" s="9">
        <v>0</v>
      </c>
    </row>
    <row r="23" spans="2:18">
      <c r="B23" s="7"/>
      <c r="C23" s="8">
        <v>527064.77630000003</v>
      </c>
      <c r="D23" s="8">
        <v>211084.62959999999</v>
      </c>
      <c r="E23" s="9"/>
      <c r="F23" s="7"/>
      <c r="G23" s="8">
        <v>318821.63520000002</v>
      </c>
      <c r="H23" s="8">
        <v>79688.894560000001</v>
      </c>
      <c r="I23" s="9">
        <v>93651.702300000004</v>
      </c>
      <c r="K23" s="7"/>
      <c r="L23" s="8">
        <v>100</v>
      </c>
      <c r="M23" s="8">
        <v>91</v>
      </c>
      <c r="N23" s="9"/>
      <c r="O23" s="7"/>
      <c r="P23" s="8">
        <v>50</v>
      </c>
      <c r="Q23" s="8">
        <v>33</v>
      </c>
      <c r="R23" s="9">
        <v>38</v>
      </c>
    </row>
    <row r="24" spans="2:18">
      <c r="B24" s="7"/>
      <c r="C24" s="8">
        <v>1024451.802</v>
      </c>
      <c r="D24" s="8">
        <v>250445.6795</v>
      </c>
      <c r="E24" s="9"/>
      <c r="F24" s="7"/>
      <c r="G24" s="8">
        <v>495381.39409999998</v>
      </c>
      <c r="H24" s="8">
        <v>99160.113840000005</v>
      </c>
      <c r="I24" s="9">
        <v>94628.481820000001</v>
      </c>
      <c r="K24" s="7"/>
      <c r="L24" s="8">
        <v>77</v>
      </c>
      <c r="M24" s="8">
        <v>73</v>
      </c>
      <c r="N24" s="9"/>
      <c r="O24" s="7"/>
      <c r="P24" s="8">
        <v>33</v>
      </c>
      <c r="Q24" s="8">
        <v>100</v>
      </c>
      <c r="R24" s="9">
        <v>43</v>
      </c>
    </row>
    <row r="25" spans="2:18">
      <c r="B25" s="7"/>
      <c r="C25" s="8">
        <v>1882627.5830000001</v>
      </c>
      <c r="D25" s="8">
        <v>266161.71990000003</v>
      </c>
      <c r="E25" s="9"/>
      <c r="F25" s="7"/>
      <c r="G25" s="8">
        <v>970935.26390000002</v>
      </c>
      <c r="H25" s="8">
        <v>112432.31570000001</v>
      </c>
      <c r="I25" s="9">
        <v>97004.689209999997</v>
      </c>
      <c r="K25" s="7"/>
      <c r="L25" s="8">
        <v>95</v>
      </c>
      <c r="M25" s="8">
        <v>86</v>
      </c>
      <c r="N25" s="9"/>
      <c r="O25" s="7"/>
      <c r="P25" s="8">
        <v>17</v>
      </c>
      <c r="Q25" s="8">
        <v>100</v>
      </c>
      <c r="R25" s="9">
        <v>40</v>
      </c>
    </row>
    <row r="26" spans="2:18">
      <c r="B26" s="7"/>
      <c r="C26" s="8"/>
      <c r="D26" s="8">
        <v>422672.13319999998</v>
      </c>
      <c r="E26" s="9"/>
      <c r="F26" s="7"/>
      <c r="G26" s="8"/>
      <c r="H26" s="8">
        <v>125190.3937</v>
      </c>
      <c r="I26" s="9">
        <v>103688.9056</v>
      </c>
      <c r="K26" s="7"/>
      <c r="L26" s="8"/>
      <c r="M26" s="8">
        <v>100</v>
      </c>
      <c r="N26" s="9"/>
      <c r="O26" s="7"/>
      <c r="P26" s="8"/>
      <c r="Q26" s="8">
        <v>67</v>
      </c>
      <c r="R26" s="9">
        <v>100</v>
      </c>
    </row>
    <row r="27" spans="2:18">
      <c r="B27" s="7"/>
      <c r="C27" s="8"/>
      <c r="D27" s="8"/>
      <c r="E27" s="9"/>
      <c r="F27" s="7"/>
      <c r="G27" s="8"/>
      <c r="H27" s="8">
        <v>137068.91829999999</v>
      </c>
      <c r="I27" s="9">
        <v>105189.4146</v>
      </c>
      <c r="K27" s="7"/>
      <c r="L27" s="8"/>
      <c r="M27" s="8"/>
      <c r="N27" s="9"/>
      <c r="O27" s="7"/>
      <c r="P27" s="8"/>
      <c r="Q27" s="8">
        <v>50</v>
      </c>
      <c r="R27" s="9">
        <v>60</v>
      </c>
    </row>
    <row r="28" spans="2:18">
      <c r="B28" s="7"/>
      <c r="C28" s="8"/>
      <c r="D28" s="8"/>
      <c r="E28" s="9"/>
      <c r="F28" s="7"/>
      <c r="G28" s="8"/>
      <c r="H28" s="8">
        <v>140515.2225</v>
      </c>
      <c r="I28" s="9">
        <v>138982.75049999999</v>
      </c>
      <c r="K28" s="7"/>
      <c r="L28" s="8"/>
      <c r="M28" s="8"/>
      <c r="N28" s="9"/>
      <c r="O28" s="7"/>
      <c r="P28" s="8"/>
      <c r="Q28" s="8">
        <v>67</v>
      </c>
      <c r="R28" s="9">
        <v>13</v>
      </c>
    </row>
    <row r="29" spans="2:18">
      <c r="B29" s="7"/>
      <c r="C29" s="8"/>
      <c r="D29" s="8"/>
      <c r="E29" s="9"/>
      <c r="F29" s="7"/>
      <c r="G29" s="8"/>
      <c r="H29" s="8">
        <v>149062.7678</v>
      </c>
      <c r="I29" s="9">
        <v>239266.88630000001</v>
      </c>
      <c r="K29" s="7"/>
      <c r="L29" s="8"/>
      <c r="M29" s="8"/>
      <c r="N29" s="9"/>
      <c r="O29" s="7"/>
      <c r="P29" s="8"/>
      <c r="Q29" s="8">
        <v>83</v>
      </c>
      <c r="R29" s="9">
        <v>67</v>
      </c>
    </row>
    <row r="30" spans="2:18">
      <c r="B30" s="7"/>
      <c r="C30" s="8"/>
      <c r="D30" s="8"/>
      <c r="E30" s="9"/>
      <c r="F30" s="7"/>
      <c r="G30" s="8"/>
      <c r="H30" s="8">
        <v>203185.9558</v>
      </c>
      <c r="I30" s="9"/>
      <c r="K30" s="7"/>
      <c r="L30" s="8"/>
      <c r="M30" s="8"/>
      <c r="N30" s="9"/>
      <c r="O30" s="7"/>
      <c r="P30" s="8"/>
      <c r="Q30" s="8">
        <v>71</v>
      </c>
      <c r="R30" s="9"/>
    </row>
    <row r="31" spans="2:18">
      <c r="B31" s="7"/>
      <c r="C31" s="8"/>
      <c r="D31" s="8"/>
      <c r="E31" s="9"/>
      <c r="F31" s="7"/>
      <c r="G31" s="8"/>
      <c r="H31" s="8">
        <v>259170.58929999999</v>
      </c>
      <c r="I31" s="9"/>
      <c r="K31" s="7"/>
      <c r="L31" s="8"/>
      <c r="M31" s="8"/>
      <c r="N31" s="9"/>
      <c r="O31" s="7"/>
      <c r="P31" s="8"/>
      <c r="Q31" s="8">
        <v>25</v>
      </c>
      <c r="R31" s="9"/>
    </row>
    <row r="32" spans="2:18">
      <c r="B32" s="7"/>
      <c r="C32" s="8"/>
      <c r="D32" s="8"/>
      <c r="E32" s="9"/>
      <c r="F32" s="7"/>
      <c r="G32" s="8"/>
      <c r="H32" s="8">
        <v>264084.50699999998</v>
      </c>
      <c r="I32" s="9"/>
      <c r="K32" s="7"/>
      <c r="L32" s="8"/>
      <c r="M32" s="8"/>
      <c r="N32" s="9"/>
      <c r="O32" s="7"/>
      <c r="P32" s="8"/>
      <c r="Q32" s="8">
        <v>100</v>
      </c>
      <c r="R32" s="9"/>
    </row>
    <row r="33" spans="2:18">
      <c r="B33" s="10"/>
      <c r="C33" s="11"/>
      <c r="D33" s="11"/>
      <c r="E33" s="12"/>
      <c r="F33" s="10"/>
      <c r="G33" s="11"/>
      <c r="H33" s="11">
        <v>319205.81589999999</v>
      </c>
      <c r="I33" s="12"/>
      <c r="K33" s="10"/>
      <c r="L33" s="11"/>
      <c r="M33" s="11"/>
      <c r="N33" s="12"/>
      <c r="O33" s="10"/>
      <c r="P33" s="11"/>
      <c r="Q33" s="11">
        <v>100</v>
      </c>
      <c r="R33" s="12"/>
    </row>
  </sheetData>
  <mergeCells count="6">
    <mergeCell ref="B4:E4"/>
    <mergeCell ref="F4:I4"/>
    <mergeCell ref="B3:I3"/>
    <mergeCell ref="K3:R3"/>
    <mergeCell ref="K4:N4"/>
    <mergeCell ref="O4:R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08968-A7CA-894B-A4AC-883040C7CBA8}">
  <dimension ref="B2:V63"/>
  <sheetViews>
    <sheetView zoomScale="69" workbookViewId="0">
      <selection activeCell="H18" sqref="H18"/>
    </sheetView>
  </sheetViews>
  <sheetFormatPr baseColWidth="10" defaultRowHeight="16"/>
  <sheetData>
    <row r="2" spans="2:22"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4"/>
      <c r="M2" s="22" t="s">
        <v>1</v>
      </c>
      <c r="N2" s="23"/>
      <c r="O2" s="23"/>
      <c r="P2" s="23"/>
      <c r="Q2" s="23"/>
      <c r="R2" s="23"/>
      <c r="S2" s="23"/>
      <c r="T2" s="23"/>
      <c r="U2" s="23"/>
      <c r="V2" s="24"/>
    </row>
    <row r="3" spans="2:22">
      <c r="B3" s="117" t="s">
        <v>66</v>
      </c>
      <c r="C3" s="122" t="s">
        <v>67</v>
      </c>
      <c r="D3" s="117" t="s">
        <v>68</v>
      </c>
      <c r="E3" s="122" t="s">
        <v>69</v>
      </c>
      <c r="F3" s="117" t="s">
        <v>70</v>
      </c>
      <c r="G3" s="117" t="s">
        <v>71</v>
      </c>
      <c r="H3" s="122" t="s">
        <v>72</v>
      </c>
      <c r="I3" s="117" t="s">
        <v>73</v>
      </c>
      <c r="J3" s="122" t="s">
        <v>74</v>
      </c>
      <c r="K3" s="117" t="s">
        <v>75</v>
      </c>
      <c r="M3" s="117" t="s">
        <v>66</v>
      </c>
      <c r="N3" s="122" t="s">
        <v>67</v>
      </c>
      <c r="O3" s="117" t="s">
        <v>68</v>
      </c>
      <c r="P3" s="122" t="s">
        <v>69</v>
      </c>
      <c r="Q3" s="117" t="s">
        <v>70</v>
      </c>
      <c r="R3" s="122" t="s">
        <v>71</v>
      </c>
      <c r="S3" s="117" t="s">
        <v>72</v>
      </c>
      <c r="T3" s="122" t="s">
        <v>73</v>
      </c>
      <c r="U3" s="117" t="s">
        <v>74</v>
      </c>
      <c r="V3" s="77" t="s">
        <v>75</v>
      </c>
    </row>
    <row r="4" spans="2:22">
      <c r="B4" s="73">
        <v>203</v>
      </c>
      <c r="C4" s="8">
        <v>378</v>
      </c>
      <c r="D4" s="73">
        <v>203</v>
      </c>
      <c r="E4" s="8">
        <v>109</v>
      </c>
      <c r="F4" s="73">
        <v>97</v>
      </c>
      <c r="G4" s="73">
        <v>206</v>
      </c>
      <c r="H4" s="8">
        <v>317</v>
      </c>
      <c r="I4" s="73">
        <v>617</v>
      </c>
      <c r="J4" s="8">
        <v>798</v>
      </c>
      <c r="K4" s="73">
        <v>1118</v>
      </c>
      <c r="M4" s="73">
        <v>105</v>
      </c>
      <c r="N4" s="8">
        <v>109</v>
      </c>
      <c r="O4" s="73">
        <v>149</v>
      </c>
      <c r="P4" s="8">
        <v>98</v>
      </c>
      <c r="Q4" s="73">
        <v>75</v>
      </c>
      <c r="R4" s="8">
        <v>199</v>
      </c>
      <c r="S4" s="73">
        <v>108</v>
      </c>
      <c r="T4" s="8">
        <v>205</v>
      </c>
      <c r="U4" s="73">
        <v>295</v>
      </c>
      <c r="V4" s="9">
        <v>409</v>
      </c>
    </row>
    <row r="5" spans="2:22">
      <c r="B5" s="73">
        <v>109</v>
      </c>
      <c r="C5" s="8">
        <v>305</v>
      </c>
      <c r="D5" s="73">
        <v>106</v>
      </c>
      <c r="E5" s="8">
        <v>131</v>
      </c>
      <c r="F5" s="73">
        <v>91</v>
      </c>
      <c r="G5" s="73">
        <v>215</v>
      </c>
      <c r="H5" s="8">
        <v>309</v>
      </c>
      <c r="I5" s="73">
        <v>593</v>
      </c>
      <c r="J5" s="8">
        <v>745</v>
      </c>
      <c r="K5" s="73">
        <v>976</v>
      </c>
      <c r="M5" s="73">
        <v>126</v>
      </c>
      <c r="N5" s="8">
        <v>57</v>
      </c>
      <c r="O5" s="73">
        <v>157</v>
      </c>
      <c r="P5" s="8">
        <v>96</v>
      </c>
      <c r="Q5" s="73">
        <v>63</v>
      </c>
      <c r="R5" s="8">
        <v>208</v>
      </c>
      <c r="S5" s="73">
        <v>116</v>
      </c>
      <c r="T5" s="8">
        <v>109</v>
      </c>
      <c r="U5" s="73">
        <v>213</v>
      </c>
      <c r="V5" s="9">
        <v>417</v>
      </c>
    </row>
    <row r="6" spans="2:22">
      <c r="B6" s="73">
        <v>390</v>
      </c>
      <c r="C6" s="8">
        <v>291</v>
      </c>
      <c r="D6" s="73">
        <v>194</v>
      </c>
      <c r="E6" s="8">
        <v>116</v>
      </c>
      <c r="F6" s="73">
        <v>115</v>
      </c>
      <c r="G6" s="73">
        <v>198</v>
      </c>
      <c r="H6" s="8">
        <v>298</v>
      </c>
      <c r="I6" s="73">
        <v>635</v>
      </c>
      <c r="J6" s="8">
        <v>903</v>
      </c>
      <c r="K6" s="73">
        <v>931</v>
      </c>
      <c r="M6" s="73">
        <v>208</v>
      </c>
      <c r="N6" s="8">
        <v>75</v>
      </c>
      <c r="O6" s="73">
        <v>198</v>
      </c>
      <c r="P6" s="8">
        <v>109</v>
      </c>
      <c r="Q6" s="73">
        <v>89</v>
      </c>
      <c r="R6" s="8">
        <v>205</v>
      </c>
      <c r="S6" s="73">
        <v>121</v>
      </c>
      <c r="T6" s="8">
        <v>115</v>
      </c>
      <c r="U6" s="73">
        <v>299</v>
      </c>
      <c r="V6" s="9">
        <v>375</v>
      </c>
    </row>
    <row r="7" spans="2:22">
      <c r="B7" s="73">
        <v>290</v>
      </c>
      <c r="C7" s="8">
        <v>475</v>
      </c>
      <c r="D7" s="73">
        <v>171</v>
      </c>
      <c r="E7" s="8">
        <v>98</v>
      </c>
      <c r="F7" s="73">
        <v>103</v>
      </c>
      <c r="G7" s="73">
        <v>191</v>
      </c>
      <c r="H7" s="8">
        <v>417</v>
      </c>
      <c r="I7" s="73">
        <v>688</v>
      </c>
      <c r="J7" s="8">
        <v>1105</v>
      </c>
      <c r="K7" s="73">
        <v>1098</v>
      </c>
      <c r="M7" s="73">
        <v>201</v>
      </c>
      <c r="N7" s="8">
        <v>71</v>
      </c>
      <c r="O7" s="73">
        <v>97</v>
      </c>
      <c r="P7" s="8">
        <v>175</v>
      </c>
      <c r="Q7" s="73">
        <v>88</v>
      </c>
      <c r="R7" s="8">
        <v>317</v>
      </c>
      <c r="S7" s="73">
        <v>95</v>
      </c>
      <c r="T7" s="8">
        <v>216</v>
      </c>
      <c r="U7" s="73">
        <v>302</v>
      </c>
      <c r="V7" s="9">
        <v>517</v>
      </c>
    </row>
    <row r="8" spans="2:22">
      <c r="B8" s="73">
        <v>208</v>
      </c>
      <c r="C8" s="8">
        <v>758</v>
      </c>
      <c r="D8" s="73">
        <v>208</v>
      </c>
      <c r="E8" s="8">
        <v>107</v>
      </c>
      <c r="F8" s="73">
        <v>97</v>
      </c>
      <c r="G8" s="73">
        <v>207</v>
      </c>
      <c r="H8" s="8">
        <v>403</v>
      </c>
      <c r="I8" s="73">
        <v>575</v>
      </c>
      <c r="J8" s="8">
        <v>798</v>
      </c>
      <c r="K8" s="73">
        <v>1176</v>
      </c>
      <c r="M8" s="73">
        <v>105</v>
      </c>
      <c r="N8" s="8">
        <v>48</v>
      </c>
      <c r="O8" s="73">
        <v>91</v>
      </c>
      <c r="P8" s="8">
        <v>113</v>
      </c>
      <c r="Q8" s="73">
        <v>75</v>
      </c>
      <c r="R8" s="8">
        <v>291</v>
      </c>
      <c r="S8" s="73">
        <v>91</v>
      </c>
      <c r="T8" s="8">
        <v>198</v>
      </c>
      <c r="U8" s="73">
        <v>319</v>
      </c>
      <c r="V8" s="9">
        <v>509</v>
      </c>
    </row>
    <row r="9" spans="2:22">
      <c r="B9" s="73">
        <v>129</v>
      </c>
      <c r="C9" s="8">
        <v>721</v>
      </c>
      <c r="D9" s="73">
        <v>417</v>
      </c>
      <c r="E9" s="8">
        <v>202</v>
      </c>
      <c r="F9" s="73">
        <v>86</v>
      </c>
      <c r="G9" s="73">
        <v>293</v>
      </c>
      <c r="H9" s="8">
        <v>198</v>
      </c>
      <c r="I9" s="73">
        <v>471</v>
      </c>
      <c r="J9" s="8">
        <v>871</v>
      </c>
      <c r="K9" s="73">
        <v>945</v>
      </c>
      <c r="M9" s="73">
        <v>123</v>
      </c>
      <c r="N9" s="8">
        <v>106</v>
      </c>
      <c r="O9" s="73">
        <v>73</v>
      </c>
      <c r="P9" s="8">
        <v>79</v>
      </c>
      <c r="Q9" s="73">
        <v>71</v>
      </c>
      <c r="R9" s="8">
        <v>211</v>
      </c>
      <c r="S9" s="73">
        <v>75</v>
      </c>
      <c r="T9" s="8">
        <v>231</v>
      </c>
      <c r="U9" s="73">
        <v>404</v>
      </c>
      <c r="V9" s="9">
        <v>516</v>
      </c>
    </row>
    <row r="10" spans="2:22">
      <c r="B10" s="73">
        <v>451</v>
      </c>
      <c r="C10" s="8">
        <v>476</v>
      </c>
      <c r="D10" s="73">
        <v>309</v>
      </c>
      <c r="E10" s="8">
        <v>115</v>
      </c>
      <c r="F10" s="73">
        <v>81</v>
      </c>
      <c r="G10" s="73">
        <v>276</v>
      </c>
      <c r="H10" s="8">
        <v>309</v>
      </c>
      <c r="I10" s="73">
        <v>399</v>
      </c>
      <c r="J10" s="8">
        <v>834</v>
      </c>
      <c r="K10" s="73">
        <v>1081</v>
      </c>
      <c r="M10" s="73">
        <v>302</v>
      </c>
      <c r="N10" s="8">
        <v>405</v>
      </c>
      <c r="O10" s="73">
        <v>108</v>
      </c>
      <c r="P10" s="8">
        <v>68</v>
      </c>
      <c r="Q10" s="73">
        <v>23</v>
      </c>
      <c r="R10" s="8">
        <v>321</v>
      </c>
      <c r="S10" s="73">
        <v>69</v>
      </c>
      <c r="T10" s="8">
        <v>274</v>
      </c>
      <c r="U10" s="73">
        <v>318</v>
      </c>
      <c r="V10" s="9">
        <v>339</v>
      </c>
    </row>
    <row r="11" spans="2:22">
      <c r="B11" s="73">
        <v>203</v>
      </c>
      <c r="C11" s="8">
        <v>508</v>
      </c>
      <c r="D11" s="73">
        <v>376</v>
      </c>
      <c r="E11" s="8">
        <v>123</v>
      </c>
      <c r="F11" s="73">
        <v>99</v>
      </c>
      <c r="G11" s="73">
        <v>299</v>
      </c>
      <c r="H11" s="8">
        <v>436</v>
      </c>
      <c r="I11" s="73">
        <v>523</v>
      </c>
      <c r="J11" s="8">
        <v>902</v>
      </c>
      <c r="K11" s="73">
        <v>1634</v>
      </c>
      <c r="M11" s="73">
        <v>201</v>
      </c>
      <c r="N11" s="8">
        <v>79</v>
      </c>
      <c r="O11" s="73">
        <v>65</v>
      </c>
      <c r="P11" s="8">
        <v>61</v>
      </c>
      <c r="Q11" s="73">
        <v>39</v>
      </c>
      <c r="R11" s="8">
        <v>173</v>
      </c>
      <c r="S11" s="73">
        <v>99</v>
      </c>
      <c r="T11" s="8">
        <v>193</v>
      </c>
      <c r="U11" s="73">
        <v>198</v>
      </c>
      <c r="V11" s="9">
        <v>518</v>
      </c>
    </row>
    <row r="12" spans="2:22">
      <c r="B12" s="73">
        <v>208</v>
      </c>
      <c r="C12" s="8">
        <v>431</v>
      </c>
      <c r="D12" s="73">
        <v>108</v>
      </c>
      <c r="E12" s="8">
        <v>135</v>
      </c>
      <c r="F12" s="73">
        <v>143</v>
      </c>
      <c r="G12" s="73">
        <v>205</v>
      </c>
      <c r="H12" s="8">
        <v>415</v>
      </c>
      <c r="I12" s="73">
        <v>486</v>
      </c>
      <c r="J12" s="8">
        <v>1023</v>
      </c>
      <c r="K12" s="73">
        <v>1402</v>
      </c>
      <c r="M12" s="73">
        <v>117</v>
      </c>
      <c r="N12" s="8">
        <v>71</v>
      </c>
      <c r="O12" s="73">
        <v>121</v>
      </c>
      <c r="P12" s="8">
        <v>79</v>
      </c>
      <c r="Q12" s="73">
        <v>37</v>
      </c>
      <c r="R12" s="8">
        <v>166</v>
      </c>
      <c r="S12" s="73">
        <v>105</v>
      </c>
      <c r="T12" s="8">
        <v>116</v>
      </c>
      <c r="U12" s="73">
        <v>192</v>
      </c>
      <c r="V12" s="9">
        <v>599</v>
      </c>
    </row>
    <row r="13" spans="2:22">
      <c r="B13" s="73">
        <v>103</v>
      </c>
      <c r="C13" s="8">
        <v>378</v>
      </c>
      <c r="D13" s="73">
        <v>115</v>
      </c>
      <c r="E13" s="8">
        <v>138</v>
      </c>
      <c r="F13" s="73">
        <v>97</v>
      </c>
      <c r="G13" s="73">
        <v>178</v>
      </c>
      <c r="H13" s="8">
        <v>378</v>
      </c>
      <c r="I13" s="73">
        <v>392</v>
      </c>
      <c r="J13" s="8">
        <v>916</v>
      </c>
      <c r="K13" s="73">
        <v>1723</v>
      </c>
      <c r="M13" s="73">
        <v>123</v>
      </c>
      <c r="N13" s="8">
        <v>48</v>
      </c>
      <c r="O13" s="73">
        <v>118</v>
      </c>
      <c r="P13" s="8">
        <v>59</v>
      </c>
      <c r="Q13" s="73">
        <v>65</v>
      </c>
      <c r="R13" s="8">
        <v>401</v>
      </c>
      <c r="S13" s="73">
        <v>118</v>
      </c>
      <c r="T13" s="8">
        <v>105</v>
      </c>
      <c r="U13" s="73">
        <v>216</v>
      </c>
      <c r="V13" s="9">
        <v>316</v>
      </c>
    </row>
    <row r="14" spans="2:22">
      <c r="B14" s="73">
        <v>59</v>
      </c>
      <c r="C14" s="8">
        <v>321</v>
      </c>
      <c r="D14" s="73">
        <v>137</v>
      </c>
      <c r="E14" s="8">
        <v>186</v>
      </c>
      <c r="F14" s="73">
        <v>86</v>
      </c>
      <c r="G14" s="73">
        <v>171</v>
      </c>
      <c r="H14" s="8">
        <v>403</v>
      </c>
      <c r="I14" s="73">
        <v>648</v>
      </c>
      <c r="J14" s="8">
        <v>745</v>
      </c>
      <c r="K14" s="73">
        <v>899</v>
      </c>
      <c r="M14" s="73">
        <v>113</v>
      </c>
      <c r="N14" s="8">
        <v>71</v>
      </c>
      <c r="O14" s="73">
        <v>96</v>
      </c>
      <c r="P14" s="8">
        <v>54</v>
      </c>
      <c r="Q14" s="73">
        <v>69</v>
      </c>
      <c r="R14" s="8">
        <v>206</v>
      </c>
      <c r="S14" s="73">
        <v>79</v>
      </c>
      <c r="T14" s="8">
        <v>239</v>
      </c>
      <c r="U14" s="73">
        <v>248</v>
      </c>
      <c r="V14" s="9">
        <v>278</v>
      </c>
    </row>
    <row r="15" spans="2:22">
      <c r="B15" s="73">
        <v>51</v>
      </c>
      <c r="C15" s="8">
        <v>507</v>
      </c>
      <c r="D15" s="73">
        <v>181</v>
      </c>
      <c r="E15" s="8">
        <v>145</v>
      </c>
      <c r="F15" s="73">
        <v>88</v>
      </c>
      <c r="G15" s="73">
        <v>231</v>
      </c>
      <c r="H15" s="8">
        <v>507</v>
      </c>
      <c r="I15" s="73">
        <v>601</v>
      </c>
      <c r="J15" s="8">
        <v>717</v>
      </c>
      <c r="K15" s="73">
        <v>1275</v>
      </c>
      <c r="M15" s="73">
        <v>245</v>
      </c>
      <c r="N15" s="8">
        <v>63</v>
      </c>
      <c r="O15" s="73">
        <v>88</v>
      </c>
      <c r="P15" s="8">
        <v>103</v>
      </c>
      <c r="Q15" s="73">
        <v>77</v>
      </c>
      <c r="R15" s="8">
        <v>223</v>
      </c>
      <c r="S15" s="73">
        <v>193</v>
      </c>
      <c r="T15" s="8">
        <v>217</v>
      </c>
      <c r="U15" s="73">
        <v>321</v>
      </c>
      <c r="V15" s="9">
        <v>271</v>
      </c>
    </row>
    <row r="16" spans="2:22">
      <c r="B16" s="73">
        <v>108</v>
      </c>
      <c r="C16" s="8">
        <v>303</v>
      </c>
      <c r="D16" s="73">
        <v>193</v>
      </c>
      <c r="E16" s="8">
        <v>187</v>
      </c>
      <c r="F16" s="73">
        <v>137</v>
      </c>
      <c r="G16" s="73">
        <v>227</v>
      </c>
      <c r="H16" s="8">
        <v>391</v>
      </c>
      <c r="I16" s="73">
        <v>388</v>
      </c>
      <c r="J16" s="8">
        <v>836</v>
      </c>
      <c r="K16" s="73">
        <v>1231</v>
      </c>
      <c r="M16" s="73">
        <v>136</v>
      </c>
      <c r="N16" s="8">
        <v>171</v>
      </c>
      <c r="O16" s="73">
        <v>102</v>
      </c>
      <c r="P16" s="8">
        <v>117</v>
      </c>
      <c r="Q16" s="73">
        <v>71</v>
      </c>
      <c r="R16" s="8">
        <v>293</v>
      </c>
      <c r="S16" s="73">
        <v>121</v>
      </c>
      <c r="T16" s="8">
        <v>299</v>
      </c>
      <c r="U16" s="73">
        <v>217</v>
      </c>
      <c r="V16" s="9">
        <v>234</v>
      </c>
    </row>
    <row r="17" spans="2:22">
      <c r="B17" s="73">
        <v>70</v>
      </c>
      <c r="C17" s="8">
        <v>328</v>
      </c>
      <c r="D17" s="73">
        <v>198</v>
      </c>
      <c r="E17" s="8">
        <v>202</v>
      </c>
      <c r="F17" s="73">
        <v>97</v>
      </c>
      <c r="G17" s="73">
        <v>197</v>
      </c>
      <c r="H17" s="8">
        <v>337</v>
      </c>
      <c r="I17" s="73">
        <v>421</v>
      </c>
      <c r="J17" s="8">
        <v>699</v>
      </c>
      <c r="K17" s="73">
        <v>896</v>
      </c>
      <c r="M17" s="73">
        <v>147</v>
      </c>
      <c r="N17" s="8">
        <v>97</v>
      </c>
      <c r="O17" s="73">
        <v>178</v>
      </c>
      <c r="P17" s="8">
        <v>203</v>
      </c>
      <c r="Q17" s="73">
        <v>93</v>
      </c>
      <c r="R17" s="8">
        <v>191</v>
      </c>
      <c r="S17" s="73">
        <v>75</v>
      </c>
      <c r="T17" s="8">
        <v>176</v>
      </c>
      <c r="U17" s="73">
        <v>221</v>
      </c>
      <c r="V17" s="9">
        <v>431</v>
      </c>
    </row>
    <row r="18" spans="2:22">
      <c r="B18" s="73">
        <v>54</v>
      </c>
      <c r="C18" s="8">
        <v>491</v>
      </c>
      <c r="D18" s="73">
        <v>205</v>
      </c>
      <c r="E18" s="8">
        <v>96</v>
      </c>
      <c r="F18" s="73">
        <v>75</v>
      </c>
      <c r="G18" s="73">
        <v>175</v>
      </c>
      <c r="H18" s="8">
        <v>419</v>
      </c>
      <c r="I18" s="73">
        <v>413</v>
      </c>
      <c r="J18" s="8">
        <v>931</v>
      </c>
      <c r="K18" s="73">
        <v>972</v>
      </c>
      <c r="M18" s="73">
        <v>156</v>
      </c>
      <c r="N18" s="8">
        <v>91</v>
      </c>
      <c r="O18" s="73">
        <v>133</v>
      </c>
      <c r="P18" s="8">
        <v>86</v>
      </c>
      <c r="Q18" s="73">
        <v>78</v>
      </c>
      <c r="R18" s="8">
        <v>157</v>
      </c>
      <c r="S18" s="73">
        <v>71</v>
      </c>
      <c r="T18" s="8">
        <v>184</v>
      </c>
      <c r="U18" s="73">
        <v>311</v>
      </c>
      <c r="V18" s="9">
        <v>376</v>
      </c>
    </row>
    <row r="19" spans="2:22">
      <c r="B19" s="73">
        <v>403</v>
      </c>
      <c r="C19" s="8">
        <v>476</v>
      </c>
      <c r="D19" s="73">
        <v>318</v>
      </c>
      <c r="E19" s="8">
        <v>78</v>
      </c>
      <c r="F19" s="73">
        <v>71</v>
      </c>
      <c r="G19" s="73">
        <v>276</v>
      </c>
      <c r="H19" s="8">
        <v>493</v>
      </c>
      <c r="I19" s="73">
        <v>632</v>
      </c>
      <c r="J19" s="8">
        <v>908</v>
      </c>
      <c r="K19" s="73">
        <v>1618</v>
      </c>
      <c r="M19" s="73">
        <v>203</v>
      </c>
      <c r="N19" s="8">
        <v>85</v>
      </c>
      <c r="O19" s="73">
        <v>109</v>
      </c>
      <c r="P19" s="8">
        <v>98</v>
      </c>
      <c r="Q19" s="73">
        <v>89</v>
      </c>
      <c r="R19" s="8">
        <v>291</v>
      </c>
      <c r="S19" s="73">
        <v>67</v>
      </c>
      <c r="T19" s="8">
        <v>191</v>
      </c>
      <c r="U19" s="73">
        <v>175</v>
      </c>
      <c r="V19" s="9">
        <v>399</v>
      </c>
    </row>
    <row r="20" spans="2:22">
      <c r="B20" s="73">
        <v>527</v>
      </c>
      <c r="C20" s="8">
        <v>566</v>
      </c>
      <c r="D20" s="73">
        <v>406</v>
      </c>
      <c r="E20" s="8">
        <v>105</v>
      </c>
      <c r="F20" s="73">
        <v>15</v>
      </c>
      <c r="G20" s="73">
        <v>299</v>
      </c>
      <c r="H20" s="8">
        <v>519</v>
      </c>
      <c r="I20" s="73">
        <v>538</v>
      </c>
      <c r="J20" s="8">
        <v>976</v>
      </c>
      <c r="K20" s="73">
        <v>1941</v>
      </c>
      <c r="M20" s="73">
        <v>115</v>
      </c>
      <c r="N20" s="8">
        <v>105</v>
      </c>
      <c r="O20" s="73">
        <v>175</v>
      </c>
      <c r="P20" s="8">
        <v>91</v>
      </c>
      <c r="Q20" s="73">
        <v>85</v>
      </c>
      <c r="R20" s="8">
        <v>135</v>
      </c>
      <c r="S20" s="73">
        <v>51</v>
      </c>
      <c r="T20" s="8">
        <v>200</v>
      </c>
      <c r="U20" s="73">
        <v>93</v>
      </c>
      <c r="V20" s="9">
        <v>621</v>
      </c>
    </row>
    <row r="21" spans="2:22">
      <c r="B21" s="73">
        <v>291</v>
      </c>
      <c r="C21" s="8">
        <v>698</v>
      </c>
      <c r="D21" s="73">
        <v>156</v>
      </c>
      <c r="E21" s="8">
        <v>123</v>
      </c>
      <c r="F21" s="73">
        <v>39</v>
      </c>
      <c r="G21" s="73">
        <v>203</v>
      </c>
      <c r="H21" s="8">
        <v>509</v>
      </c>
      <c r="I21" s="73">
        <v>515</v>
      </c>
      <c r="J21" s="8">
        <v>748</v>
      </c>
      <c r="K21" s="73">
        <v>1933</v>
      </c>
      <c r="M21" s="73">
        <v>318</v>
      </c>
      <c r="N21" s="8">
        <v>128</v>
      </c>
      <c r="O21" s="73">
        <v>99</v>
      </c>
      <c r="P21" s="8">
        <v>115</v>
      </c>
      <c r="Q21" s="73">
        <v>69</v>
      </c>
      <c r="R21" s="8">
        <v>229</v>
      </c>
      <c r="S21" s="73">
        <v>108</v>
      </c>
      <c r="T21" s="8">
        <v>176</v>
      </c>
      <c r="U21" s="73">
        <v>108</v>
      </c>
      <c r="V21" s="9">
        <v>517</v>
      </c>
    </row>
    <row r="22" spans="2:22">
      <c r="B22" s="73">
        <v>309</v>
      </c>
      <c r="C22" s="8">
        <v>491</v>
      </c>
      <c r="D22" s="73">
        <v>191</v>
      </c>
      <c r="E22" s="8">
        <v>119</v>
      </c>
      <c r="F22" s="73">
        <v>88</v>
      </c>
      <c r="G22" s="73">
        <v>283</v>
      </c>
      <c r="H22" s="8">
        <v>499</v>
      </c>
      <c r="I22" s="73">
        <v>602</v>
      </c>
      <c r="J22" s="8">
        <v>717</v>
      </c>
      <c r="K22" s="73">
        <v>798</v>
      </c>
      <c r="M22" s="73">
        <v>215</v>
      </c>
      <c r="N22" s="8">
        <v>31</v>
      </c>
      <c r="O22" s="73">
        <v>109</v>
      </c>
      <c r="P22" s="8">
        <v>163</v>
      </c>
      <c r="Q22" s="73">
        <v>78</v>
      </c>
      <c r="R22" s="8">
        <v>327</v>
      </c>
      <c r="S22" s="73">
        <v>203</v>
      </c>
      <c r="T22" s="8">
        <v>184</v>
      </c>
      <c r="U22" s="73">
        <v>251</v>
      </c>
      <c r="V22" s="9">
        <v>412</v>
      </c>
    </row>
    <row r="23" spans="2:22">
      <c r="B23" s="73">
        <v>508</v>
      </c>
      <c r="C23" s="8">
        <v>517</v>
      </c>
      <c r="D23" s="73">
        <v>228</v>
      </c>
      <c r="E23" s="8">
        <v>206</v>
      </c>
      <c r="F23" s="73">
        <v>16</v>
      </c>
      <c r="G23" s="73">
        <v>121</v>
      </c>
      <c r="H23" s="8">
        <v>473</v>
      </c>
      <c r="I23" s="73">
        <v>491</v>
      </c>
      <c r="J23" s="8">
        <v>813</v>
      </c>
      <c r="K23" s="73">
        <v>1066</v>
      </c>
      <c r="M23" s="73">
        <v>118</v>
      </c>
      <c r="N23" s="8">
        <v>48</v>
      </c>
      <c r="O23" s="73">
        <v>136</v>
      </c>
      <c r="P23" s="8">
        <v>203</v>
      </c>
      <c r="Q23" s="73">
        <v>71</v>
      </c>
      <c r="R23" s="8">
        <v>401</v>
      </c>
      <c r="S23" s="73">
        <v>177</v>
      </c>
      <c r="T23" s="8">
        <v>115</v>
      </c>
      <c r="U23" s="73">
        <v>306</v>
      </c>
      <c r="V23" s="9">
        <v>408</v>
      </c>
    </row>
    <row r="24" spans="2:22">
      <c r="B24" s="73">
        <v>503</v>
      </c>
      <c r="C24" s="8">
        <v>593</v>
      </c>
      <c r="D24" s="73">
        <v>226</v>
      </c>
      <c r="E24" s="8">
        <v>136</v>
      </c>
      <c r="F24" s="73">
        <v>56</v>
      </c>
      <c r="G24" s="73">
        <v>229</v>
      </c>
      <c r="H24" s="8">
        <v>491</v>
      </c>
      <c r="I24" s="73">
        <v>691</v>
      </c>
      <c r="J24" s="8">
        <v>874</v>
      </c>
      <c r="K24" s="73">
        <v>1041</v>
      </c>
      <c r="M24" s="73">
        <v>271</v>
      </c>
      <c r="N24" s="8">
        <v>59</v>
      </c>
      <c r="O24" s="73">
        <v>208</v>
      </c>
      <c r="P24" s="8">
        <v>105</v>
      </c>
      <c r="Q24" s="73">
        <v>82</v>
      </c>
      <c r="R24" s="8">
        <v>251</v>
      </c>
      <c r="S24" s="73">
        <v>76</v>
      </c>
      <c r="T24" s="8">
        <v>193</v>
      </c>
      <c r="U24" s="73">
        <v>171</v>
      </c>
      <c r="V24" s="9">
        <v>499</v>
      </c>
    </row>
    <row r="25" spans="2:22">
      <c r="B25" s="73">
        <v>718</v>
      </c>
      <c r="C25" s="8">
        <v>631</v>
      </c>
      <c r="D25" s="73">
        <v>431</v>
      </c>
      <c r="E25" s="8">
        <v>134</v>
      </c>
      <c r="F25" s="73">
        <v>98</v>
      </c>
      <c r="G25" s="73">
        <v>275</v>
      </c>
      <c r="H25" s="8">
        <v>531</v>
      </c>
      <c r="I25" s="73">
        <v>408</v>
      </c>
      <c r="J25" s="8">
        <v>917</v>
      </c>
      <c r="K25" s="73">
        <v>1173</v>
      </c>
      <c r="M25" s="73">
        <v>209</v>
      </c>
      <c r="N25" s="8">
        <v>63</v>
      </c>
      <c r="O25" s="73">
        <v>295</v>
      </c>
      <c r="P25" s="8">
        <v>98</v>
      </c>
      <c r="Q25" s="73">
        <v>84</v>
      </c>
      <c r="R25" s="8">
        <v>208</v>
      </c>
      <c r="S25" s="73">
        <v>85</v>
      </c>
      <c r="T25" s="8">
        <v>108</v>
      </c>
      <c r="U25" s="73">
        <v>103</v>
      </c>
      <c r="V25" s="9">
        <v>318</v>
      </c>
    </row>
    <row r="26" spans="2:22">
      <c r="B26" s="73">
        <v>619</v>
      </c>
      <c r="C26" s="8">
        <v>308</v>
      </c>
      <c r="D26" s="73">
        <v>193</v>
      </c>
      <c r="E26" s="8">
        <v>217</v>
      </c>
      <c r="F26" s="73">
        <v>104</v>
      </c>
      <c r="G26" s="73">
        <v>273</v>
      </c>
      <c r="H26" s="8">
        <v>598</v>
      </c>
      <c r="I26" s="73">
        <v>575</v>
      </c>
      <c r="J26" s="8">
        <v>935</v>
      </c>
      <c r="K26" s="73">
        <v>1208</v>
      </c>
      <c r="M26" s="73">
        <v>318</v>
      </c>
      <c r="N26" s="8">
        <v>67</v>
      </c>
      <c r="O26" s="73">
        <v>377</v>
      </c>
      <c r="P26" s="8">
        <v>63</v>
      </c>
      <c r="Q26" s="73">
        <v>45</v>
      </c>
      <c r="R26" s="8">
        <v>316</v>
      </c>
      <c r="S26" s="73">
        <v>81</v>
      </c>
      <c r="T26" s="8">
        <v>207</v>
      </c>
      <c r="U26" s="73">
        <v>302</v>
      </c>
      <c r="V26" s="9">
        <v>399</v>
      </c>
    </row>
    <row r="27" spans="2:22">
      <c r="B27" s="73">
        <v>613</v>
      </c>
      <c r="C27" s="8">
        <v>312</v>
      </c>
      <c r="D27" s="73">
        <v>151</v>
      </c>
      <c r="E27" s="8">
        <v>236</v>
      </c>
      <c r="F27" s="73">
        <v>76</v>
      </c>
      <c r="G27" s="73">
        <v>205</v>
      </c>
      <c r="H27" s="8">
        <v>478</v>
      </c>
      <c r="I27" s="73">
        <v>716</v>
      </c>
      <c r="J27" s="8">
        <v>848</v>
      </c>
      <c r="K27" s="73">
        <v>1316</v>
      </c>
      <c r="M27" s="73">
        <v>253</v>
      </c>
      <c r="N27" s="8">
        <v>78</v>
      </c>
      <c r="O27" s="73">
        <v>105</v>
      </c>
      <c r="P27" s="8">
        <v>61</v>
      </c>
      <c r="Q27" s="73">
        <v>73</v>
      </c>
      <c r="R27" s="8">
        <v>217</v>
      </c>
      <c r="S27" s="73">
        <v>95</v>
      </c>
      <c r="T27" s="8">
        <v>304</v>
      </c>
      <c r="U27" s="73">
        <v>219</v>
      </c>
      <c r="V27" s="9">
        <v>417</v>
      </c>
    </row>
    <row r="28" spans="2:22">
      <c r="B28" s="73">
        <v>578</v>
      </c>
      <c r="C28" s="8">
        <v>499</v>
      </c>
      <c r="D28" s="73">
        <v>208</v>
      </c>
      <c r="E28" s="8">
        <v>175</v>
      </c>
      <c r="F28" s="73">
        <v>79</v>
      </c>
      <c r="G28" s="73">
        <v>197</v>
      </c>
      <c r="H28" s="8">
        <v>405</v>
      </c>
      <c r="I28" s="73">
        <v>631</v>
      </c>
      <c r="J28" s="8">
        <v>876</v>
      </c>
      <c r="K28" s="73">
        <v>931</v>
      </c>
      <c r="M28" s="73">
        <v>221</v>
      </c>
      <c r="N28" s="8">
        <v>103</v>
      </c>
      <c r="O28" s="73">
        <v>97</v>
      </c>
      <c r="P28" s="8">
        <v>59</v>
      </c>
      <c r="Q28" s="73">
        <v>59</v>
      </c>
      <c r="R28" s="8">
        <v>299</v>
      </c>
      <c r="S28" s="73">
        <v>145</v>
      </c>
      <c r="T28" s="8">
        <v>301</v>
      </c>
      <c r="U28" s="73">
        <v>243</v>
      </c>
      <c r="V28" s="9">
        <v>581</v>
      </c>
    </row>
    <row r="29" spans="2:22">
      <c r="B29" s="73">
        <v>544</v>
      </c>
      <c r="C29" s="8">
        <v>521</v>
      </c>
      <c r="D29" s="73">
        <v>193</v>
      </c>
      <c r="E29" s="8">
        <v>171</v>
      </c>
      <c r="F29" s="73">
        <v>91</v>
      </c>
      <c r="G29" s="73">
        <v>131</v>
      </c>
      <c r="H29" s="8">
        <v>399</v>
      </c>
      <c r="I29" s="73">
        <v>612</v>
      </c>
      <c r="J29" s="8">
        <v>716</v>
      </c>
      <c r="K29" s="73">
        <v>997</v>
      </c>
      <c r="M29" s="73">
        <v>109</v>
      </c>
      <c r="N29" s="8">
        <v>91</v>
      </c>
      <c r="O29" s="73">
        <v>71</v>
      </c>
      <c r="P29" s="8">
        <v>88</v>
      </c>
      <c r="Q29" s="73">
        <v>88</v>
      </c>
      <c r="R29" s="8">
        <v>306</v>
      </c>
      <c r="S29" s="73">
        <v>112</v>
      </c>
      <c r="T29" s="8">
        <v>176</v>
      </c>
      <c r="U29" s="73">
        <v>269</v>
      </c>
      <c r="V29" s="9">
        <v>513</v>
      </c>
    </row>
    <row r="30" spans="2:22">
      <c r="B30" s="73">
        <v>691</v>
      </c>
      <c r="C30" s="8">
        <v>478</v>
      </c>
      <c r="D30" s="73">
        <v>175</v>
      </c>
      <c r="E30" s="8">
        <v>193</v>
      </c>
      <c r="F30" s="73">
        <v>65</v>
      </c>
      <c r="G30" s="73">
        <v>239</v>
      </c>
      <c r="H30" s="8">
        <v>371</v>
      </c>
      <c r="I30" s="73">
        <v>528</v>
      </c>
      <c r="J30" s="8">
        <v>731</v>
      </c>
      <c r="K30" s="73">
        <v>1402</v>
      </c>
      <c r="M30" s="73">
        <v>96</v>
      </c>
      <c r="N30" s="8">
        <v>107</v>
      </c>
      <c r="O30" s="73">
        <v>88</v>
      </c>
      <c r="P30" s="8">
        <v>123</v>
      </c>
      <c r="Q30" s="73">
        <v>93</v>
      </c>
      <c r="R30" s="8">
        <v>227</v>
      </c>
      <c r="S30" s="73">
        <v>98</v>
      </c>
      <c r="T30" s="8">
        <v>75</v>
      </c>
      <c r="U30" s="73">
        <v>288</v>
      </c>
      <c r="V30" s="9">
        <v>315</v>
      </c>
    </row>
    <row r="31" spans="2:22">
      <c r="B31" s="73">
        <v>708</v>
      </c>
      <c r="C31" s="8">
        <v>517</v>
      </c>
      <c r="D31" s="73">
        <v>179</v>
      </c>
      <c r="E31" s="8">
        <v>116</v>
      </c>
      <c r="F31" s="73">
        <v>88</v>
      </c>
      <c r="G31" s="73">
        <v>406</v>
      </c>
      <c r="H31" s="8">
        <v>416</v>
      </c>
      <c r="I31" s="73">
        <v>431</v>
      </c>
      <c r="J31" s="8">
        <v>598</v>
      </c>
      <c r="K31" s="73">
        <v>1171</v>
      </c>
      <c r="M31" s="73">
        <v>78</v>
      </c>
      <c r="N31" s="8">
        <v>85</v>
      </c>
      <c r="O31" s="73">
        <v>93</v>
      </c>
      <c r="P31" s="8">
        <v>145</v>
      </c>
      <c r="Q31" s="73">
        <v>108</v>
      </c>
      <c r="R31" s="8">
        <v>315</v>
      </c>
      <c r="S31" s="73">
        <v>136</v>
      </c>
      <c r="T31" s="8">
        <v>15</v>
      </c>
      <c r="U31" s="73">
        <v>316</v>
      </c>
      <c r="V31" s="9">
        <v>509</v>
      </c>
    </row>
    <row r="32" spans="2:22">
      <c r="B32" s="73">
        <v>648</v>
      </c>
      <c r="C32" s="8">
        <v>637</v>
      </c>
      <c r="D32" s="73">
        <v>209</v>
      </c>
      <c r="E32" s="8">
        <v>175</v>
      </c>
      <c r="F32" s="73">
        <v>73</v>
      </c>
      <c r="G32" s="73">
        <v>412</v>
      </c>
      <c r="H32" s="8">
        <v>491</v>
      </c>
      <c r="I32" s="73">
        <v>736</v>
      </c>
      <c r="J32" s="8">
        <v>1321</v>
      </c>
      <c r="K32" s="73">
        <v>1936</v>
      </c>
      <c r="M32" s="73">
        <v>101</v>
      </c>
      <c r="N32" s="8">
        <v>88</v>
      </c>
      <c r="O32" s="73">
        <v>136</v>
      </c>
      <c r="P32" s="8">
        <v>96</v>
      </c>
      <c r="Q32" s="73">
        <v>59</v>
      </c>
      <c r="R32" s="8">
        <v>195</v>
      </c>
      <c r="S32" s="73">
        <v>127</v>
      </c>
      <c r="T32" s="8">
        <v>108</v>
      </c>
      <c r="U32" s="73">
        <v>208</v>
      </c>
      <c r="V32" s="9">
        <v>417</v>
      </c>
    </row>
    <row r="33" spans="2:22">
      <c r="B33" s="73">
        <v>721</v>
      </c>
      <c r="C33" s="8">
        <v>608</v>
      </c>
      <c r="D33" s="73">
        <v>327</v>
      </c>
      <c r="E33" s="8">
        <v>118</v>
      </c>
      <c r="F33" s="73">
        <v>95</v>
      </c>
      <c r="G33" s="73">
        <v>321</v>
      </c>
      <c r="H33" s="8">
        <v>478</v>
      </c>
      <c r="I33" s="73">
        <v>699</v>
      </c>
      <c r="J33" s="8">
        <v>1076</v>
      </c>
      <c r="K33" s="73">
        <v>985</v>
      </c>
      <c r="M33" s="73">
        <v>273</v>
      </c>
      <c r="N33" s="8">
        <v>93</v>
      </c>
      <c r="O33" s="73">
        <v>215</v>
      </c>
      <c r="P33" s="8">
        <v>78</v>
      </c>
      <c r="Q33" s="73">
        <v>67</v>
      </c>
      <c r="R33" s="8">
        <v>191</v>
      </c>
      <c r="S33" s="73">
        <v>95</v>
      </c>
      <c r="T33" s="8">
        <v>175</v>
      </c>
      <c r="U33" s="73">
        <v>191</v>
      </c>
      <c r="V33" s="9">
        <v>443</v>
      </c>
    </row>
    <row r="34" spans="2:22">
      <c r="B34" s="73">
        <v>455</v>
      </c>
      <c r="C34" s="8">
        <v>379</v>
      </c>
      <c r="D34" s="73">
        <v>299</v>
      </c>
      <c r="E34" s="8">
        <v>90</v>
      </c>
      <c r="F34" s="73">
        <v>103</v>
      </c>
      <c r="G34" s="73">
        <v>317</v>
      </c>
      <c r="H34" s="8">
        <v>533</v>
      </c>
      <c r="I34" s="73">
        <v>457</v>
      </c>
      <c r="J34" s="8">
        <v>1088</v>
      </c>
      <c r="K34" s="73">
        <v>934</v>
      </c>
      <c r="M34" s="73">
        <v>121</v>
      </c>
      <c r="N34" s="8">
        <v>91</v>
      </c>
      <c r="O34" s="73">
        <v>316</v>
      </c>
      <c r="P34" s="8">
        <v>71</v>
      </c>
      <c r="Q34" s="73">
        <v>93</v>
      </c>
      <c r="R34" s="8">
        <v>239</v>
      </c>
      <c r="S34" s="73">
        <v>91</v>
      </c>
      <c r="T34" s="8">
        <v>118</v>
      </c>
      <c r="U34" s="73">
        <v>97</v>
      </c>
      <c r="V34" s="9">
        <v>293</v>
      </c>
    </row>
    <row r="35" spans="2:22">
      <c r="B35" s="73">
        <v>329</v>
      </c>
      <c r="C35" s="8">
        <v>321</v>
      </c>
      <c r="D35" s="73">
        <v>341</v>
      </c>
      <c r="E35" s="8">
        <v>86</v>
      </c>
      <c r="F35" s="73">
        <v>99</v>
      </c>
      <c r="G35" s="73">
        <v>408</v>
      </c>
      <c r="H35" s="8">
        <v>565</v>
      </c>
      <c r="I35" s="73">
        <v>536</v>
      </c>
      <c r="J35" s="8">
        <v>943</v>
      </c>
      <c r="K35" s="73">
        <v>1236</v>
      </c>
      <c r="M35" s="73">
        <v>185</v>
      </c>
      <c r="N35" s="8">
        <v>58</v>
      </c>
      <c r="O35" s="73">
        <v>99</v>
      </c>
      <c r="P35" s="8">
        <v>65</v>
      </c>
      <c r="Q35" s="73">
        <v>96</v>
      </c>
      <c r="R35" s="8">
        <v>251</v>
      </c>
      <c r="S35" s="73">
        <v>78</v>
      </c>
      <c r="T35" s="8">
        <v>193</v>
      </c>
      <c r="U35" s="73">
        <v>176</v>
      </c>
      <c r="V35" s="9">
        <v>207</v>
      </c>
    </row>
    <row r="36" spans="2:22">
      <c r="B36" s="73">
        <v>378</v>
      </c>
      <c r="C36" s="8">
        <v>497</v>
      </c>
      <c r="D36" s="73">
        <v>405</v>
      </c>
      <c r="E36" s="8">
        <v>107</v>
      </c>
      <c r="F36" s="73">
        <v>75</v>
      </c>
      <c r="G36" s="73">
        <v>221</v>
      </c>
      <c r="H36" s="8">
        <v>487</v>
      </c>
      <c r="I36" s="73">
        <v>515</v>
      </c>
      <c r="J36" s="8">
        <v>913</v>
      </c>
      <c r="K36" s="73">
        <v>1287</v>
      </c>
      <c r="M36" s="73">
        <v>227</v>
      </c>
      <c r="N36" s="8">
        <v>129</v>
      </c>
      <c r="O36" s="73">
        <v>75</v>
      </c>
      <c r="P36" s="8">
        <v>93</v>
      </c>
      <c r="Q36" s="73">
        <v>115</v>
      </c>
      <c r="R36" s="8">
        <v>273</v>
      </c>
      <c r="S36" s="73">
        <v>65</v>
      </c>
      <c r="T36" s="8">
        <v>116</v>
      </c>
      <c r="U36" s="73">
        <v>148</v>
      </c>
      <c r="V36" s="9">
        <v>291</v>
      </c>
    </row>
    <row r="37" spans="2:22">
      <c r="B37" s="73">
        <v>491</v>
      </c>
      <c r="C37" s="8">
        <v>718</v>
      </c>
      <c r="D37" s="73">
        <v>381</v>
      </c>
      <c r="E37" s="8">
        <v>137</v>
      </c>
      <c r="F37" s="73">
        <v>81</v>
      </c>
      <c r="G37" s="73">
        <v>237</v>
      </c>
      <c r="H37" s="8">
        <v>431</v>
      </c>
      <c r="I37" s="73">
        <v>764</v>
      </c>
      <c r="J37" s="8">
        <v>716</v>
      </c>
      <c r="K37" s="73">
        <v>957</v>
      </c>
      <c r="M37" s="73">
        <v>213</v>
      </c>
      <c r="N37" s="8">
        <v>203</v>
      </c>
      <c r="O37" s="73">
        <v>87</v>
      </c>
      <c r="P37" s="8">
        <v>98</v>
      </c>
      <c r="Q37" s="73">
        <v>78</v>
      </c>
      <c r="R37" s="8">
        <v>117</v>
      </c>
      <c r="S37" s="73">
        <v>91</v>
      </c>
      <c r="T37" s="8">
        <v>231</v>
      </c>
      <c r="U37" s="73">
        <v>157</v>
      </c>
      <c r="V37" s="9">
        <v>521</v>
      </c>
    </row>
    <row r="38" spans="2:22">
      <c r="B38" s="73">
        <v>512</v>
      </c>
      <c r="C38" s="8">
        <v>903</v>
      </c>
      <c r="D38" s="73">
        <v>275</v>
      </c>
      <c r="E38" s="8">
        <v>148</v>
      </c>
      <c r="F38" s="73">
        <v>95</v>
      </c>
      <c r="G38" s="73">
        <v>293</v>
      </c>
      <c r="H38" s="8">
        <v>492</v>
      </c>
      <c r="I38" s="73">
        <v>631</v>
      </c>
      <c r="J38" s="8">
        <v>791</v>
      </c>
      <c r="K38" s="73">
        <v>1093</v>
      </c>
      <c r="M38" s="73">
        <v>198</v>
      </c>
      <c r="N38" s="8">
        <v>39</v>
      </c>
      <c r="O38" s="73">
        <v>76</v>
      </c>
      <c r="P38" s="8">
        <v>107</v>
      </c>
      <c r="Q38" s="73">
        <v>71</v>
      </c>
      <c r="R38" s="8">
        <v>126</v>
      </c>
      <c r="S38" s="73">
        <v>109</v>
      </c>
      <c r="T38" s="8">
        <v>209</v>
      </c>
      <c r="U38" s="73">
        <v>119</v>
      </c>
      <c r="V38" s="9">
        <v>388</v>
      </c>
    </row>
    <row r="39" spans="2:22">
      <c r="B39" s="73">
        <v>599</v>
      </c>
      <c r="C39" s="8">
        <v>145</v>
      </c>
      <c r="D39" s="73">
        <v>198</v>
      </c>
      <c r="E39" s="8">
        <v>153</v>
      </c>
      <c r="F39" s="73">
        <v>127</v>
      </c>
      <c r="G39" s="73">
        <v>317</v>
      </c>
      <c r="H39" s="8">
        <v>499</v>
      </c>
      <c r="I39" s="73">
        <v>688</v>
      </c>
      <c r="J39" s="8">
        <v>648</v>
      </c>
      <c r="K39" s="73">
        <v>1631</v>
      </c>
      <c r="M39" s="73">
        <v>191</v>
      </c>
      <c r="N39" s="8">
        <v>51</v>
      </c>
      <c r="O39" s="73">
        <v>131</v>
      </c>
      <c r="P39" s="8">
        <v>115</v>
      </c>
      <c r="Q39" s="73">
        <v>96</v>
      </c>
      <c r="R39" s="8">
        <v>115</v>
      </c>
      <c r="S39" s="73">
        <v>99</v>
      </c>
      <c r="T39" s="8">
        <v>217</v>
      </c>
      <c r="U39" s="73">
        <v>226</v>
      </c>
      <c r="V39" s="9">
        <v>416</v>
      </c>
    </row>
    <row r="40" spans="2:22">
      <c r="B40" s="73">
        <v>631</v>
      </c>
      <c r="C40" s="8">
        <v>628</v>
      </c>
      <c r="D40" s="73">
        <v>117</v>
      </c>
      <c r="E40" s="8">
        <v>166</v>
      </c>
      <c r="F40" s="73">
        <v>93</v>
      </c>
      <c r="G40" s="73">
        <v>309</v>
      </c>
      <c r="H40" s="8">
        <v>531</v>
      </c>
      <c r="I40" s="73">
        <v>721</v>
      </c>
      <c r="J40" s="8">
        <v>709</v>
      </c>
      <c r="K40" s="73">
        <v>1439</v>
      </c>
      <c r="M40" s="73">
        <v>176</v>
      </c>
      <c r="N40" s="8">
        <v>75</v>
      </c>
      <c r="O40" s="73">
        <v>267</v>
      </c>
      <c r="P40" s="8">
        <v>208</v>
      </c>
      <c r="Q40" s="73">
        <v>93</v>
      </c>
      <c r="R40" s="8">
        <v>108</v>
      </c>
      <c r="S40" s="73">
        <v>143</v>
      </c>
      <c r="T40" s="8">
        <v>268</v>
      </c>
      <c r="U40" s="73">
        <v>234</v>
      </c>
      <c r="V40" s="9">
        <v>308</v>
      </c>
    </row>
    <row r="41" spans="2:22">
      <c r="B41" s="73">
        <v>408</v>
      </c>
      <c r="C41" s="8">
        <v>671</v>
      </c>
      <c r="D41" s="73">
        <v>121</v>
      </c>
      <c r="E41" s="8">
        <v>271</v>
      </c>
      <c r="F41" s="73">
        <v>98</v>
      </c>
      <c r="G41" s="73">
        <v>306</v>
      </c>
      <c r="H41" s="8">
        <v>517</v>
      </c>
      <c r="I41" s="73">
        <v>492</v>
      </c>
      <c r="J41" s="8">
        <v>839</v>
      </c>
      <c r="K41" s="73">
        <v>1515</v>
      </c>
      <c r="M41" s="73">
        <v>131</v>
      </c>
      <c r="N41" s="8">
        <v>98</v>
      </c>
      <c r="O41" s="73">
        <v>205</v>
      </c>
      <c r="P41" s="8">
        <v>211</v>
      </c>
      <c r="Q41" s="73">
        <v>75</v>
      </c>
      <c r="R41" s="8">
        <v>131</v>
      </c>
      <c r="S41" s="73">
        <v>100</v>
      </c>
      <c r="T41" s="8">
        <v>113</v>
      </c>
      <c r="U41" s="73">
        <v>173</v>
      </c>
      <c r="V41" s="9">
        <v>377</v>
      </c>
    </row>
    <row r="42" spans="2:22">
      <c r="B42" s="73">
        <v>403</v>
      </c>
      <c r="C42" s="8">
        <v>416</v>
      </c>
      <c r="D42" s="73">
        <v>148</v>
      </c>
      <c r="E42" s="8">
        <v>254</v>
      </c>
      <c r="F42" s="73">
        <v>51</v>
      </c>
      <c r="G42" s="73">
        <v>415</v>
      </c>
      <c r="H42" s="8">
        <v>309</v>
      </c>
      <c r="I42" s="73">
        <v>455</v>
      </c>
      <c r="J42" s="8">
        <v>897</v>
      </c>
      <c r="K42" s="73">
        <v>1333</v>
      </c>
      <c r="M42" s="73">
        <v>104</v>
      </c>
      <c r="N42" s="8">
        <v>91</v>
      </c>
      <c r="O42" s="73">
        <v>299</v>
      </c>
      <c r="P42" s="8">
        <v>174</v>
      </c>
      <c r="Q42" s="73">
        <v>86</v>
      </c>
      <c r="R42" s="8">
        <v>176</v>
      </c>
      <c r="S42" s="73">
        <v>97</v>
      </c>
      <c r="T42" s="8">
        <v>121</v>
      </c>
      <c r="U42" s="73">
        <v>161</v>
      </c>
      <c r="V42" s="9">
        <v>395</v>
      </c>
    </row>
    <row r="43" spans="2:22">
      <c r="B43" s="73">
        <v>397</v>
      </c>
      <c r="C43" s="8">
        <v>408</v>
      </c>
      <c r="D43" s="73">
        <v>116</v>
      </c>
      <c r="E43" s="8">
        <v>277</v>
      </c>
      <c r="F43" s="73">
        <v>105</v>
      </c>
      <c r="G43" s="73">
        <v>297</v>
      </c>
      <c r="H43" s="8">
        <v>399</v>
      </c>
      <c r="I43" s="73">
        <v>693</v>
      </c>
      <c r="J43" s="8">
        <v>919</v>
      </c>
      <c r="K43" s="73">
        <v>1900</v>
      </c>
      <c r="M43" s="73">
        <v>221</v>
      </c>
      <c r="N43" s="8">
        <v>105</v>
      </c>
      <c r="O43" s="73">
        <v>111</v>
      </c>
      <c r="P43" s="8">
        <v>108</v>
      </c>
      <c r="Q43" s="73">
        <v>88</v>
      </c>
      <c r="R43" s="8">
        <v>155</v>
      </c>
      <c r="S43" s="73">
        <v>91</v>
      </c>
      <c r="T43" s="8">
        <v>103</v>
      </c>
      <c r="U43" s="73">
        <v>118</v>
      </c>
      <c r="V43" s="9">
        <v>345</v>
      </c>
    </row>
    <row r="44" spans="2:22">
      <c r="B44" s="73">
        <v>318</v>
      </c>
      <c r="C44" s="8">
        <v>599</v>
      </c>
      <c r="D44" s="73">
        <v>375</v>
      </c>
      <c r="E44" s="8">
        <v>206</v>
      </c>
      <c r="F44" s="73">
        <v>102</v>
      </c>
      <c r="G44" s="73">
        <v>275</v>
      </c>
      <c r="H44" s="8">
        <v>505</v>
      </c>
      <c r="I44" s="73">
        <v>733</v>
      </c>
      <c r="J44" s="8">
        <v>904</v>
      </c>
      <c r="K44" s="73">
        <v>997</v>
      </c>
      <c r="M44" s="73">
        <v>109</v>
      </c>
      <c r="N44" s="8">
        <v>75</v>
      </c>
      <c r="O44" s="73">
        <v>109</v>
      </c>
      <c r="P44" s="8">
        <v>117</v>
      </c>
      <c r="Q44" s="73">
        <v>95</v>
      </c>
      <c r="R44" s="8">
        <v>196</v>
      </c>
      <c r="S44" s="73">
        <v>131</v>
      </c>
      <c r="T44" s="8">
        <v>98</v>
      </c>
      <c r="U44" s="73">
        <v>329</v>
      </c>
      <c r="V44" s="9">
        <v>399</v>
      </c>
    </row>
    <row r="45" spans="2:22">
      <c r="B45" s="73">
        <v>405</v>
      </c>
      <c r="C45" s="8">
        <v>431</v>
      </c>
      <c r="D45" s="73">
        <v>193</v>
      </c>
      <c r="E45" s="8">
        <v>215</v>
      </c>
      <c r="F45" s="73">
        <v>101</v>
      </c>
      <c r="G45" s="73">
        <v>283</v>
      </c>
      <c r="H45" s="8">
        <v>398</v>
      </c>
      <c r="I45" s="73">
        <v>602</v>
      </c>
      <c r="J45" s="8">
        <v>843</v>
      </c>
      <c r="K45" s="73">
        <v>1498</v>
      </c>
      <c r="M45" s="73">
        <v>176</v>
      </c>
      <c r="N45" s="8">
        <v>71</v>
      </c>
      <c r="O45" s="73">
        <v>93</v>
      </c>
      <c r="P45" s="8">
        <v>145</v>
      </c>
      <c r="Q45" s="73">
        <v>91</v>
      </c>
      <c r="R45" s="8">
        <v>191</v>
      </c>
      <c r="S45" s="73">
        <v>99</v>
      </c>
      <c r="T45" s="8">
        <v>91</v>
      </c>
      <c r="U45" s="73">
        <v>364</v>
      </c>
      <c r="V45" s="9">
        <v>431</v>
      </c>
    </row>
    <row r="46" spans="2:22">
      <c r="B46" s="73">
        <v>401</v>
      </c>
      <c r="C46" s="8">
        <v>478</v>
      </c>
      <c r="D46" s="73">
        <v>403</v>
      </c>
      <c r="E46" s="8">
        <v>299</v>
      </c>
      <c r="F46" s="73">
        <v>97</v>
      </c>
      <c r="G46" s="73">
        <v>288</v>
      </c>
      <c r="H46" s="8">
        <v>317</v>
      </c>
      <c r="I46" s="73">
        <v>524</v>
      </c>
      <c r="J46" s="8">
        <v>817</v>
      </c>
      <c r="K46" s="73">
        <v>1532</v>
      </c>
      <c r="M46" s="73">
        <v>121</v>
      </c>
      <c r="N46" s="8">
        <v>45</v>
      </c>
      <c r="O46" s="73">
        <v>71</v>
      </c>
      <c r="P46" s="8">
        <v>99</v>
      </c>
      <c r="Q46" s="73">
        <v>53</v>
      </c>
      <c r="R46" s="8">
        <v>208</v>
      </c>
      <c r="S46" s="73">
        <v>98</v>
      </c>
      <c r="T46" s="8">
        <v>104</v>
      </c>
      <c r="U46" s="73">
        <v>221</v>
      </c>
      <c r="V46" s="9">
        <v>521</v>
      </c>
    </row>
    <row r="47" spans="2:22">
      <c r="B47" s="73">
        <v>391</v>
      </c>
      <c r="C47" s="8">
        <v>521</v>
      </c>
      <c r="D47" s="73">
        <v>118</v>
      </c>
      <c r="E47" s="8">
        <v>271</v>
      </c>
      <c r="F47" s="73">
        <v>91</v>
      </c>
      <c r="G47" s="73">
        <v>309</v>
      </c>
      <c r="H47" s="8">
        <v>408</v>
      </c>
      <c r="I47" s="73">
        <v>586</v>
      </c>
      <c r="J47" s="8">
        <v>776</v>
      </c>
      <c r="K47" s="73">
        <v>1071</v>
      </c>
      <c r="M47" s="73">
        <v>118</v>
      </c>
      <c r="N47" s="8">
        <v>89</v>
      </c>
      <c r="O47" s="73">
        <v>75</v>
      </c>
      <c r="P47" s="8">
        <v>75</v>
      </c>
      <c r="Q47" s="73">
        <v>108</v>
      </c>
      <c r="R47" s="8">
        <v>221</v>
      </c>
      <c r="S47" s="73">
        <v>105</v>
      </c>
      <c r="T47" s="8">
        <v>113</v>
      </c>
      <c r="U47" s="73">
        <v>315</v>
      </c>
      <c r="V47" s="9">
        <v>536</v>
      </c>
    </row>
    <row r="48" spans="2:22">
      <c r="B48" s="73">
        <v>408</v>
      </c>
      <c r="C48" s="8">
        <v>548</v>
      </c>
      <c r="D48" s="73">
        <v>121</v>
      </c>
      <c r="E48" s="8">
        <v>178</v>
      </c>
      <c r="F48" s="73">
        <v>84</v>
      </c>
      <c r="G48" s="73">
        <v>317</v>
      </c>
      <c r="H48" s="8">
        <v>416</v>
      </c>
      <c r="I48" s="73">
        <v>715</v>
      </c>
      <c r="J48" s="8">
        <v>745</v>
      </c>
      <c r="K48" s="73">
        <v>993</v>
      </c>
      <c r="M48" s="73">
        <v>303</v>
      </c>
      <c r="N48" s="8">
        <v>108</v>
      </c>
      <c r="O48" s="73">
        <v>88</v>
      </c>
      <c r="P48" s="8">
        <v>71</v>
      </c>
      <c r="Q48" s="73">
        <v>96</v>
      </c>
      <c r="R48" s="8">
        <v>176</v>
      </c>
      <c r="S48" s="73">
        <v>127</v>
      </c>
      <c r="T48" s="8">
        <v>183</v>
      </c>
      <c r="U48" s="73">
        <v>187</v>
      </c>
      <c r="V48" s="9">
        <v>391</v>
      </c>
    </row>
    <row r="49" spans="2:22">
      <c r="B49" s="73">
        <v>299</v>
      </c>
      <c r="C49" s="8">
        <v>603</v>
      </c>
      <c r="D49" s="73">
        <v>193</v>
      </c>
      <c r="E49" s="8">
        <v>163</v>
      </c>
      <c r="F49" s="73">
        <v>113</v>
      </c>
      <c r="G49" s="73">
        <v>196</v>
      </c>
      <c r="H49" s="8">
        <v>521</v>
      </c>
      <c r="I49" s="73">
        <v>599</v>
      </c>
      <c r="J49" s="8">
        <v>591</v>
      </c>
      <c r="K49" s="73">
        <v>978</v>
      </c>
      <c r="M49" s="73">
        <v>223</v>
      </c>
      <c r="N49" s="8">
        <v>63</v>
      </c>
      <c r="O49" s="73">
        <v>175</v>
      </c>
      <c r="P49" s="8">
        <v>54</v>
      </c>
      <c r="Q49" s="73">
        <v>78</v>
      </c>
      <c r="R49" s="8">
        <v>187</v>
      </c>
      <c r="S49" s="73">
        <v>144</v>
      </c>
      <c r="T49" s="8">
        <v>145</v>
      </c>
      <c r="U49" s="73">
        <v>117</v>
      </c>
      <c r="V49" s="9">
        <v>467</v>
      </c>
    </row>
    <row r="50" spans="2:22">
      <c r="B50" s="73">
        <v>309</v>
      </c>
      <c r="C50" s="8">
        <v>499</v>
      </c>
      <c r="D50" s="73">
        <v>208</v>
      </c>
      <c r="E50" s="8">
        <v>178</v>
      </c>
      <c r="F50" s="73">
        <v>95</v>
      </c>
      <c r="G50" s="73">
        <v>191</v>
      </c>
      <c r="H50" s="8">
        <v>533</v>
      </c>
      <c r="I50" s="73">
        <v>324</v>
      </c>
      <c r="J50" s="8">
        <v>678</v>
      </c>
      <c r="K50" s="73">
        <v>1005</v>
      </c>
      <c r="M50" s="73">
        <v>109</v>
      </c>
      <c r="N50" s="8">
        <v>71</v>
      </c>
      <c r="O50" s="73">
        <v>103</v>
      </c>
      <c r="P50" s="8">
        <v>50</v>
      </c>
      <c r="Q50" s="73">
        <v>71</v>
      </c>
      <c r="R50" s="8">
        <v>193</v>
      </c>
      <c r="S50" s="73">
        <v>78</v>
      </c>
      <c r="T50" s="8">
        <v>94</v>
      </c>
      <c r="U50" s="73">
        <v>328</v>
      </c>
      <c r="V50" s="9">
        <v>492</v>
      </c>
    </row>
    <row r="51" spans="2:22">
      <c r="B51" s="73">
        <v>701</v>
      </c>
      <c r="C51" s="8">
        <v>731</v>
      </c>
      <c r="D51" s="73">
        <v>210</v>
      </c>
      <c r="E51" s="8">
        <v>106</v>
      </c>
      <c r="F51" s="73">
        <v>57</v>
      </c>
      <c r="G51" s="73">
        <v>213</v>
      </c>
      <c r="H51" s="8">
        <v>408</v>
      </c>
      <c r="I51" s="73">
        <v>588</v>
      </c>
      <c r="J51" s="8">
        <v>631</v>
      </c>
      <c r="K51" s="73">
        <v>935</v>
      </c>
      <c r="M51" s="73">
        <v>145</v>
      </c>
      <c r="N51" s="8">
        <v>98</v>
      </c>
      <c r="O51" s="73">
        <v>92</v>
      </c>
      <c r="P51" s="8">
        <v>39</v>
      </c>
      <c r="Q51" s="73">
        <v>99</v>
      </c>
      <c r="R51" s="8">
        <v>99</v>
      </c>
      <c r="S51" s="73">
        <v>91</v>
      </c>
      <c r="T51" s="8">
        <v>98</v>
      </c>
      <c r="U51" s="73">
        <v>317</v>
      </c>
      <c r="V51" s="9">
        <v>399</v>
      </c>
    </row>
    <row r="52" spans="2:22">
      <c r="B52" s="73">
        <v>198</v>
      </c>
      <c r="C52" s="8">
        <v>203</v>
      </c>
      <c r="D52" s="73">
        <v>415</v>
      </c>
      <c r="E52" s="8">
        <v>129</v>
      </c>
      <c r="F52" s="73">
        <v>69</v>
      </c>
      <c r="G52" s="73">
        <v>106</v>
      </c>
      <c r="H52" s="8">
        <v>431</v>
      </c>
      <c r="I52" s="73">
        <v>541</v>
      </c>
      <c r="J52" s="8">
        <v>694</v>
      </c>
      <c r="K52" s="73">
        <v>1233</v>
      </c>
      <c r="M52" s="73">
        <v>98</v>
      </c>
      <c r="N52" s="8">
        <v>91</v>
      </c>
      <c r="O52" s="73">
        <v>81</v>
      </c>
      <c r="P52" s="8">
        <v>48</v>
      </c>
      <c r="Q52" s="73">
        <v>57</v>
      </c>
      <c r="R52" s="8">
        <v>172</v>
      </c>
      <c r="S52" s="73">
        <v>35</v>
      </c>
      <c r="T52" s="8">
        <v>103</v>
      </c>
      <c r="U52" s="73">
        <v>377</v>
      </c>
      <c r="V52" s="9">
        <v>453</v>
      </c>
    </row>
    <row r="53" spans="2:22">
      <c r="B53" s="73">
        <v>115</v>
      </c>
      <c r="C53" s="8">
        <v>199</v>
      </c>
      <c r="D53" s="73">
        <v>306</v>
      </c>
      <c r="E53" s="8">
        <v>206</v>
      </c>
      <c r="F53" s="73">
        <v>87</v>
      </c>
      <c r="G53" s="73">
        <v>186</v>
      </c>
      <c r="H53" s="8">
        <v>398</v>
      </c>
      <c r="I53" s="73">
        <v>734</v>
      </c>
      <c r="J53" s="8">
        <v>733</v>
      </c>
      <c r="K53" s="73">
        <v>1051</v>
      </c>
      <c r="M53" s="73">
        <v>73</v>
      </c>
      <c r="N53" s="8">
        <v>104</v>
      </c>
      <c r="O53" s="73">
        <v>73</v>
      </c>
      <c r="P53" s="8">
        <v>47</v>
      </c>
      <c r="Q53" s="73">
        <v>66</v>
      </c>
      <c r="R53" s="8">
        <v>89</v>
      </c>
      <c r="S53" s="73">
        <v>66</v>
      </c>
      <c r="T53" s="8">
        <v>101</v>
      </c>
      <c r="U53" s="73">
        <v>205</v>
      </c>
      <c r="V53" s="9">
        <v>517</v>
      </c>
    </row>
    <row r="54" spans="2:22">
      <c r="B54" s="73">
        <v>431</v>
      </c>
      <c r="C54" s="8">
        <v>186</v>
      </c>
      <c r="D54" s="73">
        <v>296</v>
      </c>
      <c r="E54" s="8">
        <v>199</v>
      </c>
      <c r="F54" s="73">
        <v>93</v>
      </c>
      <c r="G54" s="73">
        <v>199</v>
      </c>
      <c r="H54" s="8">
        <v>499</v>
      </c>
      <c r="I54" s="73">
        <v>498</v>
      </c>
      <c r="J54" s="8">
        <v>896</v>
      </c>
      <c r="K54" s="73">
        <v>931</v>
      </c>
      <c r="M54" s="73">
        <v>203</v>
      </c>
      <c r="N54" s="8">
        <v>49</v>
      </c>
      <c r="O54" s="73">
        <v>76</v>
      </c>
      <c r="P54" s="8">
        <v>56</v>
      </c>
      <c r="Q54" s="73">
        <v>59</v>
      </c>
      <c r="R54" s="8">
        <v>95</v>
      </c>
      <c r="S54" s="73">
        <v>89</v>
      </c>
      <c r="T54" s="8">
        <v>39</v>
      </c>
      <c r="U54" s="73">
        <v>293</v>
      </c>
      <c r="V54" s="9">
        <v>318</v>
      </c>
    </row>
    <row r="55" spans="2:22">
      <c r="B55" s="73">
        <v>478</v>
      </c>
      <c r="C55" s="8">
        <v>493</v>
      </c>
      <c r="D55" s="73">
        <v>223</v>
      </c>
      <c r="E55" s="8">
        <v>134</v>
      </c>
      <c r="F55" s="73">
        <v>99</v>
      </c>
      <c r="G55" s="73">
        <v>274</v>
      </c>
      <c r="H55" s="8">
        <v>517</v>
      </c>
      <c r="I55" s="73">
        <v>532</v>
      </c>
      <c r="J55" s="8">
        <v>815</v>
      </c>
      <c r="K55" s="73">
        <v>1291</v>
      </c>
      <c r="M55" s="73">
        <v>109</v>
      </c>
      <c r="N55" s="8">
        <v>57</v>
      </c>
      <c r="O55" s="73">
        <v>69</v>
      </c>
      <c r="P55" s="8">
        <v>51</v>
      </c>
      <c r="Q55" s="73">
        <v>85</v>
      </c>
      <c r="R55" s="8">
        <v>115</v>
      </c>
      <c r="S55" s="73">
        <v>81</v>
      </c>
      <c r="T55" s="8">
        <v>186</v>
      </c>
      <c r="U55" s="73">
        <v>274</v>
      </c>
      <c r="V55" s="9">
        <v>399</v>
      </c>
    </row>
    <row r="56" spans="2:22">
      <c r="B56" s="73">
        <v>521</v>
      </c>
      <c r="C56" s="8">
        <v>631</v>
      </c>
      <c r="D56" s="73">
        <v>115</v>
      </c>
      <c r="E56" s="8">
        <v>98</v>
      </c>
      <c r="F56" s="73">
        <v>113</v>
      </c>
      <c r="G56" s="73">
        <v>316</v>
      </c>
      <c r="H56" s="8">
        <v>506</v>
      </c>
      <c r="I56" s="73">
        <v>516</v>
      </c>
      <c r="J56" s="8">
        <v>732</v>
      </c>
      <c r="K56" s="73">
        <v>1344</v>
      </c>
      <c r="M56" s="73">
        <v>175</v>
      </c>
      <c r="N56" s="8">
        <v>51</v>
      </c>
      <c r="O56" s="73">
        <v>108</v>
      </c>
      <c r="P56" s="8">
        <v>98</v>
      </c>
      <c r="Q56" s="73">
        <v>97</v>
      </c>
      <c r="R56" s="8">
        <v>213</v>
      </c>
      <c r="S56" s="73">
        <v>138</v>
      </c>
      <c r="T56" s="8">
        <v>191</v>
      </c>
      <c r="U56" s="73">
        <v>299</v>
      </c>
      <c r="V56" s="9">
        <v>374</v>
      </c>
    </row>
    <row r="57" spans="2:22">
      <c r="B57" s="73">
        <v>573</v>
      </c>
      <c r="C57" s="8">
        <v>609</v>
      </c>
      <c r="D57" s="73">
        <v>319</v>
      </c>
      <c r="E57" s="8">
        <v>171</v>
      </c>
      <c r="F57" s="73">
        <v>117</v>
      </c>
      <c r="G57" s="73">
        <v>299</v>
      </c>
      <c r="H57" s="8">
        <v>499</v>
      </c>
      <c r="I57" s="73">
        <v>613</v>
      </c>
      <c r="J57" s="8">
        <v>719</v>
      </c>
      <c r="K57" s="73">
        <v>988</v>
      </c>
      <c r="M57" s="73">
        <v>303</v>
      </c>
      <c r="N57" s="8">
        <v>99</v>
      </c>
      <c r="O57" s="73">
        <v>179</v>
      </c>
      <c r="P57" s="8">
        <v>91</v>
      </c>
      <c r="Q57" s="73">
        <v>91</v>
      </c>
      <c r="R57" s="8">
        <v>125</v>
      </c>
      <c r="S57" s="73">
        <v>156</v>
      </c>
      <c r="T57" s="8">
        <v>208</v>
      </c>
      <c r="U57" s="73">
        <v>216</v>
      </c>
      <c r="V57" s="9">
        <v>317</v>
      </c>
    </row>
    <row r="58" spans="2:22">
      <c r="B58" s="73"/>
      <c r="C58" s="8">
        <v>521</v>
      </c>
      <c r="D58" s="73">
        <v>269</v>
      </c>
      <c r="E58" s="8">
        <v>65</v>
      </c>
      <c r="F58" s="73">
        <v>105</v>
      </c>
      <c r="G58" s="73">
        <v>301</v>
      </c>
      <c r="H58" s="8">
        <v>391</v>
      </c>
      <c r="I58" s="73">
        <v>609</v>
      </c>
      <c r="J58" s="8">
        <v>697</v>
      </c>
      <c r="K58" s="73">
        <v>1045</v>
      </c>
      <c r="M58" s="73"/>
      <c r="N58" s="8">
        <v>103</v>
      </c>
      <c r="O58" s="73">
        <v>118</v>
      </c>
      <c r="P58" s="8">
        <v>103</v>
      </c>
      <c r="Q58" s="73">
        <v>77</v>
      </c>
      <c r="R58" s="8">
        <v>100</v>
      </c>
      <c r="S58" s="73">
        <v>174</v>
      </c>
      <c r="T58" s="8">
        <v>113</v>
      </c>
      <c r="U58" s="73">
        <v>288</v>
      </c>
      <c r="V58" s="9">
        <v>594</v>
      </c>
    </row>
    <row r="59" spans="2:22">
      <c r="B59" s="73"/>
      <c r="C59" s="8">
        <v>537</v>
      </c>
      <c r="D59" s="73">
        <v>271</v>
      </c>
      <c r="E59" s="8">
        <v>89</v>
      </c>
      <c r="F59" s="73">
        <v>95</v>
      </c>
      <c r="G59" s="73">
        <v>323</v>
      </c>
      <c r="H59" s="8">
        <v>308</v>
      </c>
      <c r="I59" s="73">
        <v>521</v>
      </c>
      <c r="J59" s="8">
        <v>824</v>
      </c>
      <c r="K59" s="73">
        <v>1233</v>
      </c>
      <c r="M59" s="73"/>
      <c r="N59" s="8">
        <v>98</v>
      </c>
      <c r="O59" s="73">
        <v>206</v>
      </c>
      <c r="P59" s="8">
        <v>123</v>
      </c>
      <c r="Q59" s="73">
        <v>103</v>
      </c>
      <c r="R59" s="8">
        <v>321</v>
      </c>
      <c r="S59" s="73">
        <v>97</v>
      </c>
      <c r="T59" s="8">
        <v>145</v>
      </c>
      <c r="U59" s="73">
        <v>194</v>
      </c>
      <c r="V59" s="9">
        <v>442</v>
      </c>
    </row>
    <row r="60" spans="2:22">
      <c r="B60" s="73"/>
      <c r="C60" s="8">
        <v>716</v>
      </c>
      <c r="D60" s="73">
        <v>331</v>
      </c>
      <c r="E60" s="8">
        <v>113</v>
      </c>
      <c r="F60" s="73">
        <v>91</v>
      </c>
      <c r="G60" s="73">
        <v>198</v>
      </c>
      <c r="H60" s="8">
        <v>416</v>
      </c>
      <c r="I60" s="73">
        <v>578</v>
      </c>
      <c r="J60" s="8">
        <v>862</v>
      </c>
      <c r="K60" s="73">
        <v>1327</v>
      </c>
      <c r="M60" s="73"/>
      <c r="N60" s="8">
        <v>75</v>
      </c>
      <c r="O60" s="73">
        <v>215</v>
      </c>
      <c r="P60" s="8">
        <v>105</v>
      </c>
      <c r="Q60" s="73">
        <v>101</v>
      </c>
      <c r="R60" s="8">
        <v>216</v>
      </c>
      <c r="S60" s="73">
        <v>91</v>
      </c>
      <c r="T60" s="8">
        <v>151</v>
      </c>
      <c r="U60" s="73">
        <v>117</v>
      </c>
      <c r="V60" s="9">
        <v>435</v>
      </c>
    </row>
    <row r="61" spans="2:22">
      <c r="B61" s="73"/>
      <c r="C61" s="8">
        <v>548</v>
      </c>
      <c r="D61" s="73">
        <v>217</v>
      </c>
      <c r="E61" s="8">
        <v>148</v>
      </c>
      <c r="F61" s="73">
        <v>87</v>
      </c>
      <c r="G61" s="73">
        <v>205</v>
      </c>
      <c r="H61" s="8">
        <v>499</v>
      </c>
      <c r="I61" s="73">
        <v>633</v>
      </c>
      <c r="J61" s="8">
        <v>741</v>
      </c>
      <c r="K61" s="73">
        <v>997</v>
      </c>
      <c r="M61" s="73"/>
      <c r="N61" s="8">
        <v>71</v>
      </c>
      <c r="O61" s="73">
        <v>121</v>
      </c>
      <c r="P61" s="8">
        <v>33</v>
      </c>
      <c r="Q61" s="73">
        <v>99</v>
      </c>
      <c r="R61" s="8">
        <v>275</v>
      </c>
      <c r="S61" s="73">
        <v>66</v>
      </c>
      <c r="T61" s="8">
        <v>195</v>
      </c>
      <c r="U61" s="73">
        <v>145</v>
      </c>
      <c r="V61" s="9">
        <v>351</v>
      </c>
    </row>
    <row r="62" spans="2:22">
      <c r="B62" s="73"/>
      <c r="C62" s="8">
        <v>521</v>
      </c>
      <c r="D62" s="73">
        <v>292</v>
      </c>
      <c r="E62" s="8">
        <v>129</v>
      </c>
      <c r="F62" s="73">
        <v>80</v>
      </c>
      <c r="G62" s="73">
        <v>388</v>
      </c>
      <c r="H62" s="8">
        <v>588</v>
      </c>
      <c r="I62" s="73">
        <v>727</v>
      </c>
      <c r="J62" s="8">
        <v>716</v>
      </c>
      <c r="K62" s="73">
        <v>1613</v>
      </c>
      <c r="M62" s="73"/>
      <c r="N62" s="8">
        <v>96</v>
      </c>
      <c r="O62" s="73">
        <v>99</v>
      </c>
      <c r="P62" s="8">
        <v>95</v>
      </c>
      <c r="Q62" s="73">
        <v>103</v>
      </c>
      <c r="R62" s="8">
        <v>193</v>
      </c>
      <c r="S62" s="73">
        <v>87</v>
      </c>
      <c r="T62" s="8">
        <v>175</v>
      </c>
      <c r="U62" s="73">
        <v>108</v>
      </c>
      <c r="V62" s="9">
        <v>391</v>
      </c>
    </row>
    <row r="63" spans="2:22">
      <c r="B63" s="74"/>
      <c r="C63" s="11">
        <v>417</v>
      </c>
      <c r="D63" s="74">
        <v>301</v>
      </c>
      <c r="E63" s="11">
        <v>103</v>
      </c>
      <c r="F63" s="74">
        <v>113</v>
      </c>
      <c r="G63" s="74">
        <v>213</v>
      </c>
      <c r="H63" s="11">
        <v>591</v>
      </c>
      <c r="I63" s="74">
        <v>708</v>
      </c>
      <c r="J63" s="11">
        <v>913</v>
      </c>
      <c r="K63" s="74">
        <v>944</v>
      </c>
      <c r="M63" s="74"/>
      <c r="N63" s="11">
        <v>99</v>
      </c>
      <c r="O63" s="74">
        <v>137</v>
      </c>
      <c r="P63" s="11">
        <v>91</v>
      </c>
      <c r="Q63" s="74">
        <v>98</v>
      </c>
      <c r="R63" s="11">
        <v>117</v>
      </c>
      <c r="S63" s="74">
        <v>95</v>
      </c>
      <c r="T63" s="11">
        <v>172</v>
      </c>
      <c r="U63" s="74">
        <v>237</v>
      </c>
      <c r="V63" s="12">
        <v>475</v>
      </c>
    </row>
  </sheetData>
  <mergeCells count="2">
    <mergeCell ref="B2:K2"/>
    <mergeCell ref="M2:V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B7B9F-D179-1D48-BD62-6DC86E231609}">
  <dimension ref="B2:P201"/>
  <sheetViews>
    <sheetView zoomScale="68" workbookViewId="0">
      <selection activeCell="P6" sqref="P6"/>
    </sheetView>
  </sheetViews>
  <sheetFormatPr baseColWidth="10" defaultRowHeight="16"/>
  <cols>
    <col min="2" max="2" width="13.5" style="8" bestFit="1" customWidth="1"/>
    <col min="3" max="8" width="10.83203125" style="8"/>
    <col min="13" max="13" width="29" bestFit="1" customWidth="1"/>
    <col min="14" max="14" width="12.1640625" bestFit="1" customWidth="1"/>
    <col min="15" max="15" width="29.5" bestFit="1" customWidth="1"/>
    <col min="16" max="16" width="18.6640625" bestFit="1" customWidth="1"/>
  </cols>
  <sheetData>
    <row r="2" spans="2:16">
      <c r="C2" s="144" t="s">
        <v>0</v>
      </c>
      <c r="D2" s="145"/>
      <c r="E2" s="145"/>
      <c r="F2" s="148" t="s">
        <v>1</v>
      </c>
      <c r="G2" s="146"/>
      <c r="H2" s="147"/>
    </row>
    <row r="3" spans="2:16">
      <c r="B3" s="118" t="s">
        <v>83</v>
      </c>
      <c r="C3" s="7">
        <v>1</v>
      </c>
      <c r="D3" s="8">
        <v>2</v>
      </c>
      <c r="E3" s="8">
        <v>3</v>
      </c>
      <c r="F3" s="7">
        <v>1</v>
      </c>
      <c r="G3" s="8">
        <v>2</v>
      </c>
      <c r="H3" s="9">
        <v>3</v>
      </c>
      <c r="J3" s="150" t="s">
        <v>84</v>
      </c>
      <c r="K3" s="150" t="s">
        <v>0</v>
      </c>
      <c r="L3" s="151" t="s">
        <v>1</v>
      </c>
      <c r="M3" s="150" t="s">
        <v>85</v>
      </c>
      <c r="N3" s="59" t="s">
        <v>87</v>
      </c>
      <c r="O3" s="150" t="s">
        <v>86</v>
      </c>
      <c r="P3" s="150" t="s">
        <v>87</v>
      </c>
    </row>
    <row r="4" spans="2:16">
      <c r="B4" s="113" t="s">
        <v>66</v>
      </c>
      <c r="C4" s="17">
        <v>203</v>
      </c>
      <c r="D4" s="18">
        <v>309</v>
      </c>
      <c r="E4" s="18">
        <v>631</v>
      </c>
      <c r="F4" s="143">
        <v>105</v>
      </c>
      <c r="G4" s="41">
        <v>215</v>
      </c>
      <c r="H4" s="141">
        <v>176</v>
      </c>
      <c r="J4" s="73" t="s">
        <v>66</v>
      </c>
      <c r="K4" s="73">
        <v>392</v>
      </c>
      <c r="L4" s="73">
        <v>172.92592592592592</v>
      </c>
      <c r="M4" s="73">
        <v>408295.89999032579</v>
      </c>
      <c r="N4" s="11">
        <v>0.9583679612247421</v>
      </c>
      <c r="O4" s="73">
        <v>217457.55429901867</v>
      </c>
      <c r="P4" s="74">
        <v>0.776594479085572</v>
      </c>
    </row>
    <row r="5" spans="2:16">
      <c r="B5" s="114"/>
      <c r="C5" s="7">
        <v>109</v>
      </c>
      <c r="D5" s="8">
        <v>508</v>
      </c>
      <c r="E5" s="8">
        <v>408</v>
      </c>
      <c r="F5" s="140">
        <v>126</v>
      </c>
      <c r="G5" s="39">
        <v>118</v>
      </c>
      <c r="H5" s="139">
        <v>131</v>
      </c>
      <c r="J5" s="73" t="s">
        <v>67</v>
      </c>
      <c r="K5" s="73">
        <v>493.33333333333331</v>
      </c>
      <c r="L5" s="73">
        <v>89.1</v>
      </c>
      <c r="M5" s="73">
        <v>428696.32618216967</v>
      </c>
      <c r="O5" s="73">
        <v>112145.79953201288</v>
      </c>
    </row>
    <row r="6" spans="2:16">
      <c r="B6" s="114"/>
      <c r="C6" s="7">
        <v>390</v>
      </c>
      <c r="D6" s="8">
        <v>503</v>
      </c>
      <c r="E6" s="8">
        <v>403</v>
      </c>
      <c r="F6" s="140">
        <v>208</v>
      </c>
      <c r="G6" s="39">
        <v>271</v>
      </c>
      <c r="H6" s="139">
        <v>104</v>
      </c>
      <c r="J6" s="73" t="s">
        <v>68</v>
      </c>
      <c r="K6" s="73">
        <v>365.74166666666667</v>
      </c>
      <c r="L6" s="73">
        <v>134.01666666666668</v>
      </c>
      <c r="M6" s="73">
        <v>270190.67545901827</v>
      </c>
      <c r="O6" s="73">
        <v>148261.43082261714</v>
      </c>
    </row>
    <row r="7" spans="2:16">
      <c r="B7" s="114"/>
      <c r="C7" s="7">
        <v>290</v>
      </c>
      <c r="D7" s="8">
        <v>718</v>
      </c>
      <c r="E7" s="8">
        <v>397</v>
      </c>
      <c r="F7" s="140">
        <v>201</v>
      </c>
      <c r="G7" s="39">
        <v>209</v>
      </c>
      <c r="H7" s="139">
        <v>221</v>
      </c>
      <c r="J7" s="73" t="s">
        <v>69</v>
      </c>
      <c r="K7" s="73">
        <v>154.68333333333334</v>
      </c>
      <c r="L7" s="73">
        <v>98.783333333333331</v>
      </c>
      <c r="M7" s="73">
        <v>282469.21059578029</v>
      </c>
      <c r="O7" s="73">
        <v>129998.72954123424</v>
      </c>
    </row>
    <row r="8" spans="2:16">
      <c r="B8" s="114"/>
      <c r="C8" s="7">
        <v>208</v>
      </c>
      <c r="D8" s="8">
        <v>619</v>
      </c>
      <c r="E8" s="8">
        <v>318</v>
      </c>
      <c r="F8" s="140">
        <v>105</v>
      </c>
      <c r="G8" s="39">
        <v>318</v>
      </c>
      <c r="H8" s="139">
        <v>109</v>
      </c>
      <c r="J8" s="73" t="s">
        <v>70</v>
      </c>
      <c r="K8" s="73">
        <v>89.36666666666666</v>
      </c>
      <c r="L8" s="73">
        <v>79.683333333333337</v>
      </c>
      <c r="M8" s="73">
        <v>231522.89152764002</v>
      </c>
      <c r="O8" s="73">
        <v>138048.94856915367</v>
      </c>
    </row>
    <row r="9" spans="2:16">
      <c r="B9" s="114"/>
      <c r="C9" s="7">
        <v>129</v>
      </c>
      <c r="D9" s="8">
        <v>613</v>
      </c>
      <c r="E9" s="8">
        <v>405</v>
      </c>
      <c r="F9" s="140">
        <v>123</v>
      </c>
      <c r="G9" s="39">
        <v>253</v>
      </c>
      <c r="H9" s="139">
        <v>176</v>
      </c>
      <c r="J9" s="73" t="s">
        <v>71</v>
      </c>
      <c r="K9" s="73">
        <v>255.65</v>
      </c>
      <c r="L9" s="73">
        <v>211.05</v>
      </c>
      <c r="M9" s="73">
        <v>396525.10523248697</v>
      </c>
      <c r="O9" s="73">
        <v>287590.28171165526</v>
      </c>
    </row>
    <row r="10" spans="2:16">
      <c r="B10" s="114"/>
      <c r="C10" s="7">
        <v>451</v>
      </c>
      <c r="D10" s="8">
        <v>578</v>
      </c>
      <c r="E10" s="8">
        <v>401</v>
      </c>
      <c r="F10" s="140">
        <v>302</v>
      </c>
      <c r="G10" s="39">
        <v>221</v>
      </c>
      <c r="H10" s="139">
        <v>121</v>
      </c>
      <c r="J10" s="73" t="s">
        <v>72</v>
      </c>
      <c r="K10" s="73">
        <v>443.33333333333331</v>
      </c>
      <c r="L10" s="73">
        <v>103.4</v>
      </c>
      <c r="M10" s="73">
        <v>452544.01443468983</v>
      </c>
      <c r="O10" s="73">
        <v>358616.07415743265</v>
      </c>
    </row>
    <row r="11" spans="2:16">
      <c r="B11" s="114"/>
      <c r="C11" s="7">
        <v>203</v>
      </c>
      <c r="D11" s="8">
        <v>544</v>
      </c>
      <c r="E11" s="8">
        <v>391</v>
      </c>
      <c r="F11" s="140">
        <v>201</v>
      </c>
      <c r="G11" s="39">
        <v>109</v>
      </c>
      <c r="H11" s="139">
        <v>118</v>
      </c>
      <c r="J11" s="73" t="s">
        <v>73</v>
      </c>
      <c r="K11" s="73">
        <v>574.79999999999995</v>
      </c>
      <c r="L11" s="73">
        <v>163.31666666666666</v>
      </c>
      <c r="M11" s="73">
        <v>559935.72946760431</v>
      </c>
      <c r="O11" s="73">
        <v>219398.86276264433</v>
      </c>
    </row>
    <row r="12" spans="2:16">
      <c r="B12" s="114"/>
      <c r="C12" s="7">
        <v>208</v>
      </c>
      <c r="D12" s="8">
        <v>691</v>
      </c>
      <c r="E12" s="8">
        <v>408</v>
      </c>
      <c r="F12" s="140">
        <v>117</v>
      </c>
      <c r="G12" s="39">
        <v>96</v>
      </c>
      <c r="H12" s="139">
        <v>303</v>
      </c>
      <c r="J12" s="73" t="s">
        <v>74</v>
      </c>
      <c r="K12" s="73">
        <v>827.7833333333333</v>
      </c>
      <c r="L12" s="73">
        <v>230.95</v>
      </c>
      <c r="M12" s="73">
        <v>593943.42705090239</v>
      </c>
      <c r="O12" s="73">
        <v>287150.64269648661</v>
      </c>
    </row>
    <row r="13" spans="2:16">
      <c r="B13" s="114"/>
      <c r="C13" s="7">
        <v>103</v>
      </c>
      <c r="D13" s="8">
        <v>708</v>
      </c>
      <c r="E13" s="8">
        <v>299</v>
      </c>
      <c r="F13" s="140">
        <v>123</v>
      </c>
      <c r="G13" s="39">
        <v>78</v>
      </c>
      <c r="H13" s="139">
        <v>223</v>
      </c>
      <c r="J13" s="74" t="s">
        <v>75</v>
      </c>
      <c r="K13" s="74">
        <v>1220.0666666666666</v>
      </c>
      <c r="L13" s="74">
        <v>418.6</v>
      </c>
      <c r="M13" s="74">
        <v>854006.95621398534</v>
      </c>
      <c r="O13" s="74">
        <v>437224.58715423377</v>
      </c>
    </row>
    <row r="14" spans="2:16">
      <c r="B14" s="114"/>
      <c r="C14" s="7">
        <v>59</v>
      </c>
      <c r="D14" s="8">
        <v>648</v>
      </c>
      <c r="E14" s="8">
        <v>309</v>
      </c>
      <c r="F14" s="140">
        <v>113</v>
      </c>
      <c r="G14" s="39">
        <v>101</v>
      </c>
      <c r="H14" s="139">
        <v>109</v>
      </c>
    </row>
    <row r="15" spans="2:16">
      <c r="B15" s="114"/>
      <c r="C15" s="7">
        <v>51</v>
      </c>
      <c r="D15" s="8">
        <v>721</v>
      </c>
      <c r="E15" s="8">
        <v>701</v>
      </c>
      <c r="F15" s="140">
        <v>245</v>
      </c>
      <c r="G15" s="39">
        <v>273</v>
      </c>
      <c r="H15" s="139">
        <v>145</v>
      </c>
    </row>
    <row r="16" spans="2:16">
      <c r="B16" s="114"/>
      <c r="C16" s="7">
        <v>108</v>
      </c>
      <c r="D16" s="8">
        <v>455</v>
      </c>
      <c r="E16" s="8">
        <v>198</v>
      </c>
      <c r="F16" s="140">
        <v>136</v>
      </c>
      <c r="G16" s="39">
        <v>121</v>
      </c>
      <c r="H16" s="139">
        <v>98</v>
      </c>
    </row>
    <row r="17" spans="2:8">
      <c r="B17" s="114"/>
      <c r="C17" s="7">
        <v>70</v>
      </c>
      <c r="D17" s="8">
        <v>329</v>
      </c>
      <c r="E17" s="8">
        <v>115</v>
      </c>
      <c r="F17" s="140">
        <v>147</v>
      </c>
      <c r="G17" s="39">
        <v>185</v>
      </c>
      <c r="H17" s="139">
        <v>73</v>
      </c>
    </row>
    <row r="18" spans="2:8">
      <c r="B18" s="114"/>
      <c r="C18" s="7">
        <v>54</v>
      </c>
      <c r="D18" s="8">
        <v>378</v>
      </c>
      <c r="E18" s="8">
        <v>431</v>
      </c>
      <c r="F18" s="140">
        <v>156</v>
      </c>
      <c r="G18" s="39">
        <v>227</v>
      </c>
      <c r="H18" s="139">
        <v>203</v>
      </c>
    </row>
    <row r="19" spans="2:8">
      <c r="B19" s="114"/>
      <c r="C19" s="7">
        <v>403</v>
      </c>
      <c r="D19" s="8">
        <v>491</v>
      </c>
      <c r="E19" s="8">
        <v>478</v>
      </c>
      <c r="F19" s="140">
        <v>203</v>
      </c>
      <c r="G19" s="39">
        <v>213</v>
      </c>
      <c r="H19" s="139">
        <v>109</v>
      </c>
    </row>
    <row r="20" spans="2:8">
      <c r="B20" s="114"/>
      <c r="C20" s="7">
        <v>527</v>
      </c>
      <c r="D20" s="8">
        <v>512</v>
      </c>
      <c r="E20" s="8">
        <v>521</v>
      </c>
      <c r="F20" s="140">
        <v>115</v>
      </c>
      <c r="G20" s="39">
        <v>198</v>
      </c>
      <c r="H20" s="139">
        <v>175</v>
      </c>
    </row>
    <row r="21" spans="2:8">
      <c r="B21" s="115"/>
      <c r="C21" s="10">
        <v>291</v>
      </c>
      <c r="D21" s="11">
        <v>599</v>
      </c>
      <c r="E21" s="11">
        <v>573</v>
      </c>
      <c r="F21" s="149">
        <v>318</v>
      </c>
      <c r="G21" s="78">
        <v>191</v>
      </c>
      <c r="H21" s="142">
        <v>303</v>
      </c>
    </row>
    <row r="22" spans="2:8">
      <c r="B22" s="114" t="s">
        <v>67</v>
      </c>
      <c r="C22" s="140">
        <v>378</v>
      </c>
      <c r="D22" s="8">
        <v>593</v>
      </c>
      <c r="E22" s="8">
        <v>599</v>
      </c>
      <c r="F22" s="140">
        <v>109</v>
      </c>
      <c r="G22" s="39">
        <v>59</v>
      </c>
      <c r="H22" s="139">
        <v>75</v>
      </c>
    </row>
    <row r="23" spans="2:8">
      <c r="B23" s="114"/>
      <c r="C23" s="140">
        <v>305</v>
      </c>
      <c r="D23" s="39">
        <v>631</v>
      </c>
      <c r="E23" s="8">
        <v>431</v>
      </c>
      <c r="F23" s="140">
        <v>57</v>
      </c>
      <c r="G23" s="39">
        <v>63</v>
      </c>
      <c r="H23" s="139">
        <v>71</v>
      </c>
    </row>
    <row r="24" spans="2:8">
      <c r="B24" s="114"/>
      <c r="C24" s="140">
        <v>291</v>
      </c>
      <c r="D24" s="39">
        <v>308</v>
      </c>
      <c r="E24" s="8">
        <v>478</v>
      </c>
      <c r="F24" s="140">
        <v>75</v>
      </c>
      <c r="G24" s="39">
        <v>67</v>
      </c>
      <c r="H24" s="139">
        <v>45</v>
      </c>
    </row>
    <row r="25" spans="2:8">
      <c r="B25" s="114"/>
      <c r="C25" s="140">
        <v>475</v>
      </c>
      <c r="D25" s="39">
        <v>312</v>
      </c>
      <c r="E25" s="8">
        <v>521</v>
      </c>
      <c r="F25" s="140">
        <v>71</v>
      </c>
      <c r="G25" s="39">
        <v>78</v>
      </c>
      <c r="H25" s="139">
        <v>89</v>
      </c>
    </row>
    <row r="26" spans="2:8">
      <c r="B26" s="114"/>
      <c r="C26" s="140">
        <v>758</v>
      </c>
      <c r="D26" s="39">
        <v>499</v>
      </c>
      <c r="E26" s="8">
        <v>548</v>
      </c>
      <c r="F26" s="140">
        <v>48</v>
      </c>
      <c r="G26" s="39">
        <v>103</v>
      </c>
      <c r="H26" s="139">
        <v>108</v>
      </c>
    </row>
    <row r="27" spans="2:8">
      <c r="B27" s="114"/>
      <c r="C27" s="140">
        <v>721</v>
      </c>
      <c r="D27" s="39">
        <v>521</v>
      </c>
      <c r="E27" s="8">
        <v>603</v>
      </c>
      <c r="F27" s="140">
        <v>106</v>
      </c>
      <c r="G27" s="39">
        <v>91</v>
      </c>
      <c r="H27" s="139">
        <v>63</v>
      </c>
    </row>
    <row r="28" spans="2:8">
      <c r="B28" s="114"/>
      <c r="C28" s="140">
        <v>476</v>
      </c>
      <c r="D28" s="39">
        <v>478</v>
      </c>
      <c r="E28" s="8">
        <v>499</v>
      </c>
      <c r="F28" s="140">
        <v>405</v>
      </c>
      <c r="G28" s="39">
        <v>107</v>
      </c>
      <c r="H28" s="139">
        <v>71</v>
      </c>
    </row>
    <row r="29" spans="2:8">
      <c r="B29" s="114"/>
      <c r="C29" s="140">
        <v>508</v>
      </c>
      <c r="D29" s="39">
        <v>517</v>
      </c>
      <c r="E29" s="8">
        <v>731</v>
      </c>
      <c r="F29" s="140">
        <v>79</v>
      </c>
      <c r="G29" s="39">
        <v>85</v>
      </c>
      <c r="H29" s="139">
        <v>98</v>
      </c>
    </row>
    <row r="30" spans="2:8">
      <c r="B30" s="114"/>
      <c r="C30" s="140">
        <v>431</v>
      </c>
      <c r="D30" s="39">
        <v>637</v>
      </c>
      <c r="E30" s="8">
        <v>203</v>
      </c>
      <c r="F30" s="140">
        <v>71</v>
      </c>
      <c r="G30" s="39">
        <v>88</v>
      </c>
      <c r="H30" s="139">
        <v>91</v>
      </c>
    </row>
    <row r="31" spans="2:8">
      <c r="B31" s="114"/>
      <c r="C31" s="140">
        <v>378</v>
      </c>
      <c r="D31" s="39">
        <v>608</v>
      </c>
      <c r="E31" s="8">
        <v>199</v>
      </c>
      <c r="F31" s="140">
        <v>48</v>
      </c>
      <c r="G31" s="39">
        <v>93</v>
      </c>
      <c r="H31" s="139">
        <v>104</v>
      </c>
    </row>
    <row r="32" spans="2:8">
      <c r="B32" s="114"/>
      <c r="C32" s="140">
        <v>321</v>
      </c>
      <c r="D32" s="39">
        <v>379</v>
      </c>
      <c r="E32" s="8">
        <v>186</v>
      </c>
      <c r="F32" s="140">
        <v>71</v>
      </c>
      <c r="G32" s="39">
        <v>91</v>
      </c>
      <c r="H32" s="139">
        <v>49</v>
      </c>
    </row>
    <row r="33" spans="2:8">
      <c r="B33" s="114"/>
      <c r="C33" s="140">
        <v>507</v>
      </c>
      <c r="D33" s="39">
        <v>321</v>
      </c>
      <c r="E33" s="8">
        <v>493</v>
      </c>
      <c r="F33" s="140">
        <v>63</v>
      </c>
      <c r="G33" s="39">
        <v>58</v>
      </c>
      <c r="H33" s="139">
        <v>57</v>
      </c>
    </row>
    <row r="34" spans="2:8">
      <c r="B34" s="114"/>
      <c r="C34" s="140">
        <v>303</v>
      </c>
      <c r="D34" s="39">
        <v>497</v>
      </c>
      <c r="E34" s="8">
        <v>631</v>
      </c>
      <c r="F34" s="140">
        <v>171</v>
      </c>
      <c r="G34" s="39">
        <v>129</v>
      </c>
      <c r="H34" s="139">
        <v>51</v>
      </c>
    </row>
    <row r="35" spans="2:8">
      <c r="B35" s="114"/>
      <c r="C35" s="140">
        <v>328</v>
      </c>
      <c r="D35" s="39">
        <v>718</v>
      </c>
      <c r="E35" s="8">
        <v>609</v>
      </c>
      <c r="F35" s="140">
        <v>97</v>
      </c>
      <c r="G35" s="39">
        <v>203</v>
      </c>
      <c r="H35" s="139">
        <v>99</v>
      </c>
    </row>
    <row r="36" spans="2:8">
      <c r="B36" s="114"/>
      <c r="C36" s="140">
        <v>491</v>
      </c>
      <c r="D36" s="39">
        <v>903</v>
      </c>
      <c r="E36" s="8">
        <v>521</v>
      </c>
      <c r="F36" s="7">
        <v>91</v>
      </c>
      <c r="G36" s="39">
        <v>39</v>
      </c>
      <c r="H36" s="9">
        <v>103</v>
      </c>
    </row>
    <row r="37" spans="2:8">
      <c r="B37" s="114"/>
      <c r="C37" s="140">
        <v>476</v>
      </c>
      <c r="D37" s="39">
        <v>145</v>
      </c>
      <c r="E37" s="8">
        <v>537</v>
      </c>
      <c r="F37" s="7">
        <v>85</v>
      </c>
      <c r="G37" s="39">
        <v>51</v>
      </c>
      <c r="H37" s="9">
        <v>98</v>
      </c>
    </row>
    <row r="38" spans="2:8">
      <c r="B38" s="114"/>
      <c r="C38" s="140">
        <v>566</v>
      </c>
      <c r="D38" s="39">
        <v>628</v>
      </c>
      <c r="E38" s="8">
        <v>716</v>
      </c>
      <c r="F38" s="7">
        <v>105</v>
      </c>
      <c r="G38" s="39">
        <v>75</v>
      </c>
      <c r="H38" s="9">
        <v>75</v>
      </c>
    </row>
    <row r="39" spans="2:8">
      <c r="B39" s="114"/>
      <c r="C39" s="140">
        <v>698</v>
      </c>
      <c r="D39" s="39">
        <v>671</v>
      </c>
      <c r="E39" s="8">
        <v>548</v>
      </c>
      <c r="F39" s="7">
        <v>128</v>
      </c>
      <c r="G39" s="39">
        <v>98</v>
      </c>
      <c r="H39" s="9">
        <v>71</v>
      </c>
    </row>
    <row r="40" spans="2:8">
      <c r="B40" s="114"/>
      <c r="C40" s="140">
        <v>491</v>
      </c>
      <c r="D40" s="39">
        <v>416</v>
      </c>
      <c r="E40" s="8">
        <v>521</v>
      </c>
      <c r="F40" s="7">
        <v>31</v>
      </c>
      <c r="G40" s="39">
        <v>91</v>
      </c>
      <c r="H40" s="9">
        <v>96</v>
      </c>
    </row>
    <row r="41" spans="2:8">
      <c r="B41" s="114"/>
      <c r="C41" s="7">
        <v>517</v>
      </c>
      <c r="D41" s="8">
        <v>408</v>
      </c>
      <c r="E41" s="8">
        <v>417</v>
      </c>
      <c r="F41" s="7">
        <v>48</v>
      </c>
      <c r="G41" s="8">
        <v>105</v>
      </c>
      <c r="H41" s="9">
        <v>99</v>
      </c>
    </row>
    <row r="42" spans="2:8">
      <c r="B42" s="113" t="s">
        <v>68</v>
      </c>
      <c r="C42" s="143">
        <v>203</v>
      </c>
      <c r="D42" s="18">
        <v>226</v>
      </c>
      <c r="E42" s="18">
        <v>375</v>
      </c>
      <c r="F42" s="17">
        <v>149</v>
      </c>
      <c r="G42" s="18">
        <v>208</v>
      </c>
      <c r="H42" s="14">
        <v>109</v>
      </c>
    </row>
    <row r="43" spans="2:8">
      <c r="B43" s="114"/>
      <c r="C43" s="140">
        <v>106</v>
      </c>
      <c r="D43" s="39">
        <v>431</v>
      </c>
      <c r="E43" s="8">
        <v>193</v>
      </c>
      <c r="F43" s="7">
        <v>157</v>
      </c>
      <c r="G43" s="39">
        <v>295</v>
      </c>
      <c r="H43" s="9">
        <v>93</v>
      </c>
    </row>
    <row r="44" spans="2:8">
      <c r="B44" s="114"/>
      <c r="C44" s="140">
        <v>194</v>
      </c>
      <c r="D44" s="39">
        <v>193</v>
      </c>
      <c r="E44" s="8">
        <v>403</v>
      </c>
      <c r="F44" s="7">
        <v>198</v>
      </c>
      <c r="G44" s="39">
        <v>377</v>
      </c>
      <c r="H44" s="9">
        <v>71</v>
      </c>
    </row>
    <row r="45" spans="2:8">
      <c r="B45" s="114"/>
      <c r="C45" s="140">
        <v>171</v>
      </c>
      <c r="D45" s="39">
        <v>151</v>
      </c>
      <c r="E45" s="8">
        <v>118</v>
      </c>
      <c r="F45" s="7">
        <v>97</v>
      </c>
      <c r="G45" s="39">
        <v>105</v>
      </c>
      <c r="H45" s="9">
        <v>75</v>
      </c>
    </row>
    <row r="46" spans="2:8">
      <c r="B46" s="114"/>
      <c r="C46" s="140">
        <v>208</v>
      </c>
      <c r="D46" s="39">
        <v>208</v>
      </c>
      <c r="E46" s="8">
        <v>121</v>
      </c>
      <c r="F46" s="7">
        <v>91</v>
      </c>
      <c r="G46" s="39">
        <v>97</v>
      </c>
      <c r="H46" s="9">
        <v>88</v>
      </c>
    </row>
    <row r="47" spans="2:8">
      <c r="B47" s="114"/>
      <c r="C47" s="140">
        <v>417</v>
      </c>
      <c r="D47" s="39">
        <v>193</v>
      </c>
      <c r="E47" s="8">
        <v>193</v>
      </c>
      <c r="F47" s="7">
        <v>73</v>
      </c>
      <c r="G47" s="39">
        <v>71</v>
      </c>
      <c r="H47" s="9">
        <v>175</v>
      </c>
    </row>
    <row r="48" spans="2:8">
      <c r="B48" s="114"/>
      <c r="C48" s="140">
        <v>309</v>
      </c>
      <c r="D48" s="39">
        <v>175</v>
      </c>
      <c r="E48" s="8">
        <v>208</v>
      </c>
      <c r="F48" s="7">
        <v>108</v>
      </c>
      <c r="G48" s="39">
        <v>88</v>
      </c>
      <c r="H48" s="9">
        <v>103</v>
      </c>
    </row>
    <row r="49" spans="2:8">
      <c r="B49" s="114"/>
      <c r="C49" s="140">
        <v>376</v>
      </c>
      <c r="D49" s="39">
        <v>179</v>
      </c>
      <c r="E49" s="8">
        <v>210</v>
      </c>
      <c r="F49" s="7">
        <v>65</v>
      </c>
      <c r="G49" s="39">
        <v>93</v>
      </c>
      <c r="H49" s="9">
        <v>92</v>
      </c>
    </row>
    <row r="50" spans="2:8">
      <c r="B50" s="114"/>
      <c r="C50" s="140">
        <v>108</v>
      </c>
      <c r="D50" s="39">
        <v>209</v>
      </c>
      <c r="E50" s="8">
        <v>415</v>
      </c>
      <c r="F50" s="7">
        <v>121</v>
      </c>
      <c r="G50" s="39">
        <v>136</v>
      </c>
      <c r="H50" s="9">
        <v>81</v>
      </c>
    </row>
    <row r="51" spans="2:8">
      <c r="B51" s="114"/>
      <c r="C51" s="140">
        <v>115</v>
      </c>
      <c r="D51" s="39">
        <v>327</v>
      </c>
      <c r="E51" s="8">
        <v>306</v>
      </c>
      <c r="F51" s="7">
        <v>118</v>
      </c>
      <c r="G51" s="39">
        <v>215</v>
      </c>
      <c r="H51" s="9">
        <v>73</v>
      </c>
    </row>
    <row r="52" spans="2:8">
      <c r="B52" s="114"/>
      <c r="C52" s="140">
        <v>137</v>
      </c>
      <c r="D52" s="39">
        <v>299</v>
      </c>
      <c r="E52" s="8">
        <v>296</v>
      </c>
      <c r="F52" s="7">
        <v>96</v>
      </c>
      <c r="G52" s="39">
        <v>316</v>
      </c>
      <c r="H52" s="9">
        <v>76</v>
      </c>
    </row>
    <row r="53" spans="2:8">
      <c r="B53" s="114"/>
      <c r="C53" s="140">
        <v>181</v>
      </c>
      <c r="D53" s="39">
        <v>341</v>
      </c>
      <c r="E53" s="8">
        <v>223</v>
      </c>
      <c r="F53" s="7">
        <v>88</v>
      </c>
      <c r="G53" s="39">
        <v>99</v>
      </c>
      <c r="H53" s="9">
        <v>69</v>
      </c>
    </row>
    <row r="54" spans="2:8">
      <c r="B54" s="114"/>
      <c r="C54" s="140">
        <v>193</v>
      </c>
      <c r="D54" s="39">
        <v>405</v>
      </c>
      <c r="E54" s="8">
        <v>115</v>
      </c>
      <c r="F54" s="7">
        <v>102</v>
      </c>
      <c r="G54" s="39">
        <v>75</v>
      </c>
      <c r="H54" s="9">
        <v>108</v>
      </c>
    </row>
    <row r="55" spans="2:8">
      <c r="B55" s="114"/>
      <c r="C55" s="140">
        <v>198</v>
      </c>
      <c r="D55" s="39">
        <v>381</v>
      </c>
      <c r="E55" s="8">
        <v>319</v>
      </c>
      <c r="F55" s="7">
        <v>178</v>
      </c>
      <c r="G55" s="39">
        <v>87</v>
      </c>
      <c r="H55" s="9">
        <v>179</v>
      </c>
    </row>
    <row r="56" spans="2:8">
      <c r="B56" s="114"/>
      <c r="C56" s="140">
        <v>205</v>
      </c>
      <c r="D56" s="39">
        <v>275</v>
      </c>
      <c r="E56" s="8">
        <v>269</v>
      </c>
      <c r="F56" s="7">
        <v>133</v>
      </c>
      <c r="G56" s="39">
        <v>76</v>
      </c>
      <c r="H56" s="9">
        <v>118</v>
      </c>
    </row>
    <row r="57" spans="2:8">
      <c r="B57" s="114"/>
      <c r="C57" s="140">
        <v>318</v>
      </c>
      <c r="D57" s="39">
        <v>198</v>
      </c>
      <c r="E57" s="8">
        <v>271</v>
      </c>
      <c r="F57" s="7">
        <v>109</v>
      </c>
      <c r="G57" s="39">
        <v>131</v>
      </c>
      <c r="H57" s="9">
        <v>206</v>
      </c>
    </row>
    <row r="58" spans="2:8">
      <c r="B58" s="114"/>
      <c r="C58" s="140">
        <v>406</v>
      </c>
      <c r="D58" s="39">
        <v>117</v>
      </c>
      <c r="E58" s="8">
        <v>331</v>
      </c>
      <c r="F58" s="7">
        <v>175</v>
      </c>
      <c r="G58" s="39">
        <v>267</v>
      </c>
      <c r="H58" s="9">
        <v>215</v>
      </c>
    </row>
    <row r="59" spans="2:8">
      <c r="B59" s="114"/>
      <c r="C59" s="140">
        <v>156</v>
      </c>
      <c r="D59" s="39">
        <v>121</v>
      </c>
      <c r="E59" s="8">
        <v>217</v>
      </c>
      <c r="F59" s="7">
        <v>99</v>
      </c>
      <c r="G59" s="39">
        <v>205</v>
      </c>
      <c r="H59" s="9">
        <v>121</v>
      </c>
    </row>
    <row r="60" spans="2:8">
      <c r="B60" s="114"/>
      <c r="C60" s="140">
        <v>191</v>
      </c>
      <c r="D60" s="39">
        <v>148</v>
      </c>
      <c r="E60" s="8">
        <v>292</v>
      </c>
      <c r="F60" s="7">
        <v>109</v>
      </c>
      <c r="G60" s="39">
        <v>299</v>
      </c>
      <c r="H60" s="9">
        <v>99</v>
      </c>
    </row>
    <row r="61" spans="2:8">
      <c r="B61" s="115"/>
      <c r="C61" s="10">
        <v>228</v>
      </c>
      <c r="D61" s="11">
        <v>116</v>
      </c>
      <c r="E61" s="11">
        <v>301</v>
      </c>
      <c r="F61" s="10">
        <v>136</v>
      </c>
      <c r="G61" s="11">
        <v>111</v>
      </c>
      <c r="H61" s="12">
        <v>137</v>
      </c>
    </row>
    <row r="62" spans="2:8">
      <c r="B62" s="113" t="s">
        <v>69</v>
      </c>
      <c r="C62" s="17">
        <v>109</v>
      </c>
      <c r="D62" s="18">
        <v>136</v>
      </c>
      <c r="E62" s="18">
        <v>206</v>
      </c>
      <c r="F62" s="17">
        <v>98</v>
      </c>
      <c r="G62" s="18">
        <v>105</v>
      </c>
      <c r="H62" s="14">
        <v>117</v>
      </c>
    </row>
    <row r="63" spans="2:8">
      <c r="B63" s="114"/>
      <c r="C63" s="140">
        <v>131</v>
      </c>
      <c r="D63" s="39">
        <v>134</v>
      </c>
      <c r="E63" s="8">
        <v>215</v>
      </c>
      <c r="F63" s="140">
        <v>96</v>
      </c>
      <c r="G63" s="39">
        <v>98</v>
      </c>
      <c r="H63" s="9">
        <v>145</v>
      </c>
    </row>
    <row r="64" spans="2:8">
      <c r="B64" s="114"/>
      <c r="C64" s="140">
        <v>116</v>
      </c>
      <c r="D64" s="39">
        <v>217</v>
      </c>
      <c r="E64" s="8">
        <v>299</v>
      </c>
      <c r="F64" s="140">
        <v>109</v>
      </c>
      <c r="G64" s="39">
        <v>63</v>
      </c>
      <c r="H64" s="9">
        <v>99</v>
      </c>
    </row>
    <row r="65" spans="2:8">
      <c r="B65" s="114"/>
      <c r="C65" s="140">
        <v>98</v>
      </c>
      <c r="D65" s="39">
        <v>236</v>
      </c>
      <c r="E65" s="8">
        <v>271</v>
      </c>
      <c r="F65" s="140">
        <v>175</v>
      </c>
      <c r="G65" s="39">
        <v>61</v>
      </c>
      <c r="H65" s="9">
        <v>75</v>
      </c>
    </row>
    <row r="66" spans="2:8">
      <c r="B66" s="114"/>
      <c r="C66" s="140">
        <v>107</v>
      </c>
      <c r="D66" s="39">
        <v>175</v>
      </c>
      <c r="E66" s="8">
        <v>178</v>
      </c>
      <c r="F66" s="140">
        <v>113</v>
      </c>
      <c r="G66" s="39">
        <v>59</v>
      </c>
      <c r="H66" s="9">
        <v>71</v>
      </c>
    </row>
    <row r="67" spans="2:8">
      <c r="B67" s="114"/>
      <c r="C67" s="140">
        <v>202</v>
      </c>
      <c r="D67" s="39">
        <v>171</v>
      </c>
      <c r="E67" s="8">
        <v>163</v>
      </c>
      <c r="F67" s="140">
        <v>79</v>
      </c>
      <c r="G67" s="39">
        <v>88</v>
      </c>
      <c r="H67" s="9">
        <v>54</v>
      </c>
    </row>
    <row r="68" spans="2:8">
      <c r="B68" s="114"/>
      <c r="C68" s="140">
        <v>115</v>
      </c>
      <c r="D68" s="39">
        <v>193</v>
      </c>
      <c r="E68" s="8">
        <v>178</v>
      </c>
      <c r="F68" s="140">
        <v>68</v>
      </c>
      <c r="G68" s="39">
        <v>123</v>
      </c>
      <c r="H68" s="9">
        <v>50</v>
      </c>
    </row>
    <row r="69" spans="2:8">
      <c r="B69" s="114"/>
      <c r="C69" s="140">
        <v>123</v>
      </c>
      <c r="D69" s="39">
        <v>116</v>
      </c>
      <c r="E69" s="8">
        <v>106</v>
      </c>
      <c r="F69" s="140">
        <v>61</v>
      </c>
      <c r="G69" s="39">
        <v>145</v>
      </c>
      <c r="H69" s="9">
        <v>39</v>
      </c>
    </row>
    <row r="70" spans="2:8">
      <c r="B70" s="114"/>
      <c r="C70" s="140">
        <v>135</v>
      </c>
      <c r="D70" s="39">
        <v>175</v>
      </c>
      <c r="E70" s="8">
        <v>129</v>
      </c>
      <c r="F70" s="140">
        <v>79</v>
      </c>
      <c r="G70" s="39">
        <v>96</v>
      </c>
      <c r="H70" s="9">
        <v>48</v>
      </c>
    </row>
    <row r="71" spans="2:8">
      <c r="B71" s="114"/>
      <c r="C71" s="140">
        <v>138</v>
      </c>
      <c r="D71" s="39">
        <v>118</v>
      </c>
      <c r="E71" s="8">
        <v>206</v>
      </c>
      <c r="F71" s="140">
        <v>59</v>
      </c>
      <c r="G71" s="39">
        <v>78</v>
      </c>
      <c r="H71" s="9">
        <v>47</v>
      </c>
    </row>
    <row r="72" spans="2:8">
      <c r="B72" s="114"/>
      <c r="C72" s="140">
        <v>186</v>
      </c>
      <c r="D72" s="39">
        <v>90</v>
      </c>
      <c r="E72" s="8">
        <v>199</v>
      </c>
      <c r="F72" s="140">
        <v>54</v>
      </c>
      <c r="G72" s="39">
        <v>71</v>
      </c>
      <c r="H72" s="9">
        <v>56</v>
      </c>
    </row>
    <row r="73" spans="2:8">
      <c r="B73" s="114"/>
      <c r="C73" s="140">
        <v>145</v>
      </c>
      <c r="D73" s="39">
        <v>86</v>
      </c>
      <c r="E73" s="8">
        <v>134</v>
      </c>
      <c r="F73" s="140">
        <v>103</v>
      </c>
      <c r="G73" s="39">
        <v>65</v>
      </c>
      <c r="H73" s="9">
        <v>51</v>
      </c>
    </row>
    <row r="74" spans="2:8">
      <c r="B74" s="114"/>
      <c r="C74" s="140">
        <v>187</v>
      </c>
      <c r="D74" s="39">
        <v>107</v>
      </c>
      <c r="E74" s="8">
        <v>98</v>
      </c>
      <c r="F74" s="140">
        <v>117</v>
      </c>
      <c r="G74" s="39">
        <v>93</v>
      </c>
      <c r="H74" s="9">
        <v>98</v>
      </c>
    </row>
    <row r="75" spans="2:8">
      <c r="B75" s="114"/>
      <c r="C75" s="140">
        <v>202</v>
      </c>
      <c r="D75" s="39">
        <v>137</v>
      </c>
      <c r="E75" s="8">
        <v>171</v>
      </c>
      <c r="F75" s="140">
        <v>203</v>
      </c>
      <c r="G75" s="39">
        <v>98</v>
      </c>
      <c r="H75" s="9">
        <v>91</v>
      </c>
    </row>
    <row r="76" spans="2:8">
      <c r="B76" s="114"/>
      <c r="C76" s="140">
        <v>96</v>
      </c>
      <c r="D76" s="39">
        <v>148</v>
      </c>
      <c r="E76" s="8">
        <v>65</v>
      </c>
      <c r="F76" s="140">
        <v>86</v>
      </c>
      <c r="G76" s="39">
        <v>107</v>
      </c>
      <c r="H76" s="9">
        <v>103</v>
      </c>
    </row>
    <row r="77" spans="2:8">
      <c r="B77" s="114"/>
      <c r="C77" s="140">
        <v>78</v>
      </c>
      <c r="D77" s="39">
        <v>153</v>
      </c>
      <c r="E77" s="8">
        <v>89</v>
      </c>
      <c r="F77" s="140">
        <v>98</v>
      </c>
      <c r="G77" s="39">
        <v>115</v>
      </c>
      <c r="H77" s="9">
        <v>123</v>
      </c>
    </row>
    <row r="78" spans="2:8">
      <c r="B78" s="114"/>
      <c r="C78" s="140">
        <v>105</v>
      </c>
      <c r="D78" s="39">
        <v>166</v>
      </c>
      <c r="E78" s="8">
        <v>113</v>
      </c>
      <c r="F78" s="140">
        <v>91</v>
      </c>
      <c r="G78" s="39">
        <v>208</v>
      </c>
      <c r="H78" s="9">
        <v>105</v>
      </c>
    </row>
    <row r="79" spans="2:8">
      <c r="B79" s="114"/>
      <c r="C79" s="140">
        <v>123</v>
      </c>
      <c r="D79" s="39">
        <v>271</v>
      </c>
      <c r="E79" s="8">
        <v>148</v>
      </c>
      <c r="F79" s="140">
        <v>115</v>
      </c>
      <c r="G79" s="39">
        <v>211</v>
      </c>
      <c r="H79" s="9">
        <v>33</v>
      </c>
    </row>
    <row r="80" spans="2:8">
      <c r="B80" s="114"/>
      <c r="C80" s="140">
        <v>119</v>
      </c>
      <c r="D80" s="39">
        <v>254</v>
      </c>
      <c r="E80" s="8">
        <v>129</v>
      </c>
      <c r="F80" s="140">
        <v>163</v>
      </c>
      <c r="G80" s="39">
        <v>174</v>
      </c>
      <c r="H80" s="9">
        <v>95</v>
      </c>
    </row>
    <row r="81" spans="2:8">
      <c r="B81" s="115"/>
      <c r="C81" s="10">
        <v>206</v>
      </c>
      <c r="D81" s="11">
        <v>277</v>
      </c>
      <c r="E81" s="11">
        <v>103</v>
      </c>
      <c r="F81" s="10">
        <v>203</v>
      </c>
      <c r="G81" s="11">
        <v>108</v>
      </c>
      <c r="H81" s="12">
        <v>91</v>
      </c>
    </row>
    <row r="82" spans="2:8">
      <c r="B82" s="113" t="s">
        <v>70</v>
      </c>
      <c r="C82" s="17">
        <v>97</v>
      </c>
      <c r="D82" s="18">
        <v>56</v>
      </c>
      <c r="E82" s="18">
        <v>102</v>
      </c>
      <c r="F82" s="17">
        <v>75</v>
      </c>
      <c r="G82" s="18">
        <v>82</v>
      </c>
      <c r="H82" s="14">
        <v>95</v>
      </c>
    </row>
    <row r="83" spans="2:8">
      <c r="B83" s="114"/>
      <c r="C83" s="140">
        <v>91</v>
      </c>
      <c r="D83" s="39">
        <v>98</v>
      </c>
      <c r="E83" s="8">
        <v>101</v>
      </c>
      <c r="F83" s="140">
        <v>63</v>
      </c>
      <c r="G83" s="39">
        <v>84</v>
      </c>
      <c r="H83" s="9">
        <v>91</v>
      </c>
    </row>
    <row r="84" spans="2:8">
      <c r="B84" s="114"/>
      <c r="C84" s="140">
        <v>115</v>
      </c>
      <c r="D84" s="39">
        <v>104</v>
      </c>
      <c r="E84" s="8">
        <v>97</v>
      </c>
      <c r="F84" s="140">
        <v>89</v>
      </c>
      <c r="G84" s="39">
        <v>45</v>
      </c>
      <c r="H84" s="9">
        <v>53</v>
      </c>
    </row>
    <row r="85" spans="2:8">
      <c r="B85" s="114"/>
      <c r="C85" s="140">
        <v>103</v>
      </c>
      <c r="D85" s="39">
        <v>76</v>
      </c>
      <c r="E85" s="8">
        <v>91</v>
      </c>
      <c r="F85" s="140">
        <v>88</v>
      </c>
      <c r="G85" s="39">
        <v>73</v>
      </c>
      <c r="H85" s="9">
        <v>108</v>
      </c>
    </row>
    <row r="86" spans="2:8">
      <c r="B86" s="114"/>
      <c r="C86" s="140">
        <v>97</v>
      </c>
      <c r="D86" s="39">
        <v>79</v>
      </c>
      <c r="E86" s="8">
        <v>84</v>
      </c>
      <c r="F86" s="140">
        <v>75</v>
      </c>
      <c r="G86" s="39">
        <v>59</v>
      </c>
      <c r="H86" s="9">
        <v>96</v>
      </c>
    </row>
    <row r="87" spans="2:8">
      <c r="B87" s="114"/>
      <c r="C87" s="140">
        <v>86</v>
      </c>
      <c r="D87" s="39">
        <v>91</v>
      </c>
      <c r="E87" s="8">
        <v>113</v>
      </c>
      <c r="F87" s="140">
        <v>71</v>
      </c>
      <c r="G87" s="39">
        <v>88</v>
      </c>
      <c r="H87" s="9">
        <v>78</v>
      </c>
    </row>
    <row r="88" spans="2:8">
      <c r="B88" s="114"/>
      <c r="C88" s="140">
        <v>81</v>
      </c>
      <c r="D88" s="39">
        <v>65</v>
      </c>
      <c r="E88" s="8">
        <v>95</v>
      </c>
      <c r="F88" s="140">
        <v>23</v>
      </c>
      <c r="G88" s="39">
        <v>93</v>
      </c>
      <c r="H88" s="9">
        <v>71</v>
      </c>
    </row>
    <row r="89" spans="2:8">
      <c r="B89" s="114"/>
      <c r="C89" s="140">
        <v>99</v>
      </c>
      <c r="D89" s="39">
        <v>88</v>
      </c>
      <c r="E89" s="8">
        <v>57</v>
      </c>
      <c r="F89" s="140">
        <v>39</v>
      </c>
      <c r="G89" s="39">
        <v>108</v>
      </c>
      <c r="H89" s="9">
        <v>99</v>
      </c>
    </row>
    <row r="90" spans="2:8">
      <c r="B90" s="114"/>
      <c r="C90" s="140">
        <v>143</v>
      </c>
      <c r="D90" s="39">
        <v>73</v>
      </c>
      <c r="E90" s="8">
        <v>69</v>
      </c>
      <c r="F90" s="140">
        <v>37</v>
      </c>
      <c r="G90" s="39">
        <v>59</v>
      </c>
      <c r="H90" s="9">
        <v>57</v>
      </c>
    </row>
    <row r="91" spans="2:8">
      <c r="B91" s="114"/>
      <c r="C91" s="140">
        <v>97</v>
      </c>
      <c r="D91" s="39">
        <v>95</v>
      </c>
      <c r="E91" s="8">
        <v>87</v>
      </c>
      <c r="F91" s="140">
        <v>65</v>
      </c>
      <c r="G91" s="39">
        <v>67</v>
      </c>
      <c r="H91" s="9">
        <v>66</v>
      </c>
    </row>
    <row r="92" spans="2:8">
      <c r="B92" s="114"/>
      <c r="C92" s="140">
        <v>86</v>
      </c>
      <c r="D92" s="39">
        <v>103</v>
      </c>
      <c r="E92" s="8">
        <v>93</v>
      </c>
      <c r="F92" s="140">
        <v>69</v>
      </c>
      <c r="G92" s="39">
        <v>93</v>
      </c>
      <c r="H92" s="9">
        <v>59</v>
      </c>
    </row>
    <row r="93" spans="2:8">
      <c r="B93" s="114"/>
      <c r="C93" s="140">
        <v>88</v>
      </c>
      <c r="D93" s="39">
        <v>99</v>
      </c>
      <c r="E93" s="8">
        <v>99</v>
      </c>
      <c r="F93" s="140">
        <v>77</v>
      </c>
      <c r="G93" s="39">
        <v>96</v>
      </c>
      <c r="H93" s="9">
        <v>85</v>
      </c>
    </row>
    <row r="94" spans="2:8">
      <c r="B94" s="114"/>
      <c r="C94" s="140">
        <v>137</v>
      </c>
      <c r="D94" s="39">
        <v>75</v>
      </c>
      <c r="E94" s="8">
        <v>113</v>
      </c>
      <c r="F94" s="140">
        <v>71</v>
      </c>
      <c r="G94" s="39">
        <v>115</v>
      </c>
      <c r="H94" s="9">
        <v>97</v>
      </c>
    </row>
    <row r="95" spans="2:8">
      <c r="B95" s="114"/>
      <c r="C95" s="140">
        <v>97</v>
      </c>
      <c r="D95" s="39">
        <v>81</v>
      </c>
      <c r="E95" s="8">
        <v>117</v>
      </c>
      <c r="F95" s="140">
        <v>93</v>
      </c>
      <c r="G95" s="39">
        <v>78</v>
      </c>
      <c r="H95" s="9">
        <v>91</v>
      </c>
    </row>
    <row r="96" spans="2:8">
      <c r="B96" s="114"/>
      <c r="C96" s="140">
        <v>75</v>
      </c>
      <c r="D96" s="39">
        <v>95</v>
      </c>
      <c r="E96" s="8">
        <v>105</v>
      </c>
      <c r="F96" s="140">
        <v>78</v>
      </c>
      <c r="G96" s="39">
        <v>71</v>
      </c>
      <c r="H96" s="9">
        <v>77</v>
      </c>
    </row>
    <row r="97" spans="2:8">
      <c r="B97" s="114"/>
      <c r="C97" s="140">
        <v>71</v>
      </c>
      <c r="D97" s="39">
        <v>127</v>
      </c>
      <c r="E97" s="8">
        <v>95</v>
      </c>
      <c r="F97" s="140">
        <v>89</v>
      </c>
      <c r="G97" s="39">
        <v>96</v>
      </c>
      <c r="H97" s="9">
        <v>103</v>
      </c>
    </row>
    <row r="98" spans="2:8">
      <c r="B98" s="114"/>
      <c r="C98" s="140">
        <v>15</v>
      </c>
      <c r="D98" s="39">
        <v>93</v>
      </c>
      <c r="E98" s="8">
        <v>91</v>
      </c>
      <c r="F98" s="140">
        <v>85</v>
      </c>
      <c r="G98" s="39">
        <v>93</v>
      </c>
      <c r="H98" s="9">
        <v>101</v>
      </c>
    </row>
    <row r="99" spans="2:8">
      <c r="B99" s="114"/>
      <c r="C99" s="140">
        <v>39</v>
      </c>
      <c r="D99" s="39">
        <v>98</v>
      </c>
      <c r="E99" s="8">
        <v>87</v>
      </c>
      <c r="F99" s="140">
        <v>69</v>
      </c>
      <c r="G99" s="39">
        <v>75</v>
      </c>
      <c r="H99" s="9">
        <v>99</v>
      </c>
    </row>
    <row r="100" spans="2:8">
      <c r="B100" s="114"/>
      <c r="C100" s="140">
        <v>88</v>
      </c>
      <c r="D100" s="39">
        <v>51</v>
      </c>
      <c r="E100" s="8">
        <v>80</v>
      </c>
      <c r="F100" s="140">
        <v>78</v>
      </c>
      <c r="G100" s="39">
        <v>86</v>
      </c>
      <c r="H100" s="9">
        <v>103</v>
      </c>
    </row>
    <row r="101" spans="2:8">
      <c r="B101" s="115"/>
      <c r="C101" s="10">
        <v>16</v>
      </c>
      <c r="D101" s="11">
        <v>105</v>
      </c>
      <c r="E101" s="11">
        <v>113</v>
      </c>
      <c r="F101" s="10">
        <v>71</v>
      </c>
      <c r="G101" s="11">
        <v>88</v>
      </c>
      <c r="H101" s="12">
        <v>98</v>
      </c>
    </row>
    <row r="102" spans="2:8">
      <c r="B102" s="114" t="s">
        <v>71</v>
      </c>
      <c r="C102" s="140">
        <v>206</v>
      </c>
      <c r="D102" s="8">
        <v>229</v>
      </c>
      <c r="E102" s="8">
        <v>275</v>
      </c>
      <c r="F102" s="7">
        <v>199</v>
      </c>
      <c r="G102" s="8">
        <v>251</v>
      </c>
      <c r="H102" s="9">
        <v>196</v>
      </c>
    </row>
    <row r="103" spans="2:8">
      <c r="B103" s="114"/>
      <c r="C103" s="140">
        <v>215</v>
      </c>
      <c r="D103" s="39">
        <v>275</v>
      </c>
      <c r="E103" s="8">
        <v>283</v>
      </c>
      <c r="F103" s="140">
        <v>208</v>
      </c>
      <c r="G103" s="39">
        <v>208</v>
      </c>
      <c r="H103" s="9">
        <v>191</v>
      </c>
    </row>
    <row r="104" spans="2:8">
      <c r="B104" s="114"/>
      <c r="C104" s="140">
        <v>198</v>
      </c>
      <c r="D104" s="39">
        <v>273</v>
      </c>
      <c r="E104" s="8">
        <v>288</v>
      </c>
      <c r="F104" s="140">
        <v>205</v>
      </c>
      <c r="G104" s="39">
        <v>316</v>
      </c>
      <c r="H104" s="9">
        <v>208</v>
      </c>
    </row>
    <row r="105" spans="2:8">
      <c r="B105" s="114"/>
      <c r="C105" s="140">
        <v>191</v>
      </c>
      <c r="D105" s="39">
        <v>205</v>
      </c>
      <c r="E105" s="8">
        <v>309</v>
      </c>
      <c r="F105" s="140">
        <v>317</v>
      </c>
      <c r="G105" s="39">
        <v>217</v>
      </c>
      <c r="H105" s="9">
        <v>221</v>
      </c>
    </row>
    <row r="106" spans="2:8">
      <c r="B106" s="114"/>
      <c r="C106" s="140">
        <v>207</v>
      </c>
      <c r="D106" s="39">
        <v>197</v>
      </c>
      <c r="E106" s="8">
        <v>317</v>
      </c>
      <c r="F106" s="140">
        <v>291</v>
      </c>
      <c r="G106" s="39">
        <v>299</v>
      </c>
      <c r="H106" s="9">
        <v>176</v>
      </c>
    </row>
    <row r="107" spans="2:8">
      <c r="B107" s="114"/>
      <c r="C107" s="140">
        <v>293</v>
      </c>
      <c r="D107" s="39">
        <v>131</v>
      </c>
      <c r="E107" s="8">
        <v>196</v>
      </c>
      <c r="F107" s="140">
        <v>211</v>
      </c>
      <c r="G107" s="39">
        <v>306</v>
      </c>
      <c r="H107" s="9">
        <v>187</v>
      </c>
    </row>
    <row r="108" spans="2:8">
      <c r="B108" s="114"/>
      <c r="C108" s="140">
        <v>276</v>
      </c>
      <c r="D108" s="39">
        <v>239</v>
      </c>
      <c r="E108" s="8">
        <v>191</v>
      </c>
      <c r="F108" s="140">
        <v>321</v>
      </c>
      <c r="G108" s="39">
        <v>227</v>
      </c>
      <c r="H108" s="9">
        <v>193</v>
      </c>
    </row>
    <row r="109" spans="2:8">
      <c r="B109" s="114"/>
      <c r="C109" s="140">
        <v>299</v>
      </c>
      <c r="D109" s="39">
        <v>406</v>
      </c>
      <c r="E109" s="8">
        <v>213</v>
      </c>
      <c r="F109" s="140">
        <v>173</v>
      </c>
      <c r="G109" s="39">
        <v>315</v>
      </c>
      <c r="H109" s="9">
        <v>99</v>
      </c>
    </row>
    <row r="110" spans="2:8">
      <c r="B110" s="114"/>
      <c r="C110" s="140">
        <v>205</v>
      </c>
      <c r="D110" s="39">
        <v>412</v>
      </c>
      <c r="E110" s="8">
        <v>106</v>
      </c>
      <c r="F110" s="140">
        <v>166</v>
      </c>
      <c r="G110" s="39">
        <v>195</v>
      </c>
      <c r="H110" s="9">
        <v>172</v>
      </c>
    </row>
    <row r="111" spans="2:8">
      <c r="B111" s="114"/>
      <c r="C111" s="140">
        <v>178</v>
      </c>
      <c r="D111" s="39">
        <v>321</v>
      </c>
      <c r="E111" s="8">
        <v>186</v>
      </c>
      <c r="F111" s="140">
        <v>401</v>
      </c>
      <c r="G111" s="39">
        <v>191</v>
      </c>
      <c r="H111" s="9">
        <v>89</v>
      </c>
    </row>
    <row r="112" spans="2:8">
      <c r="B112" s="114"/>
      <c r="C112" s="140">
        <v>171</v>
      </c>
      <c r="D112" s="39">
        <v>317</v>
      </c>
      <c r="E112" s="8">
        <v>199</v>
      </c>
      <c r="F112" s="140">
        <v>206</v>
      </c>
      <c r="G112" s="39">
        <v>239</v>
      </c>
      <c r="H112" s="9">
        <v>95</v>
      </c>
    </row>
    <row r="113" spans="2:8">
      <c r="B113" s="114"/>
      <c r="C113" s="140">
        <v>231</v>
      </c>
      <c r="D113" s="39">
        <v>408</v>
      </c>
      <c r="E113" s="8">
        <v>274</v>
      </c>
      <c r="F113" s="140">
        <v>223</v>
      </c>
      <c r="G113" s="39">
        <v>251</v>
      </c>
      <c r="H113" s="9">
        <v>115</v>
      </c>
    </row>
    <row r="114" spans="2:8">
      <c r="B114" s="114"/>
      <c r="C114" s="140">
        <v>227</v>
      </c>
      <c r="D114" s="39">
        <v>221</v>
      </c>
      <c r="E114" s="8">
        <v>316</v>
      </c>
      <c r="F114" s="140">
        <v>293</v>
      </c>
      <c r="G114" s="39">
        <v>273</v>
      </c>
      <c r="H114" s="9">
        <v>213</v>
      </c>
    </row>
    <row r="115" spans="2:8">
      <c r="B115" s="114"/>
      <c r="C115" s="140">
        <v>197</v>
      </c>
      <c r="D115" s="39">
        <v>237</v>
      </c>
      <c r="E115" s="8">
        <v>299</v>
      </c>
      <c r="F115" s="140">
        <v>191</v>
      </c>
      <c r="G115" s="39">
        <v>117</v>
      </c>
      <c r="H115" s="9">
        <v>125</v>
      </c>
    </row>
    <row r="116" spans="2:8">
      <c r="B116" s="114"/>
      <c r="C116" s="140">
        <v>175</v>
      </c>
      <c r="D116" s="39">
        <v>293</v>
      </c>
      <c r="E116" s="8">
        <v>301</v>
      </c>
      <c r="F116" s="140">
        <v>157</v>
      </c>
      <c r="G116" s="39">
        <v>126</v>
      </c>
      <c r="H116" s="9">
        <v>100</v>
      </c>
    </row>
    <row r="117" spans="2:8">
      <c r="B117" s="114"/>
      <c r="C117" s="140">
        <v>276</v>
      </c>
      <c r="D117" s="39">
        <v>317</v>
      </c>
      <c r="E117" s="8">
        <v>323</v>
      </c>
      <c r="F117" s="140">
        <v>291</v>
      </c>
      <c r="G117" s="39">
        <v>115</v>
      </c>
      <c r="H117" s="9">
        <v>321</v>
      </c>
    </row>
    <row r="118" spans="2:8">
      <c r="B118" s="114"/>
      <c r="C118" s="140">
        <v>299</v>
      </c>
      <c r="D118" s="39">
        <v>309</v>
      </c>
      <c r="E118" s="8">
        <v>198</v>
      </c>
      <c r="F118" s="140">
        <v>135</v>
      </c>
      <c r="G118" s="39">
        <v>108</v>
      </c>
      <c r="H118" s="9">
        <v>216</v>
      </c>
    </row>
    <row r="119" spans="2:8">
      <c r="B119" s="114"/>
      <c r="C119" s="140">
        <v>203</v>
      </c>
      <c r="D119" s="39">
        <v>306</v>
      </c>
      <c r="E119" s="8">
        <v>205</v>
      </c>
      <c r="F119" s="140">
        <v>229</v>
      </c>
      <c r="G119" s="39">
        <v>131</v>
      </c>
      <c r="H119" s="9">
        <v>275</v>
      </c>
    </row>
    <row r="120" spans="2:8">
      <c r="B120" s="114"/>
      <c r="C120" s="140">
        <v>283</v>
      </c>
      <c r="D120" s="39">
        <v>415</v>
      </c>
      <c r="E120" s="8">
        <v>388</v>
      </c>
      <c r="F120" s="140">
        <v>327</v>
      </c>
      <c r="G120" s="39">
        <v>176</v>
      </c>
      <c r="H120" s="9">
        <v>193</v>
      </c>
    </row>
    <row r="121" spans="2:8">
      <c r="B121" s="114"/>
      <c r="C121" s="7">
        <v>121</v>
      </c>
      <c r="D121" s="8">
        <v>297</v>
      </c>
      <c r="E121" s="8">
        <v>213</v>
      </c>
      <c r="F121" s="7">
        <v>401</v>
      </c>
      <c r="G121" s="8">
        <v>155</v>
      </c>
      <c r="H121" s="9">
        <v>117</v>
      </c>
    </row>
    <row r="122" spans="2:8">
      <c r="B122" s="113" t="s">
        <v>72</v>
      </c>
      <c r="C122" s="143">
        <v>317</v>
      </c>
      <c r="D122" s="18">
        <v>491</v>
      </c>
      <c r="E122" s="18">
        <v>505</v>
      </c>
      <c r="F122" s="17">
        <v>108</v>
      </c>
      <c r="G122" s="18">
        <v>76</v>
      </c>
      <c r="H122" s="14">
        <v>131</v>
      </c>
    </row>
    <row r="123" spans="2:8">
      <c r="B123" s="114"/>
      <c r="C123" s="140">
        <v>309</v>
      </c>
      <c r="D123" s="39">
        <v>531</v>
      </c>
      <c r="E123" s="8">
        <v>398</v>
      </c>
      <c r="F123" s="140">
        <v>116</v>
      </c>
      <c r="G123" s="39">
        <v>85</v>
      </c>
      <c r="H123" s="9">
        <v>99</v>
      </c>
    </row>
    <row r="124" spans="2:8">
      <c r="B124" s="114"/>
      <c r="C124" s="140">
        <v>298</v>
      </c>
      <c r="D124" s="39">
        <v>598</v>
      </c>
      <c r="E124" s="8">
        <v>317</v>
      </c>
      <c r="F124" s="140">
        <v>121</v>
      </c>
      <c r="G124" s="39">
        <v>81</v>
      </c>
      <c r="H124" s="9">
        <v>98</v>
      </c>
    </row>
    <row r="125" spans="2:8">
      <c r="B125" s="114"/>
      <c r="C125" s="140">
        <v>417</v>
      </c>
      <c r="D125" s="39">
        <v>478</v>
      </c>
      <c r="E125" s="8">
        <v>408</v>
      </c>
      <c r="F125" s="140">
        <v>95</v>
      </c>
      <c r="G125" s="39">
        <v>95</v>
      </c>
      <c r="H125" s="9">
        <v>105</v>
      </c>
    </row>
    <row r="126" spans="2:8">
      <c r="B126" s="114"/>
      <c r="C126" s="140">
        <v>403</v>
      </c>
      <c r="D126" s="39">
        <v>405</v>
      </c>
      <c r="E126" s="8">
        <v>416</v>
      </c>
      <c r="F126" s="140">
        <v>91</v>
      </c>
      <c r="G126" s="39">
        <v>145</v>
      </c>
      <c r="H126" s="9">
        <v>127</v>
      </c>
    </row>
    <row r="127" spans="2:8">
      <c r="B127" s="114"/>
      <c r="C127" s="140">
        <v>198</v>
      </c>
      <c r="D127" s="39">
        <v>399</v>
      </c>
      <c r="E127" s="8">
        <v>521</v>
      </c>
      <c r="F127" s="140">
        <v>75</v>
      </c>
      <c r="G127" s="39">
        <v>112</v>
      </c>
      <c r="H127" s="9">
        <v>144</v>
      </c>
    </row>
    <row r="128" spans="2:8">
      <c r="B128" s="114"/>
      <c r="C128" s="140">
        <v>309</v>
      </c>
      <c r="D128" s="39">
        <v>371</v>
      </c>
      <c r="E128" s="8">
        <v>533</v>
      </c>
      <c r="F128" s="140">
        <v>69</v>
      </c>
      <c r="G128" s="39">
        <v>98</v>
      </c>
      <c r="H128" s="9">
        <v>78</v>
      </c>
    </row>
    <row r="129" spans="2:8">
      <c r="B129" s="114"/>
      <c r="C129" s="140">
        <v>436</v>
      </c>
      <c r="D129" s="39">
        <v>416</v>
      </c>
      <c r="E129" s="8">
        <v>408</v>
      </c>
      <c r="F129" s="140">
        <v>99</v>
      </c>
      <c r="G129" s="39">
        <v>136</v>
      </c>
      <c r="H129" s="9">
        <v>91</v>
      </c>
    </row>
    <row r="130" spans="2:8">
      <c r="B130" s="114"/>
      <c r="C130" s="140">
        <v>415</v>
      </c>
      <c r="D130" s="39">
        <v>491</v>
      </c>
      <c r="E130" s="8">
        <v>431</v>
      </c>
      <c r="F130" s="140">
        <v>105</v>
      </c>
      <c r="G130" s="39">
        <v>127</v>
      </c>
      <c r="H130" s="9">
        <v>35</v>
      </c>
    </row>
    <row r="131" spans="2:8">
      <c r="B131" s="114"/>
      <c r="C131" s="140">
        <v>378</v>
      </c>
      <c r="D131" s="39">
        <v>478</v>
      </c>
      <c r="E131" s="8">
        <v>398</v>
      </c>
      <c r="F131" s="140">
        <v>118</v>
      </c>
      <c r="G131" s="39">
        <v>95</v>
      </c>
      <c r="H131" s="9">
        <v>66</v>
      </c>
    </row>
    <row r="132" spans="2:8">
      <c r="B132" s="114"/>
      <c r="C132" s="140">
        <v>403</v>
      </c>
      <c r="D132" s="39">
        <v>533</v>
      </c>
      <c r="E132" s="8">
        <v>499</v>
      </c>
      <c r="F132" s="140">
        <v>79</v>
      </c>
      <c r="G132" s="39">
        <v>91</v>
      </c>
      <c r="H132" s="9">
        <v>89</v>
      </c>
    </row>
    <row r="133" spans="2:8">
      <c r="B133" s="114"/>
      <c r="C133" s="140">
        <v>507</v>
      </c>
      <c r="D133" s="39">
        <v>565</v>
      </c>
      <c r="E133" s="8">
        <v>517</v>
      </c>
      <c r="F133" s="140">
        <v>193</v>
      </c>
      <c r="G133" s="39">
        <v>78</v>
      </c>
      <c r="H133" s="9">
        <v>81</v>
      </c>
    </row>
    <row r="134" spans="2:8">
      <c r="B134" s="114"/>
      <c r="C134" s="140">
        <v>391</v>
      </c>
      <c r="D134" s="39">
        <v>487</v>
      </c>
      <c r="E134" s="8">
        <v>506</v>
      </c>
      <c r="F134" s="140">
        <v>121</v>
      </c>
      <c r="G134" s="39">
        <v>65</v>
      </c>
      <c r="H134" s="9">
        <v>138</v>
      </c>
    </row>
    <row r="135" spans="2:8">
      <c r="B135" s="114"/>
      <c r="C135" s="140">
        <v>337</v>
      </c>
      <c r="D135" s="39">
        <v>431</v>
      </c>
      <c r="E135" s="8">
        <v>499</v>
      </c>
      <c r="F135" s="140">
        <v>75</v>
      </c>
      <c r="G135" s="39">
        <v>91</v>
      </c>
      <c r="H135" s="9">
        <v>156</v>
      </c>
    </row>
    <row r="136" spans="2:8">
      <c r="B136" s="114"/>
      <c r="C136" s="140">
        <v>419</v>
      </c>
      <c r="D136" s="39">
        <v>492</v>
      </c>
      <c r="E136" s="8">
        <v>391</v>
      </c>
      <c r="F136" s="140">
        <v>71</v>
      </c>
      <c r="G136" s="39">
        <v>109</v>
      </c>
      <c r="H136" s="9">
        <v>174</v>
      </c>
    </row>
    <row r="137" spans="2:8">
      <c r="B137" s="114"/>
      <c r="C137" s="140">
        <v>493</v>
      </c>
      <c r="D137" s="39">
        <v>499</v>
      </c>
      <c r="E137" s="8">
        <v>308</v>
      </c>
      <c r="F137" s="140">
        <v>67</v>
      </c>
      <c r="G137" s="39">
        <v>99</v>
      </c>
      <c r="H137" s="9">
        <v>97</v>
      </c>
    </row>
    <row r="138" spans="2:8">
      <c r="B138" s="114"/>
      <c r="C138" s="140">
        <v>519</v>
      </c>
      <c r="D138" s="39">
        <v>531</v>
      </c>
      <c r="E138" s="8">
        <v>416</v>
      </c>
      <c r="F138" s="140">
        <v>51</v>
      </c>
      <c r="G138" s="39">
        <v>143</v>
      </c>
      <c r="H138" s="9">
        <v>91</v>
      </c>
    </row>
    <row r="139" spans="2:8">
      <c r="B139" s="114"/>
      <c r="C139" s="140">
        <v>509</v>
      </c>
      <c r="D139" s="39">
        <v>517</v>
      </c>
      <c r="E139" s="8">
        <v>499</v>
      </c>
      <c r="F139" s="140">
        <v>108</v>
      </c>
      <c r="G139" s="39">
        <v>100</v>
      </c>
      <c r="H139" s="9">
        <v>66</v>
      </c>
    </row>
    <row r="140" spans="2:8">
      <c r="B140" s="114"/>
      <c r="C140" s="140">
        <v>499</v>
      </c>
      <c r="D140" s="39">
        <v>309</v>
      </c>
      <c r="E140" s="8">
        <v>588</v>
      </c>
      <c r="F140" s="140">
        <v>203</v>
      </c>
      <c r="G140" s="39">
        <v>97</v>
      </c>
      <c r="H140" s="9">
        <v>87</v>
      </c>
    </row>
    <row r="141" spans="2:8">
      <c r="B141" s="115"/>
      <c r="C141" s="10">
        <v>473</v>
      </c>
      <c r="D141" s="11">
        <v>399</v>
      </c>
      <c r="E141" s="11">
        <v>591</v>
      </c>
      <c r="F141" s="10">
        <v>177</v>
      </c>
      <c r="G141" s="11">
        <v>91</v>
      </c>
      <c r="H141" s="12">
        <v>95</v>
      </c>
    </row>
    <row r="142" spans="2:8">
      <c r="B142" s="114" t="s">
        <v>73</v>
      </c>
      <c r="C142" s="7">
        <v>617</v>
      </c>
      <c r="D142" s="8">
        <v>691</v>
      </c>
      <c r="E142" s="8">
        <v>733</v>
      </c>
      <c r="F142" s="7">
        <v>205</v>
      </c>
      <c r="G142" s="8">
        <v>193</v>
      </c>
      <c r="H142" s="9">
        <v>98</v>
      </c>
    </row>
    <row r="143" spans="2:8">
      <c r="B143" s="114"/>
      <c r="C143" s="140">
        <v>593</v>
      </c>
      <c r="D143" s="39">
        <v>408</v>
      </c>
      <c r="E143" s="8">
        <v>602</v>
      </c>
      <c r="F143" s="140">
        <v>109</v>
      </c>
      <c r="G143" s="39">
        <v>108</v>
      </c>
      <c r="H143" s="9">
        <v>91</v>
      </c>
    </row>
    <row r="144" spans="2:8">
      <c r="B144" s="114"/>
      <c r="C144" s="140">
        <v>635</v>
      </c>
      <c r="D144" s="39">
        <v>575</v>
      </c>
      <c r="E144" s="8">
        <v>524</v>
      </c>
      <c r="F144" s="140">
        <v>115</v>
      </c>
      <c r="G144" s="39">
        <v>207</v>
      </c>
      <c r="H144" s="9">
        <v>104</v>
      </c>
    </row>
    <row r="145" spans="2:8">
      <c r="B145" s="114"/>
      <c r="C145" s="140">
        <v>688</v>
      </c>
      <c r="D145" s="39">
        <v>716</v>
      </c>
      <c r="E145" s="8">
        <v>586</v>
      </c>
      <c r="F145" s="140">
        <v>216</v>
      </c>
      <c r="G145" s="39">
        <v>304</v>
      </c>
      <c r="H145" s="9">
        <v>113</v>
      </c>
    </row>
    <row r="146" spans="2:8">
      <c r="B146" s="114"/>
      <c r="C146" s="140">
        <v>575</v>
      </c>
      <c r="D146" s="39">
        <v>631</v>
      </c>
      <c r="E146" s="8">
        <v>715</v>
      </c>
      <c r="F146" s="140">
        <v>198</v>
      </c>
      <c r="G146" s="39">
        <v>301</v>
      </c>
      <c r="H146" s="9">
        <v>183</v>
      </c>
    </row>
    <row r="147" spans="2:8">
      <c r="B147" s="114"/>
      <c r="C147" s="140">
        <v>471</v>
      </c>
      <c r="D147" s="39">
        <v>612</v>
      </c>
      <c r="E147" s="8">
        <v>599</v>
      </c>
      <c r="F147" s="140">
        <v>231</v>
      </c>
      <c r="G147" s="39">
        <v>176</v>
      </c>
      <c r="H147" s="9">
        <v>145</v>
      </c>
    </row>
    <row r="148" spans="2:8">
      <c r="B148" s="114"/>
      <c r="C148" s="140">
        <v>399</v>
      </c>
      <c r="D148" s="39">
        <v>528</v>
      </c>
      <c r="E148" s="8">
        <v>324</v>
      </c>
      <c r="F148" s="140">
        <v>274</v>
      </c>
      <c r="G148" s="39">
        <v>75</v>
      </c>
      <c r="H148" s="9">
        <v>94</v>
      </c>
    </row>
    <row r="149" spans="2:8">
      <c r="B149" s="114"/>
      <c r="C149" s="140">
        <v>523</v>
      </c>
      <c r="D149" s="39">
        <v>431</v>
      </c>
      <c r="E149" s="8">
        <v>588</v>
      </c>
      <c r="F149" s="140">
        <v>193</v>
      </c>
      <c r="G149" s="39">
        <v>15</v>
      </c>
      <c r="H149" s="9">
        <v>98</v>
      </c>
    </row>
    <row r="150" spans="2:8">
      <c r="B150" s="114"/>
      <c r="C150" s="140">
        <v>486</v>
      </c>
      <c r="D150" s="39">
        <v>736</v>
      </c>
      <c r="E150" s="8">
        <v>541</v>
      </c>
      <c r="F150" s="140">
        <v>116</v>
      </c>
      <c r="G150" s="39">
        <v>108</v>
      </c>
      <c r="H150" s="9">
        <v>103</v>
      </c>
    </row>
    <row r="151" spans="2:8">
      <c r="B151" s="114"/>
      <c r="C151" s="140">
        <v>392</v>
      </c>
      <c r="D151" s="39">
        <v>699</v>
      </c>
      <c r="E151" s="8">
        <v>734</v>
      </c>
      <c r="F151" s="140">
        <v>105</v>
      </c>
      <c r="G151" s="39">
        <v>175</v>
      </c>
      <c r="H151" s="9">
        <v>101</v>
      </c>
    </row>
    <row r="152" spans="2:8">
      <c r="B152" s="114"/>
      <c r="C152" s="140">
        <v>648</v>
      </c>
      <c r="D152" s="39">
        <v>457</v>
      </c>
      <c r="E152" s="8">
        <v>498</v>
      </c>
      <c r="F152" s="140">
        <v>239</v>
      </c>
      <c r="G152" s="39">
        <v>118</v>
      </c>
      <c r="H152" s="9">
        <v>39</v>
      </c>
    </row>
    <row r="153" spans="2:8">
      <c r="B153" s="114"/>
      <c r="C153" s="140">
        <v>601</v>
      </c>
      <c r="D153" s="39">
        <v>536</v>
      </c>
      <c r="E153" s="8">
        <v>532</v>
      </c>
      <c r="F153" s="140">
        <v>217</v>
      </c>
      <c r="G153" s="39">
        <v>193</v>
      </c>
      <c r="H153" s="9">
        <v>186</v>
      </c>
    </row>
    <row r="154" spans="2:8">
      <c r="B154" s="114"/>
      <c r="C154" s="140">
        <v>388</v>
      </c>
      <c r="D154" s="39">
        <v>515</v>
      </c>
      <c r="E154" s="8">
        <v>516</v>
      </c>
      <c r="F154" s="140">
        <v>299</v>
      </c>
      <c r="G154" s="39">
        <v>116</v>
      </c>
      <c r="H154" s="9">
        <v>191</v>
      </c>
    </row>
    <row r="155" spans="2:8">
      <c r="B155" s="114"/>
      <c r="C155" s="140">
        <v>421</v>
      </c>
      <c r="D155" s="39">
        <v>764</v>
      </c>
      <c r="E155" s="8">
        <v>613</v>
      </c>
      <c r="F155" s="140">
        <v>176</v>
      </c>
      <c r="G155" s="39">
        <v>231</v>
      </c>
      <c r="H155" s="9">
        <v>208</v>
      </c>
    </row>
    <row r="156" spans="2:8">
      <c r="B156" s="114"/>
      <c r="C156" s="140">
        <v>413</v>
      </c>
      <c r="D156" s="39">
        <v>631</v>
      </c>
      <c r="E156" s="8">
        <v>609</v>
      </c>
      <c r="F156" s="140">
        <v>184</v>
      </c>
      <c r="G156" s="39">
        <v>209</v>
      </c>
      <c r="H156" s="9">
        <v>113</v>
      </c>
    </row>
    <row r="157" spans="2:8">
      <c r="B157" s="114"/>
      <c r="C157" s="140">
        <v>632</v>
      </c>
      <c r="D157" s="39">
        <v>688</v>
      </c>
      <c r="E157" s="8">
        <v>521</v>
      </c>
      <c r="F157" s="140">
        <v>191</v>
      </c>
      <c r="G157" s="39">
        <v>217</v>
      </c>
      <c r="H157" s="9">
        <v>145</v>
      </c>
    </row>
    <row r="158" spans="2:8">
      <c r="B158" s="114"/>
      <c r="C158" s="140">
        <v>538</v>
      </c>
      <c r="D158" s="39">
        <v>721</v>
      </c>
      <c r="E158" s="8">
        <v>578</v>
      </c>
      <c r="F158" s="140">
        <v>200</v>
      </c>
      <c r="G158" s="39">
        <v>268</v>
      </c>
      <c r="H158" s="9">
        <v>151</v>
      </c>
    </row>
    <row r="159" spans="2:8">
      <c r="B159" s="114"/>
      <c r="C159" s="140">
        <v>515</v>
      </c>
      <c r="D159" s="39">
        <v>492</v>
      </c>
      <c r="E159" s="8">
        <v>633</v>
      </c>
      <c r="F159" s="140">
        <v>176</v>
      </c>
      <c r="G159" s="39">
        <v>113</v>
      </c>
      <c r="H159" s="9">
        <v>195</v>
      </c>
    </row>
    <row r="160" spans="2:8">
      <c r="B160" s="114"/>
      <c r="C160" s="140">
        <v>602</v>
      </c>
      <c r="D160" s="39">
        <v>455</v>
      </c>
      <c r="E160" s="8">
        <v>727</v>
      </c>
      <c r="F160" s="140">
        <v>184</v>
      </c>
      <c r="G160" s="39">
        <v>121</v>
      </c>
      <c r="H160" s="9">
        <v>175</v>
      </c>
    </row>
    <row r="161" spans="2:8">
      <c r="B161" s="114"/>
      <c r="C161" s="7">
        <v>491</v>
      </c>
      <c r="D161" s="8">
        <v>693</v>
      </c>
      <c r="E161" s="8">
        <v>708</v>
      </c>
      <c r="F161" s="7">
        <v>115</v>
      </c>
      <c r="G161" s="8">
        <v>103</v>
      </c>
      <c r="H161" s="9">
        <v>172</v>
      </c>
    </row>
    <row r="162" spans="2:8">
      <c r="B162" s="113" t="s">
        <v>74</v>
      </c>
      <c r="C162" s="143">
        <v>798</v>
      </c>
      <c r="D162" s="18">
        <v>874</v>
      </c>
      <c r="E162" s="18">
        <v>904</v>
      </c>
      <c r="F162" s="17">
        <v>295</v>
      </c>
      <c r="G162" s="18">
        <v>171</v>
      </c>
      <c r="H162" s="14">
        <v>329</v>
      </c>
    </row>
    <row r="163" spans="2:8">
      <c r="B163" s="114"/>
      <c r="C163" s="140">
        <v>745</v>
      </c>
      <c r="D163" s="39">
        <v>917</v>
      </c>
      <c r="E163" s="8">
        <v>843</v>
      </c>
      <c r="F163" s="7">
        <v>213</v>
      </c>
      <c r="G163" s="39">
        <v>103</v>
      </c>
      <c r="H163" s="9">
        <v>364</v>
      </c>
    </row>
    <row r="164" spans="2:8">
      <c r="B164" s="114"/>
      <c r="C164" s="140">
        <v>903</v>
      </c>
      <c r="D164" s="39">
        <v>935</v>
      </c>
      <c r="E164" s="8">
        <v>817</v>
      </c>
      <c r="F164" s="7">
        <v>299</v>
      </c>
      <c r="G164" s="39">
        <v>302</v>
      </c>
      <c r="H164" s="9">
        <v>221</v>
      </c>
    </row>
    <row r="165" spans="2:8">
      <c r="B165" s="114"/>
      <c r="C165" s="140">
        <v>1105</v>
      </c>
      <c r="D165" s="39">
        <v>848</v>
      </c>
      <c r="E165" s="8">
        <v>776</v>
      </c>
      <c r="F165" s="7">
        <v>302</v>
      </c>
      <c r="G165" s="39">
        <v>219</v>
      </c>
      <c r="H165" s="9">
        <v>315</v>
      </c>
    </row>
    <row r="166" spans="2:8">
      <c r="B166" s="114"/>
      <c r="C166" s="140">
        <v>798</v>
      </c>
      <c r="D166" s="39">
        <v>876</v>
      </c>
      <c r="E166" s="8">
        <v>745</v>
      </c>
      <c r="F166" s="7">
        <v>319</v>
      </c>
      <c r="G166" s="39">
        <v>243</v>
      </c>
      <c r="H166" s="9">
        <v>187</v>
      </c>
    </row>
    <row r="167" spans="2:8">
      <c r="B167" s="114"/>
      <c r="C167" s="140">
        <v>871</v>
      </c>
      <c r="D167" s="39">
        <v>716</v>
      </c>
      <c r="E167" s="8">
        <v>591</v>
      </c>
      <c r="F167" s="7">
        <v>404</v>
      </c>
      <c r="G167" s="39">
        <v>269</v>
      </c>
      <c r="H167" s="9">
        <v>117</v>
      </c>
    </row>
    <row r="168" spans="2:8">
      <c r="B168" s="114"/>
      <c r="C168" s="140">
        <v>834</v>
      </c>
      <c r="D168" s="39">
        <v>731</v>
      </c>
      <c r="E168" s="8">
        <v>678</v>
      </c>
      <c r="F168" s="7">
        <v>318</v>
      </c>
      <c r="G168" s="39">
        <v>288</v>
      </c>
      <c r="H168" s="9">
        <v>328</v>
      </c>
    </row>
    <row r="169" spans="2:8">
      <c r="B169" s="114"/>
      <c r="C169" s="140">
        <v>902</v>
      </c>
      <c r="D169" s="39">
        <v>598</v>
      </c>
      <c r="E169" s="8">
        <v>631</v>
      </c>
      <c r="F169" s="7">
        <v>198</v>
      </c>
      <c r="G169" s="39">
        <v>316</v>
      </c>
      <c r="H169" s="9">
        <v>317</v>
      </c>
    </row>
    <row r="170" spans="2:8">
      <c r="B170" s="114"/>
      <c r="C170" s="140">
        <v>1023</v>
      </c>
      <c r="D170" s="39">
        <v>1321</v>
      </c>
      <c r="E170" s="8">
        <v>694</v>
      </c>
      <c r="F170" s="7">
        <v>192</v>
      </c>
      <c r="G170" s="39">
        <v>208</v>
      </c>
      <c r="H170" s="9">
        <v>377</v>
      </c>
    </row>
    <row r="171" spans="2:8">
      <c r="B171" s="114"/>
      <c r="C171" s="140">
        <v>916</v>
      </c>
      <c r="D171" s="39">
        <v>1076</v>
      </c>
      <c r="E171" s="8">
        <v>733</v>
      </c>
      <c r="F171" s="7">
        <v>216</v>
      </c>
      <c r="G171" s="39">
        <v>191</v>
      </c>
      <c r="H171" s="9">
        <v>205</v>
      </c>
    </row>
    <row r="172" spans="2:8">
      <c r="B172" s="114"/>
      <c r="C172" s="140">
        <v>745</v>
      </c>
      <c r="D172" s="39">
        <v>1088</v>
      </c>
      <c r="E172" s="8">
        <v>896</v>
      </c>
      <c r="F172" s="7">
        <v>248</v>
      </c>
      <c r="G172" s="39">
        <v>97</v>
      </c>
      <c r="H172" s="9">
        <v>293</v>
      </c>
    </row>
    <row r="173" spans="2:8">
      <c r="B173" s="114"/>
      <c r="C173" s="140">
        <v>717</v>
      </c>
      <c r="D173" s="39">
        <v>943</v>
      </c>
      <c r="E173" s="8">
        <v>815</v>
      </c>
      <c r="F173" s="7">
        <v>321</v>
      </c>
      <c r="G173" s="39">
        <v>176</v>
      </c>
      <c r="H173" s="9">
        <v>274</v>
      </c>
    </row>
    <row r="174" spans="2:8">
      <c r="B174" s="114"/>
      <c r="C174" s="140">
        <v>836</v>
      </c>
      <c r="D174" s="39">
        <v>913</v>
      </c>
      <c r="E174" s="8">
        <v>732</v>
      </c>
      <c r="F174" s="7">
        <v>217</v>
      </c>
      <c r="G174" s="39">
        <v>148</v>
      </c>
      <c r="H174" s="9">
        <v>299</v>
      </c>
    </row>
    <row r="175" spans="2:8">
      <c r="B175" s="114"/>
      <c r="C175" s="140">
        <v>699</v>
      </c>
      <c r="D175" s="39">
        <v>716</v>
      </c>
      <c r="E175" s="8">
        <v>719</v>
      </c>
      <c r="F175" s="7">
        <v>221</v>
      </c>
      <c r="G175" s="39">
        <v>157</v>
      </c>
      <c r="H175" s="9">
        <v>216</v>
      </c>
    </row>
    <row r="176" spans="2:8">
      <c r="B176" s="114"/>
      <c r="C176" s="140">
        <v>931</v>
      </c>
      <c r="D176" s="39">
        <v>791</v>
      </c>
      <c r="E176" s="8">
        <v>697</v>
      </c>
      <c r="F176" s="7">
        <v>311</v>
      </c>
      <c r="G176" s="39">
        <v>119</v>
      </c>
      <c r="H176" s="9">
        <v>288</v>
      </c>
    </row>
    <row r="177" spans="2:8">
      <c r="B177" s="114"/>
      <c r="C177" s="140">
        <v>908</v>
      </c>
      <c r="D177" s="39">
        <v>648</v>
      </c>
      <c r="E177" s="8">
        <v>824</v>
      </c>
      <c r="F177" s="7">
        <v>175</v>
      </c>
      <c r="G177" s="39">
        <v>226</v>
      </c>
      <c r="H177" s="9">
        <v>194</v>
      </c>
    </row>
    <row r="178" spans="2:8">
      <c r="B178" s="114"/>
      <c r="C178" s="140">
        <v>976</v>
      </c>
      <c r="D178" s="39">
        <v>709</v>
      </c>
      <c r="E178" s="8">
        <v>862</v>
      </c>
      <c r="F178" s="7">
        <v>93</v>
      </c>
      <c r="G178" s="39">
        <v>234</v>
      </c>
      <c r="H178" s="9">
        <v>117</v>
      </c>
    </row>
    <row r="179" spans="2:8">
      <c r="B179" s="114"/>
      <c r="C179" s="140">
        <v>748</v>
      </c>
      <c r="D179" s="39">
        <v>839</v>
      </c>
      <c r="E179" s="8">
        <v>741</v>
      </c>
      <c r="F179" s="7">
        <v>108</v>
      </c>
      <c r="G179" s="39">
        <v>173</v>
      </c>
      <c r="H179" s="9">
        <v>145</v>
      </c>
    </row>
    <row r="180" spans="2:8">
      <c r="B180" s="114"/>
      <c r="C180" s="140">
        <v>717</v>
      </c>
      <c r="D180" s="39">
        <v>897</v>
      </c>
      <c r="E180" s="8">
        <v>716</v>
      </c>
      <c r="F180" s="7">
        <v>251</v>
      </c>
      <c r="G180" s="39">
        <v>161</v>
      </c>
      <c r="H180" s="9">
        <v>108</v>
      </c>
    </row>
    <row r="181" spans="2:8">
      <c r="B181" s="115"/>
      <c r="C181" s="10">
        <v>813</v>
      </c>
      <c r="D181" s="11">
        <v>919</v>
      </c>
      <c r="E181" s="11">
        <v>913</v>
      </c>
      <c r="F181" s="10">
        <v>306</v>
      </c>
      <c r="G181" s="11">
        <v>118</v>
      </c>
      <c r="H181" s="12">
        <v>237</v>
      </c>
    </row>
    <row r="182" spans="2:8">
      <c r="B182" s="114" t="s">
        <v>75</v>
      </c>
      <c r="C182" s="7">
        <v>1118</v>
      </c>
      <c r="D182" s="8">
        <v>1041</v>
      </c>
      <c r="E182" s="8">
        <v>997</v>
      </c>
      <c r="F182" s="7">
        <v>409</v>
      </c>
      <c r="G182" s="8">
        <v>499</v>
      </c>
      <c r="H182" s="9">
        <v>399</v>
      </c>
    </row>
    <row r="183" spans="2:8">
      <c r="B183" s="114"/>
      <c r="C183" s="140">
        <v>976</v>
      </c>
      <c r="D183" s="39">
        <v>1173</v>
      </c>
      <c r="E183" s="8">
        <v>1498</v>
      </c>
      <c r="F183" s="7">
        <v>417</v>
      </c>
      <c r="G183" s="39">
        <v>318</v>
      </c>
      <c r="H183" s="9">
        <v>431</v>
      </c>
    </row>
    <row r="184" spans="2:8">
      <c r="B184" s="114"/>
      <c r="C184" s="140">
        <v>931</v>
      </c>
      <c r="D184" s="39">
        <v>1208</v>
      </c>
      <c r="E184" s="8">
        <v>1532</v>
      </c>
      <c r="F184" s="7">
        <v>375</v>
      </c>
      <c r="G184" s="39">
        <v>399</v>
      </c>
      <c r="H184" s="9">
        <v>521</v>
      </c>
    </row>
    <row r="185" spans="2:8">
      <c r="B185" s="114"/>
      <c r="C185" s="140">
        <v>1098</v>
      </c>
      <c r="D185" s="39">
        <v>1316</v>
      </c>
      <c r="E185" s="8">
        <v>1071</v>
      </c>
      <c r="F185" s="7">
        <v>517</v>
      </c>
      <c r="G185" s="39">
        <v>417</v>
      </c>
      <c r="H185" s="9">
        <v>536</v>
      </c>
    </row>
    <row r="186" spans="2:8">
      <c r="B186" s="114"/>
      <c r="C186" s="140">
        <v>1176</v>
      </c>
      <c r="D186" s="39">
        <v>931</v>
      </c>
      <c r="E186" s="8">
        <v>993</v>
      </c>
      <c r="F186" s="7">
        <v>509</v>
      </c>
      <c r="G186" s="39">
        <v>581</v>
      </c>
      <c r="H186" s="9">
        <v>391</v>
      </c>
    </row>
    <row r="187" spans="2:8">
      <c r="B187" s="114"/>
      <c r="C187" s="140">
        <v>945</v>
      </c>
      <c r="D187" s="39">
        <v>997</v>
      </c>
      <c r="E187" s="8">
        <v>978</v>
      </c>
      <c r="F187" s="7">
        <v>516</v>
      </c>
      <c r="G187" s="39">
        <v>513</v>
      </c>
      <c r="H187" s="9">
        <v>467</v>
      </c>
    </row>
    <row r="188" spans="2:8">
      <c r="B188" s="114"/>
      <c r="C188" s="140">
        <v>1081</v>
      </c>
      <c r="D188" s="39">
        <v>1402</v>
      </c>
      <c r="E188" s="8">
        <v>1005</v>
      </c>
      <c r="F188" s="7">
        <v>339</v>
      </c>
      <c r="G188" s="39">
        <v>315</v>
      </c>
      <c r="H188" s="9">
        <v>492</v>
      </c>
    </row>
    <row r="189" spans="2:8">
      <c r="B189" s="114"/>
      <c r="C189" s="140">
        <v>1634</v>
      </c>
      <c r="D189" s="39">
        <v>1171</v>
      </c>
      <c r="E189" s="8">
        <v>935</v>
      </c>
      <c r="F189" s="7">
        <v>518</v>
      </c>
      <c r="G189" s="39">
        <v>509</v>
      </c>
      <c r="H189" s="9">
        <v>399</v>
      </c>
    </row>
    <row r="190" spans="2:8">
      <c r="B190" s="114"/>
      <c r="C190" s="140">
        <v>1402</v>
      </c>
      <c r="D190" s="39">
        <v>1936</v>
      </c>
      <c r="E190" s="8">
        <v>1233</v>
      </c>
      <c r="F190" s="7">
        <v>599</v>
      </c>
      <c r="G190" s="39">
        <v>417</v>
      </c>
      <c r="H190" s="9">
        <v>453</v>
      </c>
    </row>
    <row r="191" spans="2:8">
      <c r="B191" s="114"/>
      <c r="C191" s="140">
        <v>1723</v>
      </c>
      <c r="D191" s="39">
        <v>985</v>
      </c>
      <c r="E191" s="8">
        <v>1051</v>
      </c>
      <c r="F191" s="7">
        <v>316</v>
      </c>
      <c r="G191" s="39">
        <v>443</v>
      </c>
      <c r="H191" s="9">
        <v>517</v>
      </c>
    </row>
    <row r="192" spans="2:8">
      <c r="B192" s="114"/>
      <c r="C192" s="140">
        <v>899</v>
      </c>
      <c r="D192" s="39">
        <v>934</v>
      </c>
      <c r="E192" s="8">
        <v>931</v>
      </c>
      <c r="F192" s="7">
        <v>278</v>
      </c>
      <c r="G192" s="39">
        <v>293</v>
      </c>
      <c r="H192" s="9">
        <v>318</v>
      </c>
    </row>
    <row r="193" spans="2:8">
      <c r="B193" s="114"/>
      <c r="C193" s="140">
        <v>1275</v>
      </c>
      <c r="D193" s="39">
        <v>1236</v>
      </c>
      <c r="E193" s="8">
        <v>1291</v>
      </c>
      <c r="F193" s="7">
        <v>271</v>
      </c>
      <c r="G193" s="39">
        <v>207</v>
      </c>
      <c r="H193" s="9">
        <v>399</v>
      </c>
    </row>
    <row r="194" spans="2:8">
      <c r="B194" s="114"/>
      <c r="C194" s="140">
        <v>1231</v>
      </c>
      <c r="D194" s="39">
        <v>1287</v>
      </c>
      <c r="E194" s="8">
        <v>1344</v>
      </c>
      <c r="F194" s="7">
        <v>234</v>
      </c>
      <c r="G194" s="39">
        <v>291</v>
      </c>
      <c r="H194" s="9">
        <v>374</v>
      </c>
    </row>
    <row r="195" spans="2:8">
      <c r="B195" s="114"/>
      <c r="C195" s="140">
        <v>896</v>
      </c>
      <c r="D195" s="39">
        <v>957</v>
      </c>
      <c r="E195" s="8">
        <v>988</v>
      </c>
      <c r="F195" s="7">
        <v>431</v>
      </c>
      <c r="G195" s="39">
        <v>521</v>
      </c>
      <c r="H195" s="9">
        <v>317</v>
      </c>
    </row>
    <row r="196" spans="2:8">
      <c r="B196" s="114"/>
      <c r="C196" s="140">
        <v>972</v>
      </c>
      <c r="D196" s="39">
        <v>1093</v>
      </c>
      <c r="E196" s="8">
        <v>1045</v>
      </c>
      <c r="F196" s="7">
        <v>376</v>
      </c>
      <c r="G196" s="39">
        <v>388</v>
      </c>
      <c r="H196" s="9">
        <v>594</v>
      </c>
    </row>
    <row r="197" spans="2:8">
      <c r="B197" s="114"/>
      <c r="C197" s="140">
        <v>1618</v>
      </c>
      <c r="D197" s="39">
        <v>1631</v>
      </c>
      <c r="E197" s="8">
        <v>1233</v>
      </c>
      <c r="F197" s="7">
        <v>399</v>
      </c>
      <c r="G197" s="39">
        <v>416</v>
      </c>
      <c r="H197" s="9">
        <v>442</v>
      </c>
    </row>
    <row r="198" spans="2:8">
      <c r="B198" s="114"/>
      <c r="C198" s="140">
        <v>1941</v>
      </c>
      <c r="D198" s="39">
        <v>1439</v>
      </c>
      <c r="E198" s="8">
        <v>1327</v>
      </c>
      <c r="F198" s="7">
        <v>621</v>
      </c>
      <c r="G198" s="39">
        <v>308</v>
      </c>
      <c r="H198" s="9">
        <v>435</v>
      </c>
    </row>
    <row r="199" spans="2:8">
      <c r="B199" s="114"/>
      <c r="C199" s="140">
        <v>1933</v>
      </c>
      <c r="D199" s="39">
        <v>1515</v>
      </c>
      <c r="E199" s="8">
        <v>997</v>
      </c>
      <c r="F199" s="7">
        <v>517</v>
      </c>
      <c r="G199" s="39">
        <v>377</v>
      </c>
      <c r="H199" s="9">
        <v>351</v>
      </c>
    </row>
    <row r="200" spans="2:8">
      <c r="B200" s="114"/>
      <c r="C200" s="140">
        <v>798</v>
      </c>
      <c r="D200" s="39">
        <v>1333</v>
      </c>
      <c r="E200" s="8">
        <v>1613</v>
      </c>
      <c r="F200" s="7">
        <v>412</v>
      </c>
      <c r="G200" s="39">
        <v>395</v>
      </c>
      <c r="H200" s="9">
        <v>391</v>
      </c>
    </row>
    <row r="201" spans="2:8">
      <c r="B201" s="115"/>
      <c r="C201" s="10">
        <v>1066</v>
      </c>
      <c r="D201" s="11">
        <v>1900</v>
      </c>
      <c r="E201" s="11">
        <v>944</v>
      </c>
      <c r="F201" s="10">
        <v>408</v>
      </c>
      <c r="G201" s="11">
        <v>345</v>
      </c>
      <c r="H201" s="12">
        <v>475</v>
      </c>
    </row>
  </sheetData>
  <mergeCells count="12">
    <mergeCell ref="B82:B101"/>
    <mergeCell ref="B102:B121"/>
    <mergeCell ref="B122:B141"/>
    <mergeCell ref="B142:B161"/>
    <mergeCell ref="B162:B181"/>
    <mergeCell ref="B182:B201"/>
    <mergeCell ref="C2:E2"/>
    <mergeCell ref="F2:H2"/>
    <mergeCell ref="B4:B21"/>
    <mergeCell ref="B22:B41"/>
    <mergeCell ref="B42:B61"/>
    <mergeCell ref="B62:B8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Fig1A</vt:lpstr>
      <vt:lpstr>Fig1B</vt:lpstr>
      <vt:lpstr>Fig1C</vt:lpstr>
      <vt:lpstr>Fig1F</vt:lpstr>
      <vt:lpstr>Fig1I-J</vt:lpstr>
      <vt:lpstr>Fig2A-B</vt:lpstr>
      <vt:lpstr>Fig2C</vt:lpstr>
      <vt:lpstr>Fig2D-E</vt:lpstr>
      <vt:lpstr>Fig2G</vt:lpstr>
      <vt:lpstr>Fig2H</vt:lpstr>
      <vt:lpstr>Fig3E</vt:lpstr>
      <vt:lpstr>Fig4A</vt:lpstr>
      <vt:lpstr>Fig4B-J</vt:lpstr>
      <vt:lpstr>Fig5B</vt:lpstr>
      <vt:lpstr>Fig5C</vt:lpstr>
      <vt:lpstr>Fig5E</vt:lpstr>
      <vt:lpstr>Fig5G</vt:lpstr>
      <vt:lpstr>Fig6B</vt:lpstr>
      <vt:lpstr>Fig6D</vt:lpstr>
      <vt:lpstr>Fig6E</vt:lpstr>
      <vt:lpstr>Fig6F</vt:lpstr>
      <vt:lpstr>Fig6G</vt:lpstr>
      <vt:lpstr>Fig6H</vt:lpstr>
      <vt:lpstr>Fig7C</vt:lpstr>
      <vt:lpstr>Fig7D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Silva Pereira</dc:creator>
  <cp:lastModifiedBy>Sara Silva Pereira</cp:lastModifiedBy>
  <dcterms:created xsi:type="dcterms:W3CDTF">2022-05-27T09:52:05Z</dcterms:created>
  <dcterms:modified xsi:type="dcterms:W3CDTF">2022-05-27T14:47:30Z</dcterms:modified>
</cp:coreProperties>
</file>