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/Desktop/Source Datasets R1/"/>
    </mc:Choice>
  </mc:AlternateContent>
  <xr:revisionPtr revIDLastSave="0" documentId="8_{FC5295F6-C4E7-3B41-973B-13153E18AD03}" xr6:coauthVersionLast="47" xr6:coauthVersionMax="47" xr10:uidLastSave="{00000000-0000-0000-0000-000000000000}"/>
  <bookViews>
    <workbookView xWindow="2200" yWindow="500" windowWidth="28620" windowHeight="17500" xr2:uid="{F520B871-1EB6-7A4E-977B-F72A861E9938}"/>
  </bookViews>
  <sheets>
    <sheet name="CSAS-RN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H23" i="1"/>
  <c r="F23" i="1"/>
  <c r="D23" i="1"/>
  <c r="B23" i="1"/>
  <c r="J22" i="1"/>
  <c r="H22" i="1"/>
  <c r="F22" i="1"/>
  <c r="D22" i="1"/>
  <c r="B22" i="1"/>
  <c r="J21" i="1"/>
  <c r="H21" i="1"/>
  <c r="F21" i="1"/>
  <c r="D21" i="1"/>
  <c r="B21" i="1"/>
  <c r="L20" i="1"/>
  <c r="J20" i="1"/>
  <c r="H20" i="1"/>
  <c r="F20" i="1"/>
  <c r="D20" i="1"/>
  <c r="B20" i="1"/>
  <c r="J19" i="1"/>
  <c r="H19" i="1"/>
  <c r="F19" i="1"/>
  <c r="D19" i="1"/>
  <c r="B19" i="1"/>
  <c r="L18" i="1"/>
  <c r="J18" i="1"/>
  <c r="H18" i="1"/>
  <c r="F18" i="1"/>
  <c r="D18" i="1"/>
  <c r="B18" i="1"/>
  <c r="L17" i="1"/>
  <c r="J17" i="1"/>
  <c r="H17" i="1"/>
  <c r="F17" i="1"/>
  <c r="D17" i="1"/>
  <c r="B17" i="1"/>
  <c r="J16" i="1"/>
  <c r="H16" i="1"/>
  <c r="F16" i="1"/>
  <c r="D16" i="1"/>
  <c r="B16" i="1"/>
  <c r="J15" i="1"/>
  <c r="H15" i="1"/>
  <c r="F15" i="1"/>
  <c r="D15" i="1"/>
  <c r="B15" i="1"/>
  <c r="L14" i="1"/>
  <c r="J14" i="1"/>
  <c r="H14" i="1"/>
  <c r="F14" i="1"/>
  <c r="D14" i="1"/>
  <c r="B14" i="1"/>
  <c r="L13" i="1"/>
  <c r="J13" i="1"/>
  <c r="H13" i="1"/>
  <c r="F13" i="1"/>
  <c r="D13" i="1"/>
  <c r="B13" i="1"/>
  <c r="J12" i="1"/>
  <c r="H12" i="1"/>
  <c r="F12" i="1"/>
  <c r="D12" i="1"/>
  <c r="B12" i="1"/>
  <c r="H11" i="1"/>
  <c r="F11" i="1"/>
  <c r="D11" i="1"/>
  <c r="B11" i="1"/>
  <c r="L10" i="1"/>
  <c r="H10" i="1"/>
  <c r="F10" i="1"/>
  <c r="D10" i="1"/>
  <c r="B10" i="1"/>
  <c r="J9" i="1"/>
  <c r="H9" i="1"/>
  <c r="F9" i="1"/>
  <c r="D9" i="1"/>
  <c r="B9" i="1"/>
  <c r="J8" i="1"/>
  <c r="H8" i="1"/>
  <c r="F8" i="1"/>
  <c r="D8" i="1"/>
  <c r="B8" i="1"/>
  <c r="L7" i="1"/>
  <c r="J7" i="1"/>
  <c r="H7" i="1"/>
  <c r="F7" i="1"/>
  <c r="D7" i="1"/>
  <c r="B7" i="1"/>
  <c r="L6" i="1"/>
  <c r="J6" i="1"/>
  <c r="H6" i="1"/>
  <c r="F6" i="1"/>
  <c r="D6" i="1"/>
  <c r="B6" i="1"/>
  <c r="L5" i="1"/>
  <c r="J5" i="1"/>
  <c r="H5" i="1"/>
  <c r="F5" i="1"/>
  <c r="D5" i="1"/>
  <c r="B5" i="1"/>
  <c r="J4" i="1"/>
  <c r="H4" i="1"/>
  <c r="F4" i="1"/>
  <c r="D4" i="1"/>
  <c r="B4" i="1"/>
  <c r="BJ15" i="1" l="1"/>
</calcChain>
</file>

<file path=xl/sharedStrings.xml><?xml version="1.0" encoding="utf-8"?>
<sst xmlns="http://schemas.openxmlformats.org/spreadsheetml/2006/main" count="8" uniqueCount="8">
  <si>
    <t>WT</t>
  </si>
  <si>
    <t>CSAS[21/21]</t>
  </si>
  <si>
    <t>Onset of paralysis at 38C, sec</t>
  </si>
  <si>
    <t>^_&gt;CSAS-RNAi</t>
  </si>
  <si>
    <t>^C155&gt;CSAS-RNAi</t>
  </si>
  <si>
    <t>^Repo&gt;_</t>
  </si>
  <si>
    <t>^Repo&gt;CSAS-RNAi</t>
  </si>
  <si>
    <t>Fly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</si>
</sst>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CSAS RNAi Heat Shock Results/ Controls (38C)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9631552479997798"/>
          <c:y val="8.6904815081327302E-2"/>
          <c:w val="0.47005996784450066"/>
          <c:h val="0.76635259733209526"/>
        </c:manualLayout>
      </c:layout>
      <c:barChart>
        <c:barDir val="bar"/>
        <c:grouping val="clustered"/>
        <c:varyColors val="0"/>
        <c:ser>
          <c:idx val="6"/>
          <c:order val="0"/>
          <c:tx>
            <c:strRef>
              <c:f>'CSAS-RNAi'!$H$3</c:f>
              <c:strCache>
                <c:ptCount val="1"/>
                <c:pt idx="0">
                  <c:v>^Repo&gt;_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'CSAS-RNAi'!$H$26</c:f>
                <c:numCache>
                  <c:formatCode>General</c:formatCode>
                  <c:ptCount val="1"/>
                </c:numCache>
              </c:numRef>
            </c:plus>
            <c:minus>
              <c:numRef>
                <c:f>'CSAS-RNAi'!$H$26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'CSAS-RNAi'!$H$24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F63-E44F-B0E7-DBFF1A78EA74}"/>
            </c:ext>
          </c:extLst>
        </c:ser>
        <c:ser>
          <c:idx val="5"/>
          <c:order val="1"/>
          <c:tx>
            <c:strRef>
              <c:f>'CSAS-RNAi'!$AM$32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'CSAS-RNAi'!$AO$57</c:f>
                <c:numCache>
                  <c:formatCode>General</c:formatCode>
                  <c:ptCount val="1"/>
                </c:numCache>
              </c:numRef>
            </c:plus>
            <c:minus>
              <c:numRef>
                <c:f>'CSAS-RNAi'!$AO$57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'CSAS-RNAi'!$AO$55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F63-E44F-B0E7-DBFF1A78EA74}"/>
            </c:ext>
          </c:extLst>
        </c:ser>
        <c:ser>
          <c:idx val="2"/>
          <c:order val="2"/>
          <c:tx>
            <c:strRef>
              <c:f>'CSAS-RNAi'!$W$32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'CSAS-RNAi'!$Y$57</c:f>
                <c:numCache>
                  <c:formatCode>General</c:formatCode>
                  <c:ptCount val="1"/>
                </c:numCache>
              </c:numRef>
            </c:plus>
            <c:minus>
              <c:numRef>
                <c:f>'CSAS-RNAi'!$Y$57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'CSAS-RNAi'!$Y$55</c:f>
              <c:numCache>
                <c:formatCode>General</c:formatCode>
                <c:ptCount val="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F63-E44F-B0E7-DBFF1A78EA74}"/>
            </c:ext>
          </c:extLst>
        </c:ser>
        <c:ser>
          <c:idx val="3"/>
          <c:order val="3"/>
          <c:tx>
            <c:strRef>
              <c:f>'CSAS-RNAi'!$AE$3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F63-E44F-B0E7-DBFF1A78E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'CSAS-RNAi'!$AG$28</c:f>
                <c:numCache>
                  <c:formatCode>General</c:formatCode>
                  <c:ptCount val="1"/>
                </c:numCache>
              </c:numRef>
            </c:plus>
            <c:minus>
              <c:numRef>
                <c:f>'CSAS-RNAi'!$AG$28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'CSAS-RNAi'!$AG$26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BF63-E44F-B0E7-DBFF1A78EA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42301008"/>
        <c:axId val="442295432"/>
        <c:extLst/>
      </c:barChart>
      <c:catAx>
        <c:axId val="442301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2295432"/>
        <c:crosses val="autoZero"/>
        <c:auto val="1"/>
        <c:lblAlgn val="ctr"/>
        <c:lblOffset val="100"/>
        <c:noMultiLvlLbl val="0"/>
      </c:catAx>
      <c:valAx>
        <c:axId val="442295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Onset of Paralysis (seconds)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30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5371100732995749E-3"/>
          <c:y val="0.17025426052582757"/>
          <c:w val="0.49119086492091812"/>
          <c:h val="0.60277070710594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CSAS RNAi Heat Shock Results (38C)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9631552479997798"/>
          <c:y val="8.6904815081327302E-2"/>
          <c:w val="0.47005996784450066"/>
          <c:h val="0.766352597332095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'CSAS-RNAi'!$F$3</c:f>
              <c:strCache>
                <c:ptCount val="1"/>
                <c:pt idx="0">
                  <c:v>^C155&gt;CSAS-RNAi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'CSAS-RNAi'!$F$26</c:f>
                <c:numCache>
                  <c:formatCode>General</c:formatCode>
                  <c:ptCount val="1"/>
                </c:numCache>
              </c:numRef>
            </c:plus>
            <c:minus>
              <c:numRef>
                <c:f>'CSAS-RNAi'!$F$26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'CSAS-RNAi'!$F$24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9CA-B940-ACA3-CF96E38B5AFD}"/>
            </c:ext>
          </c:extLst>
        </c:ser>
        <c:ser>
          <c:idx val="1"/>
          <c:order val="1"/>
          <c:tx>
            <c:strRef>
              <c:f>'CSAS-RNAi'!$S$32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'CSAS-RNAi'!$U$57</c:f>
                <c:numCache>
                  <c:formatCode>General</c:formatCode>
                  <c:ptCount val="1"/>
                </c:numCache>
              </c:numRef>
            </c:plus>
            <c:minus>
              <c:numRef>
                <c:f>'CSAS-RNAi'!$U$57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'CSAS-RNAi'!$U$55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09CA-B940-ACA3-CF96E38B5AFD}"/>
            </c:ext>
          </c:extLst>
        </c:ser>
        <c:ser>
          <c:idx val="2"/>
          <c:order val="2"/>
          <c:tx>
            <c:strRef>
              <c:f>'CSAS-RNAi'!$W$32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'CSAS-RNAi'!$Y$57</c:f>
                <c:numCache>
                  <c:formatCode>General</c:formatCode>
                  <c:ptCount val="1"/>
                </c:numCache>
              </c:numRef>
            </c:plus>
            <c:minus>
              <c:numRef>
                <c:f>'CSAS-RNAi'!$Y$57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'CSAS-RNAi'!$Y$55</c:f>
              <c:numCache>
                <c:formatCode>General</c:formatCode>
                <c:ptCount val="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09CA-B940-ACA3-CF96E38B5AFD}"/>
            </c:ext>
          </c:extLst>
        </c:ser>
        <c:ser>
          <c:idx val="4"/>
          <c:order val="3"/>
          <c:tx>
            <c:strRef>
              <c:f>'CSAS-RNAi'!$AI$3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'CSAS-RNAi'!$AK$28</c:f>
                <c:numCache>
                  <c:formatCode>General</c:formatCode>
                  <c:ptCount val="1"/>
                </c:numCache>
              </c:numRef>
            </c:plus>
            <c:minus>
              <c:numRef>
                <c:f>'CSAS-RNAi'!$AK$28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'CSAS-RNAi'!$AK$26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9CA-B940-ACA3-CF96E38B5AFD}"/>
            </c:ext>
          </c:extLst>
        </c:ser>
        <c:ser>
          <c:idx val="3"/>
          <c:order val="4"/>
          <c:tx>
            <c:strRef>
              <c:f>'CSAS-RNAi'!$AE$3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9CA-B940-ACA3-CF96E38B5A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'CSAS-RNAi'!$AG$28</c:f>
                <c:numCache>
                  <c:formatCode>General</c:formatCode>
                  <c:ptCount val="1"/>
                </c:numCache>
              </c:numRef>
            </c:plus>
            <c:minus>
              <c:numRef>
                <c:f>'CSAS-RNAi'!$AG$28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'CSAS-RNAi'!$AG$26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09CA-B940-ACA3-CF96E38B5A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42301008"/>
        <c:axId val="442295432"/>
        <c:extLst/>
      </c:barChart>
      <c:catAx>
        <c:axId val="442301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2295432"/>
        <c:crosses val="autoZero"/>
        <c:auto val="1"/>
        <c:lblAlgn val="ctr"/>
        <c:lblOffset val="100"/>
        <c:noMultiLvlLbl val="0"/>
      </c:catAx>
      <c:valAx>
        <c:axId val="442295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Onset of Paralysis (seconds)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30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"/>
          <c:y val="0.3965236133562775"/>
          <c:w val="0.49119086492091812"/>
          <c:h val="0.60277070710594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52</xdr:col>
      <xdr:colOff>83820</xdr:colOff>
      <xdr:row>0</xdr:row>
      <xdr:rowOff>0</xdr:rowOff>
    </xdr:from>
    <xdr:ext cx="869149" cy="37414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2181F7-BEAB-A846-82AF-2A38648C0E7A}"/>
            </a:ext>
          </a:extLst>
        </xdr:cNvPr>
        <xdr:cNvSpPr txBox="1"/>
      </xdr:nvSpPr>
      <xdr:spPr>
        <a:xfrm>
          <a:off x="40241220" y="0"/>
          <a:ext cx="8691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/>
            <a:t>Leathal</a:t>
          </a:r>
        </a:p>
      </xdr:txBody>
    </xdr:sp>
    <xdr:clientData/>
  </xdr:oneCellAnchor>
  <xdr:oneCellAnchor>
    <xdr:from>
      <xdr:col>42</xdr:col>
      <xdr:colOff>175949</xdr:colOff>
      <xdr:row>0</xdr:row>
      <xdr:rowOff>0</xdr:rowOff>
    </xdr:from>
    <xdr:ext cx="869149" cy="3741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3F8E28-E14B-E545-8F00-2674F851CFFD}"/>
            </a:ext>
          </a:extLst>
        </xdr:cNvPr>
        <xdr:cNvSpPr txBox="1"/>
      </xdr:nvSpPr>
      <xdr:spPr>
        <a:xfrm>
          <a:off x="32484749" y="0"/>
          <a:ext cx="8691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/>
            <a:t>Leathal</a:t>
          </a:r>
        </a:p>
      </xdr:txBody>
    </xdr:sp>
    <xdr:clientData/>
  </xdr:oneCellAnchor>
  <xdr:twoCellAnchor>
    <xdr:from>
      <xdr:col>32</xdr:col>
      <xdr:colOff>654047</xdr:colOff>
      <xdr:row>62</xdr:row>
      <xdr:rowOff>133350</xdr:rowOff>
    </xdr:from>
    <xdr:to>
      <xdr:col>49</xdr:col>
      <xdr:colOff>494761</xdr:colOff>
      <xdr:row>86</xdr:row>
      <xdr:rowOff>163830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8DE9DF5-F999-C04B-8E71-55BB8AB58164}"/>
            </a:ext>
          </a:extLst>
        </xdr:cNvPr>
        <xdr:cNvGrpSpPr/>
      </xdr:nvGrpSpPr>
      <xdr:grpSpPr>
        <a:xfrm>
          <a:off x="22281182" y="12105514"/>
          <a:ext cx="12043111" cy="4664866"/>
          <a:chOff x="17297397" y="35140898"/>
          <a:chExt cx="10242014" cy="5961382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913B0586-5131-354E-93A7-9A4D5240DAEC}"/>
              </a:ext>
            </a:extLst>
          </xdr:cNvPr>
          <xdr:cNvGraphicFramePr/>
        </xdr:nvGraphicFramePr>
        <xdr:xfrm>
          <a:off x="17297397" y="35140898"/>
          <a:ext cx="10242014" cy="5961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1350B0B1-2779-7746-80E5-4D0CDF70BFFB}"/>
              </a:ext>
            </a:extLst>
          </xdr:cNvPr>
          <xdr:cNvCxnSpPr/>
        </xdr:nvCxnSpPr>
        <xdr:spPr>
          <a:xfrm flipH="1" flipV="1">
            <a:off x="26781759" y="39424830"/>
            <a:ext cx="131850" cy="588"/>
          </a:xfrm>
          <a:prstGeom prst="lin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317500</xdr:colOff>
      <xdr:row>59</xdr:row>
      <xdr:rowOff>139700</xdr:rowOff>
    </xdr:from>
    <xdr:to>
      <xdr:col>32</xdr:col>
      <xdr:colOff>209014</xdr:colOff>
      <xdr:row>83</xdr:row>
      <xdr:rowOff>119380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9D7DEB-75E6-9E40-BA3D-5BB897AB7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6638-1497-6340-B26E-2284D876830C}">
  <dimension ref="A1:BJ27"/>
  <sheetViews>
    <sheetView tabSelected="1" zoomScale="171" zoomScaleNormal="171" workbookViewId="0">
      <selection activeCell="M6" sqref="M6"/>
    </sheetView>
  </sheetViews>
  <sheetFormatPr baseColWidth="10" defaultColWidth="8.83203125" defaultRowHeight="15" x14ac:dyDescent="0.2"/>
  <cols>
    <col min="1" max="1" width="8.83203125" style="5"/>
    <col min="45" max="45" width="13" bestFit="1" customWidth="1"/>
    <col min="48" max="48" width="14.1640625" bestFit="1" customWidth="1"/>
    <col min="52" max="52" width="14" bestFit="1" customWidth="1"/>
    <col min="62" max="62" width="13.5" bestFit="1" customWidth="1"/>
  </cols>
  <sheetData>
    <row r="1" spans="1:62" x14ac:dyDescent="0.2">
      <c r="A1" t="s">
        <v>2</v>
      </c>
    </row>
    <row r="2" spans="1:62" s="1" customFormat="1" x14ac:dyDescent="0.2"/>
    <row r="3" spans="1:62" x14ac:dyDescent="0.2">
      <c r="A3" s="2" t="s">
        <v>7</v>
      </c>
      <c r="B3" s="10" t="s">
        <v>0</v>
      </c>
      <c r="C3" s="11"/>
      <c r="D3" s="11" t="s">
        <v>3</v>
      </c>
      <c r="E3" s="11"/>
      <c r="F3" s="11" t="s">
        <v>4</v>
      </c>
      <c r="G3" s="11"/>
      <c r="H3" s="11" t="s">
        <v>5</v>
      </c>
      <c r="I3" s="11"/>
      <c r="J3" s="11" t="s">
        <v>6</v>
      </c>
      <c r="K3" s="11"/>
      <c r="L3" s="11" t="s">
        <v>1</v>
      </c>
      <c r="M3" s="12"/>
      <c r="N3" s="3"/>
      <c r="O3" s="3"/>
      <c r="P3" s="3"/>
      <c r="Q3" s="3"/>
      <c r="R3" s="3"/>
      <c r="S3" s="3"/>
      <c r="T3" s="3"/>
      <c r="U3" s="3"/>
    </row>
    <row r="4" spans="1:62" x14ac:dyDescent="0.2">
      <c r="A4" s="4">
        <v>1</v>
      </c>
      <c r="B4" s="3">
        <f>(38*60)+47</f>
        <v>2327</v>
      </c>
      <c r="D4">
        <f>(40*60)+2</f>
        <v>2402</v>
      </c>
      <c r="F4" s="3">
        <f>(27*60)+38</f>
        <v>1658</v>
      </c>
      <c r="H4" s="3">
        <f>(18*60)</f>
        <v>1080</v>
      </c>
      <c r="J4" s="3">
        <f>(2*60)+53</f>
        <v>173</v>
      </c>
      <c r="L4">
        <v>154</v>
      </c>
    </row>
    <row r="5" spans="1:62" x14ac:dyDescent="0.2">
      <c r="A5" s="4">
        <v>2</v>
      </c>
      <c r="B5" s="3">
        <f>(14*60)+43</f>
        <v>883</v>
      </c>
      <c r="D5">
        <f>(23*60)+7</f>
        <v>1387</v>
      </c>
      <c r="F5" s="3">
        <f>(35*60)+53</f>
        <v>2153</v>
      </c>
      <c r="H5" s="3">
        <f>(24*60)+35</f>
        <v>1475</v>
      </c>
      <c r="J5" s="3">
        <f>(2*60)+9</f>
        <v>129</v>
      </c>
      <c r="L5">
        <f>(4*60)+52</f>
        <v>292</v>
      </c>
    </row>
    <row r="6" spans="1:62" x14ac:dyDescent="0.2">
      <c r="A6" s="4">
        <v>3</v>
      </c>
      <c r="B6" s="3">
        <f>(23*60)+17</f>
        <v>1397</v>
      </c>
      <c r="D6">
        <f>(23*60)+7</f>
        <v>1387</v>
      </c>
      <c r="F6" s="3">
        <f>(41*60)+35</f>
        <v>2495</v>
      </c>
      <c r="H6" s="3">
        <f>(25*60)+28</f>
        <v>1528</v>
      </c>
      <c r="J6" s="3">
        <f>(5*60)+27</f>
        <v>327</v>
      </c>
      <c r="L6">
        <f>60+57</f>
        <v>117</v>
      </c>
    </row>
    <row r="7" spans="1:62" x14ac:dyDescent="0.2">
      <c r="A7" s="4">
        <v>4</v>
      </c>
      <c r="B7" s="3">
        <f>(35*60)+20</f>
        <v>2120</v>
      </c>
      <c r="D7">
        <f>(32*60)+6</f>
        <v>1926</v>
      </c>
      <c r="F7" s="3">
        <f>(25*60)+19</f>
        <v>1519</v>
      </c>
      <c r="H7" s="3">
        <f>(26*60)+3</f>
        <v>1563</v>
      </c>
      <c r="J7" s="3">
        <f>(4*60)+21</f>
        <v>261</v>
      </c>
      <c r="L7">
        <f>(6*60)+2</f>
        <v>362</v>
      </c>
    </row>
    <row r="8" spans="1:62" x14ac:dyDescent="0.2">
      <c r="A8" s="4">
        <v>5</v>
      </c>
      <c r="B8" s="3">
        <f>(22*60)+53</f>
        <v>1373</v>
      </c>
      <c r="D8">
        <f>(23*60)+51</f>
        <v>1431</v>
      </c>
      <c r="F8" s="3">
        <f>(28*60)+14</f>
        <v>1694</v>
      </c>
      <c r="H8" s="3">
        <f>(34*60)+23</f>
        <v>2063</v>
      </c>
      <c r="J8" s="3">
        <f>(2*60)+8</f>
        <v>128</v>
      </c>
      <c r="L8">
        <v>68</v>
      </c>
    </row>
    <row r="9" spans="1:62" x14ac:dyDescent="0.2">
      <c r="A9" s="4">
        <v>6</v>
      </c>
      <c r="B9" s="3">
        <f>(41*60)+32</f>
        <v>2492</v>
      </c>
      <c r="D9">
        <f>(31*60)+23</f>
        <v>1883</v>
      </c>
      <c r="F9" s="3">
        <f>(35*60)+12</f>
        <v>2112</v>
      </c>
      <c r="H9" s="3">
        <f>(30*60)+34</f>
        <v>1834</v>
      </c>
      <c r="J9" s="3">
        <f>(3*60)+2</f>
        <v>182</v>
      </c>
      <c r="L9">
        <v>54</v>
      </c>
    </row>
    <row r="10" spans="1:62" x14ac:dyDescent="0.2">
      <c r="A10" s="4">
        <v>7</v>
      </c>
      <c r="B10" s="3">
        <f>(42*60)+48</f>
        <v>2568</v>
      </c>
      <c r="D10">
        <f>(27*60)+3</f>
        <v>1623</v>
      </c>
      <c r="F10" s="3">
        <f>(28*60)+55</f>
        <v>1735</v>
      </c>
      <c r="H10" s="3">
        <f>(40*60)+48</f>
        <v>2448</v>
      </c>
      <c r="J10" s="3">
        <v>130</v>
      </c>
      <c r="L10">
        <f>(60+53)</f>
        <v>113</v>
      </c>
    </row>
    <row r="11" spans="1:62" x14ac:dyDescent="0.2">
      <c r="A11" s="4">
        <v>8</v>
      </c>
      <c r="B11" s="3">
        <f>(41*60)+37</f>
        <v>2497</v>
      </c>
      <c r="D11">
        <f>(21*60)+8</f>
        <v>1268</v>
      </c>
      <c r="F11" s="3">
        <f>(23*60)+57</f>
        <v>1437</v>
      </c>
      <c r="H11" s="3">
        <f>(35*60)+55</f>
        <v>2155</v>
      </c>
      <c r="J11" s="3">
        <v>167</v>
      </c>
      <c r="L11">
        <v>68</v>
      </c>
    </row>
    <row r="12" spans="1:62" x14ac:dyDescent="0.2">
      <c r="A12" s="4">
        <v>9</v>
      </c>
      <c r="B12" s="3">
        <f>(45*60)+54</f>
        <v>2754</v>
      </c>
      <c r="D12">
        <f>(25*60)+20</f>
        <v>1520</v>
      </c>
      <c r="F12" s="3">
        <f>(20*60)+2</f>
        <v>1202</v>
      </c>
      <c r="H12" s="3">
        <f>(18*60)+58</f>
        <v>1138</v>
      </c>
      <c r="J12" s="3">
        <f>(4*60)+50</f>
        <v>290</v>
      </c>
      <c r="L12">
        <v>142</v>
      </c>
    </row>
    <row r="13" spans="1:62" x14ac:dyDescent="0.2">
      <c r="A13" s="4">
        <v>10</v>
      </c>
      <c r="B13" s="3">
        <f>(31*60)+52</f>
        <v>1912</v>
      </c>
      <c r="D13">
        <f>(29*60)+46</f>
        <v>1786</v>
      </c>
      <c r="F13" s="3">
        <f>(24*60)+6</f>
        <v>1446</v>
      </c>
      <c r="H13" s="3">
        <f>(38*60)+38</f>
        <v>2318</v>
      </c>
      <c r="J13" s="3">
        <f>(2*60)+12</f>
        <v>132</v>
      </c>
      <c r="L13">
        <f>(6*60)+18</f>
        <v>378</v>
      </c>
    </row>
    <row r="14" spans="1:62" x14ac:dyDescent="0.2">
      <c r="A14" s="4">
        <v>11</v>
      </c>
      <c r="B14" s="3">
        <f>(35*60)+30</f>
        <v>2130</v>
      </c>
      <c r="D14">
        <f>(22*60)+47</f>
        <v>1367</v>
      </c>
      <c r="F14" s="3">
        <f>(29*60)+1</f>
        <v>1741</v>
      </c>
      <c r="H14" s="3">
        <f>(43*60)+20</f>
        <v>2600</v>
      </c>
      <c r="J14" s="3">
        <f>(5*60)+52</f>
        <v>352</v>
      </c>
      <c r="L14">
        <f>(2*60)+49</f>
        <v>169</v>
      </c>
    </row>
    <row r="15" spans="1:62" x14ac:dyDescent="0.2">
      <c r="A15" s="4">
        <v>12</v>
      </c>
      <c r="B15" s="3">
        <f>(14*60)+2</f>
        <v>842</v>
      </c>
      <c r="D15">
        <f>(29*60)+45</f>
        <v>1785</v>
      </c>
      <c r="F15" s="3">
        <f>(34*60)+24</f>
        <v>2064</v>
      </c>
      <c r="H15" s="3">
        <f>(39*60)+33</f>
        <v>2373</v>
      </c>
      <c r="J15" s="3">
        <f>(3*60)+2</f>
        <v>182</v>
      </c>
      <c r="L15">
        <v>88</v>
      </c>
      <c r="BJ15" t="e">
        <f>TTEST(U35:U54,H4:H23,2,3)</f>
        <v>#DIV/0!</v>
      </c>
    </row>
    <row r="16" spans="1:62" x14ac:dyDescent="0.2">
      <c r="A16" s="4">
        <v>13</v>
      </c>
      <c r="B16" s="3">
        <f>(48*60)+12</f>
        <v>2892</v>
      </c>
      <c r="D16">
        <f>(28*60)+53</f>
        <v>1733</v>
      </c>
      <c r="F16" s="3">
        <f>(23*60)+37</f>
        <v>1417</v>
      </c>
      <c r="H16" s="3">
        <f>(35*60)+29</f>
        <v>2129</v>
      </c>
      <c r="J16" s="3">
        <f>(5*60)+4</f>
        <v>304</v>
      </c>
      <c r="L16" s="3">
        <v>147</v>
      </c>
    </row>
    <row r="17" spans="1:13" x14ac:dyDescent="0.2">
      <c r="A17" s="4">
        <v>14</v>
      </c>
      <c r="B17" s="3">
        <f>(40*60)+52</f>
        <v>2452</v>
      </c>
      <c r="D17">
        <f>(20*60)+34</f>
        <v>1234</v>
      </c>
      <c r="F17" s="3">
        <f>(36*60)+37</f>
        <v>2197</v>
      </c>
      <c r="H17" s="3">
        <f>(28*60)+14</f>
        <v>1694</v>
      </c>
      <c r="J17" s="3">
        <f>(3*60)+45</f>
        <v>225</v>
      </c>
      <c r="L17" s="3">
        <f>(5*60)+41</f>
        <v>341</v>
      </c>
    </row>
    <row r="18" spans="1:13" x14ac:dyDescent="0.2">
      <c r="A18" s="4">
        <v>15</v>
      </c>
      <c r="B18" s="3">
        <f>(28*60)+21</f>
        <v>1701</v>
      </c>
      <c r="D18">
        <f>(29*60)+45</f>
        <v>1785</v>
      </c>
      <c r="F18" s="3">
        <f>(36*60)+14</f>
        <v>2174</v>
      </c>
      <c r="H18" s="3">
        <f>(34*60)+57</f>
        <v>2097</v>
      </c>
      <c r="J18" s="3">
        <f>(2*60)+34</f>
        <v>154</v>
      </c>
      <c r="L18" s="3">
        <f>(2*60)+29</f>
        <v>149</v>
      </c>
    </row>
    <row r="19" spans="1:13" x14ac:dyDescent="0.2">
      <c r="A19" s="4">
        <v>16</v>
      </c>
      <c r="B19" s="3">
        <f>(49*60)+57</f>
        <v>2997</v>
      </c>
      <c r="D19">
        <f>(22*60)</f>
        <v>1320</v>
      </c>
      <c r="F19" s="3">
        <f>(26*60)+54</f>
        <v>1614</v>
      </c>
      <c r="H19" s="3">
        <f>(41*60)+53</f>
        <v>2513</v>
      </c>
      <c r="J19" s="3">
        <f>(7*60)+53</f>
        <v>473</v>
      </c>
      <c r="L19" s="3">
        <v>129</v>
      </c>
    </row>
    <row r="20" spans="1:13" x14ac:dyDescent="0.2">
      <c r="A20" s="4">
        <v>17</v>
      </c>
      <c r="B20" s="3">
        <f>(30*60)+58</f>
        <v>1858</v>
      </c>
      <c r="D20">
        <f>(19*60)+15</f>
        <v>1155</v>
      </c>
      <c r="F20" s="3">
        <f>(26*60)+48</f>
        <v>1608</v>
      </c>
      <c r="H20" s="3">
        <f>(25*60)+39</f>
        <v>1539</v>
      </c>
      <c r="J20" s="3">
        <f>(3*60)+42</f>
        <v>222</v>
      </c>
      <c r="L20" s="3">
        <f>(2*60)+58</f>
        <v>178</v>
      </c>
    </row>
    <row r="21" spans="1:13" x14ac:dyDescent="0.2">
      <c r="A21" s="4">
        <v>18</v>
      </c>
      <c r="B21" s="3">
        <f>(25*60)+27</f>
        <v>1527</v>
      </c>
      <c r="D21">
        <f>(16*60)+41</f>
        <v>1001</v>
      </c>
      <c r="F21" s="3">
        <f>(34*60)+51</f>
        <v>2091</v>
      </c>
      <c r="H21" s="3">
        <f>(39*60)+27</f>
        <v>2367</v>
      </c>
      <c r="J21" s="3">
        <f>(4*60)+28</f>
        <v>268</v>
      </c>
      <c r="L21" s="3">
        <v>84</v>
      </c>
    </row>
    <row r="22" spans="1:13" x14ac:dyDescent="0.2">
      <c r="A22" s="4">
        <v>19</v>
      </c>
      <c r="B22" s="3">
        <f>(25*60)+15</f>
        <v>1515</v>
      </c>
      <c r="D22">
        <f>(16*60)+41</f>
        <v>1001</v>
      </c>
      <c r="F22" s="3">
        <f>(35*60)+34</f>
        <v>2134</v>
      </c>
      <c r="H22" s="3">
        <f>(25*60)+55</f>
        <v>1555</v>
      </c>
      <c r="J22" s="3">
        <f>(6*60)+59</f>
        <v>419</v>
      </c>
      <c r="L22" s="3">
        <v>156</v>
      </c>
    </row>
    <row r="23" spans="1:13" x14ac:dyDescent="0.2">
      <c r="A23" s="4">
        <v>20</v>
      </c>
      <c r="B23" s="3">
        <f>(29*60)+22</f>
        <v>1762</v>
      </c>
      <c r="D23">
        <f>(24*60)+52</f>
        <v>1492</v>
      </c>
      <c r="F23" s="3">
        <f>(26*60)+53</f>
        <v>1613</v>
      </c>
      <c r="H23" s="3">
        <f>(31*60)+48</f>
        <v>1908</v>
      </c>
      <c r="J23" s="3">
        <f>(2*60)+46</f>
        <v>166</v>
      </c>
      <c r="L23">
        <v>128</v>
      </c>
    </row>
    <row r="24" spans="1:13" x14ac:dyDescent="0.2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</row>
    <row r="25" spans="1:13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</row>
    <row r="26" spans="1:13" x14ac:dyDescent="0.2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">
      <c r="A27" s="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CSAS-RNAi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Panin</dc:creator>
  <cp:lastModifiedBy>Vladislav Panin</cp:lastModifiedBy>
  <dcterms:created xsi:type="dcterms:W3CDTF">2022-03-22T11:23:51Z</dcterms:created>
  <dcterms:modified xsi:type="dcterms:W3CDTF">2023-02-18T00:05:16Z</dcterms:modified>
</cp:coreProperties>
</file>