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onkey\Desktop\IBP Lab\My lab research\Yang Lab's paper\2022\MIRS\eLIFE\Revise\R2\1207\Submission\source data\"/>
    </mc:Choice>
  </mc:AlternateContent>
  <xr:revisionPtr revIDLastSave="0" documentId="13_ncr:1_{F50757E4-3D18-49E3-BA46-5FEAF7F8CCDF}" xr6:coauthVersionLast="47" xr6:coauthVersionMax="47" xr10:uidLastSave="{00000000-0000-0000-0000-000000000000}"/>
  <bookViews>
    <workbookView xWindow="2625" yWindow="3240" windowWidth="21600" windowHeight="11385" activeTab="2" xr2:uid="{00000000-000D-0000-FFFF-FFFF00000000}"/>
  </bookViews>
  <sheets>
    <sheet name="Fig4-S1AB" sheetId="2" r:id="rId1"/>
    <sheet name="Fig4-S1C" sheetId="3" r:id="rId2"/>
    <sheet name="Fig4-S1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P172" i="2" l="1"/>
  <c r="FO172" i="2"/>
  <c r="FN172" i="2"/>
  <c r="FM172" i="2"/>
  <c r="FL172" i="2"/>
  <c r="FK172" i="2"/>
  <c r="FJ172" i="2"/>
  <c r="FI172" i="2"/>
  <c r="FH172" i="2"/>
  <c r="FG172" i="2"/>
  <c r="FF172" i="2"/>
  <c r="FE172" i="2"/>
  <c r="FD172" i="2"/>
  <c r="FC172" i="2"/>
  <c r="FB172" i="2"/>
  <c r="FA172" i="2"/>
  <c r="EZ172" i="2"/>
  <c r="EY172" i="2"/>
  <c r="EX172" i="2"/>
  <c r="EW172" i="2"/>
  <c r="EV172" i="2"/>
  <c r="EU172" i="2"/>
  <c r="ET172" i="2"/>
  <c r="ES172" i="2"/>
  <c r="ER172" i="2"/>
  <c r="EQ172" i="2"/>
  <c r="EP172" i="2"/>
  <c r="EO172" i="2"/>
  <c r="EN172" i="2"/>
  <c r="EM172" i="2"/>
  <c r="EL172" i="2"/>
  <c r="EK172" i="2"/>
  <c r="EJ172" i="2"/>
  <c r="EI172" i="2"/>
  <c r="EH172" i="2"/>
  <c r="EG172" i="2"/>
  <c r="EF172" i="2"/>
  <c r="EE172" i="2"/>
  <c r="ED172" i="2"/>
  <c r="EC172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P172" i="2"/>
  <c r="BO172" i="2"/>
  <c r="BN172" i="2"/>
  <c r="BM172" i="2"/>
  <c r="BL172" i="2"/>
  <c r="BK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FP171" i="2"/>
  <c r="FO171" i="2"/>
  <c r="FN171" i="2"/>
  <c r="FM171" i="2"/>
  <c r="FL171" i="2"/>
  <c r="FK171" i="2"/>
  <c r="FJ171" i="2"/>
  <c r="FI171" i="2"/>
  <c r="FH171" i="2"/>
  <c r="FG171" i="2"/>
  <c r="FF171" i="2"/>
  <c r="FE171" i="2"/>
  <c r="FD171" i="2"/>
  <c r="FC171" i="2"/>
  <c r="FB171" i="2"/>
  <c r="FA171" i="2"/>
  <c r="EZ171" i="2"/>
  <c r="EY171" i="2"/>
  <c r="EX171" i="2"/>
  <c r="EW171" i="2"/>
  <c r="EV171" i="2"/>
  <c r="EU171" i="2"/>
  <c r="ET171" i="2"/>
  <c r="ES171" i="2"/>
  <c r="ER171" i="2"/>
  <c r="EQ171" i="2"/>
  <c r="EP171" i="2"/>
  <c r="EO171" i="2"/>
  <c r="EN171" i="2"/>
  <c r="EM171" i="2"/>
  <c r="EL171" i="2"/>
  <c r="EK171" i="2"/>
  <c r="EJ171" i="2"/>
  <c r="EI171" i="2"/>
  <c r="EH171" i="2"/>
  <c r="EG171" i="2"/>
  <c r="EF171" i="2"/>
  <c r="EE171" i="2"/>
  <c r="ED171" i="2"/>
  <c r="EC171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BT171" i="2"/>
  <c r="BS171" i="2"/>
  <c r="BR171" i="2"/>
  <c r="BQ171" i="2"/>
  <c r="BP171" i="2"/>
  <c r="BO171" i="2"/>
  <c r="BN171" i="2"/>
  <c r="BM171" i="2"/>
  <c r="BL171" i="2"/>
  <c r="BK171" i="2"/>
  <c r="BJ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FP170" i="2"/>
  <c r="FO170" i="2"/>
  <c r="FN170" i="2"/>
  <c r="FM170" i="2"/>
  <c r="FL170" i="2"/>
  <c r="FK170" i="2"/>
  <c r="FJ170" i="2"/>
  <c r="FI170" i="2"/>
  <c r="FH170" i="2"/>
  <c r="FG170" i="2"/>
  <c r="FF170" i="2"/>
  <c r="FE170" i="2"/>
  <c r="FD170" i="2"/>
  <c r="FC170" i="2"/>
  <c r="FB170" i="2"/>
  <c r="FA170" i="2"/>
  <c r="EZ170" i="2"/>
  <c r="EY170" i="2"/>
  <c r="EX170" i="2"/>
  <c r="EW170" i="2"/>
  <c r="EV170" i="2"/>
  <c r="EU170" i="2"/>
  <c r="ET170" i="2"/>
  <c r="ES170" i="2"/>
  <c r="ER170" i="2"/>
  <c r="EQ170" i="2"/>
  <c r="EP170" i="2"/>
  <c r="EO170" i="2"/>
  <c r="EN170" i="2"/>
  <c r="EM170" i="2"/>
  <c r="EL170" i="2"/>
  <c r="EK170" i="2"/>
  <c r="EJ170" i="2"/>
  <c r="EI170" i="2"/>
  <c r="EH170" i="2"/>
  <c r="EG170" i="2"/>
  <c r="EF170" i="2"/>
  <c r="EE170" i="2"/>
  <c r="ED170" i="2"/>
  <c r="EC170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P170" i="2"/>
  <c r="BO170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FP169" i="2"/>
  <c r="FO169" i="2"/>
  <c r="FN169" i="2"/>
  <c r="FM169" i="2"/>
  <c r="FL169" i="2"/>
  <c r="FK169" i="2"/>
  <c r="FJ169" i="2"/>
  <c r="FI169" i="2"/>
  <c r="FH169" i="2"/>
  <c r="FG169" i="2"/>
  <c r="FF169" i="2"/>
  <c r="FE169" i="2"/>
  <c r="FD169" i="2"/>
  <c r="FC169" i="2"/>
  <c r="FB169" i="2"/>
  <c r="FA169" i="2"/>
  <c r="EZ169" i="2"/>
  <c r="EY169" i="2"/>
  <c r="EX169" i="2"/>
  <c r="EW169" i="2"/>
  <c r="EV169" i="2"/>
  <c r="EU169" i="2"/>
  <c r="ET169" i="2"/>
  <c r="ES169" i="2"/>
  <c r="ER169" i="2"/>
  <c r="EQ169" i="2"/>
  <c r="EP169" i="2"/>
  <c r="EO169" i="2"/>
  <c r="EN169" i="2"/>
  <c r="EM169" i="2"/>
  <c r="EL169" i="2"/>
  <c r="EK169" i="2"/>
  <c r="EJ169" i="2"/>
  <c r="EI169" i="2"/>
  <c r="EH169" i="2"/>
  <c r="EG169" i="2"/>
  <c r="EF169" i="2"/>
  <c r="EE169" i="2"/>
  <c r="ED169" i="2"/>
  <c r="EC169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P169" i="2"/>
  <c r="BO169" i="2"/>
  <c r="BN169" i="2"/>
  <c r="BM169" i="2"/>
  <c r="BL169" i="2"/>
  <c r="BK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FP168" i="2"/>
  <c r="FO168" i="2"/>
  <c r="FN168" i="2"/>
  <c r="FM168" i="2"/>
  <c r="FL168" i="2"/>
  <c r="FK168" i="2"/>
  <c r="FJ168" i="2"/>
  <c r="FI168" i="2"/>
  <c r="FH168" i="2"/>
  <c r="FG168" i="2"/>
  <c r="FF168" i="2"/>
  <c r="FE168" i="2"/>
  <c r="FD168" i="2"/>
  <c r="FC168" i="2"/>
  <c r="FB168" i="2"/>
  <c r="FA168" i="2"/>
  <c r="EZ168" i="2"/>
  <c r="EY168" i="2"/>
  <c r="EX168" i="2"/>
  <c r="EW168" i="2"/>
  <c r="EV168" i="2"/>
  <c r="EU168" i="2"/>
  <c r="ET168" i="2"/>
  <c r="ES168" i="2"/>
  <c r="ER168" i="2"/>
  <c r="EQ168" i="2"/>
  <c r="EP168" i="2"/>
  <c r="EO168" i="2"/>
  <c r="EN168" i="2"/>
  <c r="EM168" i="2"/>
  <c r="EL168" i="2"/>
  <c r="EK168" i="2"/>
  <c r="EJ168" i="2"/>
  <c r="EI168" i="2"/>
  <c r="EH168" i="2"/>
  <c r="EG168" i="2"/>
  <c r="EF168" i="2"/>
  <c r="EE168" i="2"/>
  <c r="ED168" i="2"/>
  <c r="EC168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BT168" i="2"/>
  <c r="BS168" i="2"/>
  <c r="BR168" i="2"/>
  <c r="BQ168" i="2"/>
  <c r="BP168" i="2"/>
  <c r="BO168" i="2"/>
  <c r="BN168" i="2"/>
  <c r="BM168" i="2"/>
  <c r="BL168" i="2"/>
  <c r="BK168" i="2"/>
  <c r="BJ168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FP167" i="2"/>
  <c r="FO167" i="2"/>
  <c r="FN167" i="2"/>
  <c r="FM167" i="2"/>
  <c r="FL167" i="2"/>
  <c r="FK167" i="2"/>
  <c r="FJ167" i="2"/>
  <c r="FI167" i="2"/>
  <c r="FH167" i="2"/>
  <c r="FG167" i="2"/>
  <c r="FF167" i="2"/>
  <c r="FE167" i="2"/>
  <c r="FD167" i="2"/>
  <c r="FC167" i="2"/>
  <c r="FB167" i="2"/>
  <c r="FA167" i="2"/>
  <c r="EZ167" i="2"/>
  <c r="EY167" i="2"/>
  <c r="EX167" i="2"/>
  <c r="EW167" i="2"/>
  <c r="EV167" i="2"/>
  <c r="EU167" i="2"/>
  <c r="ET167" i="2"/>
  <c r="ES167" i="2"/>
  <c r="ER167" i="2"/>
  <c r="EQ167" i="2"/>
  <c r="EP167" i="2"/>
  <c r="EO167" i="2"/>
  <c r="EN167" i="2"/>
  <c r="EM167" i="2"/>
  <c r="EL167" i="2"/>
  <c r="EK167" i="2"/>
  <c r="EJ167" i="2"/>
  <c r="EI167" i="2"/>
  <c r="EH167" i="2"/>
  <c r="EG167" i="2"/>
  <c r="EF167" i="2"/>
  <c r="EE167" i="2"/>
  <c r="ED167" i="2"/>
  <c r="EC167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BT167" i="2"/>
  <c r="BS167" i="2"/>
  <c r="BR167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FP166" i="2"/>
  <c r="FO166" i="2"/>
  <c r="FN166" i="2"/>
  <c r="FM166" i="2"/>
  <c r="FL166" i="2"/>
  <c r="FK166" i="2"/>
  <c r="FJ166" i="2"/>
  <c r="FI166" i="2"/>
  <c r="FH166" i="2"/>
  <c r="FG166" i="2"/>
  <c r="FF166" i="2"/>
  <c r="FE166" i="2"/>
  <c r="FD166" i="2"/>
  <c r="FC166" i="2"/>
  <c r="FB166" i="2"/>
  <c r="FA166" i="2"/>
  <c r="EZ166" i="2"/>
  <c r="EY166" i="2"/>
  <c r="EX166" i="2"/>
  <c r="EW166" i="2"/>
  <c r="EV166" i="2"/>
  <c r="EU166" i="2"/>
  <c r="ET166" i="2"/>
  <c r="ES166" i="2"/>
  <c r="ER166" i="2"/>
  <c r="EQ166" i="2"/>
  <c r="EP166" i="2"/>
  <c r="EO166" i="2"/>
  <c r="EN166" i="2"/>
  <c r="EM166" i="2"/>
  <c r="EL166" i="2"/>
  <c r="EK166" i="2"/>
  <c r="EJ166" i="2"/>
  <c r="EI166" i="2"/>
  <c r="EH166" i="2"/>
  <c r="EG166" i="2"/>
  <c r="EF166" i="2"/>
  <c r="EE166" i="2"/>
  <c r="ED166" i="2"/>
  <c r="EC166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BT166" i="2"/>
  <c r="BS166" i="2"/>
  <c r="BR166" i="2"/>
  <c r="BQ166" i="2"/>
  <c r="BP166" i="2"/>
  <c r="BO166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FP165" i="2"/>
  <c r="FO165" i="2"/>
  <c r="FN165" i="2"/>
  <c r="FM165" i="2"/>
  <c r="FL165" i="2"/>
  <c r="FK165" i="2"/>
  <c r="FJ165" i="2"/>
  <c r="FI165" i="2"/>
  <c r="FH165" i="2"/>
  <c r="FG165" i="2"/>
  <c r="FF165" i="2"/>
  <c r="FE165" i="2"/>
  <c r="FD165" i="2"/>
  <c r="FC165" i="2"/>
  <c r="FB165" i="2"/>
  <c r="FA165" i="2"/>
  <c r="EZ165" i="2"/>
  <c r="EY165" i="2"/>
  <c r="EX165" i="2"/>
  <c r="EW165" i="2"/>
  <c r="EV165" i="2"/>
  <c r="EU165" i="2"/>
  <c r="ET165" i="2"/>
  <c r="ES165" i="2"/>
  <c r="ER165" i="2"/>
  <c r="EQ165" i="2"/>
  <c r="EP165" i="2"/>
  <c r="EO165" i="2"/>
  <c r="EN165" i="2"/>
  <c r="EM165" i="2"/>
  <c r="EL165" i="2"/>
  <c r="EK165" i="2"/>
  <c r="EJ165" i="2"/>
  <c r="EI165" i="2"/>
  <c r="EH165" i="2"/>
  <c r="EG165" i="2"/>
  <c r="EF165" i="2"/>
  <c r="EE165" i="2"/>
  <c r="ED165" i="2"/>
  <c r="EC165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FP164" i="2"/>
  <c r="FO164" i="2"/>
  <c r="FN164" i="2"/>
  <c r="FM164" i="2"/>
  <c r="FL164" i="2"/>
  <c r="FK164" i="2"/>
  <c r="FJ164" i="2"/>
  <c r="FI164" i="2"/>
  <c r="FH164" i="2"/>
  <c r="FG164" i="2"/>
  <c r="FF164" i="2"/>
  <c r="FE164" i="2"/>
  <c r="FD164" i="2"/>
  <c r="FC164" i="2"/>
  <c r="FB164" i="2"/>
  <c r="FA164" i="2"/>
  <c r="EZ164" i="2"/>
  <c r="EY164" i="2"/>
  <c r="EX164" i="2"/>
  <c r="EW164" i="2"/>
  <c r="EV164" i="2"/>
  <c r="EU164" i="2"/>
  <c r="ET164" i="2"/>
  <c r="ES164" i="2"/>
  <c r="ER164" i="2"/>
  <c r="EQ164" i="2"/>
  <c r="EP164" i="2"/>
  <c r="EO164" i="2"/>
  <c r="EN164" i="2"/>
  <c r="EM164" i="2"/>
  <c r="EL164" i="2"/>
  <c r="EK164" i="2"/>
  <c r="EJ164" i="2"/>
  <c r="EI164" i="2"/>
  <c r="EH164" i="2"/>
  <c r="EG164" i="2"/>
  <c r="EF164" i="2"/>
  <c r="EE164" i="2"/>
  <c r="ED164" i="2"/>
  <c r="EC164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BT164" i="2"/>
  <c r="BS164" i="2"/>
  <c r="BR164" i="2"/>
  <c r="BQ164" i="2"/>
  <c r="BP164" i="2"/>
  <c r="BO164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FP163" i="2"/>
  <c r="FO163" i="2"/>
  <c r="FN163" i="2"/>
  <c r="FM163" i="2"/>
  <c r="FL163" i="2"/>
  <c r="FK163" i="2"/>
  <c r="FJ163" i="2"/>
  <c r="FI163" i="2"/>
  <c r="FH163" i="2"/>
  <c r="FG163" i="2"/>
  <c r="FF163" i="2"/>
  <c r="FE163" i="2"/>
  <c r="FD163" i="2"/>
  <c r="FC163" i="2"/>
  <c r="FB163" i="2"/>
  <c r="FA163" i="2"/>
  <c r="EZ163" i="2"/>
  <c r="EY163" i="2"/>
  <c r="EX163" i="2"/>
  <c r="EW163" i="2"/>
  <c r="EV163" i="2"/>
  <c r="EU163" i="2"/>
  <c r="ET163" i="2"/>
  <c r="ES163" i="2"/>
  <c r="ER163" i="2"/>
  <c r="EQ163" i="2"/>
  <c r="EP163" i="2"/>
  <c r="EO163" i="2"/>
  <c r="EN163" i="2"/>
  <c r="EM163" i="2"/>
  <c r="EL163" i="2"/>
  <c r="EK163" i="2"/>
  <c r="EJ163" i="2"/>
  <c r="EI163" i="2"/>
  <c r="EH163" i="2"/>
  <c r="EG163" i="2"/>
  <c r="EF163" i="2"/>
  <c r="EE163" i="2"/>
  <c r="ED163" i="2"/>
  <c r="EC163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FP162" i="2"/>
  <c r="FO162" i="2"/>
  <c r="FN162" i="2"/>
  <c r="FM162" i="2"/>
  <c r="FL162" i="2"/>
  <c r="FK162" i="2"/>
  <c r="FJ162" i="2"/>
  <c r="FI162" i="2"/>
  <c r="FH162" i="2"/>
  <c r="FG162" i="2"/>
  <c r="FF162" i="2"/>
  <c r="FE162" i="2"/>
  <c r="FD162" i="2"/>
  <c r="FC162" i="2"/>
  <c r="FB162" i="2"/>
  <c r="FA162" i="2"/>
  <c r="EZ162" i="2"/>
  <c r="EY162" i="2"/>
  <c r="EX162" i="2"/>
  <c r="EW162" i="2"/>
  <c r="EV162" i="2"/>
  <c r="EU162" i="2"/>
  <c r="ET162" i="2"/>
  <c r="ES162" i="2"/>
  <c r="ER162" i="2"/>
  <c r="EQ162" i="2"/>
  <c r="EP162" i="2"/>
  <c r="EO162" i="2"/>
  <c r="EN162" i="2"/>
  <c r="EM162" i="2"/>
  <c r="EL162" i="2"/>
  <c r="EK162" i="2"/>
  <c r="EJ162" i="2"/>
  <c r="EI162" i="2"/>
  <c r="EH162" i="2"/>
  <c r="EG162" i="2"/>
  <c r="EF162" i="2"/>
  <c r="EE162" i="2"/>
  <c r="ED162" i="2"/>
  <c r="EC162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P162" i="2"/>
  <c r="BO162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FP161" i="2"/>
  <c r="FO161" i="2"/>
  <c r="FN161" i="2"/>
  <c r="FM161" i="2"/>
  <c r="FL161" i="2"/>
  <c r="FK161" i="2"/>
  <c r="FJ161" i="2"/>
  <c r="FI161" i="2"/>
  <c r="FH161" i="2"/>
  <c r="FG161" i="2"/>
  <c r="FF161" i="2"/>
  <c r="FE161" i="2"/>
  <c r="FD161" i="2"/>
  <c r="FC161" i="2"/>
  <c r="FB161" i="2"/>
  <c r="FA161" i="2"/>
  <c r="EZ161" i="2"/>
  <c r="EY161" i="2"/>
  <c r="EX161" i="2"/>
  <c r="EW161" i="2"/>
  <c r="EV161" i="2"/>
  <c r="EU161" i="2"/>
  <c r="ET161" i="2"/>
  <c r="ES161" i="2"/>
  <c r="ER161" i="2"/>
  <c r="EQ161" i="2"/>
  <c r="EP161" i="2"/>
  <c r="EO161" i="2"/>
  <c r="EN161" i="2"/>
  <c r="EM161" i="2"/>
  <c r="EL161" i="2"/>
  <c r="EK161" i="2"/>
  <c r="EJ161" i="2"/>
  <c r="EI161" i="2"/>
  <c r="EH161" i="2"/>
  <c r="EG161" i="2"/>
  <c r="EF161" i="2"/>
  <c r="EE161" i="2"/>
  <c r="ED161" i="2"/>
  <c r="EC161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BT161" i="2"/>
  <c r="BS161" i="2"/>
  <c r="BR161" i="2"/>
  <c r="BQ161" i="2"/>
  <c r="BP161" i="2"/>
  <c r="BO161" i="2"/>
  <c r="BN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FP160" i="2"/>
  <c r="FO160" i="2"/>
  <c r="FN160" i="2"/>
  <c r="FM160" i="2"/>
  <c r="FL160" i="2"/>
  <c r="FK160" i="2"/>
  <c r="FJ160" i="2"/>
  <c r="FI160" i="2"/>
  <c r="FH160" i="2"/>
  <c r="FG160" i="2"/>
  <c r="FF160" i="2"/>
  <c r="FE160" i="2"/>
  <c r="FD160" i="2"/>
  <c r="FC160" i="2"/>
  <c r="FB160" i="2"/>
  <c r="FA160" i="2"/>
  <c r="EZ160" i="2"/>
  <c r="EY160" i="2"/>
  <c r="EX160" i="2"/>
  <c r="EW160" i="2"/>
  <c r="EV160" i="2"/>
  <c r="EU160" i="2"/>
  <c r="ET160" i="2"/>
  <c r="ES160" i="2"/>
  <c r="ER160" i="2"/>
  <c r="EQ160" i="2"/>
  <c r="EP160" i="2"/>
  <c r="EO160" i="2"/>
  <c r="EN160" i="2"/>
  <c r="EM160" i="2"/>
  <c r="EL160" i="2"/>
  <c r="EK160" i="2"/>
  <c r="EJ160" i="2"/>
  <c r="EI160" i="2"/>
  <c r="EH160" i="2"/>
  <c r="EG160" i="2"/>
  <c r="EF160" i="2"/>
  <c r="EE160" i="2"/>
  <c r="ED160" i="2"/>
  <c r="EC160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BT160" i="2"/>
  <c r="BS160" i="2"/>
  <c r="BR160" i="2"/>
  <c r="BQ160" i="2"/>
  <c r="BP160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FP159" i="2"/>
  <c r="FO159" i="2"/>
  <c r="FN159" i="2"/>
  <c r="FM159" i="2"/>
  <c r="FL159" i="2"/>
  <c r="FK159" i="2"/>
  <c r="FJ159" i="2"/>
  <c r="FI159" i="2"/>
  <c r="FH159" i="2"/>
  <c r="FG159" i="2"/>
  <c r="FF159" i="2"/>
  <c r="FE159" i="2"/>
  <c r="FD159" i="2"/>
  <c r="FC159" i="2"/>
  <c r="FB159" i="2"/>
  <c r="FA159" i="2"/>
  <c r="EZ159" i="2"/>
  <c r="EY159" i="2"/>
  <c r="EX159" i="2"/>
  <c r="EW159" i="2"/>
  <c r="EV159" i="2"/>
  <c r="EU159" i="2"/>
  <c r="ET159" i="2"/>
  <c r="ES159" i="2"/>
  <c r="ER159" i="2"/>
  <c r="EQ159" i="2"/>
  <c r="EP159" i="2"/>
  <c r="EO159" i="2"/>
  <c r="EN159" i="2"/>
  <c r="EM159" i="2"/>
  <c r="EL159" i="2"/>
  <c r="EK159" i="2"/>
  <c r="EJ159" i="2"/>
  <c r="EI159" i="2"/>
  <c r="EH159" i="2"/>
  <c r="EG159" i="2"/>
  <c r="EF159" i="2"/>
  <c r="EE159" i="2"/>
  <c r="ED159" i="2"/>
  <c r="EC159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BT159" i="2"/>
  <c r="BS159" i="2"/>
  <c r="BR159" i="2"/>
  <c r="BQ159" i="2"/>
  <c r="BP159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FP158" i="2"/>
  <c r="FO158" i="2"/>
  <c r="FN158" i="2"/>
  <c r="FM158" i="2"/>
  <c r="FL158" i="2"/>
  <c r="FK158" i="2"/>
  <c r="FJ158" i="2"/>
  <c r="FI158" i="2"/>
  <c r="FH158" i="2"/>
  <c r="FG158" i="2"/>
  <c r="FF158" i="2"/>
  <c r="FE158" i="2"/>
  <c r="FD158" i="2"/>
  <c r="FC158" i="2"/>
  <c r="FB158" i="2"/>
  <c r="FA158" i="2"/>
  <c r="EZ158" i="2"/>
  <c r="EY158" i="2"/>
  <c r="EX158" i="2"/>
  <c r="EW158" i="2"/>
  <c r="EV158" i="2"/>
  <c r="EU158" i="2"/>
  <c r="ET158" i="2"/>
  <c r="ES158" i="2"/>
  <c r="ER158" i="2"/>
  <c r="EQ158" i="2"/>
  <c r="EP158" i="2"/>
  <c r="EO158" i="2"/>
  <c r="EN158" i="2"/>
  <c r="EM158" i="2"/>
  <c r="EL158" i="2"/>
  <c r="EK158" i="2"/>
  <c r="EJ158" i="2"/>
  <c r="EI158" i="2"/>
  <c r="EH158" i="2"/>
  <c r="EG158" i="2"/>
  <c r="EF158" i="2"/>
  <c r="EE158" i="2"/>
  <c r="ED158" i="2"/>
  <c r="EC158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FP157" i="2"/>
  <c r="FO157" i="2"/>
  <c r="FN157" i="2"/>
  <c r="FM157" i="2"/>
  <c r="FL157" i="2"/>
  <c r="FK157" i="2"/>
  <c r="FJ157" i="2"/>
  <c r="FI157" i="2"/>
  <c r="FH157" i="2"/>
  <c r="FG157" i="2"/>
  <c r="FF157" i="2"/>
  <c r="FE157" i="2"/>
  <c r="FD157" i="2"/>
  <c r="FC157" i="2"/>
  <c r="FB157" i="2"/>
  <c r="FA157" i="2"/>
  <c r="EZ157" i="2"/>
  <c r="EY157" i="2"/>
  <c r="EX157" i="2"/>
  <c r="EW157" i="2"/>
  <c r="EV157" i="2"/>
  <c r="EU157" i="2"/>
  <c r="ET157" i="2"/>
  <c r="ES157" i="2"/>
  <c r="ER157" i="2"/>
  <c r="EQ157" i="2"/>
  <c r="EP157" i="2"/>
  <c r="EO157" i="2"/>
  <c r="EN157" i="2"/>
  <c r="EM157" i="2"/>
  <c r="EL157" i="2"/>
  <c r="EK157" i="2"/>
  <c r="EJ157" i="2"/>
  <c r="EI157" i="2"/>
  <c r="EH157" i="2"/>
  <c r="EG157" i="2"/>
  <c r="EF157" i="2"/>
  <c r="EE157" i="2"/>
  <c r="ED157" i="2"/>
  <c r="EC157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FP156" i="2"/>
  <c r="FO156" i="2"/>
  <c r="FN156" i="2"/>
  <c r="FM156" i="2"/>
  <c r="FL156" i="2"/>
  <c r="FK156" i="2"/>
  <c r="FJ156" i="2"/>
  <c r="FI156" i="2"/>
  <c r="FH156" i="2"/>
  <c r="FG156" i="2"/>
  <c r="FF156" i="2"/>
  <c r="FE156" i="2"/>
  <c r="FD156" i="2"/>
  <c r="FC156" i="2"/>
  <c r="FB156" i="2"/>
  <c r="FA156" i="2"/>
  <c r="EZ156" i="2"/>
  <c r="EY156" i="2"/>
  <c r="EX156" i="2"/>
  <c r="EW156" i="2"/>
  <c r="EV156" i="2"/>
  <c r="EU156" i="2"/>
  <c r="ET156" i="2"/>
  <c r="ES156" i="2"/>
  <c r="ER156" i="2"/>
  <c r="EQ156" i="2"/>
  <c r="EP156" i="2"/>
  <c r="EO156" i="2"/>
  <c r="EN156" i="2"/>
  <c r="EM156" i="2"/>
  <c r="EL156" i="2"/>
  <c r="EK156" i="2"/>
  <c r="EJ156" i="2"/>
  <c r="EI156" i="2"/>
  <c r="EH156" i="2"/>
  <c r="EG156" i="2"/>
  <c r="EF156" i="2"/>
  <c r="EE156" i="2"/>
  <c r="ED156" i="2"/>
  <c r="EC156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FP155" i="2"/>
  <c r="FO155" i="2"/>
  <c r="FN155" i="2"/>
  <c r="FM155" i="2"/>
  <c r="FL155" i="2"/>
  <c r="FK155" i="2"/>
  <c r="FJ155" i="2"/>
  <c r="FI155" i="2"/>
  <c r="FH155" i="2"/>
  <c r="FG155" i="2"/>
  <c r="FF155" i="2"/>
  <c r="FE155" i="2"/>
  <c r="FD155" i="2"/>
  <c r="FC155" i="2"/>
  <c r="FB155" i="2"/>
  <c r="FA155" i="2"/>
  <c r="EZ155" i="2"/>
  <c r="EY155" i="2"/>
  <c r="EX155" i="2"/>
  <c r="EW155" i="2"/>
  <c r="EV155" i="2"/>
  <c r="EU155" i="2"/>
  <c r="ET155" i="2"/>
  <c r="ES155" i="2"/>
  <c r="ER155" i="2"/>
  <c r="EQ155" i="2"/>
  <c r="EP155" i="2"/>
  <c r="EO155" i="2"/>
  <c r="EN155" i="2"/>
  <c r="EM155" i="2"/>
  <c r="EL155" i="2"/>
  <c r="EK155" i="2"/>
  <c r="EJ155" i="2"/>
  <c r="EI155" i="2"/>
  <c r="EH155" i="2"/>
  <c r="EG155" i="2"/>
  <c r="EF155" i="2"/>
  <c r="EE155" i="2"/>
  <c r="ED155" i="2"/>
  <c r="EC155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FP154" i="2"/>
  <c r="FO154" i="2"/>
  <c r="FN154" i="2"/>
  <c r="FM154" i="2"/>
  <c r="FL154" i="2"/>
  <c r="FK154" i="2"/>
  <c r="FJ154" i="2"/>
  <c r="FI154" i="2"/>
  <c r="FH154" i="2"/>
  <c r="FG154" i="2"/>
  <c r="FF154" i="2"/>
  <c r="FE154" i="2"/>
  <c r="FD154" i="2"/>
  <c r="FC154" i="2"/>
  <c r="FB154" i="2"/>
  <c r="FA154" i="2"/>
  <c r="EZ154" i="2"/>
  <c r="EY154" i="2"/>
  <c r="EX154" i="2"/>
  <c r="EW154" i="2"/>
  <c r="EV154" i="2"/>
  <c r="EU154" i="2"/>
  <c r="ET154" i="2"/>
  <c r="ES154" i="2"/>
  <c r="ER154" i="2"/>
  <c r="EQ154" i="2"/>
  <c r="EP154" i="2"/>
  <c r="EO154" i="2"/>
  <c r="EN154" i="2"/>
  <c r="EM154" i="2"/>
  <c r="EL154" i="2"/>
  <c r="EK154" i="2"/>
  <c r="EJ154" i="2"/>
  <c r="EI154" i="2"/>
  <c r="EH154" i="2"/>
  <c r="EG154" i="2"/>
  <c r="EF154" i="2"/>
  <c r="EE154" i="2"/>
  <c r="ED154" i="2"/>
  <c r="EC154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FP153" i="2"/>
  <c r="FO153" i="2"/>
  <c r="FN153" i="2"/>
  <c r="FM153" i="2"/>
  <c r="FL153" i="2"/>
  <c r="FK153" i="2"/>
  <c r="FJ153" i="2"/>
  <c r="FI153" i="2"/>
  <c r="FH153" i="2"/>
  <c r="FG153" i="2"/>
  <c r="FF153" i="2"/>
  <c r="FE153" i="2"/>
  <c r="FD153" i="2"/>
  <c r="FC153" i="2"/>
  <c r="FB153" i="2"/>
  <c r="FA153" i="2"/>
  <c r="EZ153" i="2"/>
  <c r="EY153" i="2"/>
  <c r="EX153" i="2"/>
  <c r="EW153" i="2"/>
  <c r="EV153" i="2"/>
  <c r="EU153" i="2"/>
  <c r="ET153" i="2"/>
  <c r="ES153" i="2"/>
  <c r="ER153" i="2"/>
  <c r="EQ153" i="2"/>
  <c r="EP153" i="2"/>
  <c r="EO153" i="2"/>
  <c r="EN153" i="2"/>
  <c r="EM153" i="2"/>
  <c r="EL153" i="2"/>
  <c r="EK153" i="2"/>
  <c r="EJ153" i="2"/>
  <c r="EI153" i="2"/>
  <c r="EH153" i="2"/>
  <c r="EG153" i="2"/>
  <c r="EF153" i="2"/>
  <c r="EE153" i="2"/>
  <c r="ED153" i="2"/>
  <c r="EC153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P153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FP152" i="2"/>
  <c r="FO152" i="2"/>
  <c r="FN152" i="2"/>
  <c r="FM152" i="2"/>
  <c r="FL152" i="2"/>
  <c r="FK152" i="2"/>
  <c r="FJ152" i="2"/>
  <c r="FI152" i="2"/>
  <c r="FH152" i="2"/>
  <c r="FG152" i="2"/>
  <c r="FF152" i="2"/>
  <c r="FE152" i="2"/>
  <c r="FD152" i="2"/>
  <c r="FC152" i="2"/>
  <c r="FB152" i="2"/>
  <c r="FA152" i="2"/>
  <c r="EZ152" i="2"/>
  <c r="EY152" i="2"/>
  <c r="EX152" i="2"/>
  <c r="EW152" i="2"/>
  <c r="EV152" i="2"/>
  <c r="EU152" i="2"/>
  <c r="ET152" i="2"/>
  <c r="ES152" i="2"/>
  <c r="ER152" i="2"/>
  <c r="EQ152" i="2"/>
  <c r="EP152" i="2"/>
  <c r="EO152" i="2"/>
  <c r="EN152" i="2"/>
  <c r="EM152" i="2"/>
  <c r="EL152" i="2"/>
  <c r="EK152" i="2"/>
  <c r="EJ152" i="2"/>
  <c r="EI152" i="2"/>
  <c r="EH152" i="2"/>
  <c r="EG152" i="2"/>
  <c r="EF152" i="2"/>
  <c r="EE152" i="2"/>
  <c r="ED152" i="2"/>
  <c r="EC152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FP151" i="2"/>
  <c r="FO151" i="2"/>
  <c r="FN151" i="2"/>
  <c r="FM151" i="2"/>
  <c r="FL151" i="2"/>
  <c r="FK151" i="2"/>
  <c r="FJ151" i="2"/>
  <c r="FI151" i="2"/>
  <c r="FH151" i="2"/>
  <c r="FG151" i="2"/>
  <c r="FF151" i="2"/>
  <c r="FE151" i="2"/>
  <c r="FD151" i="2"/>
  <c r="FC151" i="2"/>
  <c r="FB151" i="2"/>
  <c r="FA151" i="2"/>
  <c r="EZ151" i="2"/>
  <c r="EY151" i="2"/>
  <c r="EX151" i="2"/>
  <c r="EW151" i="2"/>
  <c r="EV151" i="2"/>
  <c r="EU151" i="2"/>
  <c r="ET151" i="2"/>
  <c r="ES151" i="2"/>
  <c r="ER151" i="2"/>
  <c r="EQ151" i="2"/>
  <c r="EP151" i="2"/>
  <c r="EO151" i="2"/>
  <c r="EN151" i="2"/>
  <c r="EM151" i="2"/>
  <c r="EL151" i="2"/>
  <c r="EK151" i="2"/>
  <c r="EJ151" i="2"/>
  <c r="EI151" i="2"/>
  <c r="EH151" i="2"/>
  <c r="EG151" i="2"/>
  <c r="EF151" i="2"/>
  <c r="EE151" i="2"/>
  <c r="ED151" i="2"/>
  <c r="EC151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FP150" i="2"/>
  <c r="FO150" i="2"/>
  <c r="FN150" i="2"/>
  <c r="FM150" i="2"/>
  <c r="FL150" i="2"/>
  <c r="FK150" i="2"/>
  <c r="FJ150" i="2"/>
  <c r="FI150" i="2"/>
  <c r="FH150" i="2"/>
  <c r="FG150" i="2"/>
  <c r="FF150" i="2"/>
  <c r="FE150" i="2"/>
  <c r="FD150" i="2"/>
  <c r="FC150" i="2"/>
  <c r="FB150" i="2"/>
  <c r="FA150" i="2"/>
  <c r="EZ150" i="2"/>
  <c r="EY150" i="2"/>
  <c r="EX150" i="2"/>
  <c r="EW150" i="2"/>
  <c r="EV150" i="2"/>
  <c r="EU150" i="2"/>
  <c r="ET150" i="2"/>
  <c r="ES150" i="2"/>
  <c r="ER150" i="2"/>
  <c r="EQ150" i="2"/>
  <c r="EP150" i="2"/>
  <c r="EO150" i="2"/>
  <c r="EN150" i="2"/>
  <c r="EM150" i="2"/>
  <c r="EL150" i="2"/>
  <c r="EK150" i="2"/>
  <c r="EJ150" i="2"/>
  <c r="EI150" i="2"/>
  <c r="EH150" i="2"/>
  <c r="EG150" i="2"/>
  <c r="EF150" i="2"/>
  <c r="EE150" i="2"/>
  <c r="ED150" i="2"/>
  <c r="EC150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P150" i="2"/>
  <c r="BO150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FP149" i="2"/>
  <c r="FO149" i="2"/>
  <c r="FN149" i="2"/>
  <c r="FM149" i="2"/>
  <c r="FL149" i="2"/>
  <c r="FK149" i="2"/>
  <c r="FJ149" i="2"/>
  <c r="FI149" i="2"/>
  <c r="FH149" i="2"/>
  <c r="FG149" i="2"/>
  <c r="FF149" i="2"/>
  <c r="FE149" i="2"/>
  <c r="FD149" i="2"/>
  <c r="FC149" i="2"/>
  <c r="FB149" i="2"/>
  <c r="FA149" i="2"/>
  <c r="EZ149" i="2"/>
  <c r="EY149" i="2"/>
  <c r="EX149" i="2"/>
  <c r="EW149" i="2"/>
  <c r="EV149" i="2"/>
  <c r="EU149" i="2"/>
  <c r="ET149" i="2"/>
  <c r="ES149" i="2"/>
  <c r="ER149" i="2"/>
  <c r="EQ149" i="2"/>
  <c r="EP149" i="2"/>
  <c r="EO149" i="2"/>
  <c r="EN149" i="2"/>
  <c r="EM149" i="2"/>
  <c r="EL149" i="2"/>
  <c r="EK149" i="2"/>
  <c r="EJ149" i="2"/>
  <c r="EI149" i="2"/>
  <c r="EH149" i="2"/>
  <c r="EG149" i="2"/>
  <c r="EF149" i="2"/>
  <c r="EE149" i="2"/>
  <c r="ED149" i="2"/>
  <c r="EC149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FP148" i="2"/>
  <c r="FO148" i="2"/>
  <c r="FN148" i="2"/>
  <c r="FM148" i="2"/>
  <c r="FL148" i="2"/>
  <c r="FK148" i="2"/>
  <c r="FJ148" i="2"/>
  <c r="FI148" i="2"/>
  <c r="FH148" i="2"/>
  <c r="FG148" i="2"/>
  <c r="FF148" i="2"/>
  <c r="FE148" i="2"/>
  <c r="FD148" i="2"/>
  <c r="FC148" i="2"/>
  <c r="FB148" i="2"/>
  <c r="FA148" i="2"/>
  <c r="EZ148" i="2"/>
  <c r="EY148" i="2"/>
  <c r="EX148" i="2"/>
  <c r="EW148" i="2"/>
  <c r="EV148" i="2"/>
  <c r="EU148" i="2"/>
  <c r="ET148" i="2"/>
  <c r="ES148" i="2"/>
  <c r="ER148" i="2"/>
  <c r="EQ148" i="2"/>
  <c r="EP148" i="2"/>
  <c r="EO148" i="2"/>
  <c r="EN148" i="2"/>
  <c r="EM148" i="2"/>
  <c r="EL148" i="2"/>
  <c r="EK148" i="2"/>
  <c r="EJ148" i="2"/>
  <c r="EI148" i="2"/>
  <c r="EH148" i="2"/>
  <c r="EG148" i="2"/>
  <c r="EF148" i="2"/>
  <c r="EE148" i="2"/>
  <c r="ED148" i="2"/>
  <c r="EC148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FP147" i="2"/>
  <c r="FO147" i="2"/>
  <c r="FN147" i="2"/>
  <c r="FM147" i="2"/>
  <c r="FL147" i="2"/>
  <c r="FK147" i="2"/>
  <c r="FJ147" i="2"/>
  <c r="FI147" i="2"/>
  <c r="FH147" i="2"/>
  <c r="FG147" i="2"/>
  <c r="FF147" i="2"/>
  <c r="FE147" i="2"/>
  <c r="FD147" i="2"/>
  <c r="FC147" i="2"/>
  <c r="FB147" i="2"/>
  <c r="FA147" i="2"/>
  <c r="EZ147" i="2"/>
  <c r="EY147" i="2"/>
  <c r="EX147" i="2"/>
  <c r="EW147" i="2"/>
  <c r="EV147" i="2"/>
  <c r="EU147" i="2"/>
  <c r="ET147" i="2"/>
  <c r="ES147" i="2"/>
  <c r="ER147" i="2"/>
  <c r="EQ147" i="2"/>
  <c r="EP147" i="2"/>
  <c r="EO147" i="2"/>
  <c r="EN147" i="2"/>
  <c r="EM147" i="2"/>
  <c r="EL147" i="2"/>
  <c r="EK147" i="2"/>
  <c r="EJ147" i="2"/>
  <c r="EI147" i="2"/>
  <c r="EH147" i="2"/>
  <c r="EG147" i="2"/>
  <c r="EF147" i="2"/>
  <c r="EE147" i="2"/>
  <c r="ED147" i="2"/>
  <c r="EC147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FP146" i="2"/>
  <c r="FO146" i="2"/>
  <c r="FN146" i="2"/>
  <c r="FM146" i="2"/>
  <c r="FL146" i="2"/>
  <c r="FK146" i="2"/>
  <c r="FJ146" i="2"/>
  <c r="FI146" i="2"/>
  <c r="FH146" i="2"/>
  <c r="FG146" i="2"/>
  <c r="FF146" i="2"/>
  <c r="FE146" i="2"/>
  <c r="FD146" i="2"/>
  <c r="FC146" i="2"/>
  <c r="FB146" i="2"/>
  <c r="FA146" i="2"/>
  <c r="EZ146" i="2"/>
  <c r="EY146" i="2"/>
  <c r="EX146" i="2"/>
  <c r="EW146" i="2"/>
  <c r="EV146" i="2"/>
  <c r="EU146" i="2"/>
  <c r="ET146" i="2"/>
  <c r="ES146" i="2"/>
  <c r="ER146" i="2"/>
  <c r="EQ146" i="2"/>
  <c r="EP146" i="2"/>
  <c r="EO146" i="2"/>
  <c r="EN146" i="2"/>
  <c r="EM146" i="2"/>
  <c r="EL146" i="2"/>
  <c r="EK146" i="2"/>
  <c r="EJ146" i="2"/>
  <c r="EI146" i="2"/>
  <c r="EH146" i="2"/>
  <c r="EG146" i="2"/>
  <c r="EF146" i="2"/>
  <c r="EE146" i="2"/>
  <c r="ED146" i="2"/>
  <c r="EC146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FP145" i="2"/>
  <c r="FO145" i="2"/>
  <c r="FN145" i="2"/>
  <c r="FM145" i="2"/>
  <c r="FL145" i="2"/>
  <c r="FK145" i="2"/>
  <c r="FJ145" i="2"/>
  <c r="FI145" i="2"/>
  <c r="FH145" i="2"/>
  <c r="FG145" i="2"/>
  <c r="FF145" i="2"/>
  <c r="FE145" i="2"/>
  <c r="FD145" i="2"/>
  <c r="FC145" i="2"/>
  <c r="FB145" i="2"/>
  <c r="FA145" i="2"/>
  <c r="EZ145" i="2"/>
  <c r="EY145" i="2"/>
  <c r="EX145" i="2"/>
  <c r="EW145" i="2"/>
  <c r="EV145" i="2"/>
  <c r="EU145" i="2"/>
  <c r="ET145" i="2"/>
  <c r="ES145" i="2"/>
  <c r="ER145" i="2"/>
  <c r="EQ145" i="2"/>
  <c r="EP145" i="2"/>
  <c r="EO145" i="2"/>
  <c r="EN145" i="2"/>
  <c r="EM145" i="2"/>
  <c r="EL145" i="2"/>
  <c r="EK145" i="2"/>
  <c r="EJ145" i="2"/>
  <c r="EI145" i="2"/>
  <c r="EH145" i="2"/>
  <c r="EG145" i="2"/>
  <c r="EF145" i="2"/>
  <c r="EE145" i="2"/>
  <c r="ED145" i="2"/>
  <c r="EC145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FP144" i="2"/>
  <c r="FO144" i="2"/>
  <c r="FN144" i="2"/>
  <c r="FM144" i="2"/>
  <c r="FL144" i="2"/>
  <c r="FK144" i="2"/>
  <c r="FJ144" i="2"/>
  <c r="FI144" i="2"/>
  <c r="FH144" i="2"/>
  <c r="FG144" i="2"/>
  <c r="FF144" i="2"/>
  <c r="FE144" i="2"/>
  <c r="FD144" i="2"/>
  <c r="FC144" i="2"/>
  <c r="FB144" i="2"/>
  <c r="FA144" i="2"/>
  <c r="EZ144" i="2"/>
  <c r="EY144" i="2"/>
  <c r="EX144" i="2"/>
  <c r="EW144" i="2"/>
  <c r="EV144" i="2"/>
  <c r="EU144" i="2"/>
  <c r="ET144" i="2"/>
  <c r="ES144" i="2"/>
  <c r="ER144" i="2"/>
  <c r="EQ144" i="2"/>
  <c r="EP144" i="2"/>
  <c r="EO144" i="2"/>
  <c r="EN144" i="2"/>
  <c r="EM144" i="2"/>
  <c r="EL144" i="2"/>
  <c r="EK144" i="2"/>
  <c r="EJ144" i="2"/>
  <c r="EI144" i="2"/>
  <c r="EH144" i="2"/>
  <c r="EG144" i="2"/>
  <c r="EF144" i="2"/>
  <c r="EE144" i="2"/>
  <c r="ED144" i="2"/>
  <c r="EC144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FP143" i="2"/>
  <c r="FO143" i="2"/>
  <c r="FN143" i="2"/>
  <c r="FM143" i="2"/>
  <c r="FL143" i="2"/>
  <c r="FK143" i="2"/>
  <c r="FJ143" i="2"/>
  <c r="FI143" i="2"/>
  <c r="FH143" i="2"/>
  <c r="FG143" i="2"/>
  <c r="FF143" i="2"/>
  <c r="FE143" i="2"/>
  <c r="FD143" i="2"/>
  <c r="FC143" i="2"/>
  <c r="FB143" i="2"/>
  <c r="FA143" i="2"/>
  <c r="EZ143" i="2"/>
  <c r="EY143" i="2"/>
  <c r="EX143" i="2"/>
  <c r="EW143" i="2"/>
  <c r="EV143" i="2"/>
  <c r="EU143" i="2"/>
  <c r="ET143" i="2"/>
  <c r="ES143" i="2"/>
  <c r="ER143" i="2"/>
  <c r="EQ143" i="2"/>
  <c r="EP143" i="2"/>
  <c r="EO143" i="2"/>
  <c r="EN143" i="2"/>
  <c r="EM143" i="2"/>
  <c r="EL143" i="2"/>
  <c r="EK143" i="2"/>
  <c r="EJ143" i="2"/>
  <c r="EI143" i="2"/>
  <c r="EH143" i="2"/>
  <c r="EG143" i="2"/>
  <c r="EF143" i="2"/>
  <c r="EE143" i="2"/>
  <c r="ED143" i="2"/>
  <c r="EC143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FP142" i="2"/>
  <c r="FO142" i="2"/>
  <c r="FN142" i="2"/>
  <c r="FM142" i="2"/>
  <c r="FL142" i="2"/>
  <c r="FK142" i="2"/>
  <c r="FJ142" i="2"/>
  <c r="FI142" i="2"/>
  <c r="FH142" i="2"/>
  <c r="FG142" i="2"/>
  <c r="FF142" i="2"/>
  <c r="FE142" i="2"/>
  <c r="FD142" i="2"/>
  <c r="FC142" i="2"/>
  <c r="FB142" i="2"/>
  <c r="FA142" i="2"/>
  <c r="EZ142" i="2"/>
  <c r="EY142" i="2"/>
  <c r="EX142" i="2"/>
  <c r="EW142" i="2"/>
  <c r="EV142" i="2"/>
  <c r="EU142" i="2"/>
  <c r="ET142" i="2"/>
  <c r="ES142" i="2"/>
  <c r="ER142" i="2"/>
  <c r="EQ142" i="2"/>
  <c r="EP142" i="2"/>
  <c r="EO142" i="2"/>
  <c r="EN142" i="2"/>
  <c r="EM142" i="2"/>
  <c r="EL142" i="2"/>
  <c r="EK142" i="2"/>
  <c r="EJ142" i="2"/>
  <c r="EI142" i="2"/>
  <c r="EH142" i="2"/>
  <c r="EG142" i="2"/>
  <c r="EF142" i="2"/>
  <c r="EE142" i="2"/>
  <c r="ED142" i="2"/>
  <c r="EC142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FP141" i="2"/>
  <c r="FO141" i="2"/>
  <c r="FN141" i="2"/>
  <c r="FM141" i="2"/>
  <c r="FL141" i="2"/>
  <c r="FK141" i="2"/>
  <c r="FJ141" i="2"/>
  <c r="FI141" i="2"/>
  <c r="FH141" i="2"/>
  <c r="FG141" i="2"/>
  <c r="FF141" i="2"/>
  <c r="FE141" i="2"/>
  <c r="FD141" i="2"/>
  <c r="FC141" i="2"/>
  <c r="FB141" i="2"/>
  <c r="FA141" i="2"/>
  <c r="EZ141" i="2"/>
  <c r="EY141" i="2"/>
  <c r="EX141" i="2"/>
  <c r="EW141" i="2"/>
  <c r="EV141" i="2"/>
  <c r="EU141" i="2"/>
  <c r="ET141" i="2"/>
  <c r="ES141" i="2"/>
  <c r="ER141" i="2"/>
  <c r="EQ141" i="2"/>
  <c r="EP141" i="2"/>
  <c r="EO141" i="2"/>
  <c r="EN141" i="2"/>
  <c r="EM141" i="2"/>
  <c r="EL141" i="2"/>
  <c r="EK141" i="2"/>
  <c r="EJ141" i="2"/>
  <c r="EI141" i="2"/>
  <c r="EH141" i="2"/>
  <c r="EG141" i="2"/>
  <c r="EF141" i="2"/>
  <c r="EE141" i="2"/>
  <c r="ED141" i="2"/>
  <c r="EC141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FP140" i="2"/>
  <c r="FO140" i="2"/>
  <c r="FN140" i="2"/>
  <c r="FM140" i="2"/>
  <c r="FL140" i="2"/>
  <c r="FK140" i="2"/>
  <c r="FJ140" i="2"/>
  <c r="FI140" i="2"/>
  <c r="FH140" i="2"/>
  <c r="FG140" i="2"/>
  <c r="FF140" i="2"/>
  <c r="FE140" i="2"/>
  <c r="FD140" i="2"/>
  <c r="FC140" i="2"/>
  <c r="FB140" i="2"/>
  <c r="FA140" i="2"/>
  <c r="EZ140" i="2"/>
  <c r="EY140" i="2"/>
  <c r="EX140" i="2"/>
  <c r="EW140" i="2"/>
  <c r="EV140" i="2"/>
  <c r="EU140" i="2"/>
  <c r="ET140" i="2"/>
  <c r="ES140" i="2"/>
  <c r="ER140" i="2"/>
  <c r="EQ140" i="2"/>
  <c r="EP140" i="2"/>
  <c r="EO140" i="2"/>
  <c r="EN140" i="2"/>
  <c r="EM140" i="2"/>
  <c r="EL140" i="2"/>
  <c r="EK140" i="2"/>
  <c r="EJ140" i="2"/>
  <c r="EI140" i="2"/>
  <c r="EH140" i="2"/>
  <c r="EG140" i="2"/>
  <c r="EF140" i="2"/>
  <c r="EE140" i="2"/>
  <c r="ED140" i="2"/>
  <c r="EC140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FP139" i="2"/>
  <c r="FO139" i="2"/>
  <c r="FN139" i="2"/>
  <c r="FM139" i="2"/>
  <c r="FL139" i="2"/>
  <c r="FK139" i="2"/>
  <c r="FJ139" i="2"/>
  <c r="FI139" i="2"/>
  <c r="FH139" i="2"/>
  <c r="FG139" i="2"/>
  <c r="FF139" i="2"/>
  <c r="FE139" i="2"/>
  <c r="FD139" i="2"/>
  <c r="FC139" i="2"/>
  <c r="FB139" i="2"/>
  <c r="FA139" i="2"/>
  <c r="EZ139" i="2"/>
  <c r="EY139" i="2"/>
  <c r="EX139" i="2"/>
  <c r="EW139" i="2"/>
  <c r="EV139" i="2"/>
  <c r="EU139" i="2"/>
  <c r="ET139" i="2"/>
  <c r="ES139" i="2"/>
  <c r="ER139" i="2"/>
  <c r="EQ139" i="2"/>
  <c r="EP139" i="2"/>
  <c r="EO139" i="2"/>
  <c r="EN139" i="2"/>
  <c r="EM139" i="2"/>
  <c r="EL139" i="2"/>
  <c r="EK139" i="2"/>
  <c r="EJ139" i="2"/>
  <c r="EI139" i="2"/>
  <c r="EH139" i="2"/>
  <c r="EG139" i="2"/>
  <c r="EF139" i="2"/>
  <c r="EE139" i="2"/>
  <c r="ED139" i="2"/>
  <c r="EC139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BT139" i="2"/>
  <c r="BS139" i="2"/>
  <c r="BR139" i="2"/>
  <c r="BQ139" i="2"/>
  <c r="BP139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FP138" i="2"/>
  <c r="FO138" i="2"/>
  <c r="FN138" i="2"/>
  <c r="FM138" i="2"/>
  <c r="FL138" i="2"/>
  <c r="FK138" i="2"/>
  <c r="FJ138" i="2"/>
  <c r="FI138" i="2"/>
  <c r="FH138" i="2"/>
  <c r="FG138" i="2"/>
  <c r="FF138" i="2"/>
  <c r="FE138" i="2"/>
  <c r="FD138" i="2"/>
  <c r="FC138" i="2"/>
  <c r="FB138" i="2"/>
  <c r="FA138" i="2"/>
  <c r="EZ138" i="2"/>
  <c r="EY138" i="2"/>
  <c r="EX138" i="2"/>
  <c r="EW138" i="2"/>
  <c r="EV138" i="2"/>
  <c r="EU138" i="2"/>
  <c r="ET138" i="2"/>
  <c r="ES138" i="2"/>
  <c r="ER138" i="2"/>
  <c r="EQ138" i="2"/>
  <c r="EP138" i="2"/>
  <c r="EO138" i="2"/>
  <c r="EN138" i="2"/>
  <c r="EM138" i="2"/>
  <c r="EL138" i="2"/>
  <c r="EK138" i="2"/>
  <c r="EJ138" i="2"/>
  <c r="EI138" i="2"/>
  <c r="EH138" i="2"/>
  <c r="EG138" i="2"/>
  <c r="EF138" i="2"/>
  <c r="EE138" i="2"/>
  <c r="ED138" i="2"/>
  <c r="EC138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FP137" i="2"/>
  <c r="FO137" i="2"/>
  <c r="FN137" i="2"/>
  <c r="FM137" i="2"/>
  <c r="FL137" i="2"/>
  <c r="FK137" i="2"/>
  <c r="FJ137" i="2"/>
  <c r="FI137" i="2"/>
  <c r="FH137" i="2"/>
  <c r="FG137" i="2"/>
  <c r="FF137" i="2"/>
  <c r="FE137" i="2"/>
  <c r="FD137" i="2"/>
  <c r="FC137" i="2"/>
  <c r="FB137" i="2"/>
  <c r="FA137" i="2"/>
  <c r="EZ137" i="2"/>
  <c r="EY137" i="2"/>
  <c r="EX137" i="2"/>
  <c r="EW137" i="2"/>
  <c r="EV137" i="2"/>
  <c r="EU137" i="2"/>
  <c r="ET137" i="2"/>
  <c r="ES137" i="2"/>
  <c r="ER137" i="2"/>
  <c r="EQ137" i="2"/>
  <c r="EP137" i="2"/>
  <c r="EO137" i="2"/>
  <c r="EN137" i="2"/>
  <c r="EM137" i="2"/>
  <c r="EL137" i="2"/>
  <c r="EK137" i="2"/>
  <c r="EJ137" i="2"/>
  <c r="EI137" i="2"/>
  <c r="EH137" i="2"/>
  <c r="EG137" i="2"/>
  <c r="EF137" i="2"/>
  <c r="EE137" i="2"/>
  <c r="ED137" i="2"/>
  <c r="EC137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FP136" i="2"/>
  <c r="FO136" i="2"/>
  <c r="FN136" i="2"/>
  <c r="FM136" i="2"/>
  <c r="FL136" i="2"/>
  <c r="FK136" i="2"/>
  <c r="FJ136" i="2"/>
  <c r="FI136" i="2"/>
  <c r="FH136" i="2"/>
  <c r="FG136" i="2"/>
  <c r="FF136" i="2"/>
  <c r="FE136" i="2"/>
  <c r="FD136" i="2"/>
  <c r="FC136" i="2"/>
  <c r="FB136" i="2"/>
  <c r="FA136" i="2"/>
  <c r="EZ136" i="2"/>
  <c r="EY136" i="2"/>
  <c r="EX136" i="2"/>
  <c r="EW136" i="2"/>
  <c r="EV136" i="2"/>
  <c r="EU136" i="2"/>
  <c r="ET136" i="2"/>
  <c r="ES136" i="2"/>
  <c r="ER136" i="2"/>
  <c r="EQ136" i="2"/>
  <c r="EP136" i="2"/>
  <c r="EO136" i="2"/>
  <c r="EN136" i="2"/>
  <c r="EM136" i="2"/>
  <c r="EL136" i="2"/>
  <c r="EK136" i="2"/>
  <c r="EJ136" i="2"/>
  <c r="EI136" i="2"/>
  <c r="EH136" i="2"/>
  <c r="EG136" i="2"/>
  <c r="EF136" i="2"/>
  <c r="EE136" i="2"/>
  <c r="ED136" i="2"/>
  <c r="EC136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FP135" i="2"/>
  <c r="FO135" i="2"/>
  <c r="FN135" i="2"/>
  <c r="FM135" i="2"/>
  <c r="FL135" i="2"/>
  <c r="FK135" i="2"/>
  <c r="FJ135" i="2"/>
  <c r="FI135" i="2"/>
  <c r="FH135" i="2"/>
  <c r="FG135" i="2"/>
  <c r="FF135" i="2"/>
  <c r="FE135" i="2"/>
  <c r="FD135" i="2"/>
  <c r="FC135" i="2"/>
  <c r="FB135" i="2"/>
  <c r="FA135" i="2"/>
  <c r="EZ135" i="2"/>
  <c r="EY135" i="2"/>
  <c r="EX135" i="2"/>
  <c r="EW135" i="2"/>
  <c r="EV135" i="2"/>
  <c r="EU135" i="2"/>
  <c r="ET135" i="2"/>
  <c r="ES135" i="2"/>
  <c r="ER135" i="2"/>
  <c r="EQ135" i="2"/>
  <c r="EP135" i="2"/>
  <c r="EO135" i="2"/>
  <c r="EN135" i="2"/>
  <c r="EM135" i="2"/>
  <c r="EL135" i="2"/>
  <c r="EK135" i="2"/>
  <c r="EJ135" i="2"/>
  <c r="EI135" i="2"/>
  <c r="EH135" i="2"/>
  <c r="EG135" i="2"/>
  <c r="EF135" i="2"/>
  <c r="EE135" i="2"/>
  <c r="ED135" i="2"/>
  <c r="EC135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P135" i="2"/>
  <c r="BO135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FP134" i="2"/>
  <c r="FO134" i="2"/>
  <c r="FN134" i="2"/>
  <c r="FM134" i="2"/>
  <c r="FL134" i="2"/>
  <c r="FK134" i="2"/>
  <c r="FJ134" i="2"/>
  <c r="FI134" i="2"/>
  <c r="FH134" i="2"/>
  <c r="FG134" i="2"/>
  <c r="FF134" i="2"/>
  <c r="FE134" i="2"/>
  <c r="FD134" i="2"/>
  <c r="FC134" i="2"/>
  <c r="FB134" i="2"/>
  <c r="FA134" i="2"/>
  <c r="EZ134" i="2"/>
  <c r="EY134" i="2"/>
  <c r="EX134" i="2"/>
  <c r="EW134" i="2"/>
  <c r="EV134" i="2"/>
  <c r="EU134" i="2"/>
  <c r="ET134" i="2"/>
  <c r="ES134" i="2"/>
  <c r="ER134" i="2"/>
  <c r="EQ134" i="2"/>
  <c r="EP134" i="2"/>
  <c r="EO134" i="2"/>
  <c r="EN134" i="2"/>
  <c r="EM134" i="2"/>
  <c r="EL134" i="2"/>
  <c r="EK134" i="2"/>
  <c r="EJ134" i="2"/>
  <c r="EI134" i="2"/>
  <c r="EH134" i="2"/>
  <c r="EG134" i="2"/>
  <c r="EF134" i="2"/>
  <c r="EE134" i="2"/>
  <c r="ED134" i="2"/>
  <c r="EC134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FP133" i="2"/>
  <c r="FO133" i="2"/>
  <c r="FN133" i="2"/>
  <c r="FM133" i="2"/>
  <c r="FL133" i="2"/>
  <c r="FK133" i="2"/>
  <c r="FJ133" i="2"/>
  <c r="FI133" i="2"/>
  <c r="FH133" i="2"/>
  <c r="FG133" i="2"/>
  <c r="FF133" i="2"/>
  <c r="FE133" i="2"/>
  <c r="FD133" i="2"/>
  <c r="FC133" i="2"/>
  <c r="FB133" i="2"/>
  <c r="FA133" i="2"/>
  <c r="EZ133" i="2"/>
  <c r="EY133" i="2"/>
  <c r="EX133" i="2"/>
  <c r="EW133" i="2"/>
  <c r="EV133" i="2"/>
  <c r="EU133" i="2"/>
  <c r="ET133" i="2"/>
  <c r="ES133" i="2"/>
  <c r="ER133" i="2"/>
  <c r="EQ133" i="2"/>
  <c r="EP133" i="2"/>
  <c r="EO133" i="2"/>
  <c r="EN133" i="2"/>
  <c r="EM133" i="2"/>
  <c r="EL133" i="2"/>
  <c r="EK133" i="2"/>
  <c r="EJ133" i="2"/>
  <c r="EI133" i="2"/>
  <c r="EH133" i="2"/>
  <c r="EG133" i="2"/>
  <c r="EF133" i="2"/>
  <c r="EE133" i="2"/>
  <c r="ED133" i="2"/>
  <c r="EC133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FP132" i="2"/>
  <c r="FO132" i="2"/>
  <c r="FN132" i="2"/>
  <c r="FM132" i="2"/>
  <c r="FL132" i="2"/>
  <c r="FK132" i="2"/>
  <c r="FJ132" i="2"/>
  <c r="FI132" i="2"/>
  <c r="FH132" i="2"/>
  <c r="FG132" i="2"/>
  <c r="FF132" i="2"/>
  <c r="FE132" i="2"/>
  <c r="FD132" i="2"/>
  <c r="FC132" i="2"/>
  <c r="FB132" i="2"/>
  <c r="FA132" i="2"/>
  <c r="EZ132" i="2"/>
  <c r="EY132" i="2"/>
  <c r="EX132" i="2"/>
  <c r="EW132" i="2"/>
  <c r="EV132" i="2"/>
  <c r="EU132" i="2"/>
  <c r="ET132" i="2"/>
  <c r="ES132" i="2"/>
  <c r="ER132" i="2"/>
  <c r="EQ132" i="2"/>
  <c r="EP132" i="2"/>
  <c r="EO132" i="2"/>
  <c r="EN132" i="2"/>
  <c r="EM132" i="2"/>
  <c r="EL132" i="2"/>
  <c r="EK132" i="2"/>
  <c r="EJ132" i="2"/>
  <c r="EI132" i="2"/>
  <c r="EH132" i="2"/>
  <c r="EG132" i="2"/>
  <c r="EF132" i="2"/>
  <c r="EE132" i="2"/>
  <c r="ED132" i="2"/>
  <c r="EC132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FP131" i="2"/>
  <c r="FO131" i="2"/>
  <c r="FN131" i="2"/>
  <c r="FM131" i="2"/>
  <c r="FL131" i="2"/>
  <c r="FK131" i="2"/>
  <c r="FJ131" i="2"/>
  <c r="FI131" i="2"/>
  <c r="FH131" i="2"/>
  <c r="FG131" i="2"/>
  <c r="FF131" i="2"/>
  <c r="FE131" i="2"/>
  <c r="FD131" i="2"/>
  <c r="FC131" i="2"/>
  <c r="FB131" i="2"/>
  <c r="FA131" i="2"/>
  <c r="EZ131" i="2"/>
  <c r="EY131" i="2"/>
  <c r="EX131" i="2"/>
  <c r="EW131" i="2"/>
  <c r="EV131" i="2"/>
  <c r="EU131" i="2"/>
  <c r="ET131" i="2"/>
  <c r="ES131" i="2"/>
  <c r="ER131" i="2"/>
  <c r="EQ131" i="2"/>
  <c r="EP131" i="2"/>
  <c r="EO131" i="2"/>
  <c r="EN131" i="2"/>
  <c r="EM131" i="2"/>
  <c r="EL131" i="2"/>
  <c r="EK131" i="2"/>
  <c r="EJ131" i="2"/>
  <c r="EI131" i="2"/>
  <c r="EH131" i="2"/>
  <c r="EG131" i="2"/>
  <c r="EF131" i="2"/>
  <c r="EE131" i="2"/>
  <c r="ED131" i="2"/>
  <c r="EC131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FP130" i="2"/>
  <c r="FO130" i="2"/>
  <c r="FN130" i="2"/>
  <c r="FM130" i="2"/>
  <c r="FL130" i="2"/>
  <c r="FK130" i="2"/>
  <c r="FJ130" i="2"/>
  <c r="FI130" i="2"/>
  <c r="FH130" i="2"/>
  <c r="FG130" i="2"/>
  <c r="FF130" i="2"/>
  <c r="FE130" i="2"/>
  <c r="FD130" i="2"/>
  <c r="FC130" i="2"/>
  <c r="FB130" i="2"/>
  <c r="FA130" i="2"/>
  <c r="EZ130" i="2"/>
  <c r="EY130" i="2"/>
  <c r="EX130" i="2"/>
  <c r="EW130" i="2"/>
  <c r="EV130" i="2"/>
  <c r="EU130" i="2"/>
  <c r="ET130" i="2"/>
  <c r="ES130" i="2"/>
  <c r="ER130" i="2"/>
  <c r="EQ130" i="2"/>
  <c r="EP130" i="2"/>
  <c r="EO130" i="2"/>
  <c r="EN130" i="2"/>
  <c r="EM130" i="2"/>
  <c r="EL130" i="2"/>
  <c r="EK130" i="2"/>
  <c r="EJ130" i="2"/>
  <c r="EI130" i="2"/>
  <c r="EH130" i="2"/>
  <c r="EG130" i="2"/>
  <c r="EF130" i="2"/>
  <c r="EE130" i="2"/>
  <c r="ED130" i="2"/>
  <c r="EC130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FP129" i="2"/>
  <c r="FO129" i="2"/>
  <c r="FN129" i="2"/>
  <c r="FM129" i="2"/>
  <c r="FL129" i="2"/>
  <c r="FK129" i="2"/>
  <c r="FJ129" i="2"/>
  <c r="FI129" i="2"/>
  <c r="FH129" i="2"/>
  <c r="FG129" i="2"/>
  <c r="FF129" i="2"/>
  <c r="FE129" i="2"/>
  <c r="FD129" i="2"/>
  <c r="FC129" i="2"/>
  <c r="FB129" i="2"/>
  <c r="FA129" i="2"/>
  <c r="EZ129" i="2"/>
  <c r="EY129" i="2"/>
  <c r="EX129" i="2"/>
  <c r="EW129" i="2"/>
  <c r="EV129" i="2"/>
  <c r="EU129" i="2"/>
  <c r="ET129" i="2"/>
  <c r="ES129" i="2"/>
  <c r="ER129" i="2"/>
  <c r="EQ129" i="2"/>
  <c r="EP129" i="2"/>
  <c r="EO129" i="2"/>
  <c r="EN129" i="2"/>
  <c r="EM129" i="2"/>
  <c r="EL129" i="2"/>
  <c r="EK129" i="2"/>
  <c r="EJ129" i="2"/>
  <c r="EI129" i="2"/>
  <c r="EH129" i="2"/>
  <c r="EG129" i="2"/>
  <c r="EF129" i="2"/>
  <c r="EE129" i="2"/>
  <c r="ED129" i="2"/>
  <c r="EC129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FP128" i="2"/>
  <c r="FO128" i="2"/>
  <c r="FN128" i="2"/>
  <c r="FM128" i="2"/>
  <c r="FL128" i="2"/>
  <c r="FK128" i="2"/>
  <c r="FJ128" i="2"/>
  <c r="FI128" i="2"/>
  <c r="FH128" i="2"/>
  <c r="FG128" i="2"/>
  <c r="FF128" i="2"/>
  <c r="FE128" i="2"/>
  <c r="FD128" i="2"/>
  <c r="FC128" i="2"/>
  <c r="FB128" i="2"/>
  <c r="FA128" i="2"/>
  <c r="EZ128" i="2"/>
  <c r="EY128" i="2"/>
  <c r="EX128" i="2"/>
  <c r="EW128" i="2"/>
  <c r="EV128" i="2"/>
  <c r="EU128" i="2"/>
  <c r="ET128" i="2"/>
  <c r="ES128" i="2"/>
  <c r="ER128" i="2"/>
  <c r="EQ128" i="2"/>
  <c r="EP128" i="2"/>
  <c r="EO128" i="2"/>
  <c r="EN128" i="2"/>
  <c r="EM128" i="2"/>
  <c r="EL128" i="2"/>
  <c r="EK128" i="2"/>
  <c r="EJ128" i="2"/>
  <c r="EI128" i="2"/>
  <c r="EH128" i="2"/>
  <c r="EG128" i="2"/>
  <c r="EF128" i="2"/>
  <c r="EE128" i="2"/>
  <c r="ED128" i="2"/>
  <c r="EC128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FP127" i="2"/>
  <c r="FO127" i="2"/>
  <c r="FN127" i="2"/>
  <c r="FM127" i="2"/>
  <c r="FL127" i="2"/>
  <c r="FK127" i="2"/>
  <c r="FJ127" i="2"/>
  <c r="FI127" i="2"/>
  <c r="FH127" i="2"/>
  <c r="FG127" i="2"/>
  <c r="FF127" i="2"/>
  <c r="FE127" i="2"/>
  <c r="FD127" i="2"/>
  <c r="FC127" i="2"/>
  <c r="FB127" i="2"/>
  <c r="FA127" i="2"/>
  <c r="EZ127" i="2"/>
  <c r="EY127" i="2"/>
  <c r="EX127" i="2"/>
  <c r="EW127" i="2"/>
  <c r="EV127" i="2"/>
  <c r="EU127" i="2"/>
  <c r="ET127" i="2"/>
  <c r="ES127" i="2"/>
  <c r="ER127" i="2"/>
  <c r="EQ127" i="2"/>
  <c r="EP127" i="2"/>
  <c r="EO127" i="2"/>
  <c r="EN127" i="2"/>
  <c r="EM127" i="2"/>
  <c r="EL127" i="2"/>
  <c r="EK127" i="2"/>
  <c r="EJ127" i="2"/>
  <c r="EI127" i="2"/>
  <c r="EH127" i="2"/>
  <c r="EG127" i="2"/>
  <c r="EF127" i="2"/>
  <c r="EE127" i="2"/>
  <c r="ED127" i="2"/>
  <c r="EC127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BT127" i="2"/>
  <c r="BS127" i="2"/>
  <c r="BR127" i="2"/>
  <c r="BQ127" i="2"/>
  <c r="BP127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FP126" i="2"/>
  <c r="FO126" i="2"/>
  <c r="FN126" i="2"/>
  <c r="FM126" i="2"/>
  <c r="FL126" i="2"/>
  <c r="FK126" i="2"/>
  <c r="FJ126" i="2"/>
  <c r="FI126" i="2"/>
  <c r="FH126" i="2"/>
  <c r="FG126" i="2"/>
  <c r="FF126" i="2"/>
  <c r="FE126" i="2"/>
  <c r="FD126" i="2"/>
  <c r="FC126" i="2"/>
  <c r="FB126" i="2"/>
  <c r="FA126" i="2"/>
  <c r="EZ126" i="2"/>
  <c r="EY126" i="2"/>
  <c r="EX126" i="2"/>
  <c r="EW126" i="2"/>
  <c r="EV126" i="2"/>
  <c r="EU126" i="2"/>
  <c r="ET126" i="2"/>
  <c r="ES126" i="2"/>
  <c r="ER126" i="2"/>
  <c r="EQ126" i="2"/>
  <c r="EP126" i="2"/>
  <c r="EO126" i="2"/>
  <c r="EN126" i="2"/>
  <c r="EM126" i="2"/>
  <c r="EL126" i="2"/>
  <c r="EK126" i="2"/>
  <c r="EJ126" i="2"/>
  <c r="EI126" i="2"/>
  <c r="EH126" i="2"/>
  <c r="EG126" i="2"/>
  <c r="EF126" i="2"/>
  <c r="EE126" i="2"/>
  <c r="ED126" i="2"/>
  <c r="EC126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BT126" i="2"/>
  <c r="BS126" i="2"/>
  <c r="BR126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FP125" i="2"/>
  <c r="FO125" i="2"/>
  <c r="FN125" i="2"/>
  <c r="FM125" i="2"/>
  <c r="FL125" i="2"/>
  <c r="FK125" i="2"/>
  <c r="FJ125" i="2"/>
  <c r="FI125" i="2"/>
  <c r="FH125" i="2"/>
  <c r="FG125" i="2"/>
  <c r="FF125" i="2"/>
  <c r="FE125" i="2"/>
  <c r="FD125" i="2"/>
  <c r="FC125" i="2"/>
  <c r="FB125" i="2"/>
  <c r="FA125" i="2"/>
  <c r="EZ125" i="2"/>
  <c r="EY125" i="2"/>
  <c r="EX125" i="2"/>
  <c r="EW125" i="2"/>
  <c r="EV125" i="2"/>
  <c r="EU125" i="2"/>
  <c r="ET125" i="2"/>
  <c r="ES125" i="2"/>
  <c r="ER125" i="2"/>
  <c r="EQ125" i="2"/>
  <c r="EP125" i="2"/>
  <c r="EO125" i="2"/>
  <c r="EN125" i="2"/>
  <c r="EM125" i="2"/>
  <c r="EL125" i="2"/>
  <c r="EK125" i="2"/>
  <c r="EJ125" i="2"/>
  <c r="EI125" i="2"/>
  <c r="EH125" i="2"/>
  <c r="EG125" i="2"/>
  <c r="EF125" i="2"/>
  <c r="EE125" i="2"/>
  <c r="ED125" i="2"/>
  <c r="EC125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FP124" i="2"/>
  <c r="FO124" i="2"/>
  <c r="FN124" i="2"/>
  <c r="FM124" i="2"/>
  <c r="FL124" i="2"/>
  <c r="FK124" i="2"/>
  <c r="FJ124" i="2"/>
  <c r="FI124" i="2"/>
  <c r="FH124" i="2"/>
  <c r="FG124" i="2"/>
  <c r="FF124" i="2"/>
  <c r="FE124" i="2"/>
  <c r="FD124" i="2"/>
  <c r="FC124" i="2"/>
  <c r="FB124" i="2"/>
  <c r="FA124" i="2"/>
  <c r="EZ124" i="2"/>
  <c r="EY124" i="2"/>
  <c r="EX124" i="2"/>
  <c r="EW124" i="2"/>
  <c r="EV124" i="2"/>
  <c r="EU124" i="2"/>
  <c r="ET124" i="2"/>
  <c r="ES124" i="2"/>
  <c r="ER124" i="2"/>
  <c r="EQ124" i="2"/>
  <c r="EP124" i="2"/>
  <c r="EO124" i="2"/>
  <c r="EN124" i="2"/>
  <c r="EM124" i="2"/>
  <c r="EL124" i="2"/>
  <c r="EK124" i="2"/>
  <c r="EJ124" i="2"/>
  <c r="EI124" i="2"/>
  <c r="EH124" i="2"/>
  <c r="EG124" i="2"/>
  <c r="EF124" i="2"/>
  <c r="EE124" i="2"/>
  <c r="ED124" i="2"/>
  <c r="EC124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BT124" i="2"/>
  <c r="BS124" i="2"/>
  <c r="BR124" i="2"/>
  <c r="BQ124" i="2"/>
  <c r="BP124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FP123" i="2"/>
  <c r="FO123" i="2"/>
  <c r="FN123" i="2"/>
  <c r="FM123" i="2"/>
  <c r="FL123" i="2"/>
  <c r="FK123" i="2"/>
  <c r="FJ123" i="2"/>
  <c r="FI123" i="2"/>
  <c r="FH123" i="2"/>
  <c r="FG123" i="2"/>
  <c r="FF123" i="2"/>
  <c r="FE123" i="2"/>
  <c r="FD123" i="2"/>
  <c r="FC123" i="2"/>
  <c r="FB123" i="2"/>
  <c r="FA123" i="2"/>
  <c r="EZ123" i="2"/>
  <c r="EY123" i="2"/>
  <c r="EX123" i="2"/>
  <c r="EW123" i="2"/>
  <c r="EV123" i="2"/>
  <c r="EU123" i="2"/>
  <c r="ET123" i="2"/>
  <c r="ES123" i="2"/>
  <c r="ER123" i="2"/>
  <c r="EQ123" i="2"/>
  <c r="EP123" i="2"/>
  <c r="EO123" i="2"/>
  <c r="EN123" i="2"/>
  <c r="EM123" i="2"/>
  <c r="EL123" i="2"/>
  <c r="EK123" i="2"/>
  <c r="EJ123" i="2"/>
  <c r="EI123" i="2"/>
  <c r="EH123" i="2"/>
  <c r="EG123" i="2"/>
  <c r="EF123" i="2"/>
  <c r="EE123" i="2"/>
  <c r="ED123" i="2"/>
  <c r="EC123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BT123" i="2"/>
  <c r="BS123" i="2"/>
  <c r="BR123" i="2"/>
  <c r="BQ123" i="2"/>
  <c r="BP123" i="2"/>
  <c r="BO123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FP122" i="2"/>
  <c r="FO122" i="2"/>
  <c r="FN122" i="2"/>
  <c r="FM122" i="2"/>
  <c r="FL122" i="2"/>
  <c r="FK122" i="2"/>
  <c r="FJ122" i="2"/>
  <c r="FI122" i="2"/>
  <c r="FH122" i="2"/>
  <c r="FG122" i="2"/>
  <c r="FF122" i="2"/>
  <c r="FE122" i="2"/>
  <c r="FD122" i="2"/>
  <c r="FC122" i="2"/>
  <c r="FB122" i="2"/>
  <c r="FA122" i="2"/>
  <c r="EZ122" i="2"/>
  <c r="EY122" i="2"/>
  <c r="EX122" i="2"/>
  <c r="EW122" i="2"/>
  <c r="EV122" i="2"/>
  <c r="EU122" i="2"/>
  <c r="ET122" i="2"/>
  <c r="ES122" i="2"/>
  <c r="ER122" i="2"/>
  <c r="EQ122" i="2"/>
  <c r="EP122" i="2"/>
  <c r="EO122" i="2"/>
  <c r="EN122" i="2"/>
  <c r="EM122" i="2"/>
  <c r="EL122" i="2"/>
  <c r="EK122" i="2"/>
  <c r="EJ122" i="2"/>
  <c r="EI122" i="2"/>
  <c r="EH122" i="2"/>
  <c r="EG122" i="2"/>
  <c r="EF122" i="2"/>
  <c r="EE122" i="2"/>
  <c r="ED122" i="2"/>
  <c r="EC122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FP121" i="2"/>
  <c r="FO121" i="2"/>
  <c r="FN121" i="2"/>
  <c r="FM121" i="2"/>
  <c r="FL121" i="2"/>
  <c r="FK121" i="2"/>
  <c r="FJ121" i="2"/>
  <c r="FI121" i="2"/>
  <c r="FH121" i="2"/>
  <c r="FG121" i="2"/>
  <c r="FF121" i="2"/>
  <c r="FE121" i="2"/>
  <c r="FD121" i="2"/>
  <c r="FC121" i="2"/>
  <c r="FB121" i="2"/>
  <c r="FA121" i="2"/>
  <c r="EZ121" i="2"/>
  <c r="EY121" i="2"/>
  <c r="EX121" i="2"/>
  <c r="EW121" i="2"/>
  <c r="EV121" i="2"/>
  <c r="EU121" i="2"/>
  <c r="ET121" i="2"/>
  <c r="ES121" i="2"/>
  <c r="ER121" i="2"/>
  <c r="EQ121" i="2"/>
  <c r="EP121" i="2"/>
  <c r="EO121" i="2"/>
  <c r="EN121" i="2"/>
  <c r="EM121" i="2"/>
  <c r="EL121" i="2"/>
  <c r="EK121" i="2"/>
  <c r="EJ121" i="2"/>
  <c r="EI121" i="2"/>
  <c r="EH121" i="2"/>
  <c r="EG121" i="2"/>
  <c r="EF121" i="2"/>
  <c r="EE121" i="2"/>
  <c r="ED121" i="2"/>
  <c r="EC121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FP120" i="2"/>
  <c r="FO120" i="2"/>
  <c r="FN120" i="2"/>
  <c r="FM120" i="2"/>
  <c r="FL120" i="2"/>
  <c r="FK120" i="2"/>
  <c r="FJ120" i="2"/>
  <c r="FI120" i="2"/>
  <c r="FH120" i="2"/>
  <c r="FG120" i="2"/>
  <c r="FF120" i="2"/>
  <c r="FE120" i="2"/>
  <c r="FD120" i="2"/>
  <c r="FC120" i="2"/>
  <c r="FB120" i="2"/>
  <c r="FA120" i="2"/>
  <c r="EZ120" i="2"/>
  <c r="EY120" i="2"/>
  <c r="EX120" i="2"/>
  <c r="EW120" i="2"/>
  <c r="EV120" i="2"/>
  <c r="EU120" i="2"/>
  <c r="ET120" i="2"/>
  <c r="ES120" i="2"/>
  <c r="ER120" i="2"/>
  <c r="EQ120" i="2"/>
  <c r="EP120" i="2"/>
  <c r="EO120" i="2"/>
  <c r="EN120" i="2"/>
  <c r="EM120" i="2"/>
  <c r="EL120" i="2"/>
  <c r="EK120" i="2"/>
  <c r="EJ120" i="2"/>
  <c r="EI120" i="2"/>
  <c r="EH120" i="2"/>
  <c r="EG120" i="2"/>
  <c r="EF120" i="2"/>
  <c r="EE120" i="2"/>
  <c r="ED120" i="2"/>
  <c r="EC120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FP119" i="2"/>
  <c r="FO119" i="2"/>
  <c r="FN119" i="2"/>
  <c r="FM119" i="2"/>
  <c r="FL119" i="2"/>
  <c r="FK119" i="2"/>
  <c r="FJ119" i="2"/>
  <c r="FI119" i="2"/>
  <c r="FH119" i="2"/>
  <c r="FG119" i="2"/>
  <c r="FF119" i="2"/>
  <c r="FE119" i="2"/>
  <c r="FD119" i="2"/>
  <c r="FC119" i="2"/>
  <c r="FB119" i="2"/>
  <c r="FA119" i="2"/>
  <c r="EZ119" i="2"/>
  <c r="EY119" i="2"/>
  <c r="EX119" i="2"/>
  <c r="EW119" i="2"/>
  <c r="EV119" i="2"/>
  <c r="EU119" i="2"/>
  <c r="ET119" i="2"/>
  <c r="ES119" i="2"/>
  <c r="ER119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E119" i="2"/>
  <c r="ED119" i="2"/>
  <c r="EC119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FP118" i="2"/>
  <c r="FO118" i="2"/>
  <c r="FN118" i="2"/>
  <c r="FM118" i="2"/>
  <c r="FL118" i="2"/>
  <c r="FK118" i="2"/>
  <c r="FJ118" i="2"/>
  <c r="FI118" i="2"/>
  <c r="FH118" i="2"/>
  <c r="FG118" i="2"/>
  <c r="FF118" i="2"/>
  <c r="FE118" i="2"/>
  <c r="FD118" i="2"/>
  <c r="FC118" i="2"/>
  <c r="FB118" i="2"/>
  <c r="FA118" i="2"/>
  <c r="EZ118" i="2"/>
  <c r="EY118" i="2"/>
  <c r="EX118" i="2"/>
  <c r="EW118" i="2"/>
  <c r="EV118" i="2"/>
  <c r="EU118" i="2"/>
  <c r="ET118" i="2"/>
  <c r="ES118" i="2"/>
  <c r="ER118" i="2"/>
  <c r="EQ118" i="2"/>
  <c r="EP118" i="2"/>
  <c r="EO118" i="2"/>
  <c r="EN118" i="2"/>
  <c r="EM118" i="2"/>
  <c r="EL118" i="2"/>
  <c r="EK118" i="2"/>
  <c r="EJ118" i="2"/>
  <c r="EI118" i="2"/>
  <c r="EH118" i="2"/>
  <c r="EG118" i="2"/>
  <c r="EF118" i="2"/>
  <c r="EE118" i="2"/>
  <c r="ED118" i="2"/>
  <c r="EC118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FP117" i="2"/>
  <c r="FO117" i="2"/>
  <c r="FN117" i="2"/>
  <c r="FM117" i="2"/>
  <c r="FL117" i="2"/>
  <c r="FK117" i="2"/>
  <c r="FJ117" i="2"/>
  <c r="FI117" i="2"/>
  <c r="FH117" i="2"/>
  <c r="FG117" i="2"/>
  <c r="FF117" i="2"/>
  <c r="FE117" i="2"/>
  <c r="FD117" i="2"/>
  <c r="FC117" i="2"/>
  <c r="FB117" i="2"/>
  <c r="FA117" i="2"/>
  <c r="EZ117" i="2"/>
  <c r="EY117" i="2"/>
  <c r="EX117" i="2"/>
  <c r="EW117" i="2"/>
  <c r="EV117" i="2"/>
  <c r="EU117" i="2"/>
  <c r="ET117" i="2"/>
  <c r="ES117" i="2"/>
  <c r="ER117" i="2"/>
  <c r="EQ117" i="2"/>
  <c r="EP117" i="2"/>
  <c r="EO117" i="2"/>
  <c r="EN117" i="2"/>
  <c r="EM117" i="2"/>
  <c r="EL117" i="2"/>
  <c r="EK117" i="2"/>
  <c r="EJ117" i="2"/>
  <c r="EI117" i="2"/>
  <c r="EH117" i="2"/>
  <c r="EG117" i="2"/>
  <c r="EF117" i="2"/>
  <c r="EE117" i="2"/>
  <c r="ED117" i="2"/>
  <c r="EC117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FP116" i="2"/>
  <c r="FO116" i="2"/>
  <c r="FN116" i="2"/>
  <c r="FM116" i="2"/>
  <c r="FL116" i="2"/>
  <c r="FK116" i="2"/>
  <c r="FJ116" i="2"/>
  <c r="FI116" i="2"/>
  <c r="FH116" i="2"/>
  <c r="FG116" i="2"/>
  <c r="FF116" i="2"/>
  <c r="FE116" i="2"/>
  <c r="FD116" i="2"/>
  <c r="FC116" i="2"/>
  <c r="FB116" i="2"/>
  <c r="FA116" i="2"/>
  <c r="EZ116" i="2"/>
  <c r="EY116" i="2"/>
  <c r="EX116" i="2"/>
  <c r="EW116" i="2"/>
  <c r="EV116" i="2"/>
  <c r="EU116" i="2"/>
  <c r="ET116" i="2"/>
  <c r="ES116" i="2"/>
  <c r="ER116" i="2"/>
  <c r="EQ116" i="2"/>
  <c r="EP116" i="2"/>
  <c r="EO116" i="2"/>
  <c r="EN116" i="2"/>
  <c r="EM116" i="2"/>
  <c r="EL116" i="2"/>
  <c r="EK116" i="2"/>
  <c r="EJ116" i="2"/>
  <c r="EI116" i="2"/>
  <c r="EH116" i="2"/>
  <c r="EG116" i="2"/>
  <c r="EF116" i="2"/>
  <c r="EE116" i="2"/>
  <c r="ED116" i="2"/>
  <c r="EC116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FP115" i="2"/>
  <c r="FO115" i="2"/>
  <c r="FN115" i="2"/>
  <c r="FM115" i="2"/>
  <c r="FL115" i="2"/>
  <c r="FK115" i="2"/>
  <c r="FJ115" i="2"/>
  <c r="FI115" i="2"/>
  <c r="FH115" i="2"/>
  <c r="FG115" i="2"/>
  <c r="FF115" i="2"/>
  <c r="FE115" i="2"/>
  <c r="FD115" i="2"/>
  <c r="FC115" i="2"/>
  <c r="FB115" i="2"/>
  <c r="FA115" i="2"/>
  <c r="EZ115" i="2"/>
  <c r="EY115" i="2"/>
  <c r="EX115" i="2"/>
  <c r="EW115" i="2"/>
  <c r="EV115" i="2"/>
  <c r="EU115" i="2"/>
  <c r="ET115" i="2"/>
  <c r="ES115" i="2"/>
  <c r="ER115" i="2"/>
  <c r="EQ115" i="2"/>
  <c r="EP115" i="2"/>
  <c r="EO115" i="2"/>
  <c r="EN115" i="2"/>
  <c r="EM115" i="2"/>
  <c r="EL115" i="2"/>
  <c r="EK115" i="2"/>
  <c r="EJ115" i="2"/>
  <c r="EI115" i="2"/>
  <c r="EH115" i="2"/>
  <c r="EG115" i="2"/>
  <c r="EF115" i="2"/>
  <c r="EE115" i="2"/>
  <c r="ED115" i="2"/>
  <c r="EC115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FP114" i="2"/>
  <c r="FO114" i="2"/>
  <c r="FN114" i="2"/>
  <c r="FM114" i="2"/>
  <c r="FL114" i="2"/>
  <c r="FK114" i="2"/>
  <c r="FJ114" i="2"/>
  <c r="FI114" i="2"/>
  <c r="FH114" i="2"/>
  <c r="FG114" i="2"/>
  <c r="FF114" i="2"/>
  <c r="FE114" i="2"/>
  <c r="FD114" i="2"/>
  <c r="FC114" i="2"/>
  <c r="FB114" i="2"/>
  <c r="FA114" i="2"/>
  <c r="EZ114" i="2"/>
  <c r="EY114" i="2"/>
  <c r="EX114" i="2"/>
  <c r="EW114" i="2"/>
  <c r="EV114" i="2"/>
  <c r="EU114" i="2"/>
  <c r="ET114" i="2"/>
  <c r="ES114" i="2"/>
  <c r="ER114" i="2"/>
  <c r="EQ114" i="2"/>
  <c r="EP114" i="2"/>
  <c r="EO114" i="2"/>
  <c r="EN114" i="2"/>
  <c r="EM114" i="2"/>
  <c r="EL114" i="2"/>
  <c r="EK114" i="2"/>
  <c r="EJ114" i="2"/>
  <c r="EI114" i="2"/>
  <c r="EH114" i="2"/>
  <c r="EG114" i="2"/>
  <c r="EF114" i="2"/>
  <c r="EE114" i="2"/>
  <c r="ED114" i="2"/>
  <c r="EC114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FP113" i="2"/>
  <c r="FO113" i="2"/>
  <c r="FN113" i="2"/>
  <c r="FM113" i="2"/>
  <c r="FL113" i="2"/>
  <c r="FK113" i="2"/>
  <c r="FJ113" i="2"/>
  <c r="FI113" i="2"/>
  <c r="FH113" i="2"/>
  <c r="FG113" i="2"/>
  <c r="FF113" i="2"/>
  <c r="FE113" i="2"/>
  <c r="FD113" i="2"/>
  <c r="FC113" i="2"/>
  <c r="FB113" i="2"/>
  <c r="FA113" i="2"/>
  <c r="EZ113" i="2"/>
  <c r="EY113" i="2"/>
  <c r="EX113" i="2"/>
  <c r="EW113" i="2"/>
  <c r="EV113" i="2"/>
  <c r="EU113" i="2"/>
  <c r="ET113" i="2"/>
  <c r="ES113" i="2"/>
  <c r="ER113" i="2"/>
  <c r="EQ113" i="2"/>
  <c r="EP113" i="2"/>
  <c r="EO113" i="2"/>
  <c r="EN113" i="2"/>
  <c r="EM113" i="2"/>
  <c r="EL113" i="2"/>
  <c r="EK113" i="2"/>
  <c r="EJ113" i="2"/>
  <c r="EI113" i="2"/>
  <c r="EH113" i="2"/>
  <c r="EG113" i="2"/>
  <c r="EF113" i="2"/>
  <c r="EE113" i="2"/>
  <c r="ED113" i="2"/>
  <c r="EC113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FP112" i="2"/>
  <c r="FO112" i="2"/>
  <c r="FN112" i="2"/>
  <c r="FM112" i="2"/>
  <c r="FL112" i="2"/>
  <c r="FK112" i="2"/>
  <c r="FJ112" i="2"/>
  <c r="FI112" i="2"/>
  <c r="FH112" i="2"/>
  <c r="FG112" i="2"/>
  <c r="FF112" i="2"/>
  <c r="FE112" i="2"/>
  <c r="FD112" i="2"/>
  <c r="FC112" i="2"/>
  <c r="FB112" i="2"/>
  <c r="FA112" i="2"/>
  <c r="EZ112" i="2"/>
  <c r="EY112" i="2"/>
  <c r="EX112" i="2"/>
  <c r="EW112" i="2"/>
  <c r="EV112" i="2"/>
  <c r="EU112" i="2"/>
  <c r="ET112" i="2"/>
  <c r="ES112" i="2"/>
  <c r="ER112" i="2"/>
  <c r="EQ112" i="2"/>
  <c r="EP112" i="2"/>
  <c r="EO112" i="2"/>
  <c r="EN112" i="2"/>
  <c r="EM112" i="2"/>
  <c r="EL112" i="2"/>
  <c r="EK112" i="2"/>
  <c r="EJ112" i="2"/>
  <c r="EI112" i="2"/>
  <c r="EH112" i="2"/>
  <c r="EG112" i="2"/>
  <c r="EF112" i="2"/>
  <c r="EE112" i="2"/>
  <c r="ED112" i="2"/>
  <c r="EC112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FP111" i="2"/>
  <c r="FO111" i="2"/>
  <c r="FN111" i="2"/>
  <c r="FM111" i="2"/>
  <c r="FL111" i="2"/>
  <c r="FK111" i="2"/>
  <c r="FJ111" i="2"/>
  <c r="FI111" i="2"/>
  <c r="FH111" i="2"/>
  <c r="FG111" i="2"/>
  <c r="FF111" i="2"/>
  <c r="FE111" i="2"/>
  <c r="FD111" i="2"/>
  <c r="FC111" i="2"/>
  <c r="FB111" i="2"/>
  <c r="FA111" i="2"/>
  <c r="EZ111" i="2"/>
  <c r="EY111" i="2"/>
  <c r="EX111" i="2"/>
  <c r="EW111" i="2"/>
  <c r="EV111" i="2"/>
  <c r="EU111" i="2"/>
  <c r="ET111" i="2"/>
  <c r="ES111" i="2"/>
  <c r="ER111" i="2"/>
  <c r="EQ111" i="2"/>
  <c r="EP111" i="2"/>
  <c r="EO111" i="2"/>
  <c r="EN111" i="2"/>
  <c r="EM111" i="2"/>
  <c r="EL111" i="2"/>
  <c r="EK111" i="2"/>
  <c r="EJ111" i="2"/>
  <c r="EI111" i="2"/>
  <c r="EH111" i="2"/>
  <c r="EG111" i="2"/>
  <c r="EF111" i="2"/>
  <c r="EE111" i="2"/>
  <c r="ED111" i="2"/>
  <c r="EC111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FP110" i="2"/>
  <c r="FO110" i="2"/>
  <c r="FN110" i="2"/>
  <c r="FM110" i="2"/>
  <c r="FL110" i="2"/>
  <c r="FK110" i="2"/>
  <c r="FJ110" i="2"/>
  <c r="FI110" i="2"/>
  <c r="FH110" i="2"/>
  <c r="FG110" i="2"/>
  <c r="FF110" i="2"/>
  <c r="FE110" i="2"/>
  <c r="FD110" i="2"/>
  <c r="FC110" i="2"/>
  <c r="FB110" i="2"/>
  <c r="FA110" i="2"/>
  <c r="EZ110" i="2"/>
  <c r="EY110" i="2"/>
  <c r="EX110" i="2"/>
  <c r="EW110" i="2"/>
  <c r="EV110" i="2"/>
  <c r="EU110" i="2"/>
  <c r="ET110" i="2"/>
  <c r="ES110" i="2"/>
  <c r="ER110" i="2"/>
  <c r="EQ110" i="2"/>
  <c r="EP110" i="2"/>
  <c r="EO110" i="2"/>
  <c r="EN110" i="2"/>
  <c r="EM110" i="2"/>
  <c r="EL110" i="2"/>
  <c r="EK110" i="2"/>
  <c r="EJ110" i="2"/>
  <c r="EI110" i="2"/>
  <c r="EH110" i="2"/>
  <c r="EG110" i="2"/>
  <c r="EF110" i="2"/>
  <c r="EE110" i="2"/>
  <c r="ED110" i="2"/>
  <c r="EC110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FP109" i="2"/>
  <c r="FO109" i="2"/>
  <c r="FN109" i="2"/>
  <c r="FM109" i="2"/>
  <c r="FL109" i="2"/>
  <c r="FK109" i="2"/>
  <c r="FJ109" i="2"/>
  <c r="FI109" i="2"/>
  <c r="FH109" i="2"/>
  <c r="FG109" i="2"/>
  <c r="FF109" i="2"/>
  <c r="FE109" i="2"/>
  <c r="FD109" i="2"/>
  <c r="FC109" i="2"/>
  <c r="FB109" i="2"/>
  <c r="FA109" i="2"/>
  <c r="EZ109" i="2"/>
  <c r="EY109" i="2"/>
  <c r="EX109" i="2"/>
  <c r="EW109" i="2"/>
  <c r="EV109" i="2"/>
  <c r="EU109" i="2"/>
  <c r="ET109" i="2"/>
  <c r="ES109" i="2"/>
  <c r="ER109" i="2"/>
  <c r="EQ109" i="2"/>
  <c r="EP109" i="2"/>
  <c r="EO109" i="2"/>
  <c r="EN109" i="2"/>
  <c r="EM109" i="2"/>
  <c r="EL109" i="2"/>
  <c r="EK109" i="2"/>
  <c r="EJ109" i="2"/>
  <c r="EI109" i="2"/>
  <c r="EH109" i="2"/>
  <c r="EG109" i="2"/>
  <c r="EF109" i="2"/>
  <c r="EE109" i="2"/>
  <c r="ED109" i="2"/>
  <c r="EC109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FP108" i="2"/>
  <c r="FO108" i="2"/>
  <c r="FN108" i="2"/>
  <c r="FM108" i="2"/>
  <c r="FL108" i="2"/>
  <c r="FK108" i="2"/>
  <c r="FJ108" i="2"/>
  <c r="FI108" i="2"/>
  <c r="FH108" i="2"/>
  <c r="FG108" i="2"/>
  <c r="FF108" i="2"/>
  <c r="FE108" i="2"/>
  <c r="FD108" i="2"/>
  <c r="FC108" i="2"/>
  <c r="FB108" i="2"/>
  <c r="FA108" i="2"/>
  <c r="EZ108" i="2"/>
  <c r="EY108" i="2"/>
  <c r="EX108" i="2"/>
  <c r="EW108" i="2"/>
  <c r="EV108" i="2"/>
  <c r="EU108" i="2"/>
  <c r="ET108" i="2"/>
  <c r="ES108" i="2"/>
  <c r="ER108" i="2"/>
  <c r="EQ108" i="2"/>
  <c r="EP108" i="2"/>
  <c r="EO108" i="2"/>
  <c r="EN108" i="2"/>
  <c r="EM108" i="2"/>
  <c r="EL108" i="2"/>
  <c r="EK108" i="2"/>
  <c r="EJ108" i="2"/>
  <c r="EI108" i="2"/>
  <c r="EH108" i="2"/>
  <c r="EG108" i="2"/>
  <c r="EF108" i="2"/>
  <c r="EE108" i="2"/>
  <c r="ED108" i="2"/>
  <c r="EC108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FA107" i="2"/>
  <c r="EZ107" i="2"/>
  <c r="EY107" i="2"/>
  <c r="EX107" i="2"/>
  <c r="EW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FP106" i="2"/>
  <c r="FO106" i="2"/>
  <c r="FN106" i="2"/>
  <c r="FM106" i="2"/>
  <c r="FL106" i="2"/>
  <c r="FK106" i="2"/>
  <c r="FJ106" i="2"/>
  <c r="FI106" i="2"/>
  <c r="FH106" i="2"/>
  <c r="FG106" i="2"/>
  <c r="FF106" i="2"/>
  <c r="FE106" i="2"/>
  <c r="FD106" i="2"/>
  <c r="FC106" i="2"/>
  <c r="FB106" i="2"/>
  <c r="FA106" i="2"/>
  <c r="EZ106" i="2"/>
  <c r="EY106" i="2"/>
  <c r="EX106" i="2"/>
  <c r="EW106" i="2"/>
  <c r="EV106" i="2"/>
  <c r="EU106" i="2"/>
  <c r="ET106" i="2"/>
  <c r="ES106" i="2"/>
  <c r="ER106" i="2"/>
  <c r="EQ106" i="2"/>
  <c r="EP106" i="2"/>
  <c r="EO106" i="2"/>
  <c r="EN106" i="2"/>
  <c r="EM106" i="2"/>
  <c r="EL106" i="2"/>
  <c r="EK106" i="2"/>
  <c r="EJ106" i="2"/>
  <c r="EI106" i="2"/>
  <c r="EH106" i="2"/>
  <c r="EG106" i="2"/>
  <c r="EF106" i="2"/>
  <c r="EE106" i="2"/>
  <c r="ED106" i="2"/>
  <c r="EC106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FP105" i="2"/>
  <c r="FO105" i="2"/>
  <c r="FN105" i="2"/>
  <c r="FM105" i="2"/>
  <c r="FL105" i="2"/>
  <c r="FK105" i="2"/>
  <c r="FJ105" i="2"/>
  <c r="FI105" i="2"/>
  <c r="FH105" i="2"/>
  <c r="FG105" i="2"/>
  <c r="FF105" i="2"/>
  <c r="FE105" i="2"/>
  <c r="FD105" i="2"/>
  <c r="FC105" i="2"/>
  <c r="FB105" i="2"/>
  <c r="FA105" i="2"/>
  <c r="EZ105" i="2"/>
  <c r="EY105" i="2"/>
  <c r="EX105" i="2"/>
  <c r="EW105" i="2"/>
  <c r="EV105" i="2"/>
  <c r="EU105" i="2"/>
  <c r="ET105" i="2"/>
  <c r="ES105" i="2"/>
  <c r="ER105" i="2"/>
  <c r="EQ105" i="2"/>
  <c r="EP105" i="2"/>
  <c r="EO105" i="2"/>
  <c r="EN105" i="2"/>
  <c r="EM105" i="2"/>
  <c r="EL105" i="2"/>
  <c r="EK105" i="2"/>
  <c r="EJ105" i="2"/>
  <c r="EI105" i="2"/>
  <c r="EH105" i="2"/>
  <c r="EG105" i="2"/>
  <c r="EF105" i="2"/>
  <c r="EE105" i="2"/>
  <c r="ED105" i="2"/>
  <c r="EC105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FP104" i="2"/>
  <c r="FO104" i="2"/>
  <c r="FN104" i="2"/>
  <c r="FM104" i="2"/>
  <c r="FL104" i="2"/>
  <c r="FK104" i="2"/>
  <c r="FJ104" i="2"/>
  <c r="FI104" i="2"/>
  <c r="FH104" i="2"/>
  <c r="FG104" i="2"/>
  <c r="FF104" i="2"/>
  <c r="FE104" i="2"/>
  <c r="FD104" i="2"/>
  <c r="FC104" i="2"/>
  <c r="FB104" i="2"/>
  <c r="FA104" i="2"/>
  <c r="EZ104" i="2"/>
  <c r="EY104" i="2"/>
  <c r="EX104" i="2"/>
  <c r="EW104" i="2"/>
  <c r="EV104" i="2"/>
  <c r="EU104" i="2"/>
  <c r="ET104" i="2"/>
  <c r="ES104" i="2"/>
  <c r="ER104" i="2"/>
  <c r="EQ104" i="2"/>
  <c r="EP104" i="2"/>
  <c r="EO104" i="2"/>
  <c r="EN104" i="2"/>
  <c r="EM104" i="2"/>
  <c r="EL104" i="2"/>
  <c r="EK104" i="2"/>
  <c r="EJ104" i="2"/>
  <c r="EI104" i="2"/>
  <c r="EH104" i="2"/>
  <c r="EG104" i="2"/>
  <c r="EF104" i="2"/>
  <c r="EE104" i="2"/>
  <c r="ED104" i="2"/>
  <c r="EC104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FP103" i="2"/>
  <c r="FO103" i="2"/>
  <c r="FN103" i="2"/>
  <c r="FM103" i="2"/>
  <c r="FL103" i="2"/>
  <c r="FK103" i="2"/>
  <c r="FJ103" i="2"/>
  <c r="FI103" i="2"/>
  <c r="FH103" i="2"/>
  <c r="FG103" i="2"/>
  <c r="FF103" i="2"/>
  <c r="FE103" i="2"/>
  <c r="FD103" i="2"/>
  <c r="FC103" i="2"/>
  <c r="FB103" i="2"/>
  <c r="FA103" i="2"/>
  <c r="EZ103" i="2"/>
  <c r="EY103" i="2"/>
  <c r="EX103" i="2"/>
  <c r="EW103" i="2"/>
  <c r="EV103" i="2"/>
  <c r="EU103" i="2"/>
  <c r="ET103" i="2"/>
  <c r="ES103" i="2"/>
  <c r="ER103" i="2"/>
  <c r="EQ103" i="2"/>
  <c r="EP103" i="2"/>
  <c r="EO103" i="2"/>
  <c r="EN103" i="2"/>
  <c r="EM103" i="2"/>
  <c r="EL103" i="2"/>
  <c r="EK103" i="2"/>
  <c r="EJ103" i="2"/>
  <c r="EI103" i="2"/>
  <c r="EH103" i="2"/>
  <c r="EG103" i="2"/>
  <c r="EF103" i="2"/>
  <c r="EE103" i="2"/>
  <c r="ED103" i="2"/>
  <c r="EC103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FP102" i="2"/>
  <c r="FO102" i="2"/>
  <c r="FN102" i="2"/>
  <c r="FM102" i="2"/>
  <c r="FL102" i="2"/>
  <c r="FK102" i="2"/>
  <c r="FJ102" i="2"/>
  <c r="FI102" i="2"/>
  <c r="FH102" i="2"/>
  <c r="FG102" i="2"/>
  <c r="FF102" i="2"/>
  <c r="FE102" i="2"/>
  <c r="FD102" i="2"/>
  <c r="FC102" i="2"/>
  <c r="FB102" i="2"/>
  <c r="FA102" i="2"/>
  <c r="EZ102" i="2"/>
  <c r="EY102" i="2"/>
  <c r="EX102" i="2"/>
  <c r="EW102" i="2"/>
  <c r="EV102" i="2"/>
  <c r="EU102" i="2"/>
  <c r="ET102" i="2"/>
  <c r="ES102" i="2"/>
  <c r="ER102" i="2"/>
  <c r="EQ102" i="2"/>
  <c r="EP102" i="2"/>
  <c r="EO102" i="2"/>
  <c r="EN102" i="2"/>
  <c r="EM102" i="2"/>
  <c r="EL102" i="2"/>
  <c r="EK102" i="2"/>
  <c r="EJ102" i="2"/>
  <c r="EI102" i="2"/>
  <c r="EH102" i="2"/>
  <c r="EG102" i="2"/>
  <c r="EF102" i="2"/>
  <c r="EE102" i="2"/>
  <c r="ED102" i="2"/>
  <c r="EC102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FP101" i="2"/>
  <c r="FO101" i="2"/>
  <c r="FN101" i="2"/>
  <c r="FM101" i="2"/>
  <c r="FL101" i="2"/>
  <c r="FK101" i="2"/>
  <c r="FJ101" i="2"/>
  <c r="FI101" i="2"/>
  <c r="FH101" i="2"/>
  <c r="FG101" i="2"/>
  <c r="FF101" i="2"/>
  <c r="FE101" i="2"/>
  <c r="FD101" i="2"/>
  <c r="FC101" i="2"/>
  <c r="FB101" i="2"/>
  <c r="FA101" i="2"/>
  <c r="EZ101" i="2"/>
  <c r="EY101" i="2"/>
  <c r="EX101" i="2"/>
  <c r="EW101" i="2"/>
  <c r="EV101" i="2"/>
  <c r="EU101" i="2"/>
  <c r="ET101" i="2"/>
  <c r="ES101" i="2"/>
  <c r="ER101" i="2"/>
  <c r="EQ101" i="2"/>
  <c r="EP101" i="2"/>
  <c r="EO101" i="2"/>
  <c r="EN101" i="2"/>
  <c r="EM101" i="2"/>
  <c r="EL101" i="2"/>
  <c r="EK101" i="2"/>
  <c r="EJ101" i="2"/>
  <c r="EI101" i="2"/>
  <c r="EH101" i="2"/>
  <c r="EG101" i="2"/>
  <c r="EF101" i="2"/>
  <c r="EE101" i="2"/>
  <c r="ED101" i="2"/>
  <c r="EC101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FP100" i="2"/>
  <c r="FO100" i="2"/>
  <c r="FN100" i="2"/>
  <c r="FM100" i="2"/>
  <c r="FL100" i="2"/>
  <c r="FK100" i="2"/>
  <c r="FJ100" i="2"/>
  <c r="FI100" i="2"/>
  <c r="FH100" i="2"/>
  <c r="FG100" i="2"/>
  <c r="FF100" i="2"/>
  <c r="FE100" i="2"/>
  <c r="FD100" i="2"/>
  <c r="FC100" i="2"/>
  <c r="FB100" i="2"/>
  <c r="FA100" i="2"/>
  <c r="EZ100" i="2"/>
  <c r="EY100" i="2"/>
  <c r="EX100" i="2"/>
  <c r="EW100" i="2"/>
  <c r="EV100" i="2"/>
  <c r="EU100" i="2"/>
  <c r="ET100" i="2"/>
  <c r="ES100" i="2"/>
  <c r="ER100" i="2"/>
  <c r="EQ100" i="2"/>
  <c r="EP100" i="2"/>
  <c r="EO100" i="2"/>
  <c r="EN100" i="2"/>
  <c r="EM100" i="2"/>
  <c r="EL100" i="2"/>
  <c r="EK100" i="2"/>
  <c r="EJ100" i="2"/>
  <c r="EI100" i="2"/>
  <c r="EH100" i="2"/>
  <c r="EG100" i="2"/>
  <c r="EF100" i="2"/>
  <c r="EE100" i="2"/>
  <c r="ED100" i="2"/>
  <c r="EC100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FP99" i="2"/>
  <c r="FO99" i="2"/>
  <c r="FN99" i="2"/>
  <c r="FM99" i="2"/>
  <c r="FL99" i="2"/>
  <c r="FK99" i="2"/>
  <c r="FJ99" i="2"/>
  <c r="FI99" i="2"/>
  <c r="FH99" i="2"/>
  <c r="FG99" i="2"/>
  <c r="FF99" i="2"/>
  <c r="FE99" i="2"/>
  <c r="FD99" i="2"/>
  <c r="FC99" i="2"/>
  <c r="FB99" i="2"/>
  <c r="FA99" i="2"/>
  <c r="EZ99" i="2"/>
  <c r="EY99" i="2"/>
  <c r="EX99" i="2"/>
  <c r="EW99" i="2"/>
  <c r="EV99" i="2"/>
  <c r="EU99" i="2"/>
  <c r="ET99" i="2"/>
  <c r="ES99" i="2"/>
  <c r="ER99" i="2"/>
  <c r="EQ99" i="2"/>
  <c r="EP99" i="2"/>
  <c r="EO99" i="2"/>
  <c r="EN99" i="2"/>
  <c r="EM99" i="2"/>
  <c r="EL99" i="2"/>
  <c r="EK99" i="2"/>
  <c r="EJ99" i="2"/>
  <c r="EI99" i="2"/>
  <c r="EH99" i="2"/>
  <c r="EG99" i="2"/>
  <c r="EF99" i="2"/>
  <c r="EE99" i="2"/>
  <c r="ED99" i="2"/>
  <c r="EC99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FP98" i="2"/>
  <c r="FO98" i="2"/>
  <c r="FN98" i="2"/>
  <c r="FM98" i="2"/>
  <c r="FL98" i="2"/>
  <c r="FK98" i="2"/>
  <c r="FJ98" i="2"/>
  <c r="FI98" i="2"/>
  <c r="FH98" i="2"/>
  <c r="FG98" i="2"/>
  <c r="FF98" i="2"/>
  <c r="FE98" i="2"/>
  <c r="FD98" i="2"/>
  <c r="FC98" i="2"/>
  <c r="FB98" i="2"/>
  <c r="FA98" i="2"/>
  <c r="EZ98" i="2"/>
  <c r="EY98" i="2"/>
  <c r="EX98" i="2"/>
  <c r="EW98" i="2"/>
  <c r="EV98" i="2"/>
  <c r="EU98" i="2"/>
  <c r="ET98" i="2"/>
  <c r="ES98" i="2"/>
  <c r="ER98" i="2"/>
  <c r="EQ98" i="2"/>
  <c r="EP98" i="2"/>
  <c r="EO98" i="2"/>
  <c r="EN98" i="2"/>
  <c r="EM98" i="2"/>
  <c r="EL98" i="2"/>
  <c r="EK98" i="2"/>
  <c r="EJ98" i="2"/>
  <c r="EI98" i="2"/>
  <c r="EH98" i="2"/>
  <c r="EG98" i="2"/>
  <c r="EF98" i="2"/>
  <c r="EE98" i="2"/>
  <c r="ED98" i="2"/>
  <c r="EC98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FP97" i="2"/>
  <c r="FO97" i="2"/>
  <c r="FN97" i="2"/>
  <c r="FM97" i="2"/>
  <c r="FL97" i="2"/>
  <c r="FK97" i="2"/>
  <c r="FJ97" i="2"/>
  <c r="FI97" i="2"/>
  <c r="FH97" i="2"/>
  <c r="FG97" i="2"/>
  <c r="FF97" i="2"/>
  <c r="FE97" i="2"/>
  <c r="FD97" i="2"/>
  <c r="FC97" i="2"/>
  <c r="FB97" i="2"/>
  <c r="FA97" i="2"/>
  <c r="EZ97" i="2"/>
  <c r="EY97" i="2"/>
  <c r="EX97" i="2"/>
  <c r="EW97" i="2"/>
  <c r="EV97" i="2"/>
  <c r="EU97" i="2"/>
  <c r="ET97" i="2"/>
  <c r="ES97" i="2"/>
  <c r="ER97" i="2"/>
  <c r="EQ97" i="2"/>
  <c r="EP97" i="2"/>
  <c r="EO97" i="2"/>
  <c r="EN97" i="2"/>
  <c r="EM97" i="2"/>
  <c r="EL97" i="2"/>
  <c r="EK97" i="2"/>
  <c r="EJ97" i="2"/>
  <c r="EI97" i="2"/>
  <c r="EH97" i="2"/>
  <c r="EG97" i="2"/>
  <c r="EF97" i="2"/>
  <c r="EE97" i="2"/>
  <c r="ED97" i="2"/>
  <c r="EC97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FP96" i="2"/>
  <c r="FO96" i="2"/>
  <c r="FN96" i="2"/>
  <c r="FM96" i="2"/>
  <c r="FL96" i="2"/>
  <c r="FK96" i="2"/>
  <c r="FJ96" i="2"/>
  <c r="FI96" i="2"/>
  <c r="FH96" i="2"/>
  <c r="FG96" i="2"/>
  <c r="FF96" i="2"/>
  <c r="FE96" i="2"/>
  <c r="FD96" i="2"/>
  <c r="FC96" i="2"/>
  <c r="FB96" i="2"/>
  <c r="FA96" i="2"/>
  <c r="EZ96" i="2"/>
  <c r="EY96" i="2"/>
  <c r="EX96" i="2"/>
  <c r="EW96" i="2"/>
  <c r="EV96" i="2"/>
  <c r="EU96" i="2"/>
  <c r="ET96" i="2"/>
  <c r="ES96" i="2"/>
  <c r="ER96" i="2"/>
  <c r="EQ96" i="2"/>
  <c r="EP96" i="2"/>
  <c r="EO96" i="2"/>
  <c r="EN96" i="2"/>
  <c r="EM96" i="2"/>
  <c r="EL96" i="2"/>
  <c r="EK96" i="2"/>
  <c r="EJ96" i="2"/>
  <c r="EI96" i="2"/>
  <c r="EH96" i="2"/>
  <c r="EG96" i="2"/>
  <c r="EF96" i="2"/>
  <c r="EE96" i="2"/>
  <c r="ED96" i="2"/>
  <c r="EC96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FP95" i="2"/>
  <c r="FO95" i="2"/>
  <c r="FN95" i="2"/>
  <c r="FM95" i="2"/>
  <c r="FL95" i="2"/>
  <c r="FK95" i="2"/>
  <c r="FJ95" i="2"/>
  <c r="FI95" i="2"/>
  <c r="FH95" i="2"/>
  <c r="FG95" i="2"/>
  <c r="FF95" i="2"/>
  <c r="FE95" i="2"/>
  <c r="FD95" i="2"/>
  <c r="FC95" i="2"/>
  <c r="FB95" i="2"/>
  <c r="FA95" i="2"/>
  <c r="EZ95" i="2"/>
  <c r="EY95" i="2"/>
  <c r="EX95" i="2"/>
  <c r="EW95" i="2"/>
  <c r="EV95" i="2"/>
  <c r="EU95" i="2"/>
  <c r="ET95" i="2"/>
  <c r="ES95" i="2"/>
  <c r="ER95" i="2"/>
  <c r="EQ95" i="2"/>
  <c r="EP95" i="2"/>
  <c r="EO95" i="2"/>
  <c r="EN95" i="2"/>
  <c r="EM95" i="2"/>
  <c r="EL95" i="2"/>
  <c r="EK95" i="2"/>
  <c r="EJ95" i="2"/>
  <c r="EI95" i="2"/>
  <c r="EH95" i="2"/>
  <c r="EG95" i="2"/>
  <c r="EF95" i="2"/>
  <c r="EE95" i="2"/>
  <c r="ED95" i="2"/>
  <c r="EC95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FP94" i="2"/>
  <c r="FO94" i="2"/>
  <c r="FN94" i="2"/>
  <c r="FM94" i="2"/>
  <c r="FL94" i="2"/>
  <c r="FK94" i="2"/>
  <c r="FJ94" i="2"/>
  <c r="FI94" i="2"/>
  <c r="FH94" i="2"/>
  <c r="FG94" i="2"/>
  <c r="FF94" i="2"/>
  <c r="FE94" i="2"/>
  <c r="FD94" i="2"/>
  <c r="FC94" i="2"/>
  <c r="FB94" i="2"/>
  <c r="FA94" i="2"/>
  <c r="EZ94" i="2"/>
  <c r="EY94" i="2"/>
  <c r="EX94" i="2"/>
  <c r="EW94" i="2"/>
  <c r="EV94" i="2"/>
  <c r="EU94" i="2"/>
  <c r="ET94" i="2"/>
  <c r="ES94" i="2"/>
  <c r="ER94" i="2"/>
  <c r="EQ94" i="2"/>
  <c r="EP94" i="2"/>
  <c r="EO94" i="2"/>
  <c r="EN94" i="2"/>
  <c r="EM94" i="2"/>
  <c r="EL94" i="2"/>
  <c r="EK94" i="2"/>
  <c r="EJ94" i="2"/>
  <c r="EI94" i="2"/>
  <c r="EH94" i="2"/>
  <c r="EG94" i="2"/>
  <c r="EF94" i="2"/>
  <c r="EE94" i="2"/>
  <c r="ED94" i="2"/>
  <c r="EC94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FP93" i="2"/>
  <c r="FO93" i="2"/>
  <c r="FN93" i="2"/>
  <c r="FM93" i="2"/>
  <c r="FL93" i="2"/>
  <c r="FK93" i="2"/>
  <c r="FJ93" i="2"/>
  <c r="FI93" i="2"/>
  <c r="FH93" i="2"/>
  <c r="FG93" i="2"/>
  <c r="FF93" i="2"/>
  <c r="FE93" i="2"/>
  <c r="FD93" i="2"/>
  <c r="FC93" i="2"/>
  <c r="FB93" i="2"/>
  <c r="FA93" i="2"/>
  <c r="EZ93" i="2"/>
  <c r="EY93" i="2"/>
  <c r="EX93" i="2"/>
  <c r="EW93" i="2"/>
  <c r="EV93" i="2"/>
  <c r="EU93" i="2"/>
  <c r="ET93" i="2"/>
  <c r="ES93" i="2"/>
  <c r="ER93" i="2"/>
  <c r="EQ93" i="2"/>
  <c r="EP93" i="2"/>
  <c r="EO93" i="2"/>
  <c r="EN93" i="2"/>
  <c r="EM93" i="2"/>
  <c r="EL93" i="2"/>
  <c r="EK93" i="2"/>
  <c r="EJ93" i="2"/>
  <c r="EI93" i="2"/>
  <c r="EH93" i="2"/>
  <c r="EG93" i="2"/>
  <c r="EF93" i="2"/>
  <c r="EE93" i="2"/>
  <c r="ED93" i="2"/>
  <c r="EC93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FP92" i="2"/>
  <c r="FO92" i="2"/>
  <c r="FN92" i="2"/>
  <c r="FM92" i="2"/>
  <c r="FL92" i="2"/>
  <c r="FK92" i="2"/>
  <c r="FJ92" i="2"/>
  <c r="FI92" i="2"/>
  <c r="FH92" i="2"/>
  <c r="FG92" i="2"/>
  <c r="FF92" i="2"/>
  <c r="FE92" i="2"/>
  <c r="FD92" i="2"/>
  <c r="FC92" i="2"/>
  <c r="FB92" i="2"/>
  <c r="FA92" i="2"/>
  <c r="EZ92" i="2"/>
  <c r="EY92" i="2"/>
  <c r="EX92" i="2"/>
  <c r="EW92" i="2"/>
  <c r="EV92" i="2"/>
  <c r="EU92" i="2"/>
  <c r="ET92" i="2"/>
  <c r="ES92" i="2"/>
  <c r="ER92" i="2"/>
  <c r="EQ92" i="2"/>
  <c r="EP92" i="2"/>
  <c r="EO92" i="2"/>
  <c r="EN92" i="2"/>
  <c r="EM92" i="2"/>
  <c r="EL92" i="2"/>
  <c r="EK92" i="2"/>
  <c r="EJ92" i="2"/>
  <c r="EI92" i="2"/>
  <c r="EH92" i="2"/>
  <c r="EG92" i="2"/>
  <c r="EF92" i="2"/>
  <c r="EE92" i="2"/>
  <c r="ED92" i="2"/>
  <c r="EC92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FP91" i="2"/>
  <c r="FO91" i="2"/>
  <c r="FN91" i="2"/>
  <c r="FM91" i="2"/>
  <c r="FL91" i="2"/>
  <c r="FK91" i="2"/>
  <c r="FJ91" i="2"/>
  <c r="FI91" i="2"/>
  <c r="FH91" i="2"/>
  <c r="FG91" i="2"/>
  <c r="FF91" i="2"/>
  <c r="FE91" i="2"/>
  <c r="FD91" i="2"/>
  <c r="FC91" i="2"/>
  <c r="FB91" i="2"/>
  <c r="FA91" i="2"/>
  <c r="EZ91" i="2"/>
  <c r="EY91" i="2"/>
  <c r="EX91" i="2"/>
  <c r="EW91" i="2"/>
  <c r="EV91" i="2"/>
  <c r="EU91" i="2"/>
  <c r="ET91" i="2"/>
  <c r="ES91" i="2"/>
  <c r="ER91" i="2"/>
  <c r="EQ91" i="2"/>
  <c r="EP91" i="2"/>
  <c r="EO91" i="2"/>
  <c r="EN91" i="2"/>
  <c r="EM91" i="2"/>
  <c r="EL91" i="2"/>
  <c r="EK91" i="2"/>
  <c r="EJ91" i="2"/>
  <c r="EI91" i="2"/>
  <c r="EH91" i="2"/>
  <c r="EG91" i="2"/>
  <c r="EF91" i="2"/>
  <c r="EE91" i="2"/>
  <c r="ED91" i="2"/>
  <c r="EC91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FP90" i="2"/>
  <c r="FO90" i="2"/>
  <c r="FN90" i="2"/>
  <c r="FM90" i="2"/>
  <c r="FL90" i="2"/>
  <c r="FK90" i="2"/>
  <c r="FJ90" i="2"/>
  <c r="FI90" i="2"/>
  <c r="FH90" i="2"/>
  <c r="FG90" i="2"/>
  <c r="FF90" i="2"/>
  <c r="FE90" i="2"/>
  <c r="FD90" i="2"/>
  <c r="FC90" i="2"/>
  <c r="FB90" i="2"/>
  <c r="FA90" i="2"/>
  <c r="EZ90" i="2"/>
  <c r="EY90" i="2"/>
  <c r="EX90" i="2"/>
  <c r="EW90" i="2"/>
  <c r="EV90" i="2"/>
  <c r="EU90" i="2"/>
  <c r="ET90" i="2"/>
  <c r="ES90" i="2"/>
  <c r="ER90" i="2"/>
  <c r="EQ90" i="2"/>
  <c r="EP90" i="2"/>
  <c r="EO90" i="2"/>
  <c r="EN90" i="2"/>
  <c r="EM90" i="2"/>
  <c r="EL90" i="2"/>
  <c r="EK90" i="2"/>
  <c r="EJ90" i="2"/>
  <c r="EI90" i="2"/>
  <c r="EH90" i="2"/>
  <c r="EG90" i="2"/>
  <c r="EF90" i="2"/>
  <c r="EE90" i="2"/>
  <c r="ED90" i="2"/>
  <c r="EC90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FP89" i="2"/>
  <c r="FO89" i="2"/>
  <c r="FN89" i="2"/>
  <c r="FM89" i="2"/>
  <c r="FL89" i="2"/>
  <c r="FK89" i="2"/>
  <c r="FJ89" i="2"/>
  <c r="FI89" i="2"/>
  <c r="FH89" i="2"/>
  <c r="FG89" i="2"/>
  <c r="FF89" i="2"/>
  <c r="FE89" i="2"/>
  <c r="FD89" i="2"/>
  <c r="FC89" i="2"/>
  <c r="FB89" i="2"/>
  <c r="FA89" i="2"/>
  <c r="EZ89" i="2"/>
  <c r="EY89" i="2"/>
  <c r="EX89" i="2"/>
  <c r="EW89" i="2"/>
  <c r="EV89" i="2"/>
  <c r="EU89" i="2"/>
  <c r="ET89" i="2"/>
  <c r="ES89" i="2"/>
  <c r="ER89" i="2"/>
  <c r="EQ89" i="2"/>
  <c r="EP89" i="2"/>
  <c r="EO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FP88" i="2"/>
  <c r="FO88" i="2"/>
  <c r="FN88" i="2"/>
  <c r="FM88" i="2"/>
  <c r="FL88" i="2"/>
  <c r="FK88" i="2"/>
  <c r="FJ88" i="2"/>
  <c r="FI88" i="2"/>
  <c r="FH88" i="2"/>
  <c r="FG88" i="2"/>
  <c r="FF88" i="2"/>
  <c r="FE88" i="2"/>
  <c r="FD88" i="2"/>
  <c r="FC88" i="2"/>
  <c r="FB88" i="2"/>
  <c r="FA88" i="2"/>
  <c r="EZ88" i="2"/>
  <c r="EY88" i="2"/>
  <c r="EX88" i="2"/>
  <c r="EW88" i="2"/>
  <c r="EV88" i="2"/>
  <c r="EU88" i="2"/>
  <c r="ET88" i="2"/>
  <c r="ES88" i="2"/>
  <c r="ER88" i="2"/>
  <c r="EQ88" i="2"/>
  <c r="EP88" i="2"/>
  <c r="EO88" i="2"/>
  <c r="EN88" i="2"/>
  <c r="EM88" i="2"/>
  <c r="EL88" i="2"/>
  <c r="EK88" i="2"/>
  <c r="EJ88" i="2"/>
  <c r="EI88" i="2"/>
  <c r="EH88" i="2"/>
  <c r="EG88" i="2"/>
  <c r="EF88" i="2"/>
  <c r="EE88" i="2"/>
  <c r="ED88" i="2"/>
  <c r="EC88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FP87" i="2"/>
  <c r="FO87" i="2"/>
  <c r="FN87" i="2"/>
  <c r="FM87" i="2"/>
  <c r="FL87" i="2"/>
  <c r="FK87" i="2"/>
  <c r="FJ87" i="2"/>
  <c r="FI87" i="2"/>
  <c r="FH87" i="2"/>
  <c r="FG87" i="2"/>
  <c r="FF87" i="2"/>
  <c r="FE87" i="2"/>
  <c r="FD87" i="2"/>
  <c r="FC87" i="2"/>
  <c r="FB87" i="2"/>
  <c r="FA87" i="2"/>
  <c r="EZ87" i="2"/>
  <c r="EY87" i="2"/>
  <c r="EX87" i="2"/>
  <c r="EW87" i="2"/>
  <c r="EV87" i="2"/>
  <c r="EU87" i="2"/>
  <c r="ET87" i="2"/>
  <c r="ES87" i="2"/>
  <c r="ER87" i="2"/>
  <c r="EQ87" i="2"/>
  <c r="EP87" i="2"/>
  <c r="EO87" i="2"/>
  <c r="EN87" i="2"/>
  <c r="EM87" i="2"/>
  <c r="EL87" i="2"/>
  <c r="EK87" i="2"/>
  <c r="EJ87" i="2"/>
  <c r="EI87" i="2"/>
  <c r="EH87" i="2"/>
  <c r="EG87" i="2"/>
  <c r="EF87" i="2"/>
  <c r="EE87" i="2"/>
  <c r="ED87" i="2"/>
  <c r="EC87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FP86" i="2"/>
  <c r="FO86" i="2"/>
  <c r="FN86" i="2"/>
  <c r="FM86" i="2"/>
  <c r="FL86" i="2"/>
  <c r="FK86" i="2"/>
  <c r="FJ86" i="2"/>
  <c r="FI86" i="2"/>
  <c r="FH86" i="2"/>
  <c r="FG86" i="2"/>
  <c r="FF86" i="2"/>
  <c r="FE86" i="2"/>
  <c r="FD86" i="2"/>
  <c r="FC86" i="2"/>
  <c r="FB86" i="2"/>
  <c r="FA86" i="2"/>
  <c r="EZ86" i="2"/>
  <c r="EY86" i="2"/>
  <c r="EX86" i="2"/>
  <c r="EW86" i="2"/>
  <c r="EV86" i="2"/>
  <c r="EU86" i="2"/>
  <c r="ET86" i="2"/>
  <c r="ES86" i="2"/>
  <c r="ER86" i="2"/>
  <c r="EQ86" i="2"/>
  <c r="EP86" i="2"/>
  <c r="EO86" i="2"/>
  <c r="EN86" i="2"/>
  <c r="EM86" i="2"/>
  <c r="EL86" i="2"/>
  <c r="EK86" i="2"/>
  <c r="EJ86" i="2"/>
  <c r="EI86" i="2"/>
  <c r="EH86" i="2"/>
  <c r="EG86" i="2"/>
  <c r="EF86" i="2"/>
  <c r="EE86" i="2"/>
  <c r="ED86" i="2"/>
  <c r="EC86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FP85" i="2"/>
  <c r="FO85" i="2"/>
  <c r="FN85" i="2"/>
  <c r="FM85" i="2"/>
  <c r="FL85" i="2"/>
  <c r="FK85" i="2"/>
  <c r="FJ85" i="2"/>
  <c r="FI85" i="2"/>
  <c r="FH85" i="2"/>
  <c r="FG85" i="2"/>
  <c r="FF85" i="2"/>
  <c r="FE85" i="2"/>
  <c r="FD85" i="2"/>
  <c r="FC85" i="2"/>
  <c r="FB85" i="2"/>
  <c r="FA85" i="2"/>
  <c r="EZ85" i="2"/>
  <c r="EY85" i="2"/>
  <c r="EX85" i="2"/>
  <c r="EW85" i="2"/>
  <c r="EV85" i="2"/>
  <c r="EU85" i="2"/>
  <c r="ET85" i="2"/>
  <c r="ES85" i="2"/>
  <c r="ER85" i="2"/>
  <c r="EQ85" i="2"/>
  <c r="EP85" i="2"/>
  <c r="EO85" i="2"/>
  <c r="EN85" i="2"/>
  <c r="EM85" i="2"/>
  <c r="EL85" i="2"/>
  <c r="EK85" i="2"/>
  <c r="EJ85" i="2"/>
  <c r="EI85" i="2"/>
  <c r="EH85" i="2"/>
  <c r="EG85" i="2"/>
  <c r="EF85" i="2"/>
  <c r="EE85" i="2"/>
  <c r="ED85" i="2"/>
  <c r="EC85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FP84" i="2"/>
  <c r="FO84" i="2"/>
  <c r="FN84" i="2"/>
  <c r="FM84" i="2"/>
  <c r="FL84" i="2"/>
  <c r="FK84" i="2"/>
  <c r="FJ84" i="2"/>
  <c r="FI84" i="2"/>
  <c r="FH84" i="2"/>
  <c r="FG84" i="2"/>
  <c r="FF84" i="2"/>
  <c r="FE84" i="2"/>
  <c r="FD84" i="2"/>
  <c r="FC84" i="2"/>
  <c r="FB84" i="2"/>
  <c r="FA84" i="2"/>
  <c r="EZ84" i="2"/>
  <c r="EY84" i="2"/>
  <c r="EX84" i="2"/>
  <c r="EW84" i="2"/>
  <c r="EV84" i="2"/>
  <c r="EU84" i="2"/>
  <c r="ET84" i="2"/>
  <c r="ES84" i="2"/>
  <c r="ER84" i="2"/>
  <c r="EQ84" i="2"/>
  <c r="EP84" i="2"/>
  <c r="EO84" i="2"/>
  <c r="EN84" i="2"/>
  <c r="EM84" i="2"/>
  <c r="EL84" i="2"/>
  <c r="EK84" i="2"/>
  <c r="EJ84" i="2"/>
  <c r="EI84" i="2"/>
  <c r="EH84" i="2"/>
  <c r="EG84" i="2"/>
  <c r="EF84" i="2"/>
  <c r="EE84" i="2"/>
  <c r="ED84" i="2"/>
  <c r="EC84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FP83" i="2"/>
  <c r="FO83" i="2"/>
  <c r="FN83" i="2"/>
  <c r="FM83" i="2"/>
  <c r="FL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Y83" i="2"/>
  <c r="EX83" i="2"/>
  <c r="EW83" i="2"/>
  <c r="EV83" i="2"/>
  <c r="EU83" i="2"/>
  <c r="ET83" i="2"/>
  <c r="ES83" i="2"/>
  <c r="ER83" i="2"/>
  <c r="EQ83" i="2"/>
  <c r="EP83" i="2"/>
  <c r="EO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FP82" i="2"/>
  <c r="FO82" i="2"/>
  <c r="FN82" i="2"/>
  <c r="FM82" i="2"/>
  <c r="FL82" i="2"/>
  <c r="FK82" i="2"/>
  <c r="FJ82" i="2"/>
  <c r="FI82" i="2"/>
  <c r="FH82" i="2"/>
  <c r="FG82" i="2"/>
  <c r="FF82" i="2"/>
  <c r="FE82" i="2"/>
  <c r="FD82" i="2"/>
  <c r="FC82" i="2"/>
  <c r="FB82" i="2"/>
  <c r="FA82" i="2"/>
  <c r="EZ82" i="2"/>
  <c r="EY82" i="2"/>
  <c r="EX82" i="2"/>
  <c r="EW82" i="2"/>
  <c r="EV82" i="2"/>
  <c r="EU82" i="2"/>
  <c r="ET82" i="2"/>
  <c r="ES82" i="2"/>
  <c r="ER82" i="2"/>
  <c r="EQ82" i="2"/>
  <c r="EP82" i="2"/>
  <c r="EO82" i="2"/>
  <c r="EN82" i="2"/>
  <c r="EM82" i="2"/>
  <c r="EL82" i="2"/>
  <c r="EK82" i="2"/>
  <c r="EJ82" i="2"/>
  <c r="EI82" i="2"/>
  <c r="EH82" i="2"/>
  <c r="EG82" i="2"/>
  <c r="EF82" i="2"/>
  <c r="EE82" i="2"/>
  <c r="ED82" i="2"/>
  <c r="EC82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FP81" i="2"/>
  <c r="FO81" i="2"/>
  <c r="FN81" i="2"/>
  <c r="FM81" i="2"/>
  <c r="FL81" i="2"/>
  <c r="FK81" i="2"/>
  <c r="FJ81" i="2"/>
  <c r="FI81" i="2"/>
  <c r="FH81" i="2"/>
  <c r="FG81" i="2"/>
  <c r="FF81" i="2"/>
  <c r="FE81" i="2"/>
  <c r="FD81" i="2"/>
  <c r="FC81" i="2"/>
  <c r="FB81" i="2"/>
  <c r="FA81" i="2"/>
  <c r="EZ81" i="2"/>
  <c r="EY81" i="2"/>
  <c r="EX81" i="2"/>
  <c r="EW81" i="2"/>
  <c r="EV81" i="2"/>
  <c r="EU81" i="2"/>
  <c r="ET81" i="2"/>
  <c r="ES81" i="2"/>
  <c r="ER81" i="2"/>
  <c r="EQ81" i="2"/>
  <c r="EP81" i="2"/>
  <c r="EO81" i="2"/>
  <c r="EN81" i="2"/>
  <c r="EM81" i="2"/>
  <c r="EL81" i="2"/>
  <c r="EK81" i="2"/>
  <c r="EJ81" i="2"/>
  <c r="EI81" i="2"/>
  <c r="EH81" i="2"/>
  <c r="EG81" i="2"/>
  <c r="EF81" i="2"/>
  <c r="EE81" i="2"/>
  <c r="ED81" i="2"/>
  <c r="EC81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FP80" i="2"/>
  <c r="FO80" i="2"/>
  <c r="FN80" i="2"/>
  <c r="FM80" i="2"/>
  <c r="FL80" i="2"/>
  <c r="FK80" i="2"/>
  <c r="FJ80" i="2"/>
  <c r="FI80" i="2"/>
  <c r="FH80" i="2"/>
  <c r="FG80" i="2"/>
  <c r="FF80" i="2"/>
  <c r="FE80" i="2"/>
  <c r="FD80" i="2"/>
  <c r="FC80" i="2"/>
  <c r="FB80" i="2"/>
  <c r="FA80" i="2"/>
  <c r="EZ80" i="2"/>
  <c r="EY80" i="2"/>
  <c r="EX80" i="2"/>
  <c r="EW80" i="2"/>
  <c r="EV80" i="2"/>
  <c r="EU80" i="2"/>
  <c r="ET80" i="2"/>
  <c r="ES80" i="2"/>
  <c r="ER80" i="2"/>
  <c r="EQ80" i="2"/>
  <c r="EP80" i="2"/>
  <c r="EO80" i="2"/>
  <c r="EN80" i="2"/>
  <c r="EM80" i="2"/>
  <c r="EL80" i="2"/>
  <c r="EK80" i="2"/>
  <c r="EJ80" i="2"/>
  <c r="EI80" i="2"/>
  <c r="EH80" i="2"/>
  <c r="EG80" i="2"/>
  <c r="EF80" i="2"/>
  <c r="EE80" i="2"/>
  <c r="ED80" i="2"/>
  <c r="EC80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FP79" i="2"/>
  <c r="FO79" i="2"/>
  <c r="FN79" i="2"/>
  <c r="FM79" i="2"/>
  <c r="FL79" i="2"/>
  <c r="FK79" i="2"/>
  <c r="FJ79" i="2"/>
  <c r="FI79" i="2"/>
  <c r="FH79" i="2"/>
  <c r="FG79" i="2"/>
  <c r="FF79" i="2"/>
  <c r="FE79" i="2"/>
  <c r="FD79" i="2"/>
  <c r="FC79" i="2"/>
  <c r="FB79" i="2"/>
  <c r="FA79" i="2"/>
  <c r="EZ79" i="2"/>
  <c r="EY79" i="2"/>
  <c r="EX79" i="2"/>
  <c r="EW79" i="2"/>
  <c r="EV79" i="2"/>
  <c r="EU79" i="2"/>
  <c r="ET79" i="2"/>
  <c r="ES79" i="2"/>
  <c r="ER79" i="2"/>
  <c r="EQ79" i="2"/>
  <c r="EP79" i="2"/>
  <c r="EO79" i="2"/>
  <c r="EN79" i="2"/>
  <c r="EM79" i="2"/>
  <c r="EL79" i="2"/>
  <c r="EK79" i="2"/>
  <c r="EJ79" i="2"/>
  <c r="EI79" i="2"/>
  <c r="EH79" i="2"/>
  <c r="EG79" i="2"/>
  <c r="EF79" i="2"/>
  <c r="EE79" i="2"/>
  <c r="ED79" i="2"/>
  <c r="EC79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FP78" i="2"/>
  <c r="FO78" i="2"/>
  <c r="FN78" i="2"/>
  <c r="FM78" i="2"/>
  <c r="FL78" i="2"/>
  <c r="FK78" i="2"/>
  <c r="FJ78" i="2"/>
  <c r="FI78" i="2"/>
  <c r="FH78" i="2"/>
  <c r="FG78" i="2"/>
  <c r="FF78" i="2"/>
  <c r="FE78" i="2"/>
  <c r="FD78" i="2"/>
  <c r="FC78" i="2"/>
  <c r="FB78" i="2"/>
  <c r="FA78" i="2"/>
  <c r="EZ78" i="2"/>
  <c r="EY78" i="2"/>
  <c r="EX78" i="2"/>
  <c r="EW78" i="2"/>
  <c r="EV78" i="2"/>
  <c r="EU78" i="2"/>
  <c r="ET78" i="2"/>
  <c r="ES78" i="2"/>
  <c r="ER78" i="2"/>
  <c r="EQ78" i="2"/>
  <c r="EP78" i="2"/>
  <c r="EO78" i="2"/>
  <c r="EN78" i="2"/>
  <c r="EM78" i="2"/>
  <c r="EL78" i="2"/>
  <c r="EK78" i="2"/>
  <c r="EJ78" i="2"/>
  <c r="EI78" i="2"/>
  <c r="EH78" i="2"/>
  <c r="EG78" i="2"/>
  <c r="EF78" i="2"/>
  <c r="EE78" i="2"/>
  <c r="ED78" i="2"/>
  <c r="EC78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FP76" i="2"/>
  <c r="FO76" i="2"/>
  <c r="FN76" i="2"/>
  <c r="FM76" i="2"/>
  <c r="FL76" i="2"/>
  <c r="FK76" i="2"/>
  <c r="FJ76" i="2"/>
  <c r="FI76" i="2"/>
  <c r="FH76" i="2"/>
  <c r="FG76" i="2"/>
  <c r="FF76" i="2"/>
  <c r="FE76" i="2"/>
  <c r="FD76" i="2"/>
  <c r="FC76" i="2"/>
  <c r="FB76" i="2"/>
  <c r="FA76" i="2"/>
  <c r="EZ76" i="2"/>
  <c r="EY76" i="2"/>
  <c r="EX76" i="2"/>
  <c r="EW76" i="2"/>
  <c r="EV76" i="2"/>
  <c r="EU76" i="2"/>
  <c r="ET76" i="2"/>
  <c r="ES76" i="2"/>
  <c r="ER76" i="2"/>
  <c r="EQ76" i="2"/>
  <c r="EP76" i="2"/>
  <c r="EO76" i="2"/>
  <c r="EN76" i="2"/>
  <c r="EM76" i="2"/>
  <c r="EL76" i="2"/>
  <c r="EK76" i="2"/>
  <c r="EJ76" i="2"/>
  <c r="EI76" i="2"/>
  <c r="EH76" i="2"/>
  <c r="EG76" i="2"/>
  <c r="EF76" i="2"/>
  <c r="EE76" i="2"/>
  <c r="ED76" i="2"/>
  <c r="EC76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FP75" i="2"/>
  <c r="FO75" i="2"/>
  <c r="FN75" i="2"/>
  <c r="FM75" i="2"/>
  <c r="FL75" i="2"/>
  <c r="FK75" i="2"/>
  <c r="FJ75" i="2"/>
  <c r="FI75" i="2"/>
  <c r="FH75" i="2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L75" i="2"/>
  <c r="EK75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FP74" i="2"/>
  <c r="FO74" i="2"/>
  <c r="FN74" i="2"/>
  <c r="FM74" i="2"/>
  <c r="FL74" i="2"/>
  <c r="FK74" i="2"/>
  <c r="FJ74" i="2"/>
  <c r="FI74" i="2"/>
  <c r="FH74" i="2"/>
  <c r="FG74" i="2"/>
  <c r="FF74" i="2"/>
  <c r="FE74" i="2"/>
  <c r="FD74" i="2"/>
  <c r="FC74" i="2"/>
  <c r="FB74" i="2"/>
  <c r="FA74" i="2"/>
  <c r="EZ74" i="2"/>
  <c r="EY74" i="2"/>
  <c r="EX74" i="2"/>
  <c r="EW74" i="2"/>
  <c r="EV74" i="2"/>
  <c r="EU74" i="2"/>
  <c r="ET74" i="2"/>
  <c r="ES74" i="2"/>
  <c r="ER74" i="2"/>
  <c r="EQ74" i="2"/>
  <c r="EP74" i="2"/>
  <c r="EO74" i="2"/>
  <c r="EN74" i="2"/>
  <c r="EM74" i="2"/>
  <c r="EL74" i="2"/>
  <c r="EK74" i="2"/>
  <c r="EJ74" i="2"/>
  <c r="EI74" i="2"/>
  <c r="EH74" i="2"/>
  <c r="EG74" i="2"/>
  <c r="EF74" i="2"/>
  <c r="EE74" i="2"/>
  <c r="ED74" i="2"/>
  <c r="EC74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FP73" i="2"/>
  <c r="FO73" i="2"/>
  <c r="FN73" i="2"/>
  <c r="FM73" i="2"/>
  <c r="FL73" i="2"/>
  <c r="FK73" i="2"/>
  <c r="FJ73" i="2"/>
  <c r="FI73" i="2"/>
  <c r="FH73" i="2"/>
  <c r="FG73" i="2"/>
  <c r="FF73" i="2"/>
  <c r="FE73" i="2"/>
  <c r="FD73" i="2"/>
  <c r="FC73" i="2"/>
  <c r="FB73" i="2"/>
  <c r="FA73" i="2"/>
  <c r="EZ73" i="2"/>
  <c r="EY73" i="2"/>
  <c r="EX73" i="2"/>
  <c r="EW73" i="2"/>
  <c r="EV73" i="2"/>
  <c r="EU73" i="2"/>
  <c r="ET73" i="2"/>
  <c r="ES73" i="2"/>
  <c r="ER73" i="2"/>
  <c r="EQ73" i="2"/>
  <c r="EP73" i="2"/>
  <c r="EO73" i="2"/>
  <c r="EN73" i="2"/>
  <c r="EM73" i="2"/>
  <c r="EL73" i="2"/>
  <c r="EK73" i="2"/>
  <c r="EJ73" i="2"/>
  <c r="EI73" i="2"/>
  <c r="EH73" i="2"/>
  <c r="EG73" i="2"/>
  <c r="EF73" i="2"/>
  <c r="EE73" i="2"/>
  <c r="ED73" i="2"/>
  <c r="EC73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FP72" i="2"/>
  <c r="FO72" i="2"/>
  <c r="FN72" i="2"/>
  <c r="FM72" i="2"/>
  <c r="FL72" i="2"/>
  <c r="FK72" i="2"/>
  <c r="FJ72" i="2"/>
  <c r="FI72" i="2"/>
  <c r="FH72" i="2"/>
  <c r="FG72" i="2"/>
  <c r="FF72" i="2"/>
  <c r="FE72" i="2"/>
  <c r="FD72" i="2"/>
  <c r="FC72" i="2"/>
  <c r="FB72" i="2"/>
  <c r="FA72" i="2"/>
  <c r="EZ72" i="2"/>
  <c r="EY72" i="2"/>
  <c r="EX72" i="2"/>
  <c r="EW72" i="2"/>
  <c r="EV72" i="2"/>
  <c r="EU72" i="2"/>
  <c r="ET72" i="2"/>
  <c r="ES72" i="2"/>
  <c r="ER72" i="2"/>
  <c r="EQ72" i="2"/>
  <c r="EP72" i="2"/>
  <c r="EO72" i="2"/>
  <c r="EN72" i="2"/>
  <c r="EM72" i="2"/>
  <c r="EL72" i="2"/>
  <c r="EK72" i="2"/>
  <c r="EJ72" i="2"/>
  <c r="EI72" i="2"/>
  <c r="EH72" i="2"/>
  <c r="EG72" i="2"/>
  <c r="EF72" i="2"/>
  <c r="EE72" i="2"/>
  <c r="ED72" i="2"/>
  <c r="EC72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Y71" i="2"/>
  <c r="EX71" i="2"/>
  <c r="EW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FP70" i="2"/>
  <c r="FO70" i="2"/>
  <c r="FN70" i="2"/>
  <c r="FM70" i="2"/>
  <c r="FL70" i="2"/>
  <c r="FK70" i="2"/>
  <c r="FJ70" i="2"/>
  <c r="FI70" i="2"/>
  <c r="FH70" i="2"/>
  <c r="FG70" i="2"/>
  <c r="FF70" i="2"/>
  <c r="FE70" i="2"/>
  <c r="FD70" i="2"/>
  <c r="FC70" i="2"/>
  <c r="FB70" i="2"/>
  <c r="FA70" i="2"/>
  <c r="EZ70" i="2"/>
  <c r="EY70" i="2"/>
  <c r="EX70" i="2"/>
  <c r="EW70" i="2"/>
  <c r="EV70" i="2"/>
  <c r="EU70" i="2"/>
  <c r="ET70" i="2"/>
  <c r="ES70" i="2"/>
  <c r="ER70" i="2"/>
  <c r="EQ70" i="2"/>
  <c r="EP70" i="2"/>
  <c r="EO70" i="2"/>
  <c r="EN70" i="2"/>
  <c r="EM70" i="2"/>
  <c r="EL70" i="2"/>
  <c r="EK70" i="2"/>
  <c r="EJ70" i="2"/>
  <c r="EI70" i="2"/>
  <c r="EH70" i="2"/>
  <c r="EG70" i="2"/>
  <c r="EF70" i="2"/>
  <c r="EE70" i="2"/>
  <c r="ED70" i="2"/>
  <c r="EC70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FP69" i="2"/>
  <c r="FO69" i="2"/>
  <c r="FN69" i="2"/>
  <c r="FM69" i="2"/>
  <c r="FL69" i="2"/>
  <c r="FK69" i="2"/>
  <c r="FJ69" i="2"/>
  <c r="FI69" i="2"/>
  <c r="FH69" i="2"/>
  <c r="FG69" i="2"/>
  <c r="FF69" i="2"/>
  <c r="FE69" i="2"/>
  <c r="FD69" i="2"/>
  <c r="FC69" i="2"/>
  <c r="FB69" i="2"/>
  <c r="FA69" i="2"/>
  <c r="EZ69" i="2"/>
  <c r="EY69" i="2"/>
  <c r="EX69" i="2"/>
  <c r="EW69" i="2"/>
  <c r="EV69" i="2"/>
  <c r="EU69" i="2"/>
  <c r="ET69" i="2"/>
  <c r="ES69" i="2"/>
  <c r="ER69" i="2"/>
  <c r="EQ69" i="2"/>
  <c r="EP69" i="2"/>
  <c r="EO69" i="2"/>
  <c r="EN69" i="2"/>
  <c r="EM69" i="2"/>
  <c r="EL69" i="2"/>
  <c r="EK69" i="2"/>
  <c r="EJ69" i="2"/>
  <c r="EI69" i="2"/>
  <c r="EH69" i="2"/>
  <c r="EG69" i="2"/>
  <c r="EF69" i="2"/>
  <c r="EE69" i="2"/>
  <c r="ED69" i="2"/>
  <c r="EC69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FP68" i="2"/>
  <c r="FO68" i="2"/>
  <c r="FN68" i="2"/>
  <c r="FM68" i="2"/>
  <c r="FL68" i="2"/>
  <c r="FK68" i="2"/>
  <c r="FJ68" i="2"/>
  <c r="FI68" i="2"/>
  <c r="FH68" i="2"/>
  <c r="FG68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FP67" i="2"/>
  <c r="FO67" i="2"/>
  <c r="FN67" i="2"/>
  <c r="FM67" i="2"/>
  <c r="FL67" i="2"/>
  <c r="FK67" i="2"/>
  <c r="FJ67" i="2"/>
  <c r="FI67" i="2"/>
  <c r="FH67" i="2"/>
  <c r="FG67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FP66" i="2"/>
  <c r="FO66" i="2"/>
  <c r="FN66" i="2"/>
  <c r="FM66" i="2"/>
  <c r="FL66" i="2"/>
  <c r="FK66" i="2"/>
  <c r="FJ66" i="2"/>
  <c r="FI66" i="2"/>
  <c r="FH66" i="2"/>
  <c r="FG66" i="2"/>
  <c r="FF66" i="2"/>
  <c r="FE66" i="2"/>
  <c r="FD66" i="2"/>
  <c r="FC66" i="2"/>
  <c r="FB66" i="2"/>
  <c r="FA66" i="2"/>
  <c r="EZ66" i="2"/>
  <c r="EY66" i="2"/>
  <c r="EX66" i="2"/>
  <c r="EW66" i="2"/>
  <c r="EV66" i="2"/>
  <c r="EU66" i="2"/>
  <c r="ET66" i="2"/>
  <c r="ES66" i="2"/>
  <c r="ER66" i="2"/>
  <c r="EQ66" i="2"/>
  <c r="EP66" i="2"/>
  <c r="EO66" i="2"/>
  <c r="EN66" i="2"/>
  <c r="EM66" i="2"/>
  <c r="EL66" i="2"/>
  <c r="EK66" i="2"/>
  <c r="EJ66" i="2"/>
  <c r="EI66" i="2"/>
  <c r="EH66" i="2"/>
  <c r="EG66" i="2"/>
  <c r="EF66" i="2"/>
  <c r="EE66" i="2"/>
  <c r="ED66" i="2"/>
  <c r="EC66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Y65" i="2"/>
  <c r="EX65" i="2"/>
  <c r="EW65" i="2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FP64" i="2"/>
  <c r="FO64" i="2"/>
  <c r="FN64" i="2"/>
  <c r="FM64" i="2"/>
  <c r="FL64" i="2"/>
  <c r="FK64" i="2"/>
  <c r="FJ64" i="2"/>
  <c r="FI64" i="2"/>
  <c r="FH64" i="2"/>
  <c r="FG64" i="2"/>
  <c r="FF64" i="2"/>
  <c r="FE64" i="2"/>
  <c r="FD64" i="2"/>
  <c r="FC64" i="2"/>
  <c r="FB64" i="2"/>
  <c r="FA64" i="2"/>
  <c r="EZ64" i="2"/>
  <c r="EY64" i="2"/>
  <c r="EX64" i="2"/>
  <c r="EW64" i="2"/>
  <c r="EV64" i="2"/>
  <c r="EU64" i="2"/>
  <c r="ET64" i="2"/>
  <c r="ES64" i="2"/>
  <c r="ER64" i="2"/>
  <c r="EQ64" i="2"/>
  <c r="EP64" i="2"/>
  <c r="EO64" i="2"/>
  <c r="EN64" i="2"/>
  <c r="EM64" i="2"/>
  <c r="EL64" i="2"/>
  <c r="EK64" i="2"/>
  <c r="EJ64" i="2"/>
  <c r="EI64" i="2"/>
  <c r="EH64" i="2"/>
  <c r="EG64" i="2"/>
  <c r="EF64" i="2"/>
  <c r="EE64" i="2"/>
  <c r="ED64" i="2"/>
  <c r="EC64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FP63" i="2"/>
  <c r="FO63" i="2"/>
  <c r="FN63" i="2"/>
  <c r="FM63" i="2"/>
  <c r="FL63" i="2"/>
  <c r="FK63" i="2"/>
  <c r="FJ63" i="2"/>
  <c r="FI63" i="2"/>
  <c r="FH63" i="2"/>
  <c r="FG63" i="2"/>
  <c r="FF63" i="2"/>
  <c r="FE63" i="2"/>
  <c r="FD63" i="2"/>
  <c r="FC63" i="2"/>
  <c r="FB63" i="2"/>
  <c r="FA63" i="2"/>
  <c r="EZ63" i="2"/>
  <c r="EY63" i="2"/>
  <c r="EX63" i="2"/>
  <c r="EW63" i="2"/>
  <c r="EV63" i="2"/>
  <c r="EU63" i="2"/>
  <c r="ET63" i="2"/>
  <c r="ES63" i="2"/>
  <c r="ER63" i="2"/>
  <c r="EQ63" i="2"/>
  <c r="EP63" i="2"/>
  <c r="EO63" i="2"/>
  <c r="EN63" i="2"/>
  <c r="EM63" i="2"/>
  <c r="EL63" i="2"/>
  <c r="EK63" i="2"/>
  <c r="EJ63" i="2"/>
  <c r="EI63" i="2"/>
  <c r="EH63" i="2"/>
  <c r="EG63" i="2"/>
  <c r="EF63" i="2"/>
  <c r="EE63" i="2"/>
  <c r="ED63" i="2"/>
  <c r="EC63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FP62" i="2"/>
  <c r="FO62" i="2"/>
  <c r="FN62" i="2"/>
  <c r="FM62" i="2"/>
  <c r="FL62" i="2"/>
  <c r="FK62" i="2"/>
  <c r="FJ62" i="2"/>
  <c r="FI62" i="2"/>
  <c r="FH62" i="2"/>
  <c r="FG62" i="2"/>
  <c r="FF62" i="2"/>
  <c r="FE62" i="2"/>
  <c r="FD62" i="2"/>
  <c r="FC62" i="2"/>
  <c r="FB62" i="2"/>
  <c r="FA62" i="2"/>
  <c r="EZ62" i="2"/>
  <c r="EY62" i="2"/>
  <c r="EX62" i="2"/>
  <c r="EW62" i="2"/>
  <c r="EV62" i="2"/>
  <c r="EU62" i="2"/>
  <c r="ET62" i="2"/>
  <c r="ES62" i="2"/>
  <c r="ER62" i="2"/>
  <c r="EQ62" i="2"/>
  <c r="EP62" i="2"/>
  <c r="EO62" i="2"/>
  <c r="EN62" i="2"/>
  <c r="EM62" i="2"/>
  <c r="EL62" i="2"/>
  <c r="EK62" i="2"/>
  <c r="EJ62" i="2"/>
  <c r="EI62" i="2"/>
  <c r="EH62" i="2"/>
  <c r="EG62" i="2"/>
  <c r="EF62" i="2"/>
  <c r="EE62" i="2"/>
  <c r="ED62" i="2"/>
  <c r="EC62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FP61" i="2"/>
  <c r="FO61" i="2"/>
  <c r="FN61" i="2"/>
  <c r="FM61" i="2"/>
  <c r="FL61" i="2"/>
  <c r="FK61" i="2"/>
  <c r="FJ61" i="2"/>
  <c r="FI61" i="2"/>
  <c r="FH61" i="2"/>
  <c r="FG61" i="2"/>
  <c r="FF61" i="2"/>
  <c r="FE61" i="2"/>
  <c r="FD61" i="2"/>
  <c r="FC61" i="2"/>
  <c r="FB61" i="2"/>
  <c r="FA61" i="2"/>
  <c r="EZ61" i="2"/>
  <c r="EY61" i="2"/>
  <c r="EX61" i="2"/>
  <c r="EW61" i="2"/>
  <c r="EV61" i="2"/>
  <c r="EU61" i="2"/>
  <c r="ET61" i="2"/>
  <c r="ES61" i="2"/>
  <c r="ER61" i="2"/>
  <c r="EQ61" i="2"/>
  <c r="EP61" i="2"/>
  <c r="EO61" i="2"/>
  <c r="EN61" i="2"/>
  <c r="EM61" i="2"/>
  <c r="EL61" i="2"/>
  <c r="EK61" i="2"/>
  <c r="EJ61" i="2"/>
  <c r="EI61" i="2"/>
  <c r="EH61" i="2"/>
  <c r="EG61" i="2"/>
  <c r="EF61" i="2"/>
  <c r="EE61" i="2"/>
  <c r="ED61" i="2"/>
  <c r="EC61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FP60" i="2"/>
  <c r="FO60" i="2"/>
  <c r="FN60" i="2"/>
  <c r="FM60" i="2"/>
  <c r="FL60" i="2"/>
  <c r="FK60" i="2"/>
  <c r="FJ60" i="2"/>
  <c r="FI60" i="2"/>
  <c r="FH60" i="2"/>
  <c r="FG60" i="2"/>
  <c r="FF60" i="2"/>
  <c r="FE60" i="2"/>
  <c r="FD60" i="2"/>
  <c r="FC60" i="2"/>
  <c r="FB60" i="2"/>
  <c r="FA60" i="2"/>
  <c r="EZ60" i="2"/>
  <c r="EY60" i="2"/>
  <c r="EX60" i="2"/>
  <c r="EW60" i="2"/>
  <c r="EV60" i="2"/>
  <c r="EU60" i="2"/>
  <c r="ET60" i="2"/>
  <c r="ES60" i="2"/>
  <c r="ER60" i="2"/>
  <c r="EQ60" i="2"/>
  <c r="EP60" i="2"/>
  <c r="EO60" i="2"/>
  <c r="EN60" i="2"/>
  <c r="EM60" i="2"/>
  <c r="EL60" i="2"/>
  <c r="EK60" i="2"/>
  <c r="EJ60" i="2"/>
  <c r="EI60" i="2"/>
  <c r="EH60" i="2"/>
  <c r="EG60" i="2"/>
  <c r="EF60" i="2"/>
  <c r="EE60" i="2"/>
  <c r="ED60" i="2"/>
  <c r="EC60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FP59" i="2"/>
  <c r="FO59" i="2"/>
  <c r="FN59" i="2"/>
  <c r="FM59" i="2"/>
  <c r="FL59" i="2"/>
  <c r="FK59" i="2"/>
  <c r="FJ59" i="2"/>
  <c r="FI59" i="2"/>
  <c r="FH59" i="2"/>
  <c r="FG59" i="2"/>
  <c r="FF59" i="2"/>
  <c r="FE59" i="2"/>
  <c r="FD59" i="2"/>
  <c r="FC59" i="2"/>
  <c r="FB59" i="2"/>
  <c r="FA59" i="2"/>
  <c r="EZ59" i="2"/>
  <c r="EY59" i="2"/>
  <c r="EX59" i="2"/>
  <c r="EW59" i="2"/>
  <c r="EV59" i="2"/>
  <c r="EU59" i="2"/>
  <c r="ET59" i="2"/>
  <c r="ES59" i="2"/>
  <c r="ER59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E59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FP58" i="2"/>
  <c r="FO58" i="2"/>
  <c r="FN58" i="2"/>
  <c r="FM58" i="2"/>
  <c r="FL58" i="2"/>
  <c r="FK58" i="2"/>
  <c r="FJ58" i="2"/>
  <c r="FI58" i="2"/>
  <c r="FH58" i="2"/>
  <c r="FG58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FP57" i="2"/>
  <c r="FO57" i="2"/>
  <c r="FN57" i="2"/>
  <c r="FM57" i="2"/>
  <c r="FL57" i="2"/>
  <c r="FK57" i="2"/>
  <c r="FJ57" i="2"/>
  <c r="FI57" i="2"/>
  <c r="FH57" i="2"/>
  <c r="FG57" i="2"/>
  <c r="FF57" i="2"/>
  <c r="FE57" i="2"/>
  <c r="FD57" i="2"/>
  <c r="FC57" i="2"/>
  <c r="FB57" i="2"/>
  <c r="FA57" i="2"/>
  <c r="EZ57" i="2"/>
  <c r="EY57" i="2"/>
  <c r="EX57" i="2"/>
  <c r="EW57" i="2"/>
  <c r="EV57" i="2"/>
  <c r="EU57" i="2"/>
  <c r="ET57" i="2"/>
  <c r="ES57" i="2"/>
  <c r="ER57" i="2"/>
  <c r="EQ57" i="2"/>
  <c r="EP57" i="2"/>
  <c r="EO57" i="2"/>
  <c r="EN57" i="2"/>
  <c r="EM57" i="2"/>
  <c r="EL57" i="2"/>
  <c r="EK57" i="2"/>
  <c r="EJ57" i="2"/>
  <c r="EI57" i="2"/>
  <c r="EH57" i="2"/>
  <c r="EG57" i="2"/>
  <c r="EF57" i="2"/>
  <c r="EE57" i="2"/>
  <c r="ED57" i="2"/>
  <c r="EC57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FP56" i="2"/>
  <c r="FO56" i="2"/>
  <c r="FN56" i="2"/>
  <c r="FM56" i="2"/>
  <c r="FL56" i="2"/>
  <c r="FK56" i="2"/>
  <c r="FJ56" i="2"/>
  <c r="FI56" i="2"/>
  <c r="FH56" i="2"/>
  <c r="FG56" i="2"/>
  <c r="FF56" i="2"/>
  <c r="FE56" i="2"/>
  <c r="FD56" i="2"/>
  <c r="FC56" i="2"/>
  <c r="FB56" i="2"/>
  <c r="FA56" i="2"/>
  <c r="EZ56" i="2"/>
  <c r="EY56" i="2"/>
  <c r="EX56" i="2"/>
  <c r="EW56" i="2"/>
  <c r="EV56" i="2"/>
  <c r="EU56" i="2"/>
  <c r="ET56" i="2"/>
  <c r="ES56" i="2"/>
  <c r="ER56" i="2"/>
  <c r="EQ56" i="2"/>
  <c r="EP56" i="2"/>
  <c r="EO56" i="2"/>
  <c r="EN56" i="2"/>
  <c r="EM56" i="2"/>
  <c r="EL56" i="2"/>
  <c r="EK56" i="2"/>
  <c r="EJ56" i="2"/>
  <c r="EI56" i="2"/>
  <c r="EH56" i="2"/>
  <c r="EG56" i="2"/>
  <c r="EF56" i="2"/>
  <c r="EE56" i="2"/>
  <c r="ED56" i="2"/>
  <c r="EC56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FP55" i="2"/>
  <c r="FO55" i="2"/>
  <c r="FN55" i="2"/>
  <c r="FM55" i="2"/>
  <c r="FL55" i="2"/>
  <c r="FK55" i="2"/>
  <c r="FJ55" i="2"/>
  <c r="FI55" i="2"/>
  <c r="FH55" i="2"/>
  <c r="FG55" i="2"/>
  <c r="FF55" i="2"/>
  <c r="FE55" i="2"/>
  <c r="FD55" i="2"/>
  <c r="FC55" i="2"/>
  <c r="FB55" i="2"/>
  <c r="FA55" i="2"/>
  <c r="EZ55" i="2"/>
  <c r="EY55" i="2"/>
  <c r="EX55" i="2"/>
  <c r="EW55" i="2"/>
  <c r="EV55" i="2"/>
  <c r="EU55" i="2"/>
  <c r="ET55" i="2"/>
  <c r="ES55" i="2"/>
  <c r="ER55" i="2"/>
  <c r="EQ55" i="2"/>
  <c r="EP55" i="2"/>
  <c r="EO55" i="2"/>
  <c r="EN55" i="2"/>
  <c r="EM55" i="2"/>
  <c r="EL55" i="2"/>
  <c r="EK55" i="2"/>
  <c r="EJ55" i="2"/>
  <c r="EI55" i="2"/>
  <c r="EH55" i="2"/>
  <c r="EG55" i="2"/>
  <c r="EF55" i="2"/>
  <c r="EE55" i="2"/>
  <c r="ED55" i="2"/>
  <c r="EC55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FP54" i="2"/>
  <c r="FO54" i="2"/>
  <c r="FN54" i="2"/>
  <c r="FM54" i="2"/>
  <c r="FL54" i="2"/>
  <c r="FK54" i="2"/>
  <c r="FJ54" i="2"/>
  <c r="FI54" i="2"/>
  <c r="FH54" i="2"/>
  <c r="FG54" i="2"/>
  <c r="FF54" i="2"/>
  <c r="FE54" i="2"/>
  <c r="FD54" i="2"/>
  <c r="FC54" i="2"/>
  <c r="FB54" i="2"/>
  <c r="FA54" i="2"/>
  <c r="EZ54" i="2"/>
  <c r="EY54" i="2"/>
  <c r="EX54" i="2"/>
  <c r="EW54" i="2"/>
  <c r="EV54" i="2"/>
  <c r="EU54" i="2"/>
  <c r="ET54" i="2"/>
  <c r="ES54" i="2"/>
  <c r="ER54" i="2"/>
  <c r="EQ54" i="2"/>
  <c r="EP54" i="2"/>
  <c r="EO54" i="2"/>
  <c r="EN54" i="2"/>
  <c r="EM54" i="2"/>
  <c r="EL54" i="2"/>
  <c r="EK54" i="2"/>
  <c r="EJ54" i="2"/>
  <c r="EI54" i="2"/>
  <c r="EH54" i="2"/>
  <c r="EG54" i="2"/>
  <c r="EF54" i="2"/>
  <c r="EE54" i="2"/>
  <c r="ED54" i="2"/>
  <c r="EC54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FP53" i="2"/>
  <c r="FO53" i="2"/>
  <c r="FN53" i="2"/>
  <c r="FM53" i="2"/>
  <c r="FL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EY53" i="2"/>
  <c r="EX53" i="2"/>
  <c r="EW53" i="2"/>
  <c r="EV53" i="2"/>
  <c r="EU53" i="2"/>
  <c r="ET53" i="2"/>
  <c r="ES53" i="2"/>
  <c r="ER53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FP52" i="2"/>
  <c r="FO52" i="2"/>
  <c r="FN52" i="2"/>
  <c r="FM52" i="2"/>
  <c r="FL52" i="2"/>
  <c r="FK52" i="2"/>
  <c r="FJ52" i="2"/>
  <c r="FI52" i="2"/>
  <c r="FH52" i="2"/>
  <c r="FG52" i="2"/>
  <c r="FF52" i="2"/>
  <c r="FE52" i="2"/>
  <c r="FD52" i="2"/>
  <c r="FC52" i="2"/>
  <c r="FB52" i="2"/>
  <c r="FA52" i="2"/>
  <c r="EZ52" i="2"/>
  <c r="EY52" i="2"/>
  <c r="EX52" i="2"/>
  <c r="EW52" i="2"/>
  <c r="EV52" i="2"/>
  <c r="EU52" i="2"/>
  <c r="ET52" i="2"/>
  <c r="ES52" i="2"/>
  <c r="ER52" i="2"/>
  <c r="EQ52" i="2"/>
  <c r="EP52" i="2"/>
  <c r="EO52" i="2"/>
  <c r="EN52" i="2"/>
  <c r="EM52" i="2"/>
  <c r="EL52" i="2"/>
  <c r="EK52" i="2"/>
  <c r="EJ52" i="2"/>
  <c r="EI52" i="2"/>
  <c r="EH52" i="2"/>
  <c r="EG52" i="2"/>
  <c r="EF52" i="2"/>
  <c r="EE52" i="2"/>
  <c r="ED52" i="2"/>
  <c r="EC52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FP51" i="2"/>
  <c r="FO51" i="2"/>
  <c r="FN51" i="2"/>
  <c r="FM51" i="2"/>
  <c r="FL51" i="2"/>
  <c r="FK51" i="2"/>
  <c r="FJ51" i="2"/>
  <c r="FI51" i="2"/>
  <c r="FH51" i="2"/>
  <c r="FG51" i="2"/>
  <c r="FF51" i="2"/>
  <c r="FE51" i="2"/>
  <c r="FD51" i="2"/>
  <c r="FC51" i="2"/>
  <c r="FB51" i="2"/>
  <c r="FA51" i="2"/>
  <c r="EZ51" i="2"/>
  <c r="EY51" i="2"/>
  <c r="EX51" i="2"/>
  <c r="EW51" i="2"/>
  <c r="EV51" i="2"/>
  <c r="EU51" i="2"/>
  <c r="ET51" i="2"/>
  <c r="ES51" i="2"/>
  <c r="ER51" i="2"/>
  <c r="EQ51" i="2"/>
  <c r="EP51" i="2"/>
  <c r="EO51" i="2"/>
  <c r="EN51" i="2"/>
  <c r="EM51" i="2"/>
  <c r="EL51" i="2"/>
  <c r="EK51" i="2"/>
  <c r="EJ51" i="2"/>
  <c r="EI51" i="2"/>
  <c r="EH51" i="2"/>
  <c r="EG51" i="2"/>
  <c r="EF51" i="2"/>
  <c r="EE51" i="2"/>
  <c r="ED51" i="2"/>
  <c r="EC51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FP50" i="2"/>
  <c r="FO50" i="2"/>
  <c r="FN50" i="2"/>
  <c r="FM50" i="2"/>
  <c r="FL50" i="2"/>
  <c r="FK50" i="2"/>
  <c r="FJ50" i="2"/>
  <c r="FI50" i="2"/>
  <c r="FH50" i="2"/>
  <c r="FG50" i="2"/>
  <c r="FF50" i="2"/>
  <c r="FE50" i="2"/>
  <c r="FD50" i="2"/>
  <c r="FC50" i="2"/>
  <c r="FB50" i="2"/>
  <c r="FA50" i="2"/>
  <c r="EZ50" i="2"/>
  <c r="EY50" i="2"/>
  <c r="EX50" i="2"/>
  <c r="EW50" i="2"/>
  <c r="EV50" i="2"/>
  <c r="EU50" i="2"/>
  <c r="ET50" i="2"/>
  <c r="ES50" i="2"/>
  <c r="ER50" i="2"/>
  <c r="EQ50" i="2"/>
  <c r="EP50" i="2"/>
  <c r="EO50" i="2"/>
  <c r="EN50" i="2"/>
  <c r="EM50" i="2"/>
  <c r="EL50" i="2"/>
  <c r="EK50" i="2"/>
  <c r="EJ50" i="2"/>
  <c r="EI50" i="2"/>
  <c r="EH50" i="2"/>
  <c r="EG50" i="2"/>
  <c r="EF50" i="2"/>
  <c r="EE50" i="2"/>
  <c r="ED50" i="2"/>
  <c r="EC50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FP49" i="2"/>
  <c r="FO49" i="2"/>
  <c r="FN49" i="2"/>
  <c r="FM49" i="2"/>
  <c r="FL49" i="2"/>
  <c r="FK49" i="2"/>
  <c r="FJ49" i="2"/>
  <c r="FI49" i="2"/>
  <c r="FH49" i="2"/>
  <c r="FG49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P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FP48" i="2"/>
  <c r="FO48" i="2"/>
  <c r="FN48" i="2"/>
  <c r="FM48" i="2"/>
  <c r="FL48" i="2"/>
  <c r="FK48" i="2"/>
  <c r="FJ48" i="2"/>
  <c r="FI48" i="2"/>
  <c r="FH48" i="2"/>
  <c r="FG48" i="2"/>
  <c r="FF48" i="2"/>
  <c r="FE48" i="2"/>
  <c r="FD48" i="2"/>
  <c r="FC48" i="2"/>
  <c r="FB48" i="2"/>
  <c r="FA48" i="2"/>
  <c r="EZ48" i="2"/>
  <c r="EY48" i="2"/>
  <c r="EX48" i="2"/>
  <c r="EW48" i="2"/>
  <c r="EV48" i="2"/>
  <c r="EU48" i="2"/>
  <c r="ET48" i="2"/>
  <c r="ES48" i="2"/>
  <c r="ER48" i="2"/>
  <c r="EQ48" i="2"/>
  <c r="EP48" i="2"/>
  <c r="EO48" i="2"/>
  <c r="EN48" i="2"/>
  <c r="EM48" i="2"/>
  <c r="EL48" i="2"/>
  <c r="EK48" i="2"/>
  <c r="EJ48" i="2"/>
  <c r="EI48" i="2"/>
  <c r="EH48" i="2"/>
  <c r="EG48" i="2"/>
  <c r="EF48" i="2"/>
  <c r="EE48" i="2"/>
  <c r="ED48" i="2"/>
  <c r="EC48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Y47" i="2"/>
  <c r="EX47" i="2"/>
  <c r="EW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FC46" i="2"/>
  <c r="FB46" i="2"/>
  <c r="FA46" i="2"/>
  <c r="EZ46" i="2"/>
  <c r="EY46" i="2"/>
  <c r="EX46" i="2"/>
  <c r="EW46" i="2"/>
  <c r="EV46" i="2"/>
  <c r="EU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D46" i="2"/>
  <c r="EC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FP45" i="2"/>
  <c r="FO45" i="2"/>
  <c r="FN45" i="2"/>
  <c r="FM45" i="2"/>
  <c r="FL45" i="2"/>
  <c r="FK45" i="2"/>
  <c r="FJ45" i="2"/>
  <c r="FI45" i="2"/>
  <c r="FH45" i="2"/>
  <c r="FG45" i="2"/>
  <c r="FF45" i="2"/>
  <c r="FE45" i="2"/>
  <c r="FD45" i="2"/>
  <c r="FC45" i="2"/>
  <c r="FB45" i="2"/>
  <c r="FA45" i="2"/>
  <c r="EZ45" i="2"/>
  <c r="EY45" i="2"/>
  <c r="EX45" i="2"/>
  <c r="EW45" i="2"/>
  <c r="EV45" i="2"/>
  <c r="EU45" i="2"/>
  <c r="ET45" i="2"/>
  <c r="ES45" i="2"/>
  <c r="ER45" i="2"/>
  <c r="EQ45" i="2"/>
  <c r="EP45" i="2"/>
  <c r="EO45" i="2"/>
  <c r="EN45" i="2"/>
  <c r="EM45" i="2"/>
  <c r="EL45" i="2"/>
  <c r="EK45" i="2"/>
  <c r="EJ45" i="2"/>
  <c r="EI45" i="2"/>
  <c r="EH45" i="2"/>
  <c r="EG45" i="2"/>
  <c r="EF45" i="2"/>
  <c r="EE45" i="2"/>
  <c r="ED45" i="2"/>
  <c r="EC45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FP44" i="2"/>
  <c r="FO44" i="2"/>
  <c r="FN44" i="2"/>
  <c r="FM44" i="2"/>
  <c r="FL44" i="2"/>
  <c r="FK44" i="2"/>
  <c r="FJ44" i="2"/>
  <c r="FI44" i="2"/>
  <c r="FH44" i="2"/>
  <c r="FG44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FP43" i="2"/>
  <c r="FO43" i="2"/>
  <c r="FN43" i="2"/>
  <c r="FM43" i="2"/>
  <c r="FL43" i="2"/>
  <c r="FK43" i="2"/>
  <c r="FJ43" i="2"/>
  <c r="FI43" i="2"/>
  <c r="FH43" i="2"/>
  <c r="FG43" i="2"/>
  <c r="FF43" i="2"/>
  <c r="FE43" i="2"/>
  <c r="FD43" i="2"/>
  <c r="FC43" i="2"/>
  <c r="FB43" i="2"/>
  <c r="FA43" i="2"/>
  <c r="EZ43" i="2"/>
  <c r="EY43" i="2"/>
  <c r="EX43" i="2"/>
  <c r="EW43" i="2"/>
  <c r="EV43" i="2"/>
  <c r="EU43" i="2"/>
  <c r="ET43" i="2"/>
  <c r="ES43" i="2"/>
  <c r="ER43" i="2"/>
  <c r="EQ43" i="2"/>
  <c r="EP43" i="2"/>
  <c r="EO43" i="2"/>
  <c r="EN43" i="2"/>
  <c r="EM43" i="2"/>
  <c r="EL43" i="2"/>
  <c r="EK43" i="2"/>
  <c r="EJ43" i="2"/>
  <c r="EI43" i="2"/>
  <c r="EH43" i="2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FP42" i="2"/>
  <c r="FO42" i="2"/>
  <c r="FN42" i="2"/>
  <c r="FM42" i="2"/>
  <c r="FL42" i="2"/>
  <c r="FK42" i="2"/>
  <c r="FJ42" i="2"/>
  <c r="FI42" i="2"/>
  <c r="FH42" i="2"/>
  <c r="FG42" i="2"/>
  <c r="FF42" i="2"/>
  <c r="FE42" i="2"/>
  <c r="FD42" i="2"/>
  <c r="FC42" i="2"/>
  <c r="FB42" i="2"/>
  <c r="FA42" i="2"/>
  <c r="EZ42" i="2"/>
  <c r="EY42" i="2"/>
  <c r="EX42" i="2"/>
  <c r="EW42" i="2"/>
  <c r="EV42" i="2"/>
  <c r="EU42" i="2"/>
  <c r="ET42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Y41" i="2"/>
  <c r="EX41" i="2"/>
  <c r="EW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FP39" i="2"/>
  <c r="FO39" i="2"/>
  <c r="FN39" i="2"/>
  <c r="FM39" i="2"/>
  <c r="FL39" i="2"/>
  <c r="FK39" i="2"/>
  <c r="FJ39" i="2"/>
  <c r="FI39" i="2"/>
  <c r="FH39" i="2"/>
  <c r="FG39" i="2"/>
  <c r="FF39" i="2"/>
  <c r="FE39" i="2"/>
  <c r="FD39" i="2"/>
  <c r="FC39" i="2"/>
  <c r="FB39" i="2"/>
  <c r="FA39" i="2"/>
  <c r="EZ39" i="2"/>
  <c r="EY39" i="2"/>
  <c r="EX39" i="2"/>
  <c r="EW39" i="2"/>
  <c r="EV39" i="2"/>
  <c r="EU39" i="2"/>
  <c r="ET39" i="2"/>
  <c r="ES39" i="2"/>
  <c r="ER39" i="2"/>
  <c r="EQ39" i="2"/>
  <c r="EP39" i="2"/>
  <c r="EO39" i="2"/>
  <c r="EN39" i="2"/>
  <c r="EM39" i="2"/>
  <c r="EL39" i="2"/>
  <c r="EK39" i="2"/>
  <c r="EJ39" i="2"/>
  <c r="EI39" i="2"/>
  <c r="EH39" i="2"/>
  <c r="EG39" i="2"/>
  <c r="EF39" i="2"/>
  <c r="EE39" i="2"/>
  <c r="ED39" i="2"/>
  <c r="EC39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FB38" i="2"/>
  <c r="FA38" i="2"/>
  <c r="EZ38" i="2"/>
  <c r="EY38" i="2"/>
  <c r="EX38" i="2"/>
  <c r="EW38" i="2"/>
  <c r="EV38" i="2"/>
  <c r="EU38" i="2"/>
  <c r="ET38" i="2"/>
  <c r="ES38" i="2"/>
  <c r="ER38" i="2"/>
  <c r="EQ38" i="2"/>
  <c r="EP38" i="2"/>
  <c r="EO38" i="2"/>
  <c r="EN38" i="2"/>
  <c r="EM38" i="2"/>
  <c r="EL38" i="2"/>
  <c r="EK38" i="2"/>
  <c r="EJ38" i="2"/>
  <c r="EI38" i="2"/>
  <c r="EH38" i="2"/>
  <c r="EG38" i="2"/>
  <c r="EF38" i="2"/>
  <c r="EE38" i="2"/>
  <c r="ED38" i="2"/>
  <c r="EC38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FP37" i="2"/>
  <c r="FO37" i="2"/>
  <c r="FN37" i="2"/>
  <c r="FM37" i="2"/>
  <c r="FL37" i="2"/>
  <c r="FK37" i="2"/>
  <c r="FJ37" i="2"/>
  <c r="FI37" i="2"/>
  <c r="FH37" i="2"/>
  <c r="FG37" i="2"/>
  <c r="FF37" i="2"/>
  <c r="FE37" i="2"/>
  <c r="FD37" i="2"/>
  <c r="FC37" i="2"/>
  <c r="FB37" i="2"/>
  <c r="FA37" i="2"/>
  <c r="EZ37" i="2"/>
  <c r="EY37" i="2"/>
  <c r="EX37" i="2"/>
  <c r="EW37" i="2"/>
  <c r="EV37" i="2"/>
  <c r="EU37" i="2"/>
  <c r="ET37" i="2"/>
  <c r="ES37" i="2"/>
  <c r="ER37" i="2"/>
  <c r="EQ37" i="2"/>
  <c r="EP37" i="2"/>
  <c r="EO37" i="2"/>
  <c r="EN37" i="2"/>
  <c r="EM37" i="2"/>
  <c r="EL37" i="2"/>
  <c r="EK37" i="2"/>
  <c r="EJ37" i="2"/>
  <c r="EI37" i="2"/>
  <c r="EH37" i="2"/>
  <c r="EG37" i="2"/>
  <c r="EF37" i="2"/>
  <c r="EE37" i="2"/>
  <c r="ED37" i="2"/>
  <c r="EC37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V36" i="2"/>
  <c r="EU36" i="2"/>
  <c r="ET36" i="2"/>
  <c r="ES36" i="2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EW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V34" i="2"/>
  <c r="EU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FP33" i="2"/>
  <c r="FO33" i="2"/>
  <c r="FN33" i="2"/>
  <c r="FM33" i="2"/>
  <c r="FL33" i="2"/>
  <c r="FK33" i="2"/>
  <c r="FJ33" i="2"/>
  <c r="FI33" i="2"/>
  <c r="FH33" i="2"/>
  <c r="FG33" i="2"/>
  <c r="FF33" i="2"/>
  <c r="FE33" i="2"/>
  <c r="FD33" i="2"/>
  <c r="FC33" i="2"/>
  <c r="FB33" i="2"/>
  <c r="FA33" i="2"/>
  <c r="EZ33" i="2"/>
  <c r="EY33" i="2"/>
  <c r="EX33" i="2"/>
  <c r="EW33" i="2"/>
  <c r="EV33" i="2"/>
  <c r="EU33" i="2"/>
  <c r="ET33" i="2"/>
  <c r="ES33" i="2"/>
  <c r="ER33" i="2"/>
  <c r="EQ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FP31" i="2"/>
  <c r="FO31" i="2"/>
  <c r="FN31" i="2"/>
  <c r="FM31" i="2"/>
  <c r="FL31" i="2"/>
  <c r="FK31" i="2"/>
  <c r="FJ31" i="2"/>
  <c r="FI31" i="2"/>
  <c r="FH31" i="2"/>
  <c r="FG31" i="2"/>
  <c r="FF31" i="2"/>
  <c r="FE31" i="2"/>
  <c r="FD31" i="2"/>
  <c r="FC31" i="2"/>
  <c r="FB31" i="2"/>
  <c r="FA31" i="2"/>
  <c r="EZ31" i="2"/>
  <c r="EY31" i="2"/>
  <c r="EX31" i="2"/>
  <c r="EW31" i="2"/>
  <c r="EV31" i="2"/>
  <c r="EU31" i="2"/>
  <c r="ET31" i="2"/>
  <c r="ES31" i="2"/>
  <c r="ER31" i="2"/>
  <c r="EQ31" i="2"/>
  <c r="EP31" i="2"/>
  <c r="EO31" i="2"/>
  <c r="EN31" i="2"/>
  <c r="EM31" i="2"/>
  <c r="EL31" i="2"/>
  <c r="EK31" i="2"/>
  <c r="EJ31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FP30" i="2"/>
  <c r="FO30" i="2"/>
  <c r="FN30" i="2"/>
  <c r="FM30" i="2"/>
  <c r="FL30" i="2"/>
  <c r="FK30" i="2"/>
  <c r="FJ30" i="2"/>
  <c r="FI30" i="2"/>
  <c r="FH30" i="2"/>
  <c r="FG30" i="2"/>
  <c r="FF30" i="2"/>
  <c r="FE30" i="2"/>
  <c r="FD30" i="2"/>
  <c r="FC30" i="2"/>
  <c r="FB30" i="2"/>
  <c r="FA30" i="2"/>
  <c r="EZ30" i="2"/>
  <c r="EY30" i="2"/>
  <c r="EX30" i="2"/>
  <c r="EW30" i="2"/>
  <c r="EV30" i="2"/>
  <c r="EU30" i="2"/>
  <c r="ET30" i="2"/>
  <c r="ES30" i="2"/>
  <c r="ER30" i="2"/>
  <c r="EQ30" i="2"/>
  <c r="EP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FP29" i="2"/>
  <c r="FO29" i="2"/>
  <c r="FN29" i="2"/>
  <c r="FM29" i="2"/>
  <c r="FL29" i="2"/>
  <c r="FK29" i="2"/>
  <c r="FJ29" i="2"/>
  <c r="FI29" i="2"/>
  <c r="FH29" i="2"/>
  <c r="FG29" i="2"/>
  <c r="FF29" i="2"/>
  <c r="FE29" i="2"/>
  <c r="FD29" i="2"/>
  <c r="FC29" i="2"/>
  <c r="FB29" i="2"/>
  <c r="FA29" i="2"/>
  <c r="EZ29" i="2"/>
  <c r="EY29" i="2"/>
  <c r="EX29" i="2"/>
  <c r="EW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FP28" i="2"/>
  <c r="FO28" i="2"/>
  <c r="FN28" i="2"/>
  <c r="FM28" i="2"/>
  <c r="FL28" i="2"/>
  <c r="FK28" i="2"/>
  <c r="FJ28" i="2"/>
  <c r="FI28" i="2"/>
  <c r="FH28" i="2"/>
  <c r="FG28" i="2"/>
  <c r="FF28" i="2"/>
  <c r="FE28" i="2"/>
  <c r="FD28" i="2"/>
  <c r="FC28" i="2"/>
  <c r="FB28" i="2"/>
  <c r="FA28" i="2"/>
  <c r="EZ28" i="2"/>
  <c r="EY28" i="2"/>
  <c r="EX28" i="2"/>
  <c r="EW28" i="2"/>
  <c r="EV28" i="2"/>
  <c r="EU28" i="2"/>
  <c r="ET28" i="2"/>
  <c r="ES28" i="2"/>
  <c r="ER28" i="2"/>
  <c r="EQ28" i="2"/>
  <c r="EP28" i="2"/>
  <c r="EO28" i="2"/>
  <c r="EN28" i="2"/>
  <c r="EM28" i="2"/>
  <c r="EL28" i="2"/>
  <c r="EK28" i="2"/>
  <c r="EJ28" i="2"/>
  <c r="EI28" i="2"/>
  <c r="EH28" i="2"/>
  <c r="EG28" i="2"/>
  <c r="EF28" i="2"/>
  <c r="EE28" i="2"/>
  <c r="ED28" i="2"/>
  <c r="EC28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P27" i="2"/>
  <c r="FO27" i="2"/>
  <c r="FN27" i="2"/>
  <c r="FM27" i="2"/>
  <c r="FL27" i="2"/>
  <c r="FK27" i="2"/>
  <c r="FJ27" i="2"/>
  <c r="FI27" i="2"/>
  <c r="FH27" i="2"/>
  <c r="FG27" i="2"/>
  <c r="FF27" i="2"/>
  <c r="FE27" i="2"/>
  <c r="FD27" i="2"/>
  <c r="FC27" i="2"/>
  <c r="FB27" i="2"/>
  <c r="FA27" i="2"/>
  <c r="EZ27" i="2"/>
  <c r="EY27" i="2"/>
  <c r="EX27" i="2"/>
  <c r="EW27" i="2"/>
  <c r="EV27" i="2"/>
  <c r="EU27" i="2"/>
  <c r="ET27" i="2"/>
  <c r="ES27" i="2"/>
  <c r="ER27" i="2"/>
  <c r="EQ27" i="2"/>
  <c r="EP27" i="2"/>
  <c r="EO27" i="2"/>
  <c r="EN27" i="2"/>
  <c r="EM27" i="2"/>
  <c r="EL27" i="2"/>
  <c r="EK27" i="2"/>
  <c r="EJ27" i="2"/>
  <c r="EI27" i="2"/>
  <c r="EH27" i="2"/>
  <c r="EG27" i="2"/>
  <c r="EF27" i="2"/>
  <c r="EE27" i="2"/>
  <c r="ED27" i="2"/>
  <c r="EC27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FP26" i="2"/>
  <c r="FO26" i="2"/>
  <c r="FN26" i="2"/>
  <c r="FM26" i="2"/>
  <c r="FL26" i="2"/>
  <c r="FK26" i="2"/>
  <c r="FJ26" i="2"/>
  <c r="FI26" i="2"/>
  <c r="FH26" i="2"/>
  <c r="FG26" i="2"/>
  <c r="FF26" i="2"/>
  <c r="FE26" i="2"/>
  <c r="FD26" i="2"/>
  <c r="FC26" i="2"/>
  <c r="FB26" i="2"/>
  <c r="FA26" i="2"/>
  <c r="EZ26" i="2"/>
  <c r="EY26" i="2"/>
  <c r="EX26" i="2"/>
  <c r="EW26" i="2"/>
  <c r="EV26" i="2"/>
  <c r="EU26" i="2"/>
  <c r="ET26" i="2"/>
  <c r="ES26" i="2"/>
  <c r="ER26" i="2"/>
  <c r="EQ26" i="2"/>
  <c r="EP26" i="2"/>
  <c r="EO26" i="2"/>
  <c r="EN26" i="2"/>
  <c r="EM26" i="2"/>
  <c r="EL26" i="2"/>
  <c r="EK26" i="2"/>
  <c r="EJ26" i="2"/>
  <c r="EI26" i="2"/>
  <c r="EH26" i="2"/>
  <c r="EG26" i="2"/>
  <c r="EF26" i="2"/>
  <c r="EE26" i="2"/>
  <c r="ED26" i="2"/>
  <c r="EC26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FP25" i="2"/>
  <c r="FO25" i="2"/>
  <c r="FN25" i="2"/>
  <c r="FM25" i="2"/>
  <c r="FL25" i="2"/>
  <c r="FK25" i="2"/>
  <c r="FJ25" i="2"/>
  <c r="FI25" i="2"/>
  <c r="FH25" i="2"/>
  <c r="FG25" i="2"/>
  <c r="FF25" i="2"/>
  <c r="FE25" i="2"/>
  <c r="FD25" i="2"/>
  <c r="FC25" i="2"/>
  <c r="FB25" i="2"/>
  <c r="FA25" i="2"/>
  <c r="EZ25" i="2"/>
  <c r="EY25" i="2"/>
  <c r="EX25" i="2"/>
  <c r="EW25" i="2"/>
  <c r="EV25" i="2"/>
  <c r="EU25" i="2"/>
  <c r="ET25" i="2"/>
  <c r="ES25" i="2"/>
  <c r="ER25" i="2"/>
  <c r="EQ25" i="2"/>
  <c r="EP25" i="2"/>
  <c r="EO25" i="2"/>
  <c r="EN25" i="2"/>
  <c r="EM25" i="2"/>
  <c r="EL25" i="2"/>
  <c r="EK25" i="2"/>
  <c r="EJ25" i="2"/>
  <c r="EI25" i="2"/>
  <c r="EH25" i="2"/>
  <c r="EG25" i="2"/>
  <c r="EF25" i="2"/>
  <c r="EE25" i="2"/>
  <c r="ED25" i="2"/>
  <c r="EC25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FP24" i="2"/>
  <c r="FO24" i="2"/>
  <c r="FN24" i="2"/>
  <c r="FM24" i="2"/>
  <c r="FL24" i="2"/>
  <c r="FK24" i="2"/>
  <c r="FJ24" i="2"/>
  <c r="FI24" i="2"/>
  <c r="FH24" i="2"/>
  <c r="FG24" i="2"/>
  <c r="FF24" i="2"/>
  <c r="FE24" i="2"/>
  <c r="FD24" i="2"/>
  <c r="FC24" i="2"/>
  <c r="FB24" i="2"/>
  <c r="FA24" i="2"/>
  <c r="EZ24" i="2"/>
  <c r="EY24" i="2"/>
  <c r="EX24" i="2"/>
  <c r="EW24" i="2"/>
  <c r="EV24" i="2"/>
  <c r="EU24" i="2"/>
  <c r="ET24" i="2"/>
  <c r="ES24" i="2"/>
  <c r="ER24" i="2"/>
  <c r="EQ24" i="2"/>
  <c r="EP24" i="2"/>
  <c r="EO24" i="2"/>
  <c r="EN24" i="2"/>
  <c r="EM24" i="2"/>
  <c r="EL24" i="2"/>
  <c r="EK24" i="2"/>
  <c r="EJ24" i="2"/>
  <c r="EI24" i="2"/>
  <c r="EH24" i="2"/>
  <c r="EG24" i="2"/>
  <c r="EF24" i="2"/>
  <c r="EE24" i="2"/>
  <c r="ED24" i="2"/>
  <c r="EC24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FP23" i="2"/>
  <c r="FO23" i="2"/>
  <c r="FN23" i="2"/>
  <c r="FM23" i="2"/>
  <c r="FL23" i="2"/>
  <c r="FK23" i="2"/>
  <c r="FJ23" i="2"/>
  <c r="FI23" i="2"/>
  <c r="FH23" i="2"/>
  <c r="FG23" i="2"/>
  <c r="FF23" i="2"/>
  <c r="FE23" i="2"/>
  <c r="FD23" i="2"/>
  <c r="FC23" i="2"/>
  <c r="FB23" i="2"/>
  <c r="FA23" i="2"/>
  <c r="EZ23" i="2"/>
  <c r="EY23" i="2"/>
  <c r="EX23" i="2"/>
  <c r="EW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FP22" i="2"/>
  <c r="FO22" i="2"/>
  <c r="FN22" i="2"/>
  <c r="FM22" i="2"/>
  <c r="FL22" i="2"/>
  <c r="FK22" i="2"/>
  <c r="FJ22" i="2"/>
  <c r="FI22" i="2"/>
  <c r="FH22" i="2"/>
  <c r="FG22" i="2"/>
  <c r="FF22" i="2"/>
  <c r="FE22" i="2"/>
  <c r="FD22" i="2"/>
  <c r="FC22" i="2"/>
  <c r="FB22" i="2"/>
  <c r="FA22" i="2"/>
  <c r="EZ22" i="2"/>
  <c r="EY22" i="2"/>
  <c r="EX22" i="2"/>
  <c r="EW22" i="2"/>
  <c r="EV22" i="2"/>
  <c r="EU22" i="2"/>
  <c r="ET22" i="2"/>
  <c r="ES22" i="2"/>
  <c r="ER22" i="2"/>
  <c r="EQ22" i="2"/>
  <c r="EP22" i="2"/>
  <c r="EO22" i="2"/>
  <c r="EN22" i="2"/>
  <c r="EM22" i="2"/>
  <c r="EL22" i="2"/>
  <c r="EK22" i="2"/>
  <c r="EJ22" i="2"/>
  <c r="EI22" i="2"/>
  <c r="EH22" i="2"/>
  <c r="EG22" i="2"/>
  <c r="EF22" i="2"/>
  <c r="EE22" i="2"/>
  <c r="ED22" i="2"/>
  <c r="EC22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FP21" i="2"/>
  <c r="FO21" i="2"/>
  <c r="FN21" i="2"/>
  <c r="FM21" i="2"/>
  <c r="FL21" i="2"/>
  <c r="FK21" i="2"/>
  <c r="FJ21" i="2"/>
  <c r="FI21" i="2"/>
  <c r="FH21" i="2"/>
  <c r="FG21" i="2"/>
  <c r="FF21" i="2"/>
  <c r="FE21" i="2"/>
  <c r="FD21" i="2"/>
  <c r="FC21" i="2"/>
  <c r="FB21" i="2"/>
  <c r="FA21" i="2"/>
  <c r="EZ21" i="2"/>
  <c r="EY21" i="2"/>
  <c r="EX21" i="2"/>
  <c r="EW21" i="2"/>
  <c r="EV21" i="2"/>
  <c r="EU21" i="2"/>
  <c r="ET21" i="2"/>
  <c r="ES21" i="2"/>
  <c r="ER21" i="2"/>
  <c r="EQ21" i="2"/>
  <c r="EP21" i="2"/>
  <c r="EO21" i="2"/>
  <c r="EN21" i="2"/>
  <c r="EM21" i="2"/>
  <c r="EL21" i="2"/>
  <c r="EK21" i="2"/>
  <c r="EJ21" i="2"/>
  <c r="EI21" i="2"/>
  <c r="EH21" i="2"/>
  <c r="EG21" i="2"/>
  <c r="EF21" i="2"/>
  <c r="EE21" i="2"/>
  <c r="ED21" i="2"/>
  <c r="EC21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EX20" i="2"/>
  <c r="EW20" i="2"/>
  <c r="EV20" i="2"/>
  <c r="EU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ED20" i="2"/>
  <c r="EC20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FP19" i="2"/>
  <c r="FO19" i="2"/>
  <c r="FN19" i="2"/>
  <c r="FM19" i="2"/>
  <c r="FL19" i="2"/>
  <c r="FK19" i="2"/>
  <c r="FJ19" i="2"/>
  <c r="FI19" i="2"/>
  <c r="FH19" i="2"/>
  <c r="FG19" i="2"/>
  <c r="FF19" i="2"/>
  <c r="FE19" i="2"/>
  <c r="FD19" i="2"/>
  <c r="FC19" i="2"/>
  <c r="FB19" i="2"/>
  <c r="FA19" i="2"/>
  <c r="EZ19" i="2"/>
  <c r="EY19" i="2"/>
  <c r="EX19" i="2"/>
  <c r="EW19" i="2"/>
  <c r="EV19" i="2"/>
  <c r="EU19" i="2"/>
  <c r="ET19" i="2"/>
  <c r="ES19" i="2"/>
  <c r="ER19" i="2"/>
  <c r="EQ19" i="2"/>
  <c r="EP19" i="2"/>
  <c r="EO19" i="2"/>
  <c r="EN19" i="2"/>
  <c r="EM19" i="2"/>
  <c r="EL19" i="2"/>
  <c r="EK19" i="2"/>
  <c r="EJ19" i="2"/>
  <c r="EI19" i="2"/>
  <c r="EH19" i="2"/>
  <c r="EG19" i="2"/>
  <c r="EF19" i="2"/>
  <c r="EE19" i="2"/>
  <c r="ED19" i="2"/>
  <c r="EC19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V18" i="2"/>
  <c r="EU18" i="2"/>
  <c r="ET18" i="2"/>
  <c r="ES18" i="2"/>
  <c r="ER18" i="2"/>
  <c r="EQ18" i="2"/>
  <c r="EP18" i="2"/>
  <c r="EO18" i="2"/>
  <c r="EN18" i="2"/>
  <c r="EM18" i="2"/>
  <c r="EL18" i="2"/>
  <c r="EK18" i="2"/>
  <c r="EJ18" i="2"/>
  <c r="EI18" i="2"/>
  <c r="EH18" i="2"/>
  <c r="EG18" i="2"/>
  <c r="EF18" i="2"/>
  <c r="EE18" i="2"/>
  <c r="ED18" i="2"/>
  <c r="EC18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FP17" i="2"/>
  <c r="FO17" i="2"/>
  <c r="FN17" i="2"/>
  <c r="FM17" i="2"/>
  <c r="FL17" i="2"/>
  <c r="FK17" i="2"/>
  <c r="FJ17" i="2"/>
  <c r="FI17" i="2"/>
  <c r="FH17" i="2"/>
  <c r="FG17" i="2"/>
  <c r="FF17" i="2"/>
  <c r="FE17" i="2"/>
  <c r="FD17" i="2"/>
  <c r="FC17" i="2"/>
  <c r="FB17" i="2"/>
  <c r="FA17" i="2"/>
  <c r="EZ17" i="2"/>
  <c r="EY17" i="2"/>
  <c r="EX17" i="2"/>
  <c r="EW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FP16" i="2"/>
  <c r="FO16" i="2"/>
  <c r="FN16" i="2"/>
  <c r="FM16" i="2"/>
  <c r="FL16" i="2"/>
  <c r="FK16" i="2"/>
  <c r="FJ16" i="2"/>
  <c r="FI16" i="2"/>
  <c r="FH16" i="2"/>
  <c r="FG16" i="2"/>
  <c r="FF16" i="2"/>
  <c r="FE16" i="2"/>
  <c r="FD16" i="2"/>
  <c r="FC16" i="2"/>
  <c r="FB16" i="2"/>
  <c r="FA16" i="2"/>
  <c r="EZ16" i="2"/>
  <c r="EY16" i="2"/>
  <c r="EX16" i="2"/>
  <c r="EW16" i="2"/>
  <c r="EV16" i="2"/>
  <c r="EU16" i="2"/>
  <c r="ET16" i="2"/>
  <c r="ES16" i="2"/>
  <c r="ER16" i="2"/>
  <c r="EQ16" i="2"/>
  <c r="EP16" i="2"/>
  <c r="EO16" i="2"/>
  <c r="EN16" i="2"/>
  <c r="EM16" i="2"/>
  <c r="EL16" i="2"/>
  <c r="EK16" i="2"/>
  <c r="EJ16" i="2"/>
  <c r="EI16" i="2"/>
  <c r="EH16" i="2"/>
  <c r="EG16" i="2"/>
  <c r="EF16" i="2"/>
  <c r="EE16" i="2"/>
  <c r="ED16" i="2"/>
  <c r="EC16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FP15" i="2"/>
  <c r="FO15" i="2"/>
  <c r="FN15" i="2"/>
  <c r="FM15" i="2"/>
  <c r="FL15" i="2"/>
  <c r="FK15" i="2"/>
  <c r="FJ15" i="2"/>
  <c r="FI15" i="2"/>
  <c r="FH15" i="2"/>
  <c r="FG15" i="2"/>
  <c r="FF15" i="2"/>
  <c r="FE15" i="2"/>
  <c r="FD15" i="2"/>
  <c r="FC15" i="2"/>
  <c r="FB15" i="2"/>
  <c r="FA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FP14" i="2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FP13" i="2"/>
  <c r="FO13" i="2"/>
  <c r="FN13" i="2"/>
  <c r="FM13" i="2"/>
  <c r="FL13" i="2"/>
  <c r="FK13" i="2"/>
  <c r="FJ13" i="2"/>
  <c r="FI13" i="2"/>
  <c r="FH13" i="2"/>
  <c r="FG13" i="2"/>
  <c r="FF13" i="2"/>
  <c r="FE13" i="2"/>
  <c r="FD13" i="2"/>
  <c r="FC13" i="2"/>
  <c r="FB13" i="2"/>
  <c r="FA13" i="2"/>
  <c r="EZ13" i="2"/>
  <c r="EY13" i="2"/>
  <c r="EX13" i="2"/>
  <c r="EW13" i="2"/>
  <c r="EV13" i="2"/>
  <c r="EU13" i="2"/>
  <c r="ET13" i="2"/>
  <c r="ES13" i="2"/>
  <c r="ER13" i="2"/>
  <c r="EQ13" i="2"/>
  <c r="EP13" i="2"/>
  <c r="EO13" i="2"/>
  <c r="EN13" i="2"/>
  <c r="EM13" i="2"/>
  <c r="EL13" i="2"/>
  <c r="EK13" i="2"/>
  <c r="EJ13" i="2"/>
  <c r="EI13" i="2"/>
  <c r="EH13" i="2"/>
  <c r="EG13" i="2"/>
  <c r="EF13" i="2"/>
  <c r="EE13" i="2"/>
  <c r="ED13" i="2"/>
  <c r="EC13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FP12" i="2"/>
  <c r="FO12" i="2"/>
  <c r="FN12" i="2"/>
  <c r="FM12" i="2"/>
  <c r="FL12" i="2"/>
  <c r="FK12" i="2"/>
  <c r="FJ12" i="2"/>
  <c r="FI12" i="2"/>
  <c r="FH12" i="2"/>
  <c r="FG12" i="2"/>
  <c r="FF12" i="2"/>
  <c r="FE12" i="2"/>
  <c r="FD12" i="2"/>
  <c r="FC12" i="2"/>
  <c r="FB12" i="2"/>
  <c r="FA12" i="2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FP11" i="2"/>
  <c r="FO11" i="2"/>
  <c r="FN11" i="2"/>
  <c r="FM11" i="2"/>
  <c r="FL11" i="2"/>
  <c r="FK11" i="2"/>
  <c r="FJ11" i="2"/>
  <c r="FI11" i="2"/>
  <c r="FH11" i="2"/>
  <c r="FG11" i="2"/>
  <c r="FF11" i="2"/>
  <c r="FE11" i="2"/>
  <c r="FD11" i="2"/>
  <c r="FC11" i="2"/>
  <c r="FB11" i="2"/>
  <c r="FA11" i="2"/>
  <c r="EZ11" i="2"/>
  <c r="EY11" i="2"/>
  <c r="EX11" i="2"/>
  <c r="EW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FP10" i="2"/>
  <c r="FO10" i="2"/>
  <c r="FN10" i="2"/>
  <c r="FM10" i="2"/>
  <c r="FL10" i="2"/>
  <c r="FK10" i="2"/>
  <c r="FJ10" i="2"/>
  <c r="FI10" i="2"/>
  <c r="FH10" i="2"/>
  <c r="FG10" i="2"/>
  <c r="FF10" i="2"/>
  <c r="FE10" i="2"/>
  <c r="FD10" i="2"/>
  <c r="FC10" i="2"/>
  <c r="FB10" i="2"/>
  <c r="FA10" i="2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C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FP6" i="2"/>
  <c r="FO6" i="2"/>
  <c r="FN6" i="2"/>
  <c r="FM6" i="2"/>
  <c r="FL6" i="2"/>
  <c r="FK6" i="2"/>
  <c r="FJ6" i="2"/>
  <c r="FI6" i="2"/>
  <c r="FH6" i="2"/>
  <c r="FG6" i="2"/>
  <c r="FF6" i="2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P6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FP5" i="2"/>
  <c r="FO5" i="2"/>
  <c r="FN5" i="2"/>
  <c r="FM5" i="2"/>
  <c r="FL5" i="2"/>
  <c r="FK5" i="2"/>
  <c r="FJ5" i="2"/>
  <c r="FI5" i="2"/>
  <c r="FH5" i="2"/>
  <c r="FG5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FQ4" i="2"/>
  <c r="FP4" i="2"/>
  <c r="FO4" i="2"/>
  <c r="FN4" i="2"/>
  <c r="FM4" i="2"/>
  <c r="FL4" i="2"/>
  <c r="FK4" i="2"/>
  <c r="FJ4" i="2"/>
  <c r="FI4" i="2"/>
  <c r="FH4" i="2"/>
  <c r="FG4" i="2"/>
  <c r="FF4" i="2"/>
  <c r="FE4" i="2"/>
  <c r="FD4" i="2"/>
  <c r="FC4" i="2"/>
  <c r="FB4" i="2"/>
  <c r="FA4" i="2"/>
  <c r="EZ4" i="2"/>
  <c r="EY4" i="2"/>
  <c r="EX4" i="2"/>
  <c r="EW4" i="2"/>
  <c r="EV4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ER3" i="2"/>
  <c r="EQ3" i="2"/>
  <c r="EP3" i="2"/>
  <c r="EO3" i="2"/>
  <c r="EN3" i="2"/>
  <c r="EM3" i="2"/>
  <c r="EL3" i="2"/>
  <c r="EK3" i="2"/>
  <c r="EJ3" i="2"/>
  <c r="EI3" i="2"/>
  <c r="EH3" i="2"/>
  <c r="EG3" i="2"/>
  <c r="EF3" i="2"/>
  <c r="EE3" i="2"/>
  <c r="ED3" i="2"/>
  <c r="EC3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FQ3" i="2" s="1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<sst xmlns="http://schemas.openxmlformats.org/spreadsheetml/2006/main" count="5" uniqueCount="3">
  <si>
    <t xml:space="preserve">    y         x</t>
    <phoneticPr fontId="1" type="noConversion"/>
  </si>
  <si>
    <t>Before</t>
    <phoneticPr fontId="1" type="noConversion"/>
  </si>
  <si>
    <t>MIRS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</si>
</sst>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3636-F8C0-4D04-9A95-FCBEEFC74669}">
  <dimension ref="A2:FQ172"/>
  <sheetViews>
    <sheetView workbookViewId="0">
      <selection activeCell="D9" sqref="D9"/>
    </sheetView>
  </sheetViews>
  <sheetFormatPr defaultRowHeight="14.25"/>
  <sheetData>
    <row r="2" spans="1:173">
      <c r="A2" s="1" t="s">
        <v>0</v>
      </c>
      <c r="B2" s="2">
        <v>0</v>
      </c>
      <c r="C2" s="2">
        <v>5.4</v>
      </c>
      <c r="D2" s="2">
        <v>5.4094674556213018</v>
      </c>
      <c r="E2" s="2">
        <v>5.4189349112426042</v>
      </c>
      <c r="F2" s="2">
        <v>5.4284023668639056</v>
      </c>
      <c r="G2" s="2">
        <v>5.4378698224852071</v>
      </c>
      <c r="H2" s="2">
        <v>5.4473372781065095</v>
      </c>
      <c r="I2" s="2">
        <v>5.4568047337278109</v>
      </c>
      <c r="J2" s="2">
        <v>5.4662721893491124</v>
      </c>
      <c r="K2" s="2">
        <v>5.4757396449704148</v>
      </c>
      <c r="L2" s="2">
        <v>5.4852071005917162</v>
      </c>
      <c r="M2" s="2">
        <v>5.4946745562130177</v>
      </c>
      <c r="N2" s="2">
        <v>5.5041420118343201</v>
      </c>
      <c r="O2" s="2">
        <v>5.5136094674556215</v>
      </c>
      <c r="P2" s="2">
        <v>5.523076923076923</v>
      </c>
      <c r="Q2" s="2">
        <v>5.5325443786982254</v>
      </c>
      <c r="R2" s="2">
        <v>5.5420118343195268</v>
      </c>
      <c r="S2" s="2">
        <v>5.5514792899408292</v>
      </c>
      <c r="T2" s="2">
        <v>5.5609467455621306</v>
      </c>
      <c r="U2" s="2">
        <v>5.5704142011834321</v>
      </c>
      <c r="V2" s="2">
        <v>5.5798816568047336</v>
      </c>
      <c r="W2" s="2">
        <v>5.5893491124260359</v>
      </c>
      <c r="X2" s="2">
        <v>5.5988165680473374</v>
      </c>
      <c r="Y2" s="2">
        <v>5.6082840236686398</v>
      </c>
      <c r="Z2" s="2">
        <v>5.6177514792899412</v>
      </c>
      <c r="AA2" s="2">
        <v>5.6272189349112427</v>
      </c>
      <c r="AB2" s="2">
        <v>5.6366863905325451</v>
      </c>
      <c r="AC2" s="2">
        <v>5.6461538461538465</v>
      </c>
      <c r="AD2" s="2">
        <v>5.655621301775148</v>
      </c>
      <c r="AE2" s="2">
        <v>5.6650887573964503</v>
      </c>
      <c r="AF2" s="2">
        <v>5.6745562130177518</v>
      </c>
      <c r="AG2" s="2">
        <v>5.6840236686390533</v>
      </c>
      <c r="AH2" s="2">
        <v>5.6934911242603556</v>
      </c>
      <c r="AI2" s="2">
        <v>5.7029585798816571</v>
      </c>
      <c r="AJ2" s="2">
        <v>5.7124260355029586</v>
      </c>
      <c r="AK2" s="2">
        <v>5.7218934911242609</v>
      </c>
      <c r="AL2" s="2">
        <v>5.7313609467455624</v>
      </c>
      <c r="AM2" s="2">
        <v>5.7408284023668639</v>
      </c>
      <c r="AN2" s="2">
        <v>5.7502958579881662</v>
      </c>
      <c r="AO2" s="2">
        <v>5.7597633136094677</v>
      </c>
      <c r="AP2" s="2">
        <v>5.7692307692307692</v>
      </c>
      <c r="AQ2" s="2">
        <v>5.7786982248520715</v>
      </c>
      <c r="AR2" s="2">
        <v>5.788165680473373</v>
      </c>
      <c r="AS2" s="2">
        <v>5.7976331360946745</v>
      </c>
      <c r="AT2" s="2">
        <v>5.8071005917159768</v>
      </c>
      <c r="AU2" s="2">
        <v>5.8165680473372783</v>
      </c>
      <c r="AV2" s="2">
        <v>5.8260355029585797</v>
      </c>
      <c r="AW2" s="2">
        <v>5.8355029585798821</v>
      </c>
      <c r="AX2" s="2">
        <v>5.8449704142011836</v>
      </c>
      <c r="AY2" s="2">
        <v>5.854437869822485</v>
      </c>
      <c r="AZ2" s="2">
        <v>5.8639053254437874</v>
      </c>
      <c r="BA2" s="2">
        <v>5.8733727810650889</v>
      </c>
      <c r="BB2" s="2">
        <v>5.8828402366863912</v>
      </c>
      <c r="BC2" s="2">
        <v>5.8923076923076927</v>
      </c>
      <c r="BD2" s="2">
        <v>5.9017751479289942</v>
      </c>
      <c r="BE2" s="2">
        <v>5.9112426035502956</v>
      </c>
      <c r="BF2" s="2">
        <v>5.920710059171598</v>
      </c>
      <c r="BG2" s="2">
        <v>5.9301775147928995</v>
      </c>
      <c r="BH2" s="2">
        <v>5.9396449704142018</v>
      </c>
      <c r="BI2" s="2">
        <v>5.9491124260355033</v>
      </c>
      <c r="BJ2" s="2">
        <v>5.9585798816568047</v>
      </c>
      <c r="BK2" s="2">
        <v>5.9680473372781062</v>
      </c>
      <c r="BL2" s="2">
        <v>5.9775147928994086</v>
      </c>
      <c r="BM2" s="2">
        <v>5.98698224852071</v>
      </c>
      <c r="BN2" s="2">
        <v>5.9964497041420124</v>
      </c>
      <c r="BO2" s="2">
        <v>6.0059171597633139</v>
      </c>
      <c r="BP2" s="2">
        <v>6.0153846153846153</v>
      </c>
      <c r="BQ2" s="2">
        <v>6.0248520710059177</v>
      </c>
      <c r="BR2" s="2">
        <v>6.0343195266272192</v>
      </c>
      <c r="BS2" s="2">
        <v>6.0437869822485206</v>
      </c>
      <c r="BT2" s="2">
        <v>6.053254437869823</v>
      </c>
      <c r="BU2" s="2">
        <v>6.0627218934911244</v>
      </c>
      <c r="BV2" s="2">
        <v>6.0721893491124259</v>
      </c>
      <c r="BW2" s="2">
        <v>6.0816568047337283</v>
      </c>
      <c r="BX2" s="2">
        <v>6.0911242603550297</v>
      </c>
      <c r="BY2" s="2">
        <v>6.1005917159763312</v>
      </c>
      <c r="BZ2" s="2">
        <v>6.1100591715976336</v>
      </c>
      <c r="CA2" s="2">
        <v>6.119526627218935</v>
      </c>
      <c r="CB2" s="2">
        <v>6.1289940828402365</v>
      </c>
      <c r="CC2" s="2">
        <v>6.1384615384615389</v>
      </c>
      <c r="CD2" s="2">
        <v>6.1479289940828403</v>
      </c>
      <c r="CE2" s="2">
        <v>6.1573964497041427</v>
      </c>
      <c r="CF2" s="2">
        <v>6.1668639053254442</v>
      </c>
      <c r="CG2" s="2">
        <v>6.1763313609467456</v>
      </c>
      <c r="CH2" s="2">
        <v>6.185798816568048</v>
      </c>
      <c r="CI2" s="2">
        <v>6.1952662721893494</v>
      </c>
      <c r="CJ2" s="2">
        <v>6.2047337278106509</v>
      </c>
      <c r="CK2" s="2">
        <v>6.2142011834319533</v>
      </c>
      <c r="CL2" s="2">
        <v>6.2236686390532547</v>
      </c>
      <c r="CM2" s="2">
        <v>6.2331360946745562</v>
      </c>
      <c r="CN2" s="2">
        <v>6.2426035502958586</v>
      </c>
      <c r="CO2" s="2">
        <v>6.25207100591716</v>
      </c>
      <c r="CP2" s="2">
        <v>6.2615384615384615</v>
      </c>
      <c r="CQ2" s="2">
        <v>6.2710059171597639</v>
      </c>
      <c r="CR2" s="2">
        <v>6.2804733727810653</v>
      </c>
      <c r="CS2" s="2">
        <v>6.2899408284023668</v>
      </c>
      <c r="CT2" s="2">
        <v>6.2994082840236691</v>
      </c>
      <c r="CU2" s="2">
        <v>6.3088757396449706</v>
      </c>
      <c r="CV2" s="2">
        <v>6.3183431952662721</v>
      </c>
      <c r="CW2" s="2">
        <v>6.3278106508875744</v>
      </c>
      <c r="CX2" s="2">
        <v>6.3372781065088759</v>
      </c>
      <c r="CY2" s="2">
        <v>6.3467455621301774</v>
      </c>
      <c r="CZ2" s="2">
        <v>6.3562130177514797</v>
      </c>
      <c r="DA2" s="2">
        <v>6.3656804733727812</v>
      </c>
      <c r="DB2" s="2">
        <v>6.3751479289940827</v>
      </c>
      <c r="DC2" s="2">
        <v>6.384615384615385</v>
      </c>
      <c r="DD2" s="2">
        <v>6.3940828402366865</v>
      </c>
      <c r="DE2" s="2">
        <v>6.403550295857988</v>
      </c>
      <c r="DF2" s="2">
        <v>6.4130177514792903</v>
      </c>
      <c r="DG2" s="2">
        <v>6.4224852071005918</v>
      </c>
      <c r="DH2" s="2">
        <v>6.4319526627218933</v>
      </c>
      <c r="DI2" s="2">
        <v>6.4414201183431956</v>
      </c>
      <c r="DJ2" s="2">
        <v>6.4508875739644971</v>
      </c>
      <c r="DK2" s="2">
        <v>6.4603550295857985</v>
      </c>
      <c r="DL2" s="2">
        <v>6.4698224852071009</v>
      </c>
      <c r="DM2" s="2">
        <v>6.4792899408284024</v>
      </c>
      <c r="DN2" s="2">
        <v>6.4887573964497047</v>
      </c>
      <c r="DO2" s="2">
        <v>6.4982248520710062</v>
      </c>
      <c r="DP2" s="2">
        <v>6.5076923076923077</v>
      </c>
      <c r="DQ2" s="2">
        <v>6.5171597633136091</v>
      </c>
      <c r="DR2" s="2">
        <v>6.5266272189349115</v>
      </c>
      <c r="DS2" s="2">
        <v>6.536094674556213</v>
      </c>
      <c r="DT2" s="2">
        <v>6.5455621301775153</v>
      </c>
      <c r="DU2" s="2">
        <v>6.5550295857988168</v>
      </c>
      <c r="DV2" s="2">
        <v>6.5644970414201183</v>
      </c>
      <c r="DW2" s="2">
        <v>6.5739644970414197</v>
      </c>
      <c r="DX2" s="2">
        <v>6.5834319526627221</v>
      </c>
      <c r="DY2" s="2">
        <v>6.5928994082840235</v>
      </c>
      <c r="DZ2" s="2">
        <v>6.6023668639053259</v>
      </c>
      <c r="EA2" s="2">
        <v>6.6118343195266274</v>
      </c>
      <c r="EB2" s="2">
        <v>6.6213017751479288</v>
      </c>
      <c r="EC2" s="2">
        <v>6.6307692307692303</v>
      </c>
      <c r="ED2" s="2">
        <v>6.6402366863905327</v>
      </c>
      <c r="EE2" s="2">
        <v>6.6497041420118341</v>
      </c>
      <c r="EF2" s="2">
        <v>6.6591715976331365</v>
      </c>
      <c r="EG2" s="2">
        <v>6.668639053254438</v>
      </c>
      <c r="EH2" s="2">
        <v>6.6781065088757394</v>
      </c>
      <c r="EI2" s="2">
        <v>6.6875739644970418</v>
      </c>
      <c r="EJ2" s="2">
        <v>6.6970414201183432</v>
      </c>
      <c r="EK2" s="2">
        <v>6.7065088757396456</v>
      </c>
      <c r="EL2" s="2">
        <v>6.7159763313609471</v>
      </c>
      <c r="EM2" s="2">
        <v>6.7254437869822485</v>
      </c>
      <c r="EN2" s="2">
        <v>6.73491124260355</v>
      </c>
      <c r="EO2" s="2">
        <v>6.7443786982248524</v>
      </c>
      <c r="EP2" s="2">
        <v>6.7538461538461538</v>
      </c>
      <c r="EQ2" s="2">
        <v>6.7633136094674562</v>
      </c>
      <c r="ER2" s="2">
        <v>6.7727810650887577</v>
      </c>
      <c r="ES2" s="2">
        <v>6.7822485207100591</v>
      </c>
      <c r="ET2" s="2">
        <v>6.7917159763313606</v>
      </c>
      <c r="EU2" s="2">
        <v>6.8011834319526629</v>
      </c>
      <c r="EV2" s="2">
        <v>6.8106508875739644</v>
      </c>
      <c r="EW2" s="2">
        <v>6.8201183431952668</v>
      </c>
      <c r="EX2" s="2">
        <v>6.8295857988165682</v>
      </c>
      <c r="EY2" s="2">
        <v>6.8390532544378697</v>
      </c>
      <c r="EZ2" s="2">
        <v>6.8485207100591712</v>
      </c>
      <c r="FA2" s="2">
        <v>6.8579881656804735</v>
      </c>
      <c r="FB2" s="2">
        <v>6.867455621301775</v>
      </c>
      <c r="FC2" s="2">
        <v>6.8769230769230774</v>
      </c>
      <c r="FD2" s="2">
        <v>6.8863905325443788</v>
      </c>
      <c r="FE2" s="2">
        <v>6.8958579881656803</v>
      </c>
      <c r="FF2" s="2">
        <v>6.9053254437869818</v>
      </c>
      <c r="FG2" s="2">
        <v>6.9147928994082841</v>
      </c>
      <c r="FH2" s="2">
        <v>6.9242603550295865</v>
      </c>
      <c r="FI2" s="2">
        <v>6.9337278106508879</v>
      </c>
      <c r="FJ2" s="2">
        <v>6.9431952662721894</v>
      </c>
      <c r="FK2" s="2">
        <v>6.9526627218934909</v>
      </c>
      <c r="FL2" s="2">
        <v>6.9621301775147932</v>
      </c>
      <c r="FM2" s="2">
        <v>6.9715976331360947</v>
      </c>
      <c r="FN2" s="2">
        <v>6.9810650887573962</v>
      </c>
      <c r="FO2" s="2">
        <v>6.9905325443786985</v>
      </c>
      <c r="FP2" s="2">
        <v>7</v>
      </c>
      <c r="FQ2" s="2"/>
    </row>
    <row r="3" spans="1:173">
      <c r="B3" s="2">
        <v>9.3000000000000007</v>
      </c>
      <c r="C3" s="2">
        <f t="shared" ref="C3:R18" si="0">7*(1/14151.6638359215)</f>
        <v>4.9464148393856954E-4</v>
      </c>
      <c r="D3" s="2">
        <f t="shared" si="0"/>
        <v>4.9464148393856954E-4</v>
      </c>
      <c r="E3" s="2">
        <f t="shared" si="0"/>
        <v>4.9464148393856954E-4</v>
      </c>
      <c r="F3" s="2">
        <f t="shared" si="0"/>
        <v>4.9464148393856954E-4</v>
      </c>
      <c r="G3" s="2">
        <f t="shared" si="0"/>
        <v>4.9464148393856954E-4</v>
      </c>
      <c r="H3" s="2">
        <f t="shared" si="0"/>
        <v>4.9464148393856954E-4</v>
      </c>
      <c r="I3" s="2">
        <f t="shared" si="0"/>
        <v>4.9464148393856954E-4</v>
      </c>
      <c r="J3" s="2">
        <f t="shared" si="0"/>
        <v>4.9464148393856954E-4</v>
      </c>
      <c r="K3" s="2">
        <f t="shared" si="0"/>
        <v>4.9464148393856954E-4</v>
      </c>
      <c r="L3" s="2">
        <f t="shared" si="0"/>
        <v>4.9464148393856954E-4</v>
      </c>
      <c r="M3" s="2">
        <f t="shared" si="0"/>
        <v>4.9464148393856954E-4</v>
      </c>
      <c r="N3" s="2">
        <f t="shared" si="0"/>
        <v>4.9464148393856954E-4</v>
      </c>
      <c r="O3" s="2">
        <f t="shared" si="0"/>
        <v>4.9464148393856954E-4</v>
      </c>
      <c r="P3" s="2">
        <f t="shared" si="0"/>
        <v>4.9464148393856954E-4</v>
      </c>
      <c r="Q3" s="2">
        <f t="shared" si="0"/>
        <v>4.9464148393856954E-4</v>
      </c>
      <c r="R3" s="2">
        <f t="shared" si="0"/>
        <v>4.9464148393856954E-4</v>
      </c>
      <c r="S3" s="2">
        <f t="shared" ref="S3:AH13" si="1">7*(1/14151.6638359215)</f>
        <v>4.9464148393856954E-4</v>
      </c>
      <c r="T3" s="2">
        <f t="shared" si="1"/>
        <v>4.9464148393856954E-4</v>
      </c>
      <c r="U3" s="2">
        <f t="shared" si="1"/>
        <v>4.9464148393856954E-4</v>
      </c>
      <c r="V3" s="2">
        <f t="shared" si="1"/>
        <v>4.9464148393856954E-4</v>
      </c>
      <c r="W3" s="2">
        <f t="shared" si="1"/>
        <v>4.9464148393856954E-4</v>
      </c>
      <c r="X3" s="2">
        <f t="shared" si="1"/>
        <v>4.9464148393856954E-4</v>
      </c>
      <c r="Y3" s="2">
        <f t="shared" si="1"/>
        <v>4.9464148393856954E-4</v>
      </c>
      <c r="Z3" s="2">
        <f t="shared" si="1"/>
        <v>4.9464148393856954E-4</v>
      </c>
      <c r="AA3" s="2">
        <f t="shared" si="1"/>
        <v>4.9464148393856954E-4</v>
      </c>
      <c r="AB3" s="2">
        <f t="shared" si="1"/>
        <v>4.9464148393856954E-4</v>
      </c>
      <c r="AC3" s="2">
        <f t="shared" si="1"/>
        <v>4.9464148393856954E-4</v>
      </c>
      <c r="AD3" s="2">
        <f t="shared" si="1"/>
        <v>4.9464148393856954E-4</v>
      </c>
      <c r="AE3" s="2">
        <f t="shared" si="1"/>
        <v>4.9464148393856954E-4</v>
      </c>
      <c r="AF3" s="2">
        <f t="shared" si="1"/>
        <v>4.9464148393856954E-4</v>
      </c>
      <c r="AG3" s="2">
        <f t="shared" si="1"/>
        <v>4.9464148393856954E-4</v>
      </c>
      <c r="AH3" s="2">
        <f t="shared" si="1"/>
        <v>4.9464148393856954E-4</v>
      </c>
      <c r="AI3" s="2">
        <f t="shared" ref="AI3:CT3" si="2">7*(1/14151.6638359215)</f>
        <v>4.9464148393856954E-4</v>
      </c>
      <c r="AJ3" s="2">
        <f t="shared" si="2"/>
        <v>4.9464148393856954E-4</v>
      </c>
      <c r="AK3" s="2">
        <f t="shared" si="2"/>
        <v>4.9464148393856954E-4</v>
      </c>
      <c r="AL3" s="2">
        <f t="shared" si="2"/>
        <v>4.9464148393856954E-4</v>
      </c>
      <c r="AM3" s="2">
        <f t="shared" si="2"/>
        <v>4.9464148393856954E-4</v>
      </c>
      <c r="AN3" s="2">
        <f t="shared" si="2"/>
        <v>4.9464148393856954E-4</v>
      </c>
      <c r="AO3" s="2">
        <f t="shared" si="2"/>
        <v>4.9464148393856954E-4</v>
      </c>
      <c r="AP3" s="2">
        <f t="shared" si="2"/>
        <v>4.9464148393856954E-4</v>
      </c>
      <c r="AQ3" s="2">
        <f t="shared" si="2"/>
        <v>4.9464148393856954E-4</v>
      </c>
      <c r="AR3" s="2">
        <f t="shared" si="2"/>
        <v>4.9464148393856954E-4</v>
      </c>
      <c r="AS3" s="2">
        <f t="shared" si="2"/>
        <v>4.9464148393856954E-4</v>
      </c>
      <c r="AT3" s="2">
        <f t="shared" si="2"/>
        <v>4.9464148393856954E-4</v>
      </c>
      <c r="AU3" s="2">
        <f t="shared" si="2"/>
        <v>4.9464148393856954E-4</v>
      </c>
      <c r="AV3" s="2">
        <f t="shared" si="2"/>
        <v>4.9464148393856954E-4</v>
      </c>
      <c r="AW3" s="2">
        <f t="shared" si="2"/>
        <v>4.9464148393856954E-4</v>
      </c>
      <c r="AX3" s="2">
        <f t="shared" si="2"/>
        <v>4.9464148393856954E-4</v>
      </c>
      <c r="AY3" s="2">
        <f t="shared" si="2"/>
        <v>4.9464148393856954E-4</v>
      </c>
      <c r="AZ3" s="2">
        <f t="shared" si="2"/>
        <v>4.9464148393856954E-4</v>
      </c>
      <c r="BA3" s="2">
        <f t="shared" si="2"/>
        <v>4.9464148393856954E-4</v>
      </c>
      <c r="BB3" s="2">
        <f t="shared" si="2"/>
        <v>4.9464148393856954E-4</v>
      </c>
      <c r="BC3" s="2">
        <f t="shared" si="2"/>
        <v>4.9464148393856954E-4</v>
      </c>
      <c r="BD3" s="2">
        <f t="shared" si="2"/>
        <v>4.9464148393856954E-4</v>
      </c>
      <c r="BE3" s="2">
        <f t="shared" si="2"/>
        <v>4.9464148393856954E-4</v>
      </c>
      <c r="BF3" s="2">
        <f t="shared" si="2"/>
        <v>4.9464148393856954E-4</v>
      </c>
      <c r="BG3" s="2">
        <f t="shared" si="2"/>
        <v>4.9464148393856954E-4</v>
      </c>
      <c r="BH3" s="2">
        <f t="shared" si="2"/>
        <v>4.9464148393856954E-4</v>
      </c>
      <c r="BI3" s="2">
        <f t="shared" si="2"/>
        <v>4.9464148393856954E-4</v>
      </c>
      <c r="BJ3" s="2">
        <f t="shared" si="2"/>
        <v>4.9464148393856954E-4</v>
      </c>
      <c r="BK3" s="2">
        <f t="shared" si="2"/>
        <v>4.9464148393856954E-4</v>
      </c>
      <c r="BL3" s="2">
        <f t="shared" si="2"/>
        <v>4.9464148393856954E-4</v>
      </c>
      <c r="BM3" s="2">
        <f t="shared" si="2"/>
        <v>4.9464148393856954E-4</v>
      </c>
      <c r="BN3" s="2">
        <f t="shared" si="2"/>
        <v>4.9464148393856954E-4</v>
      </c>
      <c r="BO3" s="2">
        <f t="shared" si="2"/>
        <v>4.9464148393856954E-4</v>
      </c>
      <c r="BP3" s="2">
        <f t="shared" si="2"/>
        <v>4.9464148393856954E-4</v>
      </c>
      <c r="BQ3" s="2">
        <f t="shared" si="2"/>
        <v>4.9464148393856954E-4</v>
      </c>
      <c r="BR3" s="2">
        <f t="shared" si="2"/>
        <v>4.9464148393856954E-4</v>
      </c>
      <c r="BS3" s="2">
        <f t="shared" si="2"/>
        <v>4.9464148393856954E-4</v>
      </c>
      <c r="BT3" s="2">
        <f t="shared" si="2"/>
        <v>4.9464148393856954E-4</v>
      </c>
      <c r="BU3" s="2">
        <f t="shared" si="2"/>
        <v>4.9464148393856954E-4</v>
      </c>
      <c r="BV3" s="2">
        <f t="shared" si="2"/>
        <v>4.9464148393856954E-4</v>
      </c>
      <c r="BW3" s="2">
        <f t="shared" si="2"/>
        <v>4.9464148393856954E-4</v>
      </c>
      <c r="BX3" s="2">
        <f t="shared" si="2"/>
        <v>4.9464148393856954E-4</v>
      </c>
      <c r="BY3" s="2">
        <f t="shared" si="2"/>
        <v>4.9464148393856954E-4</v>
      </c>
      <c r="BZ3" s="2">
        <f t="shared" si="2"/>
        <v>4.9464148393856954E-4</v>
      </c>
      <c r="CA3" s="2">
        <f t="shared" si="2"/>
        <v>4.9464148393856954E-4</v>
      </c>
      <c r="CB3" s="2">
        <f t="shared" si="2"/>
        <v>4.9464148393856954E-4</v>
      </c>
      <c r="CC3" s="2">
        <f t="shared" si="2"/>
        <v>4.9464148393856954E-4</v>
      </c>
      <c r="CD3" s="2">
        <f t="shared" si="2"/>
        <v>4.9464148393856954E-4</v>
      </c>
      <c r="CE3" s="2">
        <f t="shared" si="2"/>
        <v>4.9464148393856954E-4</v>
      </c>
      <c r="CF3" s="2">
        <f t="shared" si="2"/>
        <v>4.9464148393856954E-4</v>
      </c>
      <c r="CG3" s="2">
        <f t="shared" si="2"/>
        <v>4.9464148393856954E-4</v>
      </c>
      <c r="CH3" s="2">
        <f t="shared" si="2"/>
        <v>4.9464148393856954E-4</v>
      </c>
      <c r="CI3" s="2">
        <f t="shared" si="2"/>
        <v>4.9464148393856954E-4</v>
      </c>
      <c r="CJ3" s="2">
        <f t="shared" si="2"/>
        <v>4.9464148393856954E-4</v>
      </c>
      <c r="CK3" s="2">
        <f t="shared" si="2"/>
        <v>4.9464148393856954E-4</v>
      </c>
      <c r="CL3" s="2">
        <f t="shared" si="2"/>
        <v>4.9464148393856954E-4</v>
      </c>
      <c r="CM3" s="2">
        <f t="shared" si="2"/>
        <v>4.9464148393856954E-4</v>
      </c>
      <c r="CN3" s="2">
        <f t="shared" si="2"/>
        <v>4.9464148393856954E-4</v>
      </c>
      <c r="CO3" s="2">
        <f t="shared" si="2"/>
        <v>4.9464148393856954E-4</v>
      </c>
      <c r="CP3" s="2">
        <f t="shared" si="2"/>
        <v>4.9464148393856954E-4</v>
      </c>
      <c r="CQ3" s="2">
        <f t="shared" si="2"/>
        <v>4.9464148393856954E-4</v>
      </c>
      <c r="CR3" s="2">
        <f t="shared" si="2"/>
        <v>4.9464148393856954E-4</v>
      </c>
      <c r="CS3" s="2">
        <f t="shared" si="2"/>
        <v>4.9464148393856954E-4</v>
      </c>
      <c r="CT3" s="2">
        <f t="shared" si="2"/>
        <v>4.9464148393856954E-4</v>
      </c>
      <c r="CU3" s="2">
        <f t="shared" ref="CU3:FF14" si="3">7*(1/14151.6638359215)</f>
        <v>4.9464148393856954E-4</v>
      </c>
      <c r="CV3" s="2">
        <f t="shared" si="3"/>
        <v>4.9464148393856954E-4</v>
      </c>
      <c r="CW3" s="2">
        <f t="shared" si="3"/>
        <v>4.9464148393856954E-4</v>
      </c>
      <c r="CX3" s="2">
        <f t="shared" si="3"/>
        <v>4.9464148393856954E-4</v>
      </c>
      <c r="CY3" s="2">
        <f t="shared" si="3"/>
        <v>4.9464148393856954E-4</v>
      </c>
      <c r="CZ3" s="2">
        <f t="shared" si="3"/>
        <v>4.9464148393856954E-4</v>
      </c>
      <c r="DA3" s="2">
        <f t="shared" si="3"/>
        <v>4.9464148393856954E-4</v>
      </c>
      <c r="DB3" s="2">
        <f t="shared" si="3"/>
        <v>4.9464148393856954E-4</v>
      </c>
      <c r="DC3" s="2">
        <f t="shared" si="3"/>
        <v>4.9464148393856954E-4</v>
      </c>
      <c r="DD3" s="2">
        <f t="shared" si="3"/>
        <v>4.9464148393856954E-4</v>
      </c>
      <c r="DE3" s="2">
        <f t="shared" si="3"/>
        <v>4.9464148393856954E-4</v>
      </c>
      <c r="DF3" s="2">
        <f t="shared" si="3"/>
        <v>4.9464148393856954E-4</v>
      </c>
      <c r="DG3" s="2">
        <f t="shared" si="3"/>
        <v>4.9464148393856954E-4</v>
      </c>
      <c r="DH3" s="2">
        <f t="shared" si="3"/>
        <v>4.9464148393856954E-4</v>
      </c>
      <c r="DI3" s="2">
        <f t="shared" si="3"/>
        <v>4.9464148393856954E-4</v>
      </c>
      <c r="DJ3" s="2">
        <f t="shared" si="3"/>
        <v>4.9464148393856954E-4</v>
      </c>
      <c r="DK3" s="2">
        <f t="shared" si="3"/>
        <v>4.9464148393856954E-4</v>
      </c>
      <c r="DL3" s="2">
        <f t="shared" si="3"/>
        <v>4.9464148393856954E-4</v>
      </c>
      <c r="DM3" s="2">
        <f t="shared" si="3"/>
        <v>4.9464148393856954E-4</v>
      </c>
      <c r="DN3" s="2">
        <f t="shared" si="3"/>
        <v>4.9464148393856954E-4</v>
      </c>
      <c r="DO3" s="2">
        <f t="shared" si="3"/>
        <v>4.9464148393856954E-4</v>
      </c>
      <c r="DP3" s="2">
        <f t="shared" si="3"/>
        <v>4.9464148393856954E-4</v>
      </c>
      <c r="DQ3" s="2">
        <f t="shared" si="3"/>
        <v>4.9464148393856954E-4</v>
      </c>
      <c r="DR3" s="2">
        <f t="shared" si="3"/>
        <v>4.9464148393856954E-4</v>
      </c>
      <c r="DS3" s="2">
        <f t="shared" si="3"/>
        <v>4.9464148393856954E-4</v>
      </c>
      <c r="DT3" s="2">
        <f t="shared" si="3"/>
        <v>4.9464148393856954E-4</v>
      </c>
      <c r="DU3" s="2">
        <f t="shared" si="3"/>
        <v>4.9464148393856954E-4</v>
      </c>
      <c r="DV3" s="2">
        <f t="shared" si="3"/>
        <v>4.9464148393856954E-4</v>
      </c>
      <c r="DW3" s="2">
        <f t="shared" si="3"/>
        <v>4.9464148393856954E-4</v>
      </c>
      <c r="DX3" s="2">
        <f t="shared" si="3"/>
        <v>4.9464148393856954E-4</v>
      </c>
      <c r="DY3" s="2">
        <f t="shared" si="3"/>
        <v>4.9464148393856954E-4</v>
      </c>
      <c r="DZ3" s="2">
        <f t="shared" si="3"/>
        <v>4.9464148393856954E-4</v>
      </c>
      <c r="EA3" s="2">
        <f t="shared" si="3"/>
        <v>4.9464148393856954E-4</v>
      </c>
      <c r="EB3" s="2">
        <f t="shared" si="3"/>
        <v>4.9464148393856954E-4</v>
      </c>
      <c r="EC3" s="2">
        <f t="shared" si="3"/>
        <v>4.9464148393856954E-4</v>
      </c>
      <c r="ED3" s="2">
        <f t="shared" si="3"/>
        <v>4.9464148393856954E-4</v>
      </c>
      <c r="EE3" s="2">
        <f t="shared" si="3"/>
        <v>4.9464148393856954E-4</v>
      </c>
      <c r="EF3" s="2">
        <f t="shared" si="3"/>
        <v>4.9464148393856954E-4</v>
      </c>
      <c r="EG3" s="2">
        <f t="shared" si="3"/>
        <v>4.9464148393856954E-4</v>
      </c>
      <c r="EH3" s="2">
        <f t="shared" si="3"/>
        <v>4.9464148393856954E-4</v>
      </c>
      <c r="EI3" s="2">
        <f t="shared" si="3"/>
        <v>4.9464148393856954E-4</v>
      </c>
      <c r="EJ3" s="2">
        <f t="shared" si="3"/>
        <v>4.9464148393856954E-4</v>
      </c>
      <c r="EK3" s="2">
        <f t="shared" si="3"/>
        <v>4.9464148393856954E-4</v>
      </c>
      <c r="EL3" s="2">
        <f t="shared" si="3"/>
        <v>4.9464148393856954E-4</v>
      </c>
      <c r="EM3" s="2">
        <f t="shared" si="3"/>
        <v>4.9464148393856954E-4</v>
      </c>
      <c r="EN3" s="2">
        <f t="shared" si="3"/>
        <v>4.9464148393856954E-4</v>
      </c>
      <c r="EO3" s="2">
        <f t="shared" si="3"/>
        <v>4.9464148393856954E-4</v>
      </c>
      <c r="EP3" s="2">
        <f t="shared" si="3"/>
        <v>4.9464148393856954E-4</v>
      </c>
      <c r="EQ3" s="2">
        <f t="shared" si="3"/>
        <v>4.9464148393856954E-4</v>
      </c>
      <c r="ER3" s="2">
        <f t="shared" si="3"/>
        <v>4.9464148393856954E-4</v>
      </c>
      <c r="ES3" s="2">
        <f t="shared" si="3"/>
        <v>4.9464148393856954E-4</v>
      </c>
      <c r="ET3" s="2">
        <f t="shared" si="3"/>
        <v>4.9464148393856954E-4</v>
      </c>
      <c r="EU3" s="2">
        <f t="shared" si="3"/>
        <v>4.9464148393856954E-4</v>
      </c>
      <c r="EV3" s="2">
        <f t="shared" si="3"/>
        <v>4.9464148393856954E-4</v>
      </c>
      <c r="EW3" s="2">
        <f t="shared" si="3"/>
        <v>4.9464148393856954E-4</v>
      </c>
      <c r="EX3" s="2">
        <f t="shared" si="3"/>
        <v>4.9464148393856954E-4</v>
      </c>
      <c r="EY3" s="2">
        <f t="shared" si="3"/>
        <v>4.9464148393856954E-4</v>
      </c>
      <c r="EZ3" s="2">
        <f t="shared" si="3"/>
        <v>4.9464148393856954E-4</v>
      </c>
      <c r="FA3" s="2">
        <f t="shared" si="3"/>
        <v>4.9464148393856954E-4</v>
      </c>
      <c r="FB3" s="2">
        <f t="shared" si="3"/>
        <v>4.9464148393856954E-4</v>
      </c>
      <c r="FC3" s="2">
        <f t="shared" si="3"/>
        <v>4.9464148393856954E-4</v>
      </c>
      <c r="FD3" s="2">
        <f t="shared" si="3"/>
        <v>4.9464148393856954E-4</v>
      </c>
      <c r="FE3" s="2">
        <f t="shared" si="3"/>
        <v>4.9464148393856954E-4</v>
      </c>
      <c r="FF3" s="2">
        <f t="shared" si="3"/>
        <v>4.9464148393856954E-4</v>
      </c>
      <c r="FG3" s="2">
        <f t="shared" ref="FG3:FP23" si="4">7*(1/14151.6638359215)</f>
        <v>4.9464148393856954E-4</v>
      </c>
      <c r="FH3" s="2">
        <f t="shared" si="4"/>
        <v>4.9464148393856954E-4</v>
      </c>
      <c r="FI3" s="2">
        <f t="shared" si="4"/>
        <v>4.9464148393856954E-4</v>
      </c>
      <c r="FJ3" s="2">
        <f t="shared" si="4"/>
        <v>4.9464148393856954E-4</v>
      </c>
      <c r="FK3" s="2">
        <f t="shared" si="4"/>
        <v>4.9464148393856954E-4</v>
      </c>
      <c r="FL3" s="2">
        <f t="shared" si="4"/>
        <v>4.9464148393856954E-4</v>
      </c>
      <c r="FM3" s="2">
        <f t="shared" si="4"/>
        <v>4.9464148393856954E-4</v>
      </c>
      <c r="FN3" s="2">
        <f t="shared" si="4"/>
        <v>4.9464148393856954E-4</v>
      </c>
      <c r="FO3" s="2">
        <f t="shared" si="4"/>
        <v>4.9464148393856954E-4</v>
      </c>
      <c r="FP3" s="2">
        <f t="shared" si="4"/>
        <v>4.9464148393856954E-4</v>
      </c>
      <c r="FQ3" s="2">
        <f>MAX(C3:FP172)</f>
        <v>1</v>
      </c>
    </row>
    <row r="4" spans="1:173">
      <c r="B4" s="2">
        <v>9.3094674556213022</v>
      </c>
      <c r="C4" s="2">
        <f t="shared" si="0"/>
        <v>4.9464148393856954E-4</v>
      </c>
      <c r="D4" s="2">
        <f t="shared" si="0"/>
        <v>4.9464148393856954E-4</v>
      </c>
      <c r="E4" s="2">
        <f t="shared" si="0"/>
        <v>4.9464148393856954E-4</v>
      </c>
      <c r="F4" s="2">
        <f t="shared" si="0"/>
        <v>4.9464148393856954E-4</v>
      </c>
      <c r="G4" s="2">
        <f t="shared" si="0"/>
        <v>4.9464148393856954E-4</v>
      </c>
      <c r="H4" s="2">
        <f t="shared" si="0"/>
        <v>4.9464148393856954E-4</v>
      </c>
      <c r="I4" s="2">
        <f t="shared" si="0"/>
        <v>4.9464148393856954E-4</v>
      </c>
      <c r="J4" s="2">
        <f t="shared" si="0"/>
        <v>4.9464148393856954E-4</v>
      </c>
      <c r="K4" s="2">
        <f t="shared" si="0"/>
        <v>4.9464148393856954E-4</v>
      </c>
      <c r="L4" s="2">
        <f t="shared" si="0"/>
        <v>4.9464148393856954E-4</v>
      </c>
      <c r="M4" s="2">
        <f t="shared" si="0"/>
        <v>4.9464148393856954E-4</v>
      </c>
      <c r="N4" s="2">
        <f t="shared" si="0"/>
        <v>4.9464148393856954E-4</v>
      </c>
      <c r="O4" s="2">
        <f t="shared" si="0"/>
        <v>4.9464148393856954E-4</v>
      </c>
      <c r="P4" s="2">
        <f t="shared" si="0"/>
        <v>4.9464148393856954E-4</v>
      </c>
      <c r="Q4" s="2">
        <f t="shared" si="0"/>
        <v>4.9464148393856954E-4</v>
      </c>
      <c r="R4" s="2">
        <f t="shared" si="0"/>
        <v>4.9464148393856954E-4</v>
      </c>
      <c r="S4" s="2">
        <f t="shared" si="1"/>
        <v>4.9464148393856954E-4</v>
      </c>
      <c r="T4" s="2">
        <f t="shared" si="1"/>
        <v>4.9464148393856954E-4</v>
      </c>
      <c r="U4" s="2">
        <f t="shared" si="1"/>
        <v>4.9464148393856954E-4</v>
      </c>
      <c r="V4" s="2">
        <f t="shared" si="1"/>
        <v>4.9464148393856954E-4</v>
      </c>
      <c r="W4" s="2">
        <f t="shared" si="1"/>
        <v>4.9464148393856954E-4</v>
      </c>
      <c r="X4" s="2">
        <f t="shared" si="1"/>
        <v>4.9464148393856954E-4</v>
      </c>
      <c r="Y4" s="2">
        <f t="shared" si="1"/>
        <v>4.9464148393856954E-4</v>
      </c>
      <c r="Z4" s="2">
        <f t="shared" si="1"/>
        <v>4.9464148393856954E-4</v>
      </c>
      <c r="AA4" s="2">
        <f t="shared" si="1"/>
        <v>4.9464148393856954E-4</v>
      </c>
      <c r="AB4" s="2">
        <f t="shared" si="1"/>
        <v>4.9464148393856954E-4</v>
      </c>
      <c r="AC4" s="2">
        <f t="shared" si="1"/>
        <v>4.9464148393856954E-4</v>
      </c>
      <c r="AD4" s="2">
        <f t="shared" si="1"/>
        <v>4.9464148393856954E-4</v>
      </c>
      <c r="AE4" s="2">
        <f t="shared" si="1"/>
        <v>4.9464148393856954E-4</v>
      </c>
      <c r="AF4" s="2">
        <f t="shared" si="1"/>
        <v>4.9464148393856954E-4</v>
      </c>
      <c r="AG4" s="2">
        <f t="shared" si="1"/>
        <v>4.9464148393856954E-4</v>
      </c>
      <c r="AH4" s="2">
        <f t="shared" si="1"/>
        <v>4.9464148393856954E-4</v>
      </c>
      <c r="AI4" s="2">
        <f>7.00006552458161*(1/14151.6638359215)</f>
        <v>4.9464611410660986E-4</v>
      </c>
      <c r="AJ4" s="2">
        <f>7.00104308741284*(1/14151.6638359215)</f>
        <v>4.9471519169653599E-4</v>
      </c>
      <c r="AK4" s="2">
        <f>7.00288800392533*(1/14151.6638359215)</f>
        <v>4.9484555915960463E-4</v>
      </c>
      <c r="AL4" s="2">
        <f>7.00520751018796*(1/14151.6638359215)</f>
        <v>4.9500946259099776E-4</v>
      </c>
      <c r="AM4" s="2">
        <f>7.00760884226957*(1/14151.6638359215)</f>
        <v>4.9517914808589446E-4</v>
      </c>
      <c r="AN4" s="2">
        <f>7.00969923623903*(1/14151.6638359215)</f>
        <v>4.9532686173947593E-4</v>
      </c>
      <c r="AO4" s="2">
        <f>7.01108592816519*(1/14151.6638359215)</f>
        <v>4.9542484964692178E-4</v>
      </c>
      <c r="AP4" s="2">
        <f>7.01137615411692*(1/14151.6638359215)</f>
        <v>4.9544535790341346E-4</v>
      </c>
      <c r="AQ4" s="2">
        <f>7.01017715016306*(1/14151.6638359215)</f>
        <v>4.9536063260412981E-4</v>
      </c>
      <c r="AR4" s="2">
        <f>7.00709615237247*(1/14151.6638359215)</f>
        <v>4.951429198442514E-4</v>
      </c>
      <c r="AS4" s="2">
        <f>7.00174039681402*(1/14151.6638359215)</f>
        <v>4.9476446571895935E-4</v>
      </c>
      <c r="AT4" s="2">
        <f>6.99609077149785*(1/14151.6638359215)</f>
        <v>4.9436524585466126E-4</v>
      </c>
      <c r="AU4" s="2">
        <f>6.99467134924409*(1/14151.6638359215)</f>
        <v>4.9426494512181329E-4</v>
      </c>
      <c r="AV4" s="2">
        <f>6.99563646773201*(1/14151.6638359215)</f>
        <v>4.9433314335624778E-4</v>
      </c>
      <c r="AW4" s="2">
        <f>6.99685865566791*(1/14151.6638359215)</f>
        <v>4.9441950690685716E-4</v>
      </c>
      <c r="AX4" s="2">
        <f>6.99621044175812*(1/14151.6638359215)</f>
        <v>4.9437370212253599E-4</v>
      </c>
      <c r="AY4" s="2">
        <f>6.99156435470893*(1/14151.6638359215)</f>
        <v>4.9404539535217605E-4</v>
      </c>
      <c r="AZ4" s="2">
        <f>6.98079292322667*(1/14151.6638359215)</f>
        <v>4.9328425294467213E-4</v>
      </c>
      <c r="BA4" s="2">
        <f>6.96176867601763*(1/14151.6638359215)</f>
        <v>4.9193994124891588E-4</v>
      </c>
      <c r="BB4" s="2">
        <f>6.93236414178814*(1/14151.6638359215)</f>
        <v>4.89862126613802E-4</v>
      </c>
      <c r="BC4" s="2">
        <f>6.8904518492445*(1/14151.6638359215)</f>
        <v>4.8690047538822289E-4</v>
      </c>
      <c r="BD4" s="2">
        <f>6.83424327296843*(1/14151.6638359215)</f>
        <v>4.8292860487689866E-4</v>
      </c>
      <c r="BE4" s="2">
        <f>6.77389728549374*(1/14151.6638359215)</f>
        <v>4.7866437219201019E-4</v>
      </c>
      <c r="BF4" s="2">
        <f>6.71254415856367*(1/14151.6638359215)</f>
        <v>4.7432897194215864E-4</v>
      </c>
      <c r="BG4" s="2">
        <f>6.6468126684359*(1/14151.6638359215)</f>
        <v>4.6968418311097386E-4</v>
      </c>
      <c r="BH4" s="2">
        <f>6.57333159136815*(1/14151.6638359215)</f>
        <v>4.6449178468208866E-4</v>
      </c>
      <c r="BI4" s="2">
        <f>6.48872970361811*(1/14151.6638359215)</f>
        <v>4.5851355563913379E-4</v>
      </c>
      <c r="BJ4" s="2">
        <f>6.38963578144346*(1/14151.6638359215)</f>
        <v>4.5151127496573923E-4</v>
      </c>
      <c r="BK4" s="2">
        <f>6.2726786011019*(1/14151.6638359215)</f>
        <v>4.432467216455363E-4</v>
      </c>
      <c r="BL4" s="2">
        <f>6.13448693885112*(1/14151.6638359215)</f>
        <v>4.3348167466215589E-4</v>
      </c>
      <c r="BM4" s="2">
        <f>5.97168957094879*(1/14151.6638359215)</f>
        <v>4.2197791299922703E-4</v>
      </c>
      <c r="BN4" s="2">
        <f>5.78091527365265*(1/14151.6638359215)</f>
        <v>4.0849721564038409E-4</v>
      </c>
      <c r="BO4" s="2">
        <f>5.55308153021665*(1/14151.6638359215)</f>
        <v>3.9239778407688947E-4</v>
      </c>
      <c r="BP4" s="2">
        <f>5.27038177810645*(1/14151.6638359215)</f>
        <v>3.7242135194933876E-4</v>
      </c>
      <c r="BQ4" s="2">
        <f>4.94300808365003*(1/14151.6638359215)</f>
        <v>3.4928812194528509E-4</v>
      </c>
      <c r="BR4" s="2">
        <f>4.58358344318987*(1/14151.6638359215)</f>
        <v>3.2389007372795648E-4</v>
      </c>
      <c r="BS4" s="2">
        <f>4.20473085306866*(1/14151.6638359215)</f>
        <v>2.9711918696059565E-4</v>
      </c>
      <c r="BT4" s="2">
        <f>3.81907330962889*(1/14151.6638359215)</f>
        <v>2.698674413064312E-4</v>
      </c>
      <c r="BU4" s="2">
        <f>3.43923380921311*(1/14151.6638359215)</f>
        <v>2.43026816428696E-4</v>
      </c>
      <c r="BV4" s="2">
        <f>3.07783534816387*(1/14151.6638359215)</f>
        <v>2.1748929199062294E-4</v>
      </c>
      <c r="BW4" s="2">
        <f>2.74750092282374*(1/14151.6638359215)</f>
        <v>1.9414684765544629E-4</v>
      </c>
      <c r="BX4" s="2">
        <f>2.46085352953525*(1/14151.6638359215)</f>
        <v>1.7389146308639751E-4</v>
      </c>
      <c r="BY4" s="2">
        <f>2.230418555211*(1/14151.6638359215)</f>
        <v>1.5760822056481278E-4</v>
      </c>
      <c r="BZ4" s="2">
        <f>2.03881094860428*(1/14151.6638359215)</f>
        <v>1.4406863901254624E-4</v>
      </c>
      <c r="CA4" s="2">
        <f>1.86720270862795*(1/14151.6638359215)</f>
        <v>1.319422740871208E-4</v>
      </c>
      <c r="CB4" s="2">
        <f>1.71709943035138*(1/14151.6638359215)</f>
        <v>1.2133551575701129E-4</v>
      </c>
      <c r="CC4" s="2">
        <f>1.59000670884395*(1/14151.6638359215)</f>
        <v>1.1235475399069322E-4</v>
      </c>
      <c r="CD4" s="2">
        <f>1.48743013917503*(1/14151.6638359215)</f>
        <v>1.0510637875664141E-4</v>
      </c>
      <c r="CE4" s="2">
        <f>1.41087531641403*(1/14151.6638359215)</f>
        <v>9.9696780023333524E-5</v>
      </c>
      <c r="CF4" s="2">
        <f>1.36184783563031*(1/14151.6638359215)</f>
        <v>9.623234775924368E-5</v>
      </c>
      <c r="CG4" s="2">
        <f>1.34185329189326*(1/14151.6638359215)</f>
        <v>9.4819471932848094E-5</v>
      </c>
      <c r="CH4" s="2">
        <f>1.35239728027224*(1/14151.6638359215)</f>
        <v>9.5564542512620909E-5</v>
      </c>
      <c r="CI4" s="2">
        <f>1.39498539583664*(1/14151.6638359215)</f>
        <v>9.857394946703835E-5</v>
      </c>
      <c r="CJ4" s="2">
        <f>1.47390570926586*(1/14151.6638359215)</f>
        <v>1.041507010309707E-4</v>
      </c>
      <c r="CK4" s="2">
        <f>1.60368469001662*(1/14151.6638359215)</f>
        <v>1.1332128211991227E-4</v>
      </c>
      <c r="CL4" s="2">
        <f>1.77922135062731*(1/14151.6638359215)</f>
        <v>1.2572524130421124E-4</v>
      </c>
      <c r="CM4" s="2">
        <f>1.99222400810714*(1/14151.6638359215)</f>
        <v>1.4077666281545151E-4</v>
      </c>
      <c r="CN4" s="2">
        <f>2.23440097946533*(1/14151.6638359215)</f>
        <v>1.5788963088521774E-4</v>
      </c>
      <c r="CO4" s="2">
        <f>2.49746058171109*(1/14151.6638359215)</f>
        <v>1.7647822974509384E-4</v>
      </c>
      <c r="CP4" s="2">
        <f>2.77311113185369*(1/14151.6638359215)</f>
        <v>1.9595654362666791E-4</v>
      </c>
      <c r="CQ4" s="2">
        <f>3.05306094690222*(1/14151.6638359215)</f>
        <v>2.1573865676151549E-4</v>
      </c>
      <c r="CR4" s="2">
        <f>3.32901834386597*(1/14151.6638359215)</f>
        <v>2.3523865338122608E-4</v>
      </c>
      <c r="CS4" s="2">
        <f>3.59269163975413*(1/14151.6638359215)</f>
        <v>2.5387061771738224E-4</v>
      </c>
      <c r="CT4" s="2">
        <f>3.83578915157593*(1/14151.6638359215)</f>
        <v>2.7104863400156926E-4</v>
      </c>
      <c r="CU4" s="2">
        <f>4.06997083213109*(1/14151.6638359215)</f>
        <v>2.8759663028457387E-4</v>
      </c>
      <c r="CV4" s="2">
        <f>4.31483816112653*(1/14151.6638359215)</f>
        <v>3.0489970728205646E-4</v>
      </c>
      <c r="CW4" s="2">
        <f>4.56623314483169*(1/14151.6638359215)</f>
        <v>3.2266404839557548E-4</v>
      </c>
      <c r="CX4" s="2">
        <f>4.81991175076844*(1/14151.6638359215)</f>
        <v>3.4058975726472139E-4</v>
      </c>
      <c r="CY4" s="2">
        <f>5.0716299464586*(1/14151.6638359215)</f>
        <v>3.5837693752908143E-4</v>
      </c>
      <c r="CZ4" s="2">
        <f>5.317143699424*(1/14151.6638359215)</f>
        <v>3.7572569282824327E-4</v>
      </c>
      <c r="DA4" s="2">
        <f>5.55220897718649*(1/14151.6638359215)</f>
        <v>3.9233612680179613E-4</v>
      </c>
      <c r="DB4" s="2">
        <f>5.77258174726782*(1/14151.6638359215)</f>
        <v>4.0790834308932216E-4</v>
      </c>
      <c r="DC4" s="2">
        <f>5.97401797718984*(1/14151.6638359215)</f>
        <v>4.2214244533041059E-4</v>
      </c>
      <c r="DD4" s="2">
        <f>6.15227363447437*(1/14151.6638359215)</f>
        <v>4.3473853716464843E-4</v>
      </c>
      <c r="DE4" s="2">
        <f>6.30357524902885*(1/14151.6638359215)</f>
        <v>4.4542997361400979E-4</v>
      </c>
      <c r="DF4" s="2">
        <f>6.43074562693202*(1/14151.6638359215)</f>
        <v>4.5441622281958876E-4</v>
      </c>
      <c r="DG4" s="2">
        <f>6.53723293802838*(1/14151.6638359215)</f>
        <v>4.6194094304549324E-4</v>
      </c>
      <c r="DH4" s="2">
        <f>6.62562287819796*(1/14151.6638359215)</f>
        <v>4.6818684749845357E-4</v>
      </c>
      <c r="DI4" s="2">
        <f>6.69850114332075*(1/14151.6638359215)</f>
        <v>4.7333664938519724E-4</v>
      </c>
      <c r="DJ4" s="2">
        <f>6.75845342927679*(1/14151.6638359215)</f>
        <v>4.7757306191245511E-4</v>
      </c>
      <c r="DK4" s="2">
        <f>6.8080654319461*(1/14151.6638359215)</f>
        <v>4.8107879828695679E-4</v>
      </c>
      <c r="DL4" s="2">
        <f>6.84992284720871*(1/14151.6638359215)</f>
        <v>4.8403657171543251E-4</v>
      </c>
      <c r="DM4" s="2">
        <f>6.88661137094463*(1/14151.6638359215)</f>
        <v>4.8662909540461122E-4</v>
      </c>
      <c r="DN4" s="2">
        <f>6.92071669903388*(1/14151.6638359215)</f>
        <v>4.8903908256122243E-4</v>
      </c>
      <c r="DO4" s="2">
        <f>6.95482452735649*(1/14151.6638359215)</f>
        <v>4.9144924639199646E-4</v>
      </c>
      <c r="DP4" s="2">
        <f>6.98655226226303*(1/14151.6638359215)</f>
        <v>4.9369122551716504E-4</v>
      </c>
      <c r="DQ4" s="2">
        <f>7.00813496559377*(1/14151.6638359215)</f>
        <v>4.9521632557472553E-4</v>
      </c>
      <c r="DR4" s="2">
        <f>7.02092843949548*(1/14151.6638359215)</f>
        <v>4.9612035170550702E-4</v>
      </c>
      <c r="DS4" s="2">
        <f>7.02654738012954*(1/14151.6638359215)</f>
        <v>4.9651740329599201E-4</v>
      </c>
      <c r="DT4" s="2">
        <f>7.0266064836573*(1/14151.6638359215)</f>
        <v>4.9652157973266019E-4</v>
      </c>
      <c r="DU4" s="2">
        <f>7.02272044624012*(1/14151.6638359215)</f>
        <v>4.9624698040199233E-4</v>
      </c>
      <c r="DV4" s="2">
        <f>7.01650396403939*(1/14151.6638359215)</f>
        <v>4.9580770469047136E-4</v>
      </c>
      <c r="DW4" s="2">
        <f>7.00957173321644*(1/14151.6638359215)</f>
        <v>4.9531785198457577E-4</v>
      </c>
      <c r="DX4" s="2">
        <f>7.00353844993266*(1/14151.6638359215)</f>
        <v>4.9489152167078861E-4</v>
      </c>
      <c r="DY4" s="2">
        <f>7.0000188103494*(1/14151.6638359215)</f>
        <v>4.9464281313558968E-4</v>
      </c>
      <c r="DZ4" s="2">
        <f>7.00043509920351*(1/14151.6638359215)</f>
        <v>4.9467222938366737E-4</v>
      </c>
      <c r="EA4" s="2">
        <f>7.00177403809312*(1/14151.6638359215)</f>
        <v>4.9476684291499019E-4</v>
      </c>
      <c r="EB4" s="2">
        <f>7.00254428754077*(1/14151.6638359215)</f>
        <v>4.9482127110495999E-4</v>
      </c>
      <c r="EC4" s="2">
        <f>7.00284403852923*(1/14151.6638359215)</f>
        <v>4.9484245242978049E-4</v>
      </c>
      <c r="ED4" s="2">
        <f>7.0027714820413*(1/14151.6638359215)</f>
        <v>4.9483732536565784E-4</v>
      </c>
      <c r="EE4" s="2">
        <f>7.00242480905976*(1/14151.6638359215)</f>
        <v>4.9481282838879633E-4</v>
      </c>
      <c r="EF4" s="2">
        <f>7.00190221056739*(1/14151.6638359215)</f>
        <v>4.9477589997540055E-4</v>
      </c>
      <c r="EG4" s="2">
        <f>7.00130187754699*(1/14151.6638359215)</f>
        <v>4.9473347860167665E-4</v>
      </c>
      <c r="EH4" s="2">
        <f>7.00072200098133*(1/14151.6638359215)</f>
        <v>4.9469250274382815E-4</v>
      </c>
      <c r="EI4" s="2">
        <f>7.00026077185321*(1/14151.6638359215)</f>
        <v>4.9465991087806118E-4</v>
      </c>
      <c r="EJ4" s="2">
        <f>7.0000163811454*(1/14151.6638359215)</f>
        <v>4.9464264148057948E-4</v>
      </c>
      <c r="EK4" s="2">
        <f t="shared" si="3"/>
        <v>4.9464148393856954E-4</v>
      </c>
      <c r="EL4" s="2">
        <f t="shared" si="3"/>
        <v>4.9464148393856954E-4</v>
      </c>
      <c r="EM4" s="2">
        <f t="shared" si="3"/>
        <v>4.9464148393856954E-4</v>
      </c>
      <c r="EN4" s="2">
        <f t="shared" si="3"/>
        <v>4.9464148393856954E-4</v>
      </c>
      <c r="EO4" s="2">
        <f t="shared" si="3"/>
        <v>4.9464148393856954E-4</v>
      </c>
      <c r="EP4" s="2">
        <f t="shared" si="3"/>
        <v>4.9464148393856954E-4</v>
      </c>
      <c r="EQ4" s="2">
        <f t="shared" si="3"/>
        <v>4.9464148393856954E-4</v>
      </c>
      <c r="ER4" s="2">
        <f t="shared" si="3"/>
        <v>4.9464148393856954E-4</v>
      </c>
      <c r="ES4" s="2">
        <f t="shared" si="3"/>
        <v>4.9464148393856954E-4</v>
      </c>
      <c r="ET4" s="2">
        <f t="shared" si="3"/>
        <v>4.9464148393856954E-4</v>
      </c>
      <c r="EU4" s="2">
        <f t="shared" si="3"/>
        <v>4.9464148393856954E-4</v>
      </c>
      <c r="EV4" s="2">
        <f t="shared" si="3"/>
        <v>4.9464148393856954E-4</v>
      </c>
      <c r="EW4" s="2">
        <f t="shared" si="3"/>
        <v>4.9464148393856954E-4</v>
      </c>
      <c r="EX4" s="2">
        <f t="shared" si="3"/>
        <v>4.9464148393856954E-4</v>
      </c>
      <c r="EY4" s="2">
        <f t="shared" si="3"/>
        <v>4.9464148393856954E-4</v>
      </c>
      <c r="EZ4" s="2">
        <f t="shared" si="3"/>
        <v>4.9464148393856954E-4</v>
      </c>
      <c r="FA4" s="2">
        <f t="shared" si="3"/>
        <v>4.9464148393856954E-4</v>
      </c>
      <c r="FB4" s="2">
        <f t="shared" si="3"/>
        <v>4.9464148393856954E-4</v>
      </c>
      <c r="FC4" s="2">
        <f t="shared" si="3"/>
        <v>4.9464148393856954E-4</v>
      </c>
      <c r="FD4" s="2">
        <f t="shared" si="3"/>
        <v>4.9464148393856954E-4</v>
      </c>
      <c r="FE4" s="2">
        <f t="shared" si="3"/>
        <v>4.9464148393856954E-4</v>
      </c>
      <c r="FF4" s="2">
        <f t="shared" si="3"/>
        <v>4.9464148393856954E-4</v>
      </c>
      <c r="FG4" s="2">
        <f t="shared" si="4"/>
        <v>4.9464148393856954E-4</v>
      </c>
      <c r="FH4" s="2">
        <f t="shared" si="4"/>
        <v>4.9464148393856954E-4</v>
      </c>
      <c r="FI4" s="2">
        <f t="shared" si="4"/>
        <v>4.9464148393856954E-4</v>
      </c>
      <c r="FJ4" s="2">
        <f t="shared" si="4"/>
        <v>4.9464148393856954E-4</v>
      </c>
      <c r="FK4" s="2">
        <f t="shared" si="4"/>
        <v>4.9464148393856954E-4</v>
      </c>
      <c r="FL4" s="2">
        <f t="shared" si="4"/>
        <v>4.9464148393856954E-4</v>
      </c>
      <c r="FM4" s="2">
        <f t="shared" si="4"/>
        <v>4.9464148393856954E-4</v>
      </c>
      <c r="FN4" s="2">
        <f t="shared" si="4"/>
        <v>4.9464148393856954E-4</v>
      </c>
      <c r="FO4" s="2">
        <f t="shared" si="4"/>
        <v>4.9464148393856954E-4</v>
      </c>
      <c r="FP4" s="2">
        <f t="shared" si="4"/>
        <v>4.9464148393856954E-4</v>
      </c>
      <c r="FQ4" s="2">
        <f>1/14151.6638359215</f>
        <v>7.0663069134081365E-5</v>
      </c>
    </row>
    <row r="5" spans="1:173">
      <c r="B5" s="2">
        <v>9.3189349112426036</v>
      </c>
      <c r="C5" s="2">
        <f t="shared" si="0"/>
        <v>4.9464148393856954E-4</v>
      </c>
      <c r="D5" s="2">
        <f t="shared" si="0"/>
        <v>4.9464148393856954E-4</v>
      </c>
      <c r="E5" s="2">
        <f t="shared" si="0"/>
        <v>4.9464148393856954E-4</v>
      </c>
      <c r="F5" s="2">
        <f t="shared" si="0"/>
        <v>4.9464148393856954E-4</v>
      </c>
      <c r="G5" s="2">
        <f t="shared" si="0"/>
        <v>4.9464148393856954E-4</v>
      </c>
      <c r="H5" s="2">
        <f t="shared" si="0"/>
        <v>4.9464148393856954E-4</v>
      </c>
      <c r="I5" s="2">
        <f t="shared" si="0"/>
        <v>4.9464148393856954E-4</v>
      </c>
      <c r="J5" s="2">
        <f t="shared" si="0"/>
        <v>4.9464148393856954E-4</v>
      </c>
      <c r="K5" s="2">
        <f t="shared" si="0"/>
        <v>4.9464148393856954E-4</v>
      </c>
      <c r="L5" s="2">
        <f t="shared" si="0"/>
        <v>4.9464148393856954E-4</v>
      </c>
      <c r="M5" s="2">
        <f t="shared" si="0"/>
        <v>4.9464148393856954E-4</v>
      </c>
      <c r="N5" s="2">
        <f t="shared" si="0"/>
        <v>4.9464148393856954E-4</v>
      </c>
      <c r="O5" s="2">
        <f t="shared" si="0"/>
        <v>4.9464148393856954E-4</v>
      </c>
      <c r="P5" s="2">
        <f t="shared" si="0"/>
        <v>4.9464148393856954E-4</v>
      </c>
      <c r="Q5" s="2">
        <f t="shared" si="0"/>
        <v>4.9464148393856954E-4</v>
      </c>
      <c r="R5" s="2">
        <f t="shared" si="0"/>
        <v>4.9464148393856954E-4</v>
      </c>
      <c r="S5" s="2">
        <f t="shared" si="1"/>
        <v>4.9464148393856954E-4</v>
      </c>
      <c r="T5" s="2">
        <f t="shared" si="1"/>
        <v>4.9464148393856954E-4</v>
      </c>
      <c r="U5" s="2">
        <f t="shared" si="1"/>
        <v>4.9464148393856954E-4</v>
      </c>
      <c r="V5" s="2">
        <f t="shared" si="1"/>
        <v>4.9464148393856954E-4</v>
      </c>
      <c r="W5" s="2">
        <f t="shared" si="1"/>
        <v>4.9464148393856954E-4</v>
      </c>
      <c r="X5" s="2">
        <f t="shared" si="1"/>
        <v>4.9464148393856954E-4</v>
      </c>
      <c r="Y5" s="2">
        <f t="shared" si="1"/>
        <v>4.9464148393856954E-4</v>
      </c>
      <c r="Z5" s="2">
        <f t="shared" si="1"/>
        <v>4.9464148393856954E-4</v>
      </c>
      <c r="AA5" s="2">
        <f t="shared" si="1"/>
        <v>4.9464148393856954E-4</v>
      </c>
      <c r="AB5" s="2">
        <f t="shared" si="1"/>
        <v>4.9464148393856954E-4</v>
      </c>
      <c r="AC5" s="2">
        <f t="shared" si="1"/>
        <v>4.9464148393856954E-4</v>
      </c>
      <c r="AD5" s="2">
        <f t="shared" si="1"/>
        <v>4.9464148393856954E-4</v>
      </c>
      <c r="AE5" s="2">
        <f t="shared" si="1"/>
        <v>4.9464148393856954E-4</v>
      </c>
      <c r="AF5" s="2">
        <f t="shared" si="1"/>
        <v>4.9464148393856954E-4</v>
      </c>
      <c r="AG5" s="2">
        <f t="shared" si="1"/>
        <v>4.9464148393856954E-4</v>
      </c>
      <c r="AH5" s="2">
        <f t="shared" si="1"/>
        <v>4.9464148393856954E-4</v>
      </c>
      <c r="AI5" s="2">
        <f>7.00011734467557*(1/14151.6638359215)</f>
        <v>4.9464977587349186E-4</v>
      </c>
      <c r="AJ5" s="2">
        <f>7.0018680127524*(1/14151.6638359215)</f>
        <v>4.9477348345283571E-4</v>
      </c>
      <c r="AK5" s="2">
        <f>7.00517198088589*(1/14151.6638359215)</f>
        <v>4.9500695198146933E-4</v>
      </c>
      <c r="AL5" s="2">
        <f>7.0093258679183*(1/14151.6638359215)</f>
        <v>4.9530047838801567E-4</v>
      </c>
      <c r="AM5" s="2">
        <f>7.01362629269191*(1/14151.6638359215)</f>
        <v>4.9560435960109919E-4</v>
      </c>
      <c r="AN5" s="2">
        <f>7.01736987404898*(1/14151.6638359215)</f>
        <v>4.9586889254934292E-4</v>
      </c>
      <c r="AO5" s="2">
        <f>7.01985323083179*(1/14151.6638359215)</f>
        <v>4.9604437416137122E-4</v>
      </c>
      <c r="AP5" s="2">
        <f>7.02037298188258*(1/14151.6638359215)</f>
        <v>4.9608110136580572E-4</v>
      </c>
      <c r="AQ5" s="2">
        <f>7.01822574604365*(1/14151.6638359215)</f>
        <v>4.9592937109127217E-4</v>
      </c>
      <c r="AR5" s="2">
        <f>7.01270814215724*(1/14151.6638359215)</f>
        <v>4.9553948026639233E-4</v>
      </c>
      <c r="AS5" s="2">
        <f>7.00311678906564*(1/14151.6638359215)</f>
        <v>4.9486172581979118E-4</v>
      </c>
      <c r="AT5" s="2">
        <f>6.99299915941444*(1/14151.6638359215)</f>
        <v>4.9414678305627542E-4</v>
      </c>
      <c r="AU5" s="2">
        <f>6.99045718753516*(1/14151.6638359215)</f>
        <v>4.9396715952163299E-4</v>
      </c>
      <c r="AV5" s="2">
        <f>6.99218556966385*(1/14151.6638359215)</f>
        <v>4.9408929230748276E-4</v>
      </c>
      <c r="AW5" s="2">
        <f>6.99437432452946*(1/14151.6638359215)</f>
        <v>4.9424395644386888E-4</v>
      </c>
      <c r="AX5" s="2">
        <f>6.99321347086094*(1/14151.6638359215)</f>
        <v>4.9416192696083569E-4</v>
      </c>
      <c r="AY5" s="2">
        <f>6.98489302738724*(1/14151.6638359215)</f>
        <v>4.9357397888842743E-4</v>
      </c>
      <c r="AZ5" s="2">
        <f>6.9656030128373*(1/14151.6638359215)</f>
        <v>4.9221088725668759E-4</v>
      </c>
      <c r="BA5" s="2">
        <f>6.93153344594007*(1/14151.6638359215)</f>
        <v>4.8980342709566041E-4</v>
      </c>
      <c r="BB5" s="2">
        <f>6.8788743454245*(1/14151.6638359215)</f>
        <v>4.8608237343539018E-4</v>
      </c>
      <c r="BC5" s="2">
        <f>6.80381573001956*(1/14151.6638359215)</f>
        <v>4.807785013059224E-4</v>
      </c>
      <c r="BD5" s="2">
        <f>6.70315461956436*(1/14151.6638359215)</f>
        <v>4.7366547829871326E-4</v>
      </c>
      <c r="BE5" s="2">
        <f>6.59508402761622*(1/14151.6638359215)</f>
        <v>4.6602887858852073E-4</v>
      </c>
      <c r="BF5" s="2">
        <f>6.48520980030354*(1/14151.6638359215)</f>
        <v>4.5826482846787108E-4</v>
      </c>
      <c r="BG5" s="2">
        <f>6.3674945826891*(1/14151.6638359215)</f>
        <v>4.4994670990744848E-4</v>
      </c>
      <c r="BH5" s="2">
        <f>6.23590101983575*(1/14151.6638359215)</f>
        <v>4.4064790487794212E-4</v>
      </c>
      <c r="BI5" s="2">
        <f>6.08439175680626*(1/14151.6638359215)</f>
        <v>4.2994179535003554E-4</v>
      </c>
      <c r="BJ5" s="2">
        <f>5.90692943866341*(1/14151.6638359215)</f>
        <v>4.17401763294413E-4</v>
      </c>
      <c r="BK5" s="2">
        <f>5.69747671047002*(1/14151.6638359215)</f>
        <v>4.0260119068176149E-4</v>
      </c>
      <c r="BL5" s="2">
        <f>5.44999621728888*(1/14151.6638359215)</f>
        <v>3.8511345948276604E-4</v>
      </c>
      <c r="BM5" s="2">
        <f>5.15845060418272*(1/14151.6638359215)</f>
        <v>3.6451195166810731E-4</v>
      </c>
      <c r="BN5" s="2">
        <f>4.81680251621445*(1/14151.6638359215)</f>
        <v>3.4037004920847876E-4</v>
      </c>
      <c r="BO5" s="2">
        <f>4.40878653123756*(1/14151.6638359215)</f>
        <v>3.1153838745424646E-4</v>
      </c>
      <c r="BP5" s="2">
        <f>3.90251377255653*(1/14151.6638359215)</f>
        <v>2.7576360050686678E-4</v>
      </c>
      <c r="BQ5" s="2">
        <f>3.31623669882409*(1/14151.6638359215)</f>
        <v>2.3433546311398443E-4</v>
      </c>
      <c r="BR5" s="2">
        <f>2.67256119891502*(1/14151.6638359215)</f>
        <v>1.8885137676399543E-4</v>
      </c>
      <c r="BS5" s="2">
        <f>1.99409316170446*(1/14151.6638359215)</f>
        <v>1.4090874294532115E-4</v>
      </c>
      <c r="BT5" s="2">
        <f>1.3034384760672*(1/14151.6638359215)</f>
        <v>9.2104963146358212E-5</v>
      </c>
      <c r="BU5" s="2">
        <f>0.623203030878125*(1/14151.6638359215)</f>
        <v>4.4037438855509989E-5</v>
      </c>
      <c r="BV5" s="2">
        <f>-0.0240072849878521*(1/14151.6638359215)</f>
        <v>-1.6964284388181866E-6</v>
      </c>
      <c r="BW5" s="2">
        <f>-0.615586582655835*(1/14151.6638359215)</f>
        <v>-4.3499237248222158E-5</v>
      </c>
      <c r="BX5" s="2">
        <f>-1.12892897325092*(1/14151.6638359215)</f>
        <v>-7.9773586084297247E-5</v>
      </c>
      <c r="BY5" s="2">
        <f>-1.54160337171397*(1/14151.6638359215)</f>
        <v>-1.089344256327572E-4</v>
      </c>
      <c r="BZ5" s="2">
        <f>-1.88474379138876*(1/14151.6638359215)</f>
        <v>-1.3318178083093456E-4</v>
      </c>
      <c r="CA5" s="2">
        <f>-2.19206835186926*(1/14151.6638359215)</f>
        <v>-1.5489827749476932E-4</v>
      </c>
      <c r="CB5" s="2">
        <f>-2.46088075871751*(1/14151.6638359215)</f>
        <v>-1.7389338718398601E-4</v>
      </c>
      <c r="CC5" s="2">
        <f>-2.68848471749553*(1/14151.6638359215)</f>
        <v>-1.8997658145830784E-4</v>
      </c>
      <c r="CD5" s="2">
        <f>-2.87218393376537*(1/14151.6638359215)</f>
        <v>-2.0295733187746011E-4</v>
      </c>
      <c r="CE5" s="2">
        <f>-3.009282113089*(1/14151.6638359215)</f>
        <v>-2.1264511000116247E-4</v>
      </c>
      <c r="CF5" s="2">
        <f>-3.09708296102847*(1/14151.6638359215)</f>
        <v>-2.1884938738914021E-4</v>
      </c>
      <c r="CG5" s="2">
        <f>-3.13289018314581*(1/14151.6638359215)</f>
        <v>-2.2137963560111718E-4</v>
      </c>
      <c r="CH5" s="2">
        <f>-3.11400748500306*(1/14151.6638359215)</f>
        <v>-2.2004532619681805E-4</v>
      </c>
      <c r="CI5" s="2">
        <f>-3.03773857216223*(1/14151.6638359215)</f>
        <v>-2.1465593073596528E-4</v>
      </c>
      <c r="CJ5" s="2">
        <f>-2.89640415464846*(1/14151.6638359215)</f>
        <v>-2.0466880702016462E-4</v>
      </c>
      <c r="CK5" s="2">
        <f>-2.66398950938238*(1/14151.6638359215)</f>
        <v>-1.8824567487395462E-4</v>
      </c>
      <c r="CL5" s="2">
        <f>-2.34962973809264*(1/14151.6638359215)</f>
        <v>-1.6603204862233371E-4</v>
      </c>
      <c r="CM5" s="2">
        <f>-1.96817399855358*(1/14151.6638359215)</f>
        <v>-1.3907721532769297E-4</v>
      </c>
      <c r="CN5" s="2">
        <f>-1.53447144853955*(1/14151.6638359215)</f>
        <v>-1.084304620524242E-4</v>
      </c>
      <c r="CO5" s="2">
        <f>-1.0633712458249*(1/14151.6638359215)</f>
        <v>-7.514107585891914E-5</v>
      </c>
      <c r="CP5" s="2">
        <f>-0.569722548183897*(1/14151.6638359215)</f>
        <v>-4.0258343809563718E-5</v>
      </c>
      <c r="CQ5" s="2">
        <f>-0.06837451339107*(1/14151.6638359215)</f>
        <v>-4.8315529667623511E-6</v>
      </c>
      <c r="CR5" s="2">
        <f>0.425823700779314*(1/14151.6638359215)</f>
        <v>3.009000960709904E-5</v>
      </c>
      <c r="CS5" s="2">
        <f>0.898022936552913*(1/14151.6638359215)</f>
        <v>6.3457056849629251E-5</v>
      </c>
      <c r="CT5" s="2">
        <f>1.33337403615537*(1/14151.6638359215)</f>
        <v>9.4220301698436025E-5</v>
      </c>
      <c r="CU5" s="2">
        <f>1.75275822224762*(1/14151.6638359215)</f>
        <v>1.2385527543401311E-4</v>
      </c>
      <c r="CV5" s="2">
        <f>2.19127879835712*(1/14151.6638359215)</f>
        <v>1.548424852203559E-4</v>
      </c>
      <c r="CW5" s="2">
        <f>2.6414894227703*(1/14151.6638359215)</f>
        <v>1.8665574969816239E-4</v>
      </c>
      <c r="CX5" s="2">
        <f>3.09578967131065*(1/14151.6638359215)</f>
        <v>2.1875799956839949E-4</v>
      </c>
      <c r="CY5" s="2">
        <f>3.54657911980155*(1/14151.6638359215)</f>
        <v>2.5061216553202634E-4</v>
      </c>
      <c r="CZ5" s="2">
        <f>3.98625734406639*(1/14151.6638359215)</f>
        <v>2.8168117829000292E-4</v>
      </c>
      <c r="DA5" s="2">
        <f>4.40722391992865*(1/14151.6638359215)</f>
        <v>3.1142796854329523E-4</v>
      </c>
      <c r="DB5" s="2">
        <f>4.80187842321156*(1/14151.6638359215)</f>
        <v>3.3931546699285208E-4</v>
      </c>
      <c r="DC5" s="2">
        <f>5.16262042973859*(1/14151.6638359215)</f>
        <v>3.6480660433963884E-4</v>
      </c>
      <c r="DD5" s="2">
        <f>5.48184951533313*(1/14151.6638359215)</f>
        <v>3.8736431128461539E-4</v>
      </c>
      <c r="DE5" s="2">
        <f>5.75280796231305*(1/14151.6638359215)</f>
        <v>4.0651106675602082E-4</v>
      </c>
      <c r="DF5" s="2">
        <f>5.98055099202201*(1/14151.6638359215)</f>
        <v>4.226040882091502E-4</v>
      </c>
      <c r="DG5" s="2">
        <f>6.17125375829916*(1/14151.6638359215)</f>
        <v>4.3607973096665295E-4</v>
      </c>
      <c r="DH5" s="2">
        <f>6.32954685376626*(1/14151.6638359215)</f>
        <v>4.4726520691509239E-4</v>
      </c>
      <c r="DI5" s="2">
        <f>6.46006087104499*(1/14151.6638359215)</f>
        <v>4.5648772794102603E-4</v>
      </c>
      <c r="DJ5" s="2">
        <f>6.56742640275711*(1/14151.6638359215)</f>
        <v>4.6407450593101695E-4</v>
      </c>
      <c r="DK5" s="2">
        <f>6.65627404152438*(1/14151.6638359215)</f>
        <v>4.7035275277162845E-4</v>
      </c>
      <c r="DL5" s="2">
        <f>6.73123437996852*(1/14151.6638359215)</f>
        <v>4.7564968034942087E-4</v>
      </c>
      <c r="DM5" s="2">
        <f>6.79693801071129*(1/14151.6638359215)</f>
        <v>4.8029250055095729E-4</v>
      </c>
      <c r="DN5" s="2">
        <f>6.8580155263744*(1/14151.6638359215)</f>
        <v>4.8460842526279761E-4</v>
      </c>
      <c r="DO5" s="2">
        <f>6.9190975195796*(1/14151.6638359215)</f>
        <v>4.8892466637150416E-4</v>
      </c>
      <c r="DP5" s="2">
        <f>6.97591712326843*(1/14151.6638359215)</f>
        <v>4.9293971395513911E-4</v>
      </c>
      <c r="DQ5" s="2">
        <f>7.01456850047511*(1/14151.6638359215)</f>
        <v>4.9567093889482216E-4</v>
      </c>
      <c r="DR5" s="2">
        <f>7.03747968903112*(1/14151.6638359215)</f>
        <v>4.9728991379569952E-4</v>
      </c>
      <c r="DS5" s="2">
        <f>7.04754236702937*(1/14151.6638359215)</f>
        <v>4.9800097350676388E-4</v>
      </c>
      <c r="DT5" s="2">
        <f>7.04764821256274*(1/14151.6638359215)</f>
        <v>4.9800845287700584E-4</v>
      </c>
      <c r="DU5" s="2">
        <f>7.04068890372415*(1/14151.6638359215)</f>
        <v>4.9751668675541917E-4</v>
      </c>
      <c r="DV5" s="2">
        <f>7.02955611860648*(1/14151.6638359215)</f>
        <v>4.9673000999099438E-4</v>
      </c>
      <c r="DW5" s="2">
        <f>7.01714153530265*(1/14151.6638359215)</f>
        <v>4.9585275743272502E-4</v>
      </c>
      <c r="DX5" s="2">
        <f>7.00633683190555*(1/14151.6638359215)</f>
        <v>4.9508926392960245E-4</v>
      </c>
      <c r="DY5" s="2">
        <f>7.00003368650808*(1/14151.6638359215)</f>
        <v>4.9464386433061892E-4</v>
      </c>
      <c r="DZ5" s="2">
        <f>7.00077919726641*(1/14151.6638359215)</f>
        <v>4.9469654440887495E-4</v>
      </c>
      <c r="EA5" s="2">
        <f>7.00317703553931*(1/14151.6638359215)</f>
        <v>4.9486598302052526E-4</v>
      </c>
      <c r="EB5" s="2">
        <f>7.00455643651091*(1/14151.6638359215)</f>
        <v>4.9496345572674503E-4</v>
      </c>
      <c r="EC5" s="2">
        <f>7.00509324547065*(1/14151.6638359215)</f>
        <v>4.9500138829537894E-4</v>
      </c>
      <c r="ED5" s="2">
        <f>7.00496330770795*(1/14151.6638359215)</f>
        <v>4.9499220649427012E-4</v>
      </c>
      <c r="EE5" s="2">
        <f>7.00434246851225*(1/14151.6638359215)</f>
        <v>4.9494833609126326E-4</v>
      </c>
      <c r="EF5" s="2">
        <f>7.00340657317298*(1/14151.6638359215)</f>
        <v>4.9488220285420217E-4</v>
      </c>
      <c r="EG5" s="2">
        <f>7.00233146697958*(1/14151.6638359215)</f>
        <v>4.9480623255093151E-4</v>
      </c>
      <c r="EH5" s="2">
        <f>7.00129299522147*(1/14151.6638359215)</f>
        <v>4.9473285094929432E-4</v>
      </c>
      <c r="EI5" s="2">
        <f>7.0004670031881*(1/14151.6638359215)</f>
        <v>4.9467448381713605E-4</v>
      </c>
      <c r="EJ5" s="2">
        <f>7.00002933616889*(1/14151.6638359215)</f>
        <v>4.9464355692229996E-4</v>
      </c>
      <c r="EK5" s="2">
        <f t="shared" si="3"/>
        <v>4.9464148393856954E-4</v>
      </c>
      <c r="EL5" s="2">
        <f t="shared" si="3"/>
        <v>4.9464148393856954E-4</v>
      </c>
      <c r="EM5" s="2">
        <f t="shared" si="3"/>
        <v>4.9464148393856954E-4</v>
      </c>
      <c r="EN5" s="2">
        <f t="shared" si="3"/>
        <v>4.9464148393856954E-4</v>
      </c>
      <c r="EO5" s="2">
        <f t="shared" si="3"/>
        <v>4.9464148393856954E-4</v>
      </c>
      <c r="EP5" s="2">
        <f t="shared" si="3"/>
        <v>4.9464148393856954E-4</v>
      </c>
      <c r="EQ5" s="2">
        <f t="shared" si="3"/>
        <v>4.9464148393856954E-4</v>
      </c>
      <c r="ER5" s="2">
        <f t="shared" si="3"/>
        <v>4.9464148393856954E-4</v>
      </c>
      <c r="ES5" s="2">
        <f t="shared" si="3"/>
        <v>4.9464148393856954E-4</v>
      </c>
      <c r="ET5" s="2">
        <f t="shared" si="3"/>
        <v>4.9464148393856954E-4</v>
      </c>
      <c r="EU5" s="2">
        <f t="shared" si="3"/>
        <v>4.9464148393856954E-4</v>
      </c>
      <c r="EV5" s="2">
        <f t="shared" si="3"/>
        <v>4.9464148393856954E-4</v>
      </c>
      <c r="EW5" s="2">
        <f t="shared" si="3"/>
        <v>4.9464148393856954E-4</v>
      </c>
      <c r="EX5" s="2">
        <f t="shared" si="3"/>
        <v>4.9464148393856954E-4</v>
      </c>
      <c r="EY5" s="2">
        <f t="shared" si="3"/>
        <v>4.9464148393856954E-4</v>
      </c>
      <c r="EZ5" s="2">
        <f t="shared" si="3"/>
        <v>4.9464148393856954E-4</v>
      </c>
      <c r="FA5" s="2">
        <f t="shared" si="3"/>
        <v>4.9464148393856954E-4</v>
      </c>
      <c r="FB5" s="2">
        <f t="shared" si="3"/>
        <v>4.9464148393856954E-4</v>
      </c>
      <c r="FC5" s="2">
        <f t="shared" si="3"/>
        <v>4.9464148393856954E-4</v>
      </c>
      <c r="FD5" s="2">
        <f t="shared" si="3"/>
        <v>4.9464148393856954E-4</v>
      </c>
      <c r="FE5" s="2">
        <f t="shared" si="3"/>
        <v>4.9464148393856954E-4</v>
      </c>
      <c r="FF5" s="2">
        <f t="shared" si="3"/>
        <v>4.9464148393856954E-4</v>
      </c>
      <c r="FG5" s="2">
        <f t="shared" si="4"/>
        <v>4.9464148393856954E-4</v>
      </c>
      <c r="FH5" s="2">
        <f t="shared" si="4"/>
        <v>4.9464148393856954E-4</v>
      </c>
      <c r="FI5" s="2">
        <f t="shared" si="4"/>
        <v>4.9464148393856954E-4</v>
      </c>
      <c r="FJ5" s="2">
        <f t="shared" si="4"/>
        <v>4.9464148393856954E-4</v>
      </c>
      <c r="FK5" s="2">
        <f t="shared" si="4"/>
        <v>4.9464148393856954E-4</v>
      </c>
      <c r="FL5" s="2">
        <f t="shared" si="4"/>
        <v>4.9464148393856954E-4</v>
      </c>
      <c r="FM5" s="2">
        <f t="shared" si="4"/>
        <v>4.9464148393856954E-4</v>
      </c>
      <c r="FN5" s="2">
        <f t="shared" si="4"/>
        <v>4.9464148393856954E-4</v>
      </c>
      <c r="FO5" s="2">
        <f t="shared" si="4"/>
        <v>4.9464148393856954E-4</v>
      </c>
      <c r="FP5" s="2">
        <f t="shared" si="4"/>
        <v>4.9464148393856954E-4</v>
      </c>
      <c r="FQ5" s="2"/>
    </row>
    <row r="6" spans="1:173">
      <c r="B6" s="2">
        <v>9.3284023668639069</v>
      </c>
      <c r="C6" s="2">
        <f>7*(1/14151.6638359215)</f>
        <v>4.9464148393856954E-4</v>
      </c>
      <c r="D6" s="2">
        <f>7*(1/14151.6638359215)</f>
        <v>4.9464148393856954E-4</v>
      </c>
      <c r="E6" s="2">
        <f>7*(1/14151.6638359215)</f>
        <v>4.9464148393856954E-4</v>
      </c>
      <c r="F6" s="2">
        <f t="shared" si="0"/>
        <v>4.9464148393856954E-4</v>
      </c>
      <c r="G6" s="2">
        <f>7*(1/14151.6638359215)</f>
        <v>4.9464148393856954E-4</v>
      </c>
      <c r="H6" s="2">
        <f>7*(1/14151.6638359215)</f>
        <v>4.9464148393856954E-4</v>
      </c>
      <c r="I6" s="2">
        <f>7*(1/14151.6638359215)</f>
        <v>4.9464148393856954E-4</v>
      </c>
      <c r="J6" s="2">
        <f t="shared" si="0"/>
        <v>4.9464148393856954E-4</v>
      </c>
      <c r="K6" s="2">
        <f t="shared" si="0"/>
        <v>4.9464148393856954E-4</v>
      </c>
      <c r="L6" s="2">
        <f>7*(1/14151.6638359215)</f>
        <v>4.9464148393856954E-4</v>
      </c>
      <c r="M6" s="2">
        <f>7*(1/14151.6638359215)</f>
        <v>4.9464148393856954E-4</v>
      </c>
      <c r="N6" s="2">
        <f>7*(1/14151.6638359215)</f>
        <v>4.9464148393856954E-4</v>
      </c>
      <c r="O6" s="2">
        <f t="shared" si="0"/>
        <v>4.9464148393856954E-4</v>
      </c>
      <c r="P6" s="2">
        <f t="shared" si="0"/>
        <v>4.9464148393856954E-4</v>
      </c>
      <c r="Q6" s="2">
        <f t="shared" si="0"/>
        <v>4.9464148393856954E-4</v>
      </c>
      <c r="R6" s="2">
        <f t="shared" si="0"/>
        <v>4.9464148393856954E-4</v>
      </c>
      <c r="S6" s="2">
        <f>7*(1/14151.6638359215)</f>
        <v>4.9464148393856954E-4</v>
      </c>
      <c r="T6" s="2">
        <f>7*(1/14151.6638359215)</f>
        <v>4.9464148393856954E-4</v>
      </c>
      <c r="U6" s="2">
        <f>7*(1/14151.6638359215)</f>
        <v>4.9464148393856954E-4</v>
      </c>
      <c r="V6" s="2">
        <f>7*(1/14151.6638359215)</f>
        <v>4.9464148393856954E-4</v>
      </c>
      <c r="W6" s="2">
        <f t="shared" si="1"/>
        <v>4.9464148393856954E-4</v>
      </c>
      <c r="X6" s="2">
        <f t="shared" si="1"/>
        <v>4.9464148393856954E-4</v>
      </c>
      <c r="Y6" s="2">
        <f>7*(1/14151.6638359215)</f>
        <v>4.9464148393856954E-4</v>
      </c>
      <c r="Z6" s="2">
        <f>7*(1/14151.6638359215)</f>
        <v>4.9464148393856954E-4</v>
      </c>
      <c r="AA6" s="2">
        <f>7*(1/14151.6638359215)</f>
        <v>4.9464148393856954E-4</v>
      </c>
      <c r="AB6" s="2">
        <f t="shared" si="1"/>
        <v>4.9464148393856954E-4</v>
      </c>
      <c r="AC6" s="2">
        <f>7*(1/14151.6638359215)</f>
        <v>4.9464148393856954E-4</v>
      </c>
      <c r="AD6" s="2">
        <f>7*(1/14151.6638359215)</f>
        <v>4.9464148393856954E-4</v>
      </c>
      <c r="AE6" s="2">
        <f>7*(1/14151.6638359215)</f>
        <v>4.9464148393856954E-4</v>
      </c>
      <c r="AF6" s="2">
        <f t="shared" si="1"/>
        <v>4.9464148393856954E-4</v>
      </c>
      <c r="AG6" s="2">
        <f t="shared" si="1"/>
        <v>4.9464148393856954E-4</v>
      </c>
      <c r="AH6" s="2">
        <f t="shared" si="1"/>
        <v>4.9464148393856954E-4</v>
      </c>
      <c r="AI6" s="2">
        <f>7.00015546028186*(1/14151.6638359215)</f>
        <v>4.9465246923921426E-4</v>
      </c>
      <c r="AJ6" s="2">
        <f>7.00247477601869*(1/14151.6638359215)</f>
        <v>4.9481635920746957E-4</v>
      </c>
      <c r="AK6" s="2">
        <f>7.00685193088167*(1/14151.6638359215)</f>
        <v>4.9512566240416289E-4</v>
      </c>
      <c r="AL6" s="2">
        <f>7.01235507319103*(1/14151.6638359215)</f>
        <v>4.9551453132962392E-4</v>
      </c>
      <c r="AM6" s="2">
        <f>7.01805235126702*(1/14151.6638359215)</f>
        <v>4.9591711848418374E-4</v>
      </c>
      <c r="AN6" s="2">
        <f>7.02301191342986*(1/14151.6638359215)</f>
        <v>4.9626757636817129E-4</v>
      </c>
      <c r="AO6" s="2">
        <f>7.02630190799977*(1/14151.6638359215)</f>
        <v>4.9650005748191547E-4</v>
      </c>
      <c r="AP6" s="2">
        <f>7.026990483297*(1/14151.6638359215)</f>
        <v>4.9654871432574773E-4</v>
      </c>
      <c r="AQ6" s="2">
        <f>7.02414578764176*(1/14151.6638359215)</f>
        <v>4.963476993999961E-4</v>
      </c>
      <c r="AR6" s="2">
        <f>7.0168359693543*(1/14151.6638359215)</f>
        <v>4.9583116520499179E-4</v>
      </c>
      <c r="AS6" s="2">
        <f>7.00412917675484*(1/14151.6638359215)</f>
        <v>4.9493326424106363E-4</v>
      </c>
      <c r="AT6" s="2">
        <f>6.99072516374979*(1/14151.6638359215)</f>
        <v>4.9398609554341364E-4</v>
      </c>
      <c r="AU6" s="2">
        <f>6.98735751487323*(1/14151.6638359215)</f>
        <v>4.9374812713802994E-4</v>
      </c>
      <c r="AV6" s="2">
        <f>6.98964730579555*(1/14151.6638359215)</f>
        <v>4.9390993079227654E-4</v>
      </c>
      <c r="AW6" s="2">
        <f>6.99254700658465*(1/14151.6638359215)</f>
        <v>4.9411483254960481E-4</v>
      </c>
      <c r="AX6" s="2">
        <f>6.99100908730847*(1/14151.6638359215)</f>
        <v>4.9400615845346949E-4</v>
      </c>
      <c r="AY6" s="2">
        <f>6.97998601803491*(1/14151.6638359215)</f>
        <v>4.9322723454732216E-4</v>
      </c>
      <c r="AZ6" s="2">
        <f>6.95443026883189*(1/14151.6638359215)</f>
        <v>4.9142138687461592E-4</v>
      </c>
      <c r="BA6" s="2">
        <f>6.90929430976731*(1/14151.6638359215)</f>
        <v>4.8823194147880236E-4</v>
      </c>
      <c r="BB6" s="2">
        <f>6.83953061090911*(1/14151.6638359215)</f>
        <v>4.8330222440333621E-4</v>
      </c>
      <c r="BC6" s="2">
        <f>6.74009164232518*(1/14151.6638359215)</f>
        <v>4.7627556169166824E-4</v>
      </c>
      <c r="BD6" s="2">
        <f>6.60673403978782*(1/14151.6638359215)</f>
        <v>4.6685210420401534E-4</v>
      </c>
      <c r="BE6" s="2">
        <f>6.46356022636747*(1/14151.6638359215)</f>
        <v>4.5673500312810313E-4</v>
      </c>
      <c r="BF6" s="2">
        <f>6.31799692521966*(1/14151.6638359215)</f>
        <v>4.4644905351571033E-4</v>
      </c>
      <c r="BG6" s="2">
        <f>6.16204574275966*(1/14151.6638359215)</f>
        <v>4.3542906432799761E-4</v>
      </c>
      <c r="BH6" s="2">
        <f>5.98770828540285*(1/14151.6638359215)</f>
        <v>4.231098445261334E-4</v>
      </c>
      <c r="BI6" s="2">
        <f>5.78698615956451*(1/14151.6638359215)</f>
        <v>4.0892620307127897E-4</v>
      </c>
      <c r="BJ6" s="2">
        <f>5.55188097165994*(1/14151.6638359215)</f>
        <v>3.9231294892459712E-4</v>
      </c>
      <c r="BK6" s="2">
        <f>5.27439432810447*(1/14151.6638359215)</f>
        <v>3.7270489104725276E-4</v>
      </c>
      <c r="BL6" s="2">
        <f>4.94652783531339*(1/14151.6638359215)</f>
        <v>3.4953683840040792E-4</v>
      </c>
      <c r="BM6" s="2">
        <f>4.56028309970196*(1/14151.6638359215)</f>
        <v>3.2224359994522246E-4</v>
      </c>
      <c r="BN6" s="2">
        <f>4.10766172768561*(1/14151.6638359215)</f>
        <v>2.9025998464286834E-4</v>
      </c>
      <c r="BO6" s="2">
        <f>3.56711500306293*(1/14151.6638359215)</f>
        <v>2.5206329407065467E-4</v>
      </c>
      <c r="BP6" s="2">
        <f>2.89639598335049*(1/14151.6638359215)</f>
        <v>2.0466822961117125E-4</v>
      </c>
      <c r="BQ6" s="2">
        <f>2.11968584552249*(1/14151.6638359215)</f>
        <v>1.4978350744468942E-4</v>
      </c>
      <c r="BR6" s="2">
        <f>1.26693326717581*(1/14151.6638359215)</f>
        <v>8.9525393046711844E-5</v>
      </c>
      <c r="BS6" s="2">
        <f>0.368086925907815*(1/14151.6638359215)</f>
        <v>2.6010151892775416E-5</v>
      </c>
      <c r="BT6" s="2">
        <f>-0.546904500684608*(1/14151.6638359215)</f>
        <v>-3.8645950541616711E-5</v>
      </c>
      <c r="BU6" s="2">
        <f>-1.44809233500442*(1/14151.6638359215)</f>
        <v>-1.0232664878095063E-4</v>
      </c>
      <c r="BV6" s="2">
        <f>-2.3055278994546*(1/14151.6638359215)</f>
        <v>-1.6291567734971377E-4</v>
      </c>
      <c r="BW6" s="2">
        <f>-3.08926251643808*(1/14151.6638359215)</f>
        <v>-2.1829677077239021E-4</v>
      </c>
      <c r="BX6" s="2">
        <f>-3.76934750835785*(1/14151.6638359215)</f>
        <v>-2.6635366357346808E-4</v>
      </c>
      <c r="BY6" s="2">
        <f>-4.31606578077421*(1/14151.6638359215)</f>
        <v>-3.0498645465409083E-4</v>
      </c>
      <c r="BZ6" s="2">
        <f>-4.7706642199784*(1/14151.6638359215)</f>
        <v>-3.3710977559182204E-4</v>
      </c>
      <c r="CA6" s="2">
        <f>-5.17781318149088*(1/14151.6638359215)</f>
        <v>-3.6588017080704783E-4</v>
      </c>
      <c r="CB6" s="2">
        <f>-5.53394056720589*(1/14151.6638359215)</f>
        <v>-3.9104522488436723E-4</v>
      </c>
      <c r="CC6" s="2">
        <f>-5.83547427901764*(1/14151.6638359215)</f>
        <v>-4.1235252240837708E-4</v>
      </c>
      <c r="CD6" s="2">
        <f>-6.07884221882039*(1/14151.6638359215)</f>
        <v>-4.2954964796367777E-4</v>
      </c>
      <c r="CE6" s="2">
        <f>-6.26047228850826*(1/14151.6638359215)</f>
        <v>-4.4238418613485973E-4</v>
      </c>
      <c r="CF6" s="2">
        <f>-6.37679238997551*(1/14151.6638359215)</f>
        <v>-4.5060372150652336E-4</v>
      </c>
      <c r="CG6" s="2">
        <f>-6.42423042511637*(1/14151.6638359215)</f>
        <v>-4.5395583866326701E-4</v>
      </c>
      <c r="CH6" s="2">
        <f>-6.39921429582506*(1/14151.6638359215)</f>
        <v>-4.5218812218968802E-4</v>
      </c>
      <c r="CI6" s="2">
        <f>-6.29817190399578*(1/14151.6638359215)</f>
        <v>-4.4504815667038269E-4</v>
      </c>
      <c r="CJ6" s="2">
        <f>-6.11092959174214*(1/14151.6638359215)</f>
        <v>-4.3181704021477848E-4</v>
      </c>
      <c r="CK6" s="2">
        <f>-5.80302259819621*(1/14151.6638359215)</f>
        <v>-4.1005938704297525E-4</v>
      </c>
      <c r="CL6" s="2">
        <f>-5.38655326615908*(1/14151.6638359215)</f>
        <v>-3.8063038584101085E-4</v>
      </c>
      <c r="CM6" s="2">
        <f>-4.88119401998142*(1/14151.6638359215)</f>
        <v>-3.4492015049081162E-4</v>
      </c>
      <c r="CN6" s="2">
        <f>-4.30661728401394*(1/14151.6638359215)</f>
        <v>-3.0431879487430671E-4</v>
      </c>
      <c r="CO6" s="2">
        <f>-3.68249548260731*(1/14151.6638359215)</f>
        <v>-2.6021643287342267E-4</v>
      </c>
      <c r="CP6" s="2">
        <f>-3.02850104011212*(1/14151.6638359215)</f>
        <v>-2.1400317837008006E-4</v>
      </c>
      <c r="CQ6" s="2">
        <f>-2.3643063808793*(1/14151.6638359215)</f>
        <v>-1.6706914524622368E-4</v>
      </c>
      <c r="CR6" s="2">
        <f>-1.70958392925941*(1/14151.6638359215)</f>
        <v>-1.2080444738377215E-4</v>
      </c>
      <c r="CS6" s="2">
        <f>-1.08400610960316*(1/14151.6638359215)</f>
        <v>-7.6599198664654663E-5</v>
      </c>
      <c r="CT6" s="2">
        <f>-0.507245346261225*(1/14151.6638359215)</f>
        <v>-3.5843512970797982E-5</v>
      </c>
      <c r="CU6" s="2">
        <f>0.0483621703500376*(1/14151.6638359215)</f>
        <v>3.4174193869189269E-6</v>
      </c>
      <c r="CV6" s="2">
        <f>0.629321911692173*(1/14151.6638359215)</f>
        <v>4.446981775349627E-5</v>
      </c>
      <c r="CW6" s="2">
        <f>1.2257688338162*(1/14151.6638359215)</f>
        <v>8.661658784635643E-5</v>
      </c>
      <c r="CX6" s="2">
        <f>1.82763376162694*(1/14151.6638359215)</f>
        <v>1.2914621084962564E-4</v>
      </c>
      <c r="CY6" s="2">
        <f>2.42484752002911*(1/14151.6638359215)</f>
        <v>1.7134716794742276E-4</v>
      </c>
      <c r="CZ6" s="2">
        <f>3.00734093392742*(1/14151.6638359215)</f>
        <v>2.125079403238661E-4</v>
      </c>
      <c r="DA6" s="2">
        <f>3.56504482822669*(1/14151.6638359215)</f>
        <v>2.5191700916308185E-4</v>
      </c>
      <c r="DB6" s="2">
        <f>4.08789002783141*(1/14151.6638359215)</f>
        <v>2.8886285564917269E-4</v>
      </c>
      <c r="DC6" s="2">
        <f>4.56580735764641*(1/14151.6638359215)</f>
        <v>3.2263396096626561E-4</v>
      </c>
      <c r="DD6" s="2">
        <f>4.98872764257639*(1/14151.6638359215)</f>
        <v>3.5251880629847819E-4</v>
      </c>
      <c r="DE6" s="2">
        <f>5.34769813985271*(1/14151.6638359215)</f>
        <v>3.7788476336461039E-4</v>
      </c>
      <c r="DF6" s="2">
        <f>5.64941609527006*(1/14151.6638359215)</f>
        <v>3.992050801072602E-4</v>
      </c>
      <c r="DG6" s="2">
        <f>5.90206246081241*(1/14151.6638359215)</f>
        <v>4.1705784770205376E-4</v>
      </c>
      <c r="DH6" s="2">
        <f>6.11177192670495*(1/14151.6638359215)</f>
        <v>4.3187656218848954E-4</v>
      </c>
      <c r="DI6" s="2">
        <f>6.28467918317275*(1/14151.6638359215)</f>
        <v>4.4409471960605808E-4</v>
      </c>
      <c r="DJ6" s="2">
        <f>6.426918920441*(1/14151.6638359215)</f>
        <v>4.5414581599425799E-4</v>
      </c>
      <c r="DK6" s="2">
        <f>6.54462582873486*(1/14151.6638359215)</f>
        <v>4.6246334739258598E-4</v>
      </c>
      <c r="DL6" s="2">
        <f>6.64393459827947*(1/14151.6638359215)</f>
        <v>4.6948080984053728E-4</v>
      </c>
      <c r="DM6" s="2">
        <f>6.73097991929999*(1/14151.6638359215)</f>
        <v>4.7563169937760863E-4</v>
      </c>
      <c r="DN6" s="2">
        <f>6.81189648202156*(1/14151.6638359215)</f>
        <v>4.8134951204329514E-4</v>
      </c>
      <c r="DO6" s="2">
        <f>6.89281897666932*(1/14151.6638359215)</f>
        <v>4.8706774387709213E-4</v>
      </c>
      <c r="DP6" s="2">
        <f>6.9680945830162*(1/14151.6638359215)</f>
        <v>4.9238694925249165E-4</v>
      </c>
      <c r="DQ6" s="2">
        <f>7.01930060464403*(1/14151.6638359215)</f>
        <v>4.960053238988602E-4</v>
      </c>
      <c r="DR6" s="2">
        <f>7.04965374860692*(1/14151.6638359215)</f>
        <v>4.9815017020914663E-4</v>
      </c>
      <c r="DS6" s="2">
        <f>7.06298496069949*(1/14151.6638359215)</f>
        <v>4.9909219457088504E-4</v>
      </c>
      <c r="DT6" s="2">
        <f>7.06312518671633*(1/14151.6638359215)</f>
        <v>4.9910210337160736E-4</v>
      </c>
      <c r="DU6" s="2">
        <f>7.05390537245206*(1/14151.6638359215)</f>
        <v>4.984506029988479E-4</v>
      </c>
      <c r="DV6" s="2">
        <f>7.03915646370129*(1/14151.6638359215)</f>
        <v>4.9740839984013991E-4</v>
      </c>
      <c r="DW6" s="2">
        <f>7.02270940625862*(1/14151.6638359215)</f>
        <v>4.962462002830164E-4</v>
      </c>
      <c r="DX6" s="2">
        <f>7.00839514591867*(1/14151.6638359215)</f>
        <v>4.9523471071501125E-4</v>
      </c>
      <c r="DY6" s="2">
        <f>7.00004462847604*(1/14151.6638359215)</f>
        <v>4.9464463752365727E-4</v>
      </c>
      <c r="DZ6" s="2">
        <f>7.00103229418871*(1/14151.6638359215)</f>
        <v>4.9471442901419314E-4</v>
      </c>
      <c r="EA6" s="2">
        <f>7.00420899233858*(1/14151.6638359215)</f>
        <v>4.9493890425517551E-4</v>
      </c>
      <c r="EB6" s="2">
        <f>7.00603644691044*(1/14151.6638359215)</f>
        <v>4.9506803780392621E-4</v>
      </c>
      <c r="EC6" s="2">
        <f>7.00674762082425*(1/14151.6638359215)</f>
        <v>4.9511829153536411E-4</v>
      </c>
      <c r="ED6" s="2">
        <f>7.00657547699994*(1/14151.6638359215)</f>
        <v>4.9510612732440583E-4</v>
      </c>
      <c r="EE6" s="2">
        <f>7.00575297835746*(1/14151.6638359215)</f>
        <v>4.950480070459696E-4</v>
      </c>
      <c r="EF6" s="2">
        <f>7.00451308781675*(1/14151.6638359215)</f>
        <v>4.9496039257497276E-4</v>
      </c>
      <c r="EG6" s="2">
        <f>7.00308876829776*(1/14151.6638359215)</f>
        <v>4.9485974578633335E-4</v>
      </c>
      <c r="EH6" s="2">
        <f>7.00171298272041*(1/14151.6638359215)</f>
        <v>4.9476252855496742E-4</v>
      </c>
      <c r="EI6" s="2">
        <f>7.00061869400467*(1/14151.6638359215)</f>
        <v>4.9468520275579438E-4</v>
      </c>
      <c r="EJ6" s="2">
        <f>7.00003886507047*(1/14151.6638359215)</f>
        <v>4.9464423026373107E-4</v>
      </c>
      <c r="EK6" s="2">
        <f>7*(1/14151.6638359215)</f>
        <v>4.9464148393856954E-4</v>
      </c>
      <c r="EL6" s="2">
        <f>7*(1/14151.6638359215)</f>
        <v>4.9464148393856954E-4</v>
      </c>
      <c r="EM6" s="2">
        <f>7*(1/14151.6638359215)</f>
        <v>4.9464148393856954E-4</v>
      </c>
      <c r="EN6" s="2">
        <f t="shared" si="3"/>
        <v>4.9464148393856954E-4</v>
      </c>
      <c r="EO6" s="2">
        <f t="shared" si="3"/>
        <v>4.9464148393856954E-4</v>
      </c>
      <c r="EP6" s="2">
        <f t="shared" si="3"/>
        <v>4.9464148393856954E-4</v>
      </c>
      <c r="EQ6" s="2">
        <f t="shared" si="3"/>
        <v>4.9464148393856954E-4</v>
      </c>
      <c r="ER6" s="2">
        <f>7*(1/14151.6638359215)</f>
        <v>4.9464148393856954E-4</v>
      </c>
      <c r="ES6" s="2">
        <f>7*(1/14151.6638359215)</f>
        <v>4.9464148393856954E-4</v>
      </c>
      <c r="ET6" s="2">
        <f>7*(1/14151.6638359215)</f>
        <v>4.9464148393856954E-4</v>
      </c>
      <c r="EU6" s="2">
        <f t="shared" si="3"/>
        <v>4.9464148393856954E-4</v>
      </c>
      <c r="EV6" s="2">
        <f t="shared" si="3"/>
        <v>4.9464148393856954E-4</v>
      </c>
      <c r="EW6" s="2">
        <f t="shared" si="3"/>
        <v>4.9464148393856954E-4</v>
      </c>
      <c r="EX6" s="2">
        <f t="shared" si="3"/>
        <v>4.9464148393856954E-4</v>
      </c>
      <c r="EY6" s="2">
        <f t="shared" si="3"/>
        <v>4.9464148393856954E-4</v>
      </c>
      <c r="EZ6" s="2">
        <f t="shared" si="3"/>
        <v>4.9464148393856954E-4</v>
      </c>
      <c r="FA6" s="2">
        <f t="shared" si="3"/>
        <v>4.9464148393856954E-4</v>
      </c>
      <c r="FB6" s="2">
        <f t="shared" si="3"/>
        <v>4.9464148393856954E-4</v>
      </c>
      <c r="FC6" s="2">
        <f>7*(1/14151.6638359215)</f>
        <v>4.9464148393856954E-4</v>
      </c>
      <c r="FD6" s="2">
        <f>7*(1/14151.6638359215)</f>
        <v>4.9464148393856954E-4</v>
      </c>
      <c r="FE6" s="2">
        <f>7*(1/14151.6638359215)</f>
        <v>4.9464148393856954E-4</v>
      </c>
      <c r="FF6" s="2">
        <f t="shared" si="3"/>
        <v>4.9464148393856954E-4</v>
      </c>
      <c r="FG6" s="2">
        <f t="shared" si="4"/>
        <v>4.9464148393856954E-4</v>
      </c>
      <c r="FH6" s="2">
        <f t="shared" si="4"/>
        <v>4.9464148393856954E-4</v>
      </c>
      <c r="FI6" s="2">
        <f t="shared" si="4"/>
        <v>4.9464148393856954E-4</v>
      </c>
      <c r="FJ6" s="2">
        <f t="shared" si="4"/>
        <v>4.9464148393856954E-4</v>
      </c>
      <c r="FK6" s="2">
        <f>7*(1/14151.6638359215)</f>
        <v>4.9464148393856954E-4</v>
      </c>
      <c r="FL6" s="2">
        <f>7*(1/14151.6638359215)</f>
        <v>4.9464148393856954E-4</v>
      </c>
      <c r="FM6" s="2">
        <f>7*(1/14151.6638359215)</f>
        <v>4.9464148393856954E-4</v>
      </c>
      <c r="FN6" s="2">
        <f t="shared" si="4"/>
        <v>4.9464148393856954E-4</v>
      </c>
      <c r="FO6" s="2">
        <f t="shared" si="4"/>
        <v>4.9464148393856954E-4</v>
      </c>
      <c r="FP6" s="2">
        <f t="shared" si="4"/>
        <v>4.9464148393856954E-4</v>
      </c>
      <c r="FQ6" s="2"/>
    </row>
    <row r="7" spans="1:173">
      <c r="B7" s="2">
        <v>9.3378698224852084</v>
      </c>
      <c r="C7" s="2">
        <f t="shared" ref="C7:M22" si="5">7*(1/14151.6638359215)</f>
        <v>4.9464148393856954E-4</v>
      </c>
      <c r="D7" s="2">
        <f t="shared" si="5"/>
        <v>4.9464148393856954E-4</v>
      </c>
      <c r="E7" s="2">
        <f t="shared" si="5"/>
        <v>4.9464148393856954E-4</v>
      </c>
      <c r="F7" s="2">
        <f t="shared" si="0"/>
        <v>4.9464148393856954E-4</v>
      </c>
      <c r="G7" s="2">
        <f t="shared" si="0"/>
        <v>4.9464148393856954E-4</v>
      </c>
      <c r="H7" s="2">
        <f t="shared" si="0"/>
        <v>4.9464148393856954E-4</v>
      </c>
      <c r="I7" s="2">
        <f t="shared" si="0"/>
        <v>4.9464148393856954E-4</v>
      </c>
      <c r="J7" s="2">
        <f t="shared" si="0"/>
        <v>4.9464148393856954E-4</v>
      </c>
      <c r="K7" s="2">
        <f t="shared" si="0"/>
        <v>4.9464148393856954E-4</v>
      </c>
      <c r="L7" s="2">
        <f t="shared" si="0"/>
        <v>4.9464148393856954E-4</v>
      </c>
      <c r="M7" s="2">
        <f t="shared" si="0"/>
        <v>4.9464148393856954E-4</v>
      </c>
      <c r="N7" s="2">
        <f t="shared" si="0"/>
        <v>4.9464148393856954E-4</v>
      </c>
      <c r="O7" s="2">
        <f t="shared" si="0"/>
        <v>4.9464148393856954E-4</v>
      </c>
      <c r="P7" s="2">
        <f t="shared" si="0"/>
        <v>4.9464148393856954E-4</v>
      </c>
      <c r="Q7" s="2">
        <f t="shared" si="0"/>
        <v>4.9464148393856954E-4</v>
      </c>
      <c r="R7" s="2">
        <f t="shared" si="0"/>
        <v>4.9464148393856954E-4</v>
      </c>
      <c r="S7" s="2">
        <f t="shared" ref="S7:V13" si="6">7*(1/14151.6638359215)</f>
        <v>4.9464148393856954E-4</v>
      </c>
      <c r="T7" s="2">
        <f t="shared" si="6"/>
        <v>4.9464148393856954E-4</v>
      </c>
      <c r="U7" s="2">
        <f t="shared" si="6"/>
        <v>4.9464148393856954E-4</v>
      </c>
      <c r="V7" s="2">
        <f t="shared" si="6"/>
        <v>4.9464148393856954E-4</v>
      </c>
      <c r="W7" s="2">
        <f t="shared" si="1"/>
        <v>4.9464148393856954E-4</v>
      </c>
      <c r="X7" s="2">
        <f t="shared" si="1"/>
        <v>4.9464148393856954E-4</v>
      </c>
      <c r="Y7" s="2">
        <f t="shared" si="1"/>
        <v>4.9464148393856954E-4</v>
      </c>
      <c r="Z7" s="2">
        <f t="shared" si="1"/>
        <v>4.9464148393856954E-4</v>
      </c>
      <c r="AA7" s="2">
        <f t="shared" si="1"/>
        <v>4.9464148393856954E-4</v>
      </c>
      <c r="AB7" s="2">
        <f t="shared" si="1"/>
        <v>4.9464148393856954E-4</v>
      </c>
      <c r="AC7" s="2">
        <f t="shared" si="1"/>
        <v>4.9464148393856954E-4</v>
      </c>
      <c r="AD7" s="2">
        <f t="shared" si="1"/>
        <v>4.9464148393856954E-4</v>
      </c>
      <c r="AE7" s="2">
        <f t="shared" si="1"/>
        <v>4.9464148393856954E-4</v>
      </c>
      <c r="AF7" s="2">
        <f t="shared" si="1"/>
        <v>4.9464148393856954E-4</v>
      </c>
      <c r="AG7" s="2">
        <f t="shared" si="1"/>
        <v>4.9464148393856954E-4</v>
      </c>
      <c r="AH7" s="2">
        <f t="shared" si="1"/>
        <v>4.9464148393856954E-4</v>
      </c>
      <c r="AI7" s="2">
        <f>7.0001798714005*(1/14151.6638359215)</f>
        <v>4.9465419420377835E-4</v>
      </c>
      <c r="AJ7" s="2">
        <f>7.0028633772117*(1/14151.6638359215)</f>
        <v>4.9484381896043681E-4</v>
      </c>
      <c r="AK7" s="2">
        <f>7.00792785391267*(1/14151.6638359215)</f>
        <v>4.9520169042768542E-4</v>
      </c>
      <c r="AL7" s="2">
        <f>7.01429512600616*(1/14151.6638359215)</f>
        <v>4.9565162141582326E-4</v>
      </c>
      <c r="AM7" s="2">
        <f>7.0208870179949*(1/14151.6638359215)</f>
        <v>4.9611742473514801E-4</v>
      </c>
      <c r="AN7" s="2">
        <f>7.02662535438165*(1/14151.6638359215)</f>
        <v>4.965229131959595E-4</v>
      </c>
      <c r="AO7" s="2">
        <f>7.03043195966916*(1/14151.6638359215)</f>
        <v>4.9679189960855703E-4</v>
      </c>
      <c r="AP7" s="2">
        <f>7.03122865836016*(1/14151.6638359215)</f>
        <v>4.9684819678323818E-4</v>
      </c>
      <c r="AQ7" s="2">
        <f>7.02793727495741*(1/14151.6638359215)</f>
        <v>4.9661561753030288E-4</v>
      </c>
      <c r="AR7" s="2">
        <f>7.01947963396365*(1/14151.6638359215)</f>
        <v>4.9601797466004957E-4</v>
      </c>
      <c r="AS7" s="2">
        <f>7.00477755988163*(1/14151.6638359215)</f>
        <v>4.9497908098277733E-4</v>
      </c>
      <c r="AT7" s="2">
        <f>6.98926878450389*(1/14151.6638359215)</f>
        <v>4.9388318331607518E-4</v>
      </c>
      <c r="AU7" s="2">
        <f>6.98537233125828*(1/14151.6638359215)</f>
        <v>4.9360784797100295E-4</v>
      </c>
      <c r="AV7" s="2">
        <f>6.98802167612708*(1/14151.6638359215)</f>
        <v>4.9379505881062705E-4</v>
      </c>
      <c r="AW7" s="2">
        <f>6.99137670183348*(1/14151.6638359215)</f>
        <v>4.9403213522406495E-4</v>
      </c>
      <c r="AX7" s="2">
        <f>6.98959729110071*(1/14151.6638359215)</f>
        <v>4.9390639660043729E-4</v>
      </c>
      <c r="AY7" s="2">
        <f>6.97684332665197*(1/14151.6638359215)</f>
        <v>4.930051623288624E-4</v>
      </c>
      <c r="AZ7" s="2">
        <f>6.94727469121045*(1/14151.6638359215)</f>
        <v>4.9091575179845777E-4</v>
      </c>
      <c r="BA7" s="2">
        <f>6.89505126749937*(1/14151.6638359215)</f>
        <v>4.8722548439834331E-4</v>
      </c>
      <c r="BB7" s="2">
        <f>6.81433293824194*(1/14151.6638359215)</f>
        <v>4.8152167951763801E-4</v>
      </c>
      <c r="BC7" s="2">
        <f>6.69927958616137*(1/14151.6638359215)</f>
        <v>4.7339165654546088E-4</v>
      </c>
      <c r="BD7" s="2">
        <f>6.54498153363881*(1/14151.6638359215)</f>
        <v>4.6248848259280512E-4</v>
      </c>
      <c r="BE7" s="2">
        <f>6.37932588174749*(1/14151.6638359215)</f>
        <v>4.5078274581075744E-4</v>
      </c>
      <c r="BF7" s="2">
        <f>6.21090553331201*(1/14151.6638359215)</f>
        <v>4.3888164708567504E-4</v>
      </c>
      <c r="BG7" s="2">
        <f>6.03046614864755*(1/14151.6638359215)</f>
        <v>4.261312463726192E-4</v>
      </c>
      <c r="BH7" s="2">
        <f>5.82875338806942*(1/14151.6638359215)</f>
        <v>4.1187760362666043E-4</v>
      </c>
      <c r="BI7" s="2">
        <f>5.59651291189282*(1/14151.6638359215)</f>
        <v>3.9546677880286131E-4</v>
      </c>
      <c r="BJ7" s="2">
        <f>5.324490380433*(1/14151.6638359215)</f>
        <v>3.7624483185628825E-4</v>
      </c>
      <c r="BK7" s="2">
        <f>5.00343145400518*(1/14151.6638359215)</f>
        <v>3.5355782274200528E-4</v>
      </c>
      <c r="BL7" s="2">
        <f>4.6240817929246*(1/14151.6638359215)</f>
        <v>3.2675181141507794E-4</v>
      </c>
      <c r="BM7" s="2">
        <f>4.17718705750641*(1/14151.6638359215)</f>
        <v>2.9517285783056538E-4</v>
      </c>
      <c r="BN7" s="2">
        <f>3.653492908066*(1/14151.6638359215)</f>
        <v>2.5816702194354373E-4</v>
      </c>
      <c r="BO7" s="2">
        <f>3.02806694569266*(1/14151.6638359215)</f>
        <v>2.1397250392610705E-4</v>
      </c>
      <c r="BP7" s="2">
        <f>2.25202841048818*(1/14151.6638359215)</f>
        <v>1.5913523926224164E-4</v>
      </c>
      <c r="BQ7" s="2">
        <f>1.35335552374505*(1/14151.6638359215)</f>
        <v>9.5632254937387371E-5</v>
      </c>
      <c r="BR7" s="2">
        <f>0.366699647972034*(1/14151.6638359215)</f>
        <v>2.5912122576091138E-5</v>
      </c>
      <c r="BS7" s="2">
        <f>-0.673287854321509*(1/14151.6638359215)</f>
        <v>-4.7576586197058091E-5</v>
      </c>
      <c r="BT7" s="2">
        <f>-1.73195562062679*(1/14151.6638359215)</f>
        <v>-1.2238529975751167E-4</v>
      </c>
      <c r="BU7" s="2">
        <f>-2.77465228843484*(1/14151.6638359215)</f>
        <v>-1.9606544648070819E-4</v>
      </c>
      <c r="BV7" s="2">
        <f>-3.76672649523668*(1/14151.6638359215)</f>
        <v>-2.6616845474208552E-4</v>
      </c>
      <c r="BW7" s="2">
        <f>-4.67352687852336*(1/14151.6638359215)</f>
        <v>-3.3024575291708367E-4</v>
      </c>
      <c r="BX7" s="2">
        <f>-5.46040207578589*(1/14151.6638359215)</f>
        <v>-3.8584876938113974E-4</v>
      </c>
      <c r="BY7" s="2">
        <f>-6.09296867197012*(1/14151.6638359215)</f>
        <v>-4.3054786649921655E-4</v>
      </c>
      <c r="BZ7" s="2">
        <f>-6.61895033716504*(1/14151.6638359215)</f>
        <v>-4.6771534527014435E-4</v>
      </c>
      <c r="CA7" s="2">
        <f>-7.09003178023733*(1/14151.6638359215)</f>
        <v>-5.0100340584974441E-4</v>
      </c>
      <c r="CB7" s="2">
        <f>-7.5020799951142*(1/14151.6638359215)</f>
        <v>-5.3011999734416354E-4</v>
      </c>
      <c r="CC7" s="2">
        <f>-7.85096197572283*(1/14151.6638359215)</f>
        <v>-5.5477306885954637E-4</v>
      </c>
      <c r="CD7" s="2">
        <f>-8.13254471599047*(1/14151.6638359215)</f>
        <v>-5.7467056950204264E-4</v>
      </c>
      <c r="CE7" s="2">
        <f>-8.34269520984421*(1/14151.6638359215)</f>
        <v>-5.895204483777909E-4</v>
      </c>
      <c r="CF7" s="2">
        <f>-8.47728045121128*(1/14151.6638359215)</f>
        <v>-5.9903065459293917E-4</v>
      </c>
      <c r="CG7" s="2">
        <f>-8.53216743401888*(1/14151.6638359215)</f>
        <v>-6.029091372536338E-4</v>
      </c>
      <c r="CH7" s="2">
        <f>-8.50322315219422*(1/14151.6638359215)</f>
        <v>-6.0086384546602139E-4</v>
      </c>
      <c r="CI7" s="2">
        <f>-8.38631459966448*(1/14151.6638359215)</f>
        <v>-5.9260272833624702E-4</v>
      </c>
      <c r="CJ7" s="2">
        <f>-8.16967060201564*(1/14151.6638359215)</f>
        <v>-5.7729399855290333E-4</v>
      </c>
      <c r="CK7" s="2">
        <f>-7.81341457642532*(1/14151.6638359215)</f>
        <v>-5.5211985438718145E-4</v>
      </c>
      <c r="CL7" s="2">
        <f>-7.33154923357243*(1/14151.6638359215)</f>
        <v>-5.1806977035184982E-4</v>
      </c>
      <c r="CM7" s="2">
        <f>-6.7468360561768*(1/14151.6638359215)</f>
        <v>-4.7675214267393407E-4</v>
      </c>
      <c r="CN7" s="2">
        <f>-6.08203652695822*(1/14151.6638359215)</f>
        <v>-4.2977536758045682E-4</v>
      </c>
      <c r="CO7" s="2">
        <f>-5.35991212863652*(1/14151.6638359215)</f>
        <v>-3.7874784129844359E-4</v>
      </c>
      <c r="CP7" s="2">
        <f>-4.60322434393134*(1/14151.6638359215)</f>
        <v>-3.2527796005490662E-4</v>
      </c>
      <c r="CQ7" s="2">
        <f>-3.83473465556278*(1/14151.6638359215)</f>
        <v>-2.7097412007689043E-4</v>
      </c>
      <c r="CR7" s="2">
        <f>-3.07720454625052*(1/14151.6638359215)</f>
        <v>-2.1744471759140997E-4</v>
      </c>
      <c r="CS7" s="2">
        <f>-2.35339549871436*(1/14151.6638359215)</f>
        <v>-1.6629814882548872E-4</v>
      </c>
      <c r="CT7" s="2">
        <f>-1.68606899567411*(1/14151.6638359215)</f>
        <v>-1.1914281000615077E-4</v>
      </c>
      <c r="CU7" s="2">
        <f>-1.04321732356191*(1/14151.6638359215)</f>
        <v>-7.3716937856726575E-5</v>
      </c>
      <c r="CV7" s="2">
        <f>-0.371032498868534*(1/14151.6638359215)</f>
        <v>-2.6218295118538184E-5</v>
      </c>
      <c r="CW7" s="2">
        <f>0.319071377969183*(1/14151.6638359215)</f>
        <v>2.2546562840142983E-5</v>
      </c>
      <c r="CX7" s="2">
        <f>1.01544402171715*(1/14151.6638359215)</f>
        <v>7.17543911083886E-5</v>
      </c>
      <c r="CY7" s="2">
        <f>1.70643514714114*(1/14151.6638359215)</f>
        <v>1.2058194477526069E-4</v>
      </c>
      <c r="CZ7" s="2">
        <f>2.38039446900695*(1/14151.6638359215)</f>
        <v>1.6820597892982302E-4</v>
      </c>
      <c r="DA7" s="2">
        <f>3.02567170208048*(1/14151.6638359215)</f>
        <v>2.1380324866114659E-4</v>
      </c>
      <c r="DB7" s="2">
        <f>3.63061656112726*(1/14151.6638359215)</f>
        <v>2.565505090582763E-4</v>
      </c>
      <c r="DC7" s="2">
        <f>4.18357876091321*(1/14151.6638359215)</f>
        <v>2.9562451521028456E-4</v>
      </c>
      <c r="DD7" s="2">
        <f>4.6729080162041*(1/14151.6638359215)</f>
        <v>3.3020202220623331E-4</v>
      </c>
      <c r="DE7" s="2">
        <f>5.08824578164777*(1/14151.6638359215)</f>
        <v>3.5955106343977427E-4</v>
      </c>
      <c r="DF7" s="2">
        <f>5.4373409366761*(1/14151.6638359215)</f>
        <v>3.8421919851391401E-4</v>
      </c>
      <c r="DG7" s="2">
        <f>5.72965904556808*(1/14151.6638359215)</f>
        <v>4.0487529325169188E-4</v>
      </c>
      <c r="DH7" s="2">
        <f>5.97229809701399*(1/14151.6638359215)</f>
        <v>4.2202091331864218E-4</v>
      </c>
      <c r="DI7" s="2">
        <f>6.17235607970401*(1/14151.6638359215)</f>
        <v>4.3615762438029189E-4</v>
      </c>
      <c r="DJ7" s="2">
        <f>6.33693098232843*(1/14151.6638359215)</f>
        <v>4.4778699210217595E-4</v>
      </c>
      <c r="DK7" s="2">
        <f>6.47312079357752*(1/14151.6638359215)</f>
        <v>4.5741058214982791E-4</v>
      </c>
      <c r="DL7" s="2">
        <f>6.58802350214154*(1/14151.6638359215)</f>
        <v>4.6552996018878044E-4</v>
      </c>
      <c r="DM7" s="2">
        <f>6.68873709671074*(1/14151.6638359215)</f>
        <v>4.7264669188456566E-4</v>
      </c>
      <c r="DN7" s="2">
        <f>6.78235956597536*(1/14151.6638359215)</f>
        <v>4.7926234290271495E-4</v>
      </c>
      <c r="DO7" s="2">
        <f>6.87598889862566*(1/14151.6638359215)</f>
        <v>4.8587847890876098E-4</v>
      </c>
      <c r="DP7" s="2">
        <f>6.96308464150635*(1/14151.6638359215)</f>
        <v>4.9203293140922329E-4</v>
      </c>
      <c r="DQ7" s="2">
        <f>7.02233127810053*(1/14151.6638359215)</f>
        <v>4.9621948058683964E-4</v>
      </c>
      <c r="DR7" s="2">
        <f>7.05745061822289*(1/14151.6638359215)</f>
        <v>4.987011209458493E-4</v>
      </c>
      <c r="DS7" s="2">
        <f>7.0728751611399*(1/14151.6638359215)</f>
        <v>4.997910664883557E-4</v>
      </c>
      <c r="DT7" s="2">
        <f>7.07303740611807*(1/14151.6638359215)</f>
        <v>4.9980253121646473E-4</v>
      </c>
      <c r="DU7" s="2">
        <f>7.06236985242387*(1/14151.6638359215)</f>
        <v>4.9904872913227993E-4</v>
      </c>
      <c r="DV7" s="2">
        <f>7.04530499932381*(1/14151.6638359215)</f>
        <v>4.9784287423790751E-4</v>
      </c>
      <c r="DW7" s="2">
        <f>7.02627534608436*(1/14151.6638359215)</f>
        <v>4.9649818053545058E-4</v>
      </c>
      <c r="DX7" s="2">
        <f>7.00971339197201*(1/14151.6638359215)</f>
        <v>4.9532786202701417E-4</v>
      </c>
      <c r="DY7" s="2">
        <f>7.00005163625327*(1/14151.6638359215)</f>
        <v>4.9464513271470418E-4</v>
      </c>
      <c r="DZ7" s="2">
        <f>7.00119438997041*(1/14151.6638359215)</f>
        <v>4.9472588319962162E-4</v>
      </c>
      <c r="EA7" s="2">
        <f>7.00486990849091*(1/14151.6638359215)</f>
        <v>4.9498560661893941E-4</v>
      </c>
      <c r="EB7" s="2">
        <f>7.00698431873936*(1/14151.6638359215)</f>
        <v>4.9513501733650339E-4</v>
      </c>
      <c r="EC7" s="2">
        <f>7.00780716459004*(1/14151.6638359215)</f>
        <v>4.9519316214973667E-4</v>
      </c>
      <c r="ED7" s="2">
        <f>7.00760798991729*(1/14151.6638359215)</f>
        <v>4.9517908785606639E-4</v>
      </c>
      <c r="EE7" s="2">
        <f>7.00665633859541*(1/14151.6638359215)</f>
        <v>4.9511184125291684E-4</v>
      </c>
      <c r="EF7" s="2">
        <f>7.00522175449873*(1/14151.6638359215)</f>
        <v>4.9501046913771451E-4</v>
      </c>
      <c r="EG7" s="2">
        <f>7.00357378150154*(1/14151.6638359215)</f>
        <v>4.9489401830788294E-4</v>
      </c>
      <c r="EH7" s="2">
        <f>7.00198196347817*(1/14151.6638359215)</f>
        <v>4.9478153556084873E-4</v>
      </c>
      <c r="EI7" s="2">
        <f>7.00071584430292*(1/14151.6638359215)</f>
        <v>4.9469206769403595E-4</v>
      </c>
      <c r="EJ7" s="2">
        <f>7.00004496785013*(1/14151.6638359215)</f>
        <v>4.9464466150487207E-4</v>
      </c>
      <c r="EK7" s="2">
        <f t="shared" ref="EK7:EM13" si="7">7*(1/14151.6638359215)</f>
        <v>4.9464148393856954E-4</v>
      </c>
      <c r="EL7" s="2">
        <f t="shared" si="7"/>
        <v>4.9464148393856954E-4</v>
      </c>
      <c r="EM7" s="2">
        <f t="shared" si="7"/>
        <v>4.9464148393856954E-4</v>
      </c>
      <c r="EN7" s="2">
        <f t="shared" si="3"/>
        <v>4.9464148393856954E-4</v>
      </c>
      <c r="EO7" s="2">
        <f t="shared" si="3"/>
        <v>4.9464148393856954E-4</v>
      </c>
      <c r="EP7" s="2">
        <f t="shared" si="3"/>
        <v>4.9464148393856954E-4</v>
      </c>
      <c r="EQ7" s="2">
        <f t="shared" si="3"/>
        <v>4.9464148393856954E-4</v>
      </c>
      <c r="ER7" s="2">
        <f t="shared" si="3"/>
        <v>4.9464148393856954E-4</v>
      </c>
      <c r="ES7" s="2">
        <f t="shared" si="3"/>
        <v>4.9464148393856954E-4</v>
      </c>
      <c r="ET7" s="2">
        <f t="shared" si="3"/>
        <v>4.9464148393856954E-4</v>
      </c>
      <c r="EU7" s="2">
        <f t="shared" si="3"/>
        <v>4.9464148393856954E-4</v>
      </c>
      <c r="EV7" s="2">
        <f t="shared" si="3"/>
        <v>4.9464148393856954E-4</v>
      </c>
      <c r="EW7" s="2">
        <f t="shared" si="3"/>
        <v>4.9464148393856954E-4</v>
      </c>
      <c r="EX7" s="2">
        <f t="shared" si="3"/>
        <v>4.9464148393856954E-4</v>
      </c>
      <c r="EY7" s="2">
        <f t="shared" si="3"/>
        <v>4.9464148393856954E-4</v>
      </c>
      <c r="EZ7" s="2">
        <f t="shared" si="3"/>
        <v>4.9464148393856954E-4</v>
      </c>
      <c r="FA7" s="2">
        <f t="shared" si="3"/>
        <v>4.9464148393856954E-4</v>
      </c>
      <c r="FB7" s="2">
        <f t="shared" si="3"/>
        <v>4.9464148393856954E-4</v>
      </c>
      <c r="FC7" s="2">
        <f t="shared" si="3"/>
        <v>4.9464148393856954E-4</v>
      </c>
      <c r="FD7" s="2">
        <f t="shared" si="3"/>
        <v>4.9464148393856954E-4</v>
      </c>
      <c r="FE7" s="2">
        <f t="shared" si="3"/>
        <v>4.9464148393856954E-4</v>
      </c>
      <c r="FF7" s="2">
        <f t="shared" si="3"/>
        <v>4.9464148393856954E-4</v>
      </c>
      <c r="FG7" s="2">
        <f t="shared" si="4"/>
        <v>4.9464148393856954E-4</v>
      </c>
      <c r="FH7" s="2">
        <f t="shared" si="4"/>
        <v>4.9464148393856954E-4</v>
      </c>
      <c r="FI7" s="2">
        <f t="shared" si="4"/>
        <v>4.9464148393856954E-4</v>
      </c>
      <c r="FJ7" s="2">
        <f t="shared" si="4"/>
        <v>4.9464148393856954E-4</v>
      </c>
      <c r="FK7" s="2">
        <f t="shared" si="4"/>
        <v>4.9464148393856954E-4</v>
      </c>
      <c r="FL7" s="2">
        <f t="shared" si="4"/>
        <v>4.9464148393856954E-4</v>
      </c>
      <c r="FM7" s="2">
        <f t="shared" si="4"/>
        <v>4.9464148393856954E-4</v>
      </c>
      <c r="FN7" s="2">
        <f t="shared" si="4"/>
        <v>4.9464148393856954E-4</v>
      </c>
      <c r="FO7" s="2">
        <f t="shared" si="4"/>
        <v>4.9464148393856954E-4</v>
      </c>
      <c r="FP7" s="2">
        <f t="shared" si="4"/>
        <v>4.9464148393856954E-4</v>
      </c>
      <c r="FQ7" s="2"/>
    </row>
    <row r="8" spans="1:173">
      <c r="B8" s="2">
        <v>9.3473372781065098</v>
      </c>
      <c r="C8" s="2">
        <f t="shared" si="5"/>
        <v>4.9464148393856954E-4</v>
      </c>
      <c r="D8" s="2">
        <f t="shared" si="5"/>
        <v>4.9464148393856954E-4</v>
      </c>
      <c r="E8" s="2">
        <f t="shared" si="5"/>
        <v>4.9464148393856954E-4</v>
      </c>
      <c r="F8" s="2">
        <f t="shared" si="0"/>
        <v>4.9464148393856954E-4</v>
      </c>
      <c r="G8" s="2">
        <f t="shared" si="0"/>
        <v>4.9464148393856954E-4</v>
      </c>
      <c r="H8" s="2">
        <f t="shared" si="0"/>
        <v>4.9464148393856954E-4</v>
      </c>
      <c r="I8" s="2">
        <f t="shared" si="0"/>
        <v>4.9464148393856954E-4</v>
      </c>
      <c r="J8" s="2">
        <f t="shared" si="0"/>
        <v>4.9464148393856954E-4</v>
      </c>
      <c r="K8" s="2">
        <f t="shared" si="0"/>
        <v>4.9464148393856954E-4</v>
      </c>
      <c r="L8" s="2">
        <f t="shared" si="0"/>
        <v>4.9464148393856954E-4</v>
      </c>
      <c r="M8" s="2">
        <f t="shared" si="0"/>
        <v>4.9464148393856954E-4</v>
      </c>
      <c r="N8" s="2">
        <f t="shared" si="0"/>
        <v>4.9464148393856954E-4</v>
      </c>
      <c r="O8" s="2">
        <f t="shared" si="0"/>
        <v>4.9464148393856954E-4</v>
      </c>
      <c r="P8" s="2">
        <f t="shared" si="0"/>
        <v>4.9464148393856954E-4</v>
      </c>
      <c r="Q8" s="2">
        <f t="shared" si="0"/>
        <v>4.9464148393856954E-4</v>
      </c>
      <c r="R8" s="2">
        <f t="shared" si="0"/>
        <v>4.9464148393856954E-4</v>
      </c>
      <c r="S8" s="2">
        <f t="shared" si="6"/>
        <v>4.9464148393856954E-4</v>
      </c>
      <c r="T8" s="2">
        <f t="shared" si="6"/>
        <v>4.9464148393856954E-4</v>
      </c>
      <c r="U8" s="2">
        <f t="shared" si="6"/>
        <v>4.9464148393856954E-4</v>
      </c>
      <c r="V8" s="2">
        <f t="shared" si="6"/>
        <v>4.9464148393856954E-4</v>
      </c>
      <c r="W8" s="2">
        <f t="shared" si="1"/>
        <v>4.9464148393856954E-4</v>
      </c>
      <c r="X8" s="2">
        <f t="shared" si="1"/>
        <v>4.9464148393856954E-4</v>
      </c>
      <c r="Y8" s="2">
        <f t="shared" si="1"/>
        <v>4.9464148393856954E-4</v>
      </c>
      <c r="Z8" s="2">
        <f t="shared" si="1"/>
        <v>4.9464148393856954E-4</v>
      </c>
      <c r="AA8" s="2">
        <f t="shared" si="1"/>
        <v>4.9464148393856954E-4</v>
      </c>
      <c r="AB8" s="2">
        <f t="shared" si="1"/>
        <v>4.9464148393856954E-4</v>
      </c>
      <c r="AC8" s="2">
        <f t="shared" si="1"/>
        <v>4.9464148393856954E-4</v>
      </c>
      <c r="AD8" s="2">
        <f t="shared" si="1"/>
        <v>4.9464148393856954E-4</v>
      </c>
      <c r="AE8" s="2">
        <f t="shared" si="1"/>
        <v>4.9464148393856954E-4</v>
      </c>
      <c r="AF8" s="2">
        <f t="shared" si="1"/>
        <v>4.9464148393856954E-4</v>
      </c>
      <c r="AG8" s="2">
        <f t="shared" si="1"/>
        <v>4.9464148393856954E-4</v>
      </c>
      <c r="AH8" s="2">
        <f t="shared" si="1"/>
        <v>4.9464148393856954E-4</v>
      </c>
      <c r="AI8" s="2">
        <f>7.00019057803149*(1/14151.6638359215)</f>
        <v>4.9465495076718414E-4</v>
      </c>
      <c r="AJ8" s="2">
        <f>7.00303381633145*(1/14151.6638359215)</f>
        <v>4.9485586271173884E-4</v>
      </c>
      <c r="AK8" s="2">
        <f>7.0083997499789*(1/14151.6638359215)</f>
        <v>4.9523503605203756E-4</v>
      </c>
      <c r="AL8" s="2">
        <f>7.01514602636367*(1/14151.6638359215)</f>
        <v>4.9571174864661218E-4</v>
      </c>
      <c r="AM8" s="2">
        <f>7.02213029287555*(1/14151.6638359215)</f>
        <v>4.9620527835399198E-4</v>
      </c>
      <c r="AN8" s="2">
        <f>7.02821019690437*(1/14151.6638359215)</f>
        <v>4.9663490303270908E-4</v>
      </c>
      <c r="AO8" s="2">
        <f>7.03224338583994*(1/14151.6638359215)</f>
        <v>4.9691990054129406E-4</v>
      </c>
      <c r="AP8" s="2">
        <f>7.03308750707208*(1/14151.6638359215)</f>
        <v>4.9697954873827838E-4</v>
      </c>
      <c r="AQ8" s="2">
        <f>7.02960020799059*(1/14151.6638359215)</f>
        <v>4.9673312548219187E-4</v>
      </c>
      <c r="AR8" s="2">
        <f>7.0206391359853*(1/14151.6638359215)</f>
        <v>4.9609990863156653E-4</v>
      </c>
      <c r="AS8" s="2">
        <f>7.00506193844601*(1/14151.6638359215)</f>
        <v>4.9499917604493241E-4</v>
      </c>
      <c r="AT8" s="2">
        <f>6.98863002167674*(1/14151.6638359215)</f>
        <v>4.9383804637426003E-4</v>
      </c>
      <c r="AU8" s="2">
        <f>6.98450163669032*(1/14151.6638359215)</f>
        <v>4.9354632202055256E-4</v>
      </c>
      <c r="AV8" s="2">
        <f>6.98730868065845*(1/14151.6638359215)</f>
        <v>4.9374467636253494E-4</v>
      </c>
      <c r="AW8" s="2">
        <f>6.99086341027595*(1/14151.6638359215)</f>
        <v>4.9399586446724931E-4</v>
      </c>
      <c r="AX8" s="2">
        <f>6.98897808223766*(1/14151.6638359215)</f>
        <v>4.9386264140173909E-4</v>
      </c>
      <c r="AY8" s="2">
        <f>6.97546495323839*(1/14151.6638359215)</f>
        <v>4.92907762233046E-4</v>
      </c>
      <c r="AZ8" s="2">
        <f>6.94413627997298*(1/14151.6638359215)</f>
        <v>4.9069398202821325E-4</v>
      </c>
      <c r="BA8" s="2">
        <f>6.88880431913624*(1/14151.6638359215)</f>
        <v>4.8678405585428239E-4</v>
      </c>
      <c r="BB8" s="2">
        <f>6.80328132742301*(1/14151.6638359215)</f>
        <v>4.8074073877829696E-4</v>
      </c>
      <c r="BC8" s="2">
        <f>6.68137956152812*(1/14151.6638359215)</f>
        <v>4.7212678586729974E-4</v>
      </c>
      <c r="BD8" s="2">
        <f>6.51789710111731*(1/14151.6638359215)</f>
        <v>4.6057461346508098E-4</v>
      </c>
      <c r="BE8" s="2">
        <f>6.34238099375627*(1/14151.6638359215)</f>
        <v>4.4817210663648295E-4</v>
      </c>
      <c r="BF8" s="2">
        <f>6.16393562458058*(1/14151.6638359215)</f>
        <v>4.3556260917776451E-4</v>
      </c>
      <c r="BG8" s="2">
        <f>5.97275580035276*(1/14151.6638359215)</f>
        <v>4.2205325604131259E-4</v>
      </c>
      <c r="BH8" s="2">
        <f>5.75903632783545*(1/14151.6638359215)</f>
        <v>4.0695118217952251E-4</v>
      </c>
      <c r="BI8" s="2">
        <f>5.5129720137912*(1/14151.6638359215)</f>
        <v>3.8956352254478332E-4</v>
      </c>
      <c r="BJ8" s="2">
        <f>5.22475766498257*(1/14151.6638359215)</f>
        <v>3.6919741208948486E-4</v>
      </c>
      <c r="BK8" s="2">
        <f>4.88458808817214*(1/14151.6638359215)</f>
        <v>3.4515998576601823E-4</v>
      </c>
      <c r="BL8" s="2">
        <f>4.48265809012248*(1/14151.6638359215)</f>
        <v>3.1675837852677394E-4</v>
      </c>
      <c r="BM8" s="2">
        <f>4.00916247759606*(1/14151.6638359215)</f>
        <v>2.8329972532413532E-4</v>
      </c>
      <c r="BN8" s="2">
        <f>3.45429605735564*(1/14151.6638359215)</f>
        <v>2.4409116111050627E-4</v>
      </c>
      <c r="BO8" s="2">
        <f>2.79164235912674*(1/14151.6638359215)</f>
        <v>1.9726601702060281E-4</v>
      </c>
      <c r="BP8" s="2">
        <f>1.96941105396961*(1/14151.6638359215)</f>
        <v>1.3916462946007859E-4</v>
      </c>
      <c r="BQ8" s="2">
        <f>1.01724573349176*(1/14151.6638359215)</f>
        <v>7.1881705592077535E-5</v>
      </c>
      <c r="BR8" s="2">
        <f>-0.0281396586963196*(1/14151.6638359215)</f>
        <v>-1.9884346478674857E-6</v>
      </c>
      <c r="BS8" s="2">
        <f>-1.13003117898353*(1/14151.6638359215)</f>
        <v>-7.9851471324180658E-5</v>
      </c>
      <c r="BT8" s="2">
        <f>-2.25171488375936*(1/14151.6638359215)</f>
        <v>-1.5911308450132765E-4</v>
      </c>
      <c r="BU8" s="2">
        <f>-3.35647682941313*(1/14151.6638359215)</f>
        <v>-2.3717895424376224E-4</v>
      </c>
      <c r="BV8" s="2">
        <f>-4.40760307233414*(1/14151.6638359215)</f>
        <v>-3.1145476061593679E-4</v>
      </c>
      <c r="BW8" s="2">
        <f>-5.36837966891169*(1/14151.6638359215)</f>
        <v>-3.7934618368230355E-4</v>
      </c>
      <c r="BX8" s="2">
        <f>-6.20209267553509*(1/14151.6638359215)</f>
        <v>-4.3825890350731569E-4</v>
      </c>
      <c r="BY8" s="2">
        <f>-6.87231204530171*(1/14151.6638359215)</f>
        <v>-4.8561866116813483E-4</v>
      </c>
      <c r="BZ8" s="2">
        <f>-7.42960214294871*(1/14151.6638359215)</f>
        <v>-5.2499848986590375E-4</v>
      </c>
      <c r="CA8" s="2">
        <f>-7.92872414810865*(1/14151.6638359215)</f>
        <v>-5.6026798262286191E-4</v>
      </c>
      <c r="CB8" s="2">
        <f>-8.36529904244247*(1/14151.6638359215)</f>
        <v>-5.9111770456337688E-4</v>
      </c>
      <c r="CC8" s="2">
        <f>-8.73494780761115*(1/14151.6638359215)</f>
        <v>-6.1723822081181912E-4</v>
      </c>
      <c r="CD8" s="2">
        <f>-9.03329142527567*(1/14151.6638359215)</f>
        <v>-6.3832009649255912E-4</v>
      </c>
      <c r="CE8" s="2">
        <f>-9.25595087709689*(1/14151.6638359215)</f>
        <v>-6.5405389672995855E-4</v>
      </c>
      <c r="CF8" s="2">
        <f>-9.39854714473581*(1/14151.6638359215)</f>
        <v>-6.6413018664838953E-4</v>
      </c>
      <c r="CG8" s="2">
        <f>-9.45670120985339*(1/14151.6638359215)</f>
        <v>-6.6823953137222101E-4</v>
      </c>
      <c r="CH8" s="2">
        <f>-9.4260340541106*(1/14151.6638359215)</f>
        <v>-6.660724960258226E-4</v>
      </c>
      <c r="CI8" s="2">
        <f>-9.30216665916837*(1/14151.6638359215)</f>
        <v>-6.573196457335612E-4</v>
      </c>
      <c r="CJ8" s="2">
        <f>-9.07262718546901*(1/14151.6638359215)</f>
        <v>-6.4109968203454268E-4</v>
      </c>
      <c r="CK8" s="2">
        <f>-8.69516544406973*(1/14151.6638359215)</f>
        <v>-6.1442707690657461E-4</v>
      </c>
      <c r="CL8" s="2">
        <f>-8.18461764033275*(1/14151.6638359215)</f>
        <v>-5.7835020215485497E-4</v>
      </c>
      <c r="CM8" s="2">
        <f>-7.56510010713975*(1/14151.6638359215)</f>
        <v>-5.3457319187706252E-4</v>
      </c>
      <c r="CN8" s="2">
        <f>-6.86072917737245*(1/14151.6638359215)</f>
        <v>-4.8480018017087862E-4</v>
      </c>
      <c r="CO8" s="2">
        <f>-6.09562118391254*(1/14151.6638359215)</f>
        <v>-4.3073530113398267E-4</v>
      </c>
      <c r="CP8" s="2">
        <f>-5.29389245964157*(1/14151.6638359215)</f>
        <v>-3.7408268886404429E-4</v>
      </c>
      <c r="CQ8" s="2">
        <f>-4.47965933744156*(1/14151.6638359215)</f>
        <v>-3.1654647745876606E-4</v>
      </c>
      <c r="CR8" s="2">
        <f>-3.67703815019404*(1/14151.6638359215)</f>
        <v>-2.5983080101581608E-4</v>
      </c>
      <c r="CS8" s="2">
        <f>-2.91014523078073*(1/14151.6638359215)</f>
        <v>-2.0563979363287589E-4</v>
      </c>
      <c r="CT8" s="2">
        <f>-2.20309691208331*(1/14151.6638359215)</f>
        <v>-1.5567758940762411E-4</v>
      </c>
      <c r="CU8" s="2">
        <f>-1.52198025948824*(1/14151.6638359215)</f>
        <v>-1.0754779629692459E-4</v>
      </c>
      <c r="CV8" s="2">
        <f>-0.809784433325019*(1/14151.6638359215)</f>
        <v>-5.7221853395748721E-5</v>
      </c>
      <c r="CW8" s="2">
        <f>-0.0786029447707692*(1/14151.6638359215)</f>
        <v>-5.5543253204792435E-6</v>
      </c>
      <c r="CX8" s="2">
        <f>0.659220451581242*(1/14151.6638359215)</f>
        <v>4.6582540344685637E-5</v>
      </c>
      <c r="CY8" s="2">
        <f>1.39134200113762*(1/14151.6638359215)</f>
        <v>9.8316496015538754E-5</v>
      </c>
      <c r="CZ8" s="2">
        <f>2.10541794930497*(1/14151.6638359215)</f>
        <v>1.487752941078729E-4</v>
      </c>
      <c r="DA8" s="2">
        <f>2.78910454149002*(1/14151.6638359215)</f>
        <v>1.9708668703748958E-4</v>
      </c>
      <c r="DB8" s="2">
        <f>3.43005802309911*(1/14151.6638359215)</f>
        <v>2.4237842722016285E-4</v>
      </c>
      <c r="DC8" s="2">
        <f>4.01593463953898*(1/14151.6638359215)</f>
        <v>2.8377826707169505E-4</v>
      </c>
      <c r="DD8" s="2">
        <f>4.53439063621624*(1/14151.6638359215)</f>
        <v>3.2041395900787932E-4</v>
      </c>
      <c r="DE8" s="2">
        <f>4.97445088769823*(1/14151.6638359215)</f>
        <v>3.515099669815124E-4</v>
      </c>
      <c r="DF8" s="2">
        <f>5.34432551624015*(1/14151.6638359215)</f>
        <v>3.776464434291128E-4</v>
      </c>
      <c r="DG8" s="2">
        <f>5.65404351256617*(1/14151.6638359215)</f>
        <v>3.9953206761556746E-4</v>
      </c>
      <c r="DH8" s="2">
        <f>5.91112536469339*(1/14151.6638359215)</f>
        <v>4.1769826030555097E-4</v>
      </c>
      <c r="DI8" s="2">
        <f>6.12309156063877*(1/14151.6638359215)</f>
        <v>4.3267644226372754E-4</v>
      </c>
      <c r="DJ8" s="2">
        <f>6.29746258841941*(1/14151.6638359215)</f>
        <v>4.4499803425477176E-4</v>
      </c>
      <c r="DK8" s="2">
        <f>6.44175893605237*(1/14151.6638359215)</f>
        <v>4.5519445704335506E-4</v>
      </c>
      <c r="DL8" s="2">
        <f>6.56350109155472*(1/14151.6638359215)</f>
        <v>4.6379713139414969E-4</v>
      </c>
      <c r="DM8" s="2">
        <f>6.67020954294352*(1/14151.6638359215)</f>
        <v>4.7133747807182725E-4</v>
      </c>
      <c r="DN8" s="2">
        <f>6.76940477823579*(1/14151.6638359215)</f>
        <v>4.7834691784105635E-4</v>
      </c>
      <c r="DO8" s="2">
        <f>6.86860728544862*(1/14151.6638359215)</f>
        <v>4.8535687146651076E-4</v>
      </c>
      <c r="DP8" s="2">
        <f>6.96088729873887*(1/14151.6638359215)</f>
        <v>4.9187766042533361E-4</v>
      </c>
      <c r="DQ8" s="2">
        <f>7.02366052084461*(1/14151.6638359215)</f>
        <v>4.9631340895876059E-4</v>
      </c>
      <c r="DR8" s="2">
        <f>7.06087029787901*(1/14151.6638359215)</f>
        <v>4.9894276600580614E-4</v>
      </c>
      <c r="DS8" s="2">
        <f>7.07721296835061*(1/14151.6638359215)</f>
        <v>5.000975892591763E-4</v>
      </c>
      <c r="DT8" s="2">
        <f>7.07738487076795*(1/14151.6638359215)</f>
        <v>5.0010973641157711E-4</v>
      </c>
      <c r="DU8" s="2">
        <f>7.06608234363958*(1/14151.6638359215)</f>
        <v>4.9931106515571525E-4</v>
      </c>
      <c r="DV8" s="2">
        <f>7.04800172547403*(1/14151.6638359215)</f>
        <v>4.9803343318429621E-4</v>
      </c>
      <c r="DW8" s="2">
        <f>7.02783935477985*(1/14151.6638359215)</f>
        <v>4.9660869819002636E-4</v>
      </c>
      <c r="DX8" s="2">
        <f>7.01029157006559*(1/14151.6638359215)</f>
        <v>4.9536871786561259E-4</v>
      </c>
      <c r="DY8" s="2">
        <f>7.00005470983977*(1/14151.6638359215)</f>
        <v>4.9464534990375955E-4</v>
      </c>
      <c r="DZ8" s="2">
        <f>7.0012654846115*(1/14151.6638359215)</f>
        <v>4.9473090696516007E-4</v>
      </c>
      <c r="EA8" s="2">
        <f>7.00515978399633*(1/14151.6638359215)</f>
        <v>4.9500609011181914E-4</v>
      </c>
      <c r="EB8" s="2">
        <f>7.00740005199765*(1/14151.6638359215)</f>
        <v>4.9516439432447529E-4</v>
      </c>
      <c r="EC8" s="2">
        <f>7.00827187676802*(1/14151.6638359215)</f>
        <v>4.9522600013849672E-4</v>
      </c>
      <c r="ED8" s="2">
        <f>7.00806084645999*(1/14151.6638359215)</f>
        <v>4.9521108808925102E-4</v>
      </c>
      <c r="EE8" s="2">
        <f>7.00705254922609*(1/14151.6638359215)</f>
        <v>4.9513983871210423E-4</v>
      </c>
      <c r="EF8" s="2">
        <f>7.00553257321889*(1/14151.6638359215)</f>
        <v>4.9503243254242534E-4</v>
      </c>
      <c r="EG8" s="2">
        <f>7.00378650659092*(1/14151.6638359215)</f>
        <v>4.9490905011558039E-4</v>
      </c>
      <c r="EH8" s="2">
        <f>7.00209993749472*(1/14151.6638359215)</f>
        <v>4.9478987196693619E-4</v>
      </c>
      <c r="EI8" s="2">
        <f>7.00075845408286*(1/14151.6638359215)</f>
        <v>4.9469507863186173E-4</v>
      </c>
      <c r="EJ8" s="2">
        <f>7.00004764450787*(1/14151.6638359215)</f>
        <v>4.9464485064572305E-4</v>
      </c>
      <c r="EK8" s="2">
        <f t="shared" si="7"/>
        <v>4.9464148393856954E-4</v>
      </c>
      <c r="EL8" s="2">
        <f t="shared" si="7"/>
        <v>4.9464148393856954E-4</v>
      </c>
      <c r="EM8" s="2">
        <f t="shared" si="7"/>
        <v>4.9464148393856954E-4</v>
      </c>
      <c r="EN8" s="2">
        <f t="shared" si="3"/>
        <v>4.9464148393856954E-4</v>
      </c>
      <c r="EO8" s="2">
        <f t="shared" si="3"/>
        <v>4.9464148393856954E-4</v>
      </c>
      <c r="EP8" s="2">
        <f t="shared" si="3"/>
        <v>4.9464148393856954E-4</v>
      </c>
      <c r="EQ8" s="2">
        <f t="shared" si="3"/>
        <v>4.9464148393856954E-4</v>
      </c>
      <c r="ER8" s="2">
        <f t="shared" si="3"/>
        <v>4.9464148393856954E-4</v>
      </c>
      <c r="ES8" s="2">
        <f t="shared" si="3"/>
        <v>4.9464148393856954E-4</v>
      </c>
      <c r="ET8" s="2">
        <f t="shared" si="3"/>
        <v>4.9464148393856954E-4</v>
      </c>
      <c r="EU8" s="2">
        <f t="shared" si="3"/>
        <v>4.9464148393856954E-4</v>
      </c>
      <c r="EV8" s="2">
        <f t="shared" si="3"/>
        <v>4.9464148393856954E-4</v>
      </c>
      <c r="EW8" s="2">
        <f t="shared" si="3"/>
        <v>4.9464148393856954E-4</v>
      </c>
      <c r="EX8" s="2">
        <f t="shared" si="3"/>
        <v>4.9464148393856954E-4</v>
      </c>
      <c r="EY8" s="2">
        <f t="shared" si="3"/>
        <v>4.9464148393856954E-4</v>
      </c>
      <c r="EZ8" s="2">
        <f t="shared" si="3"/>
        <v>4.9464148393856954E-4</v>
      </c>
      <c r="FA8" s="2">
        <f t="shared" si="3"/>
        <v>4.9464148393856954E-4</v>
      </c>
      <c r="FB8" s="2">
        <f t="shared" si="3"/>
        <v>4.9464148393856954E-4</v>
      </c>
      <c r="FC8" s="2">
        <f t="shared" si="3"/>
        <v>4.9464148393856954E-4</v>
      </c>
      <c r="FD8" s="2">
        <f t="shared" si="3"/>
        <v>4.9464148393856954E-4</v>
      </c>
      <c r="FE8" s="2">
        <f t="shared" si="3"/>
        <v>4.9464148393856954E-4</v>
      </c>
      <c r="FF8" s="2">
        <f t="shared" si="3"/>
        <v>4.9464148393856954E-4</v>
      </c>
      <c r="FG8" s="2">
        <f t="shared" si="4"/>
        <v>4.9464148393856954E-4</v>
      </c>
      <c r="FH8" s="2">
        <f t="shared" si="4"/>
        <v>4.9464148393856954E-4</v>
      </c>
      <c r="FI8" s="2">
        <f t="shared" si="4"/>
        <v>4.9464148393856954E-4</v>
      </c>
      <c r="FJ8" s="2">
        <f t="shared" si="4"/>
        <v>4.9464148393856954E-4</v>
      </c>
      <c r="FK8" s="2">
        <f t="shared" si="4"/>
        <v>4.9464148393856954E-4</v>
      </c>
      <c r="FL8" s="2">
        <f t="shared" si="4"/>
        <v>4.9464148393856954E-4</v>
      </c>
      <c r="FM8" s="2">
        <f t="shared" si="4"/>
        <v>4.9464148393856954E-4</v>
      </c>
      <c r="FN8" s="2">
        <f t="shared" si="4"/>
        <v>4.9464148393856954E-4</v>
      </c>
      <c r="FO8" s="2">
        <f t="shared" si="4"/>
        <v>4.9464148393856954E-4</v>
      </c>
      <c r="FP8" s="2">
        <f t="shared" si="4"/>
        <v>4.9464148393856954E-4</v>
      </c>
      <c r="FQ8" s="2"/>
    </row>
    <row r="9" spans="1:173">
      <c r="B9" s="2">
        <v>9.3568047337278113</v>
      </c>
      <c r="C9" s="2">
        <f t="shared" si="5"/>
        <v>4.9464148393856954E-4</v>
      </c>
      <c r="D9" s="2">
        <f t="shared" si="5"/>
        <v>4.9464148393856954E-4</v>
      </c>
      <c r="E9" s="2">
        <f t="shared" si="5"/>
        <v>4.9464148393856954E-4</v>
      </c>
      <c r="F9" s="2">
        <f t="shared" si="0"/>
        <v>4.9464148393856954E-4</v>
      </c>
      <c r="G9" s="2">
        <f t="shared" si="0"/>
        <v>4.9464148393856954E-4</v>
      </c>
      <c r="H9" s="2">
        <f t="shared" si="0"/>
        <v>4.9464148393856954E-4</v>
      </c>
      <c r="I9" s="2">
        <f t="shared" si="0"/>
        <v>4.9464148393856954E-4</v>
      </c>
      <c r="J9" s="2">
        <f t="shared" si="0"/>
        <v>4.9464148393856954E-4</v>
      </c>
      <c r="K9" s="2">
        <f t="shared" si="0"/>
        <v>4.9464148393856954E-4</v>
      </c>
      <c r="L9" s="2">
        <f t="shared" si="0"/>
        <v>4.9464148393856954E-4</v>
      </c>
      <c r="M9" s="2">
        <f t="shared" si="0"/>
        <v>4.9464148393856954E-4</v>
      </c>
      <c r="N9" s="2">
        <f t="shared" si="0"/>
        <v>4.9464148393856954E-4</v>
      </c>
      <c r="O9" s="2">
        <f>7*(1/14151.6638359215)</f>
        <v>4.9464148393856954E-4</v>
      </c>
      <c r="P9" s="2">
        <f t="shared" si="0"/>
        <v>4.9464148393856954E-4</v>
      </c>
      <c r="Q9" s="2">
        <f>7*(1/14151.6638359215)</f>
        <v>4.9464148393856954E-4</v>
      </c>
      <c r="R9" s="2">
        <f t="shared" si="0"/>
        <v>4.9464148393856954E-4</v>
      </c>
      <c r="S9" s="2">
        <f t="shared" si="6"/>
        <v>4.9464148393856954E-4</v>
      </c>
      <c r="T9" s="2">
        <f t="shared" si="6"/>
        <v>4.9464148393856954E-4</v>
      </c>
      <c r="U9" s="2">
        <f t="shared" si="6"/>
        <v>4.9464148393856954E-4</v>
      </c>
      <c r="V9" s="2">
        <f t="shared" si="6"/>
        <v>4.9464148393856954E-4</v>
      </c>
      <c r="W9" s="2">
        <f t="shared" si="1"/>
        <v>4.9464148393856954E-4</v>
      </c>
      <c r="X9" s="2">
        <f t="shared" si="1"/>
        <v>4.9464148393856954E-4</v>
      </c>
      <c r="Y9" s="2">
        <f t="shared" si="1"/>
        <v>4.9464148393856954E-4</v>
      </c>
      <c r="Z9" s="2">
        <f t="shared" si="1"/>
        <v>4.9464148393856954E-4</v>
      </c>
      <c r="AA9" s="2">
        <f t="shared" si="1"/>
        <v>4.9464148393856954E-4</v>
      </c>
      <c r="AB9" s="2">
        <f t="shared" si="1"/>
        <v>4.9464148393856954E-4</v>
      </c>
      <c r="AC9" s="2">
        <f t="shared" si="1"/>
        <v>4.9464148393856954E-4</v>
      </c>
      <c r="AD9" s="2">
        <f t="shared" si="1"/>
        <v>4.9464148393856954E-4</v>
      </c>
      <c r="AE9" s="2">
        <f t="shared" si="1"/>
        <v>4.9464148393856954E-4</v>
      </c>
      <c r="AF9" s="2">
        <f>7*(1/14151.6638359215)</f>
        <v>4.9464148393856954E-4</v>
      </c>
      <c r="AG9" s="2">
        <f t="shared" si="1"/>
        <v>4.9464148393856954E-4</v>
      </c>
      <c r="AH9" s="2">
        <f>7*(1/14151.6638359215)</f>
        <v>4.9464148393856954E-4</v>
      </c>
      <c r="AI9" s="2">
        <f>7.00018758017481*(1/14151.6638359215)</f>
        <v>4.9465473892943031E-4</v>
      </c>
      <c r="AJ9" s="2">
        <f>7.00298609337792*(1/14151.6638359215)</f>
        <v>4.9485249046137437E-4</v>
      </c>
      <c r="AK9" s="2">
        <f>7.00826761908036*(1/14151.6638359215)</f>
        <v>4.9522569927721932E-4</v>
      </c>
      <c r="AL9" s="2">
        <f>7.01490777426356*(1/14151.6638359215)</f>
        <v>4.9569491302199078E-4</v>
      </c>
      <c r="AM9" s="2">
        <f>7.02178217590897*(1/14151.6638359215)</f>
        <v>4.9618067934071577E-4</v>
      </c>
      <c r="AN9" s="2">
        <f>7.02776644099801*(1/14151.6638359215)</f>
        <v>4.9660354587841937E-4</v>
      </c>
      <c r="AO9" s="2">
        <f>7.03173618651212*(1/14151.6638359215)</f>
        <v>4.9688406028012763E-4</v>
      </c>
      <c r="AP9" s="2">
        <f>7.03256702943274*(1/14151.6638359215)</f>
        <v>4.9694277019086692E-4</v>
      </c>
      <c r="AQ9" s="2">
        <f>7.0291345867413*(1/14151.6638359215)</f>
        <v>4.9670022325566296E-4</v>
      </c>
      <c r="AR9" s="2">
        <f>7.02031447541924*(1/14151.6638359215)</f>
        <v>4.9607696711954192E-4</v>
      </c>
      <c r="AS9" s="2">
        <f>7.00498231244799*(1/14151.6638359215)</f>
        <v>4.9499354942752951E-4</v>
      </c>
      <c r="AT9" s="2">
        <f>6.98880887526834*(1/14151.6638359215)</f>
        <v>4.9385068471796819E-4</v>
      </c>
      <c r="AU9" s="2">
        <f>6.98474543116935*(1/14151.6638359215)</f>
        <v>4.9356354928667878E-4</v>
      </c>
      <c r="AV9" s="2">
        <f>6.98750831938967*(1/14151.6638359215)</f>
        <v>4.9375878344800098E-4</v>
      </c>
      <c r="AW9" s="2">
        <f>6.99100713191206*(1/14151.6638359215)</f>
        <v>4.9400602027915776E-4</v>
      </c>
      <c r="AX9" s="2">
        <f>6.98915146071931*(1/14151.6638359215)</f>
        <v>4.9387489285737435E-4</v>
      </c>
      <c r="AY9" s="2">
        <f>6.97585089779419*(1/14151.6638359215)</f>
        <v>4.9293503425987446E-4</v>
      </c>
      <c r="AZ9" s="2">
        <f>6.94501503511947*(1/14151.6638359215)</f>
        <v>4.907560775638816E-4</v>
      </c>
      <c r="BA9" s="2">
        <f>6.89055346467792*(1/14151.6638359215)</f>
        <v>4.8690765584661971E-4</v>
      </c>
      <c r="BB9" s="2">
        <f>6.80637577845231*(1/14151.6638359215)</f>
        <v>4.8095940218531244E-4</v>
      </c>
      <c r="BC9" s="2">
        <f>6.68639156842543*(1/14151.6638359215)</f>
        <v>4.7248094965718487E-4</v>
      </c>
      <c r="BD9" s="2">
        <f>6.52548074222333*(1/14151.6638359215)</f>
        <v>4.6111049682084372E-4</v>
      </c>
      <c r="BE9" s="2">
        <f>6.35272556239381*(1/14151.6638359215)</f>
        <v>4.4890308560527971E-4</v>
      </c>
      <c r="BF9" s="2">
        <f>6.17708719902538*(1/14151.6638359215)</f>
        <v>4.3649193979197949E-4</v>
      </c>
      <c r="BG9" s="2">
        <f>5.9889146978753*(1/14151.6638359215)</f>
        <v>4.2319509333407833E-4</v>
      </c>
      <c r="BH9" s="2">
        <f>5.77855710470096*(1/14151.6638359215)</f>
        <v>4.08330580184721E-4</v>
      </c>
      <c r="BI9" s="2">
        <f>5.53636346525966*(1/14151.6638359215)</f>
        <v>3.9121643429704559E-4</v>
      </c>
      <c r="BJ9" s="2">
        <f>5.25268282530869*(1/14151.6638359215)</f>
        <v>3.7117068962418977E-4</v>
      </c>
      <c r="BK9" s="2">
        <f>4.91786423060539*(1/14151.6638359215)</f>
        <v>3.4751138011929449E-4</v>
      </c>
      <c r="BL9" s="2">
        <f>4.52225672690708*(1/14151.6638359215)</f>
        <v>3.1955653973549949E-4</v>
      </c>
      <c r="BM9" s="2">
        <f>4.05620935997096*(1/14151.6638359215)</f>
        <v>2.8662420242593585E-4</v>
      </c>
      <c r="BN9" s="2">
        <f>3.51007117555454*(1/14151.6638359215)</f>
        <v>2.4803240214375674E-4</v>
      </c>
      <c r="BO9" s="2">
        <f>2.8578412433652*(1/14151.6638359215)</f>
        <v>2.0194383335414418E-4</v>
      </c>
      <c r="BP9" s="2">
        <f>2.04854391379481*(1/14151.6638359215)</f>
        <v>1.4475640020468429E-4</v>
      </c>
      <c r="BQ9" s="2">
        <f>1.11135647476268*(1/14151.6638359215)</f>
        <v>7.8531859408764216E-5</v>
      </c>
      <c r="BR9" s="2">
        <f>0.0824153471708247*(1/14151.6638359215)</f>
        <v>5.8237213748413033E-6</v>
      </c>
      <c r="BS9" s="2">
        <f>-1.00214304807816*(1/14151.6638359215)</f>
        <v>-7.0814503488586032E-5</v>
      </c>
      <c r="BT9" s="2">
        <f>-2.10618229008224*(1/14151.6638359215)</f>
        <v>-1.4882930477305915E-4</v>
      </c>
      <c r="BU9" s="2">
        <f>-3.1935659579392*(1/14151.6638359215)</f>
        <v>-2.2566717207010646E-4</v>
      </c>
      <c r="BV9" s="2">
        <f>-4.22815763074684*(1/14151.6638359215)</f>
        <v>-2.9877459497125761E-4</v>
      </c>
      <c r="BW9" s="2">
        <f>-5.17382088760295*(1/14151.6638359215)</f>
        <v>-3.6559806306804148E-4</v>
      </c>
      <c r="BX9" s="2">
        <f>-5.99441930760531*(1/14151.6638359215)</f>
        <v>-4.2358406595198613E-4</v>
      </c>
      <c r="BY9" s="2">
        <f>-6.65409590076886*(1/14151.6638359215)</f>
        <v>-4.701988386608374E-4</v>
      </c>
      <c r="BZ9" s="2">
        <f>-7.20261963732928*(1/14151.6638359215)</f>
        <v>-5.0895920937909101E-4</v>
      </c>
      <c r="CA9" s="2">
        <f>-7.69389028510467*(1/14151.6638359215)</f>
        <v>-5.436739011263883E-4</v>
      </c>
      <c r="CB9" s="2">
        <f>-8.12359770919055*(1/14151.6638359215)</f>
        <v>-5.7403834654199684E-4</v>
      </c>
      <c r="CC9" s="2">
        <f>-8.48743177468241*(1/14151.6638359215)</f>
        <v>-5.9974797826518205E-4</v>
      </c>
      <c r="CD9" s="2">
        <f>-8.78108234667581*(1/14151.6638359215)</f>
        <v>-6.2049822893521414E-4</v>
      </c>
      <c r="CE9" s="2">
        <f>-9.00023929026612*(1/14151.6638359215)</f>
        <v>-6.3598453119135016E-4</v>
      </c>
      <c r="CF9" s="2">
        <f>-9.14059247054893*(1/14151.6638359215)</f>
        <v>-6.4590231767286258E-4</v>
      </c>
      <c r="CG9" s="2">
        <f>-9.19783175261972*(1/14151.6638359215)</f>
        <v>-6.4994702101901607E-4</v>
      </c>
      <c r="CH9" s="2">
        <f>-9.167647001574*(1/14151.6638359215)</f>
        <v>-6.4781407386907733E-4</v>
      </c>
      <c r="CI9" s="2">
        <f>-9.04572808250727*(1/14151.6638359215)</f>
        <v>-6.3919890886231256E-4</v>
      </c>
      <c r="CJ9" s="2">
        <f>-8.81979934210205*(1/14151.6638359215)</f>
        <v>-6.2323409065968241E-4</v>
      </c>
      <c r="CK9" s="2">
        <f>-8.44827520112928*(1/14151.6638359215)</f>
        <v>-5.9698105460114339E-4</v>
      </c>
      <c r="CL9" s="2">
        <f>-7.94575848643985*(1/14151.6638359215)</f>
        <v>-5.614716812500128E-4</v>
      </c>
      <c r="CM9" s="2">
        <f>-7.33598617287011*(1/14151.6638359215)</f>
        <v>-5.1838329810018557E-4</v>
      </c>
      <c r="CN9" s="2">
        <f>-6.64269523525645*(1/14151.6638359215)</f>
        <v>-4.6939323264555936E-4</v>
      </c>
      <c r="CO9" s="2">
        <f>-5.88962264843524*(1/14151.6638359215)</f>
        <v>-4.1617881238003072E-4</v>
      </c>
      <c r="CP9" s="2">
        <f>-5.1005053872427*(1/14151.6638359215)</f>
        <v>-3.6041736479748538E-4</v>
      </c>
      <c r="CQ9" s="2">
        <f>-4.29908042651549*(1/14151.6638359215)</f>
        <v>-3.0378621739184005E-4</v>
      </c>
      <c r="CR9" s="2">
        <f>-3.50908474108985*(1/14151.6638359215)</f>
        <v>-2.4796269765698205E-4</v>
      </c>
      <c r="CS9" s="2">
        <f>-2.75425530580214*(1/14151.6638359215)</f>
        <v>-1.9462413308680705E-4</v>
      </c>
      <c r="CT9" s="2">
        <f>-2.05832909548873*(1/14151.6638359215)</f>
        <v>-1.4544785117521128E-4</v>
      </c>
      <c r="CU9" s="2">
        <f>-1.38792663742886*(1/14151.6638359215)</f>
        <v>-9.8075155933668605E-5</v>
      </c>
      <c r="CV9" s="2">
        <f>-0.686933891677198*(1/14151.6638359215)</f>
        <v>-4.8540857078129401E-5</v>
      </c>
      <c r="CW9" s="2">
        <f>0.0327458655964232*(1/14151.6638359215)</f>
        <v>2.3139233644953894E-6</v>
      </c>
      <c r="CX9" s="2">
        <f>0.758963051219299*(1/14151.6638359215)</f>
        <v>5.3630658558522656E-5</v>
      </c>
      <c r="CY9" s="2">
        <f>1.47956808201861*(1/14151.6638359215)</f>
        <v>1.045508216682612E-4</v>
      </c>
      <c r="CZ9" s="2">
        <f>2.18241137482153*(1/14151.6638359215)</f>
        <v>1.5421588585801932E-4</v>
      </c>
      <c r="DA9" s="2">
        <f>2.85534334645535*(1/14151.6638359215)</f>
        <v>2.0176732429211364E-4</v>
      </c>
      <c r="DB9" s="2">
        <f>3.486214413747*(1/14151.6638359215)</f>
        <v>2.4634661013483522E-4</v>
      </c>
      <c r="DC9" s="2">
        <f>4.06287499352377*(1/14151.6638359215)</f>
        <v>2.8709521655050053E-4</v>
      </c>
      <c r="DD9" s="2">
        <f>4.57317550261284*(1/14151.6638359215)</f>
        <v>3.231546167034184E-4</v>
      </c>
      <c r="DE9" s="2">
        <f>5.0063134580041*(1/14151.6638359215)</f>
        <v>3.5376147398982565E-4</v>
      </c>
      <c r="DF9" s="2">
        <f>5.37036983396222*(1/14151.6638359215)</f>
        <v>3.7948681485285745E-4</v>
      </c>
      <c r="DG9" s="2">
        <f>5.67521586180671*(1/14151.6638359215)</f>
        <v>4.0102817079368269E-4</v>
      </c>
      <c r="DH9" s="2">
        <f>5.92825372974316*(1/14151.6638359215)</f>
        <v>4.1890860314921661E-4</v>
      </c>
      <c r="DI9" s="2">
        <f>6.13688562597704*(1/14151.6638359215)</f>
        <v>4.3365117325636581E-4</v>
      </c>
      <c r="DJ9" s="2">
        <f>6.30851373871394*(1/14151.6638359215)</f>
        <v>4.4577894245204525E-4</v>
      </c>
      <c r="DK9" s="2">
        <f>6.45054025615942*(1/14151.6638359215)</f>
        <v>4.5581497207316802E-4</v>
      </c>
      <c r="DL9" s="2">
        <f>6.57036736651903*(1/14151.6638359215)</f>
        <v>4.6428232345664634E-4</v>
      </c>
      <c r="DM9" s="2">
        <f>6.67539725799834*(1/14151.6638359215)</f>
        <v>4.7170405793939388E-4</v>
      </c>
      <c r="DN9" s="2">
        <f>6.77303211880287*(1/14151.6638359215)</f>
        <v>4.786032368583208E-4</v>
      </c>
      <c r="DO9" s="2">
        <f>6.87067413713819*(1/14151.6638359215)</f>
        <v>4.8550292155034072E-4</v>
      </c>
      <c r="DP9" s="2">
        <f>6.96150255471376*(1/14151.6638359215)</f>
        <v>4.9192113630082239E-4</v>
      </c>
      <c r="DQ9" s="2">
        <f>7.02328833287627*(1/14151.6638359215)</f>
        <v>4.9628710901462294E-4</v>
      </c>
      <c r="DR9" s="2">
        <f>7.0599127875753*(1/14151.6638359215)</f>
        <v>4.9887510538901845E-4</v>
      </c>
      <c r="DS9" s="2">
        <f>7.07599838233161*(1/14151.6638359215)</f>
        <v>5.0001176288334652E-4</v>
      </c>
      <c r="DT9" s="2">
        <f>7.07616758066599*(1/14151.6638359215)</f>
        <v>5.0002371895694611E-4</v>
      </c>
      <c r="DU9" s="2">
        <f>7.06504284609918*(1/14151.6638359215)</f>
        <v>4.9923761106915332E-4</v>
      </c>
      <c r="DV9" s="2">
        <f>7.04724664215197*(1/14151.6638359215)</f>
        <v>4.9798007667930741E-4</v>
      </c>
      <c r="DW9" s="2">
        <f>7.02740143234511*(1/14151.6638359215)</f>
        <v>4.9657775324674493E-4</v>
      </c>
      <c r="DX9" s="2">
        <f>7.01012968019939*(1/14151.6638359215)</f>
        <v>4.9535727823080524E-4</v>
      </c>
      <c r="DY9" s="2">
        <f>7.00005384923555*(1/14151.6638359215)</f>
        <v>4.9464528909082402E-4</v>
      </c>
      <c r="DZ9" s="2">
        <f>7.001245578112*(1/14151.6638359215)</f>
        <v>4.9472950031080967E-4</v>
      </c>
      <c r="EA9" s="2">
        <f>7.00507861885481*(1/14151.6638359215)</f>
        <v>4.9500035473381263E-4</v>
      </c>
      <c r="EB9" s="2">
        <f>7.00728364668533*(1/14151.6638359215)</f>
        <v>4.951561687678433E-4</v>
      </c>
      <c r="EC9" s="2">
        <f>7.00814175735818*(1/14151.6638359215)</f>
        <v>4.952168055016435E-4</v>
      </c>
      <c r="ED9" s="2">
        <f>7.00793404662803*(1/14151.6638359215)</f>
        <v>4.9520212802395909E-4</v>
      </c>
      <c r="EE9" s="2">
        <f>7.0069416102495*(1/14151.6638359215)</f>
        <v>4.9513199942353178E-4</v>
      </c>
      <c r="EF9" s="2">
        <f>7.00544554397724*(1/14151.6638359215)</f>
        <v>4.9502628278910591E-4</v>
      </c>
      <c r="EG9" s="2">
        <f>7.00372694356589*(1/14151.6638359215)</f>
        <v>4.9490484120942482E-4</v>
      </c>
      <c r="EH9" s="2">
        <f>7.00206690477009*(1/14151.6638359215)</f>
        <v>4.9478753777323198E-4</v>
      </c>
      <c r="EI9" s="2">
        <f>7.00074652334448*(1/14151.6638359215)</f>
        <v>4.9469423556927075E-4</v>
      </c>
      <c r="EJ9" s="2">
        <f>7.0000468950437*(1/14151.6638359215)</f>
        <v>4.9464479768628457E-4</v>
      </c>
      <c r="EK9" s="2">
        <f t="shared" si="7"/>
        <v>4.9464148393856954E-4</v>
      </c>
      <c r="EL9" s="2">
        <f t="shared" si="7"/>
        <v>4.9464148393856954E-4</v>
      </c>
      <c r="EM9" s="2">
        <f t="shared" si="7"/>
        <v>4.9464148393856954E-4</v>
      </c>
      <c r="EN9" s="2">
        <f t="shared" si="3"/>
        <v>4.9464148393856954E-4</v>
      </c>
      <c r="EO9" s="2">
        <f>7*(1/14151.6638359215)</f>
        <v>4.9464148393856954E-4</v>
      </c>
      <c r="EP9" s="2">
        <f t="shared" si="3"/>
        <v>4.9464148393856954E-4</v>
      </c>
      <c r="EQ9" s="2">
        <f t="shared" si="3"/>
        <v>4.9464148393856954E-4</v>
      </c>
      <c r="ER9" s="2">
        <f t="shared" si="3"/>
        <v>4.9464148393856954E-4</v>
      </c>
      <c r="ES9" s="2">
        <f t="shared" si="3"/>
        <v>4.9464148393856954E-4</v>
      </c>
      <c r="ET9" s="2">
        <f t="shared" si="3"/>
        <v>4.9464148393856954E-4</v>
      </c>
      <c r="EU9" s="2">
        <f t="shared" si="3"/>
        <v>4.9464148393856954E-4</v>
      </c>
      <c r="EV9" s="2">
        <f t="shared" si="3"/>
        <v>4.9464148393856954E-4</v>
      </c>
      <c r="EW9" s="2">
        <f t="shared" si="3"/>
        <v>4.9464148393856954E-4</v>
      </c>
      <c r="EX9" s="2">
        <f t="shared" si="3"/>
        <v>4.9464148393856954E-4</v>
      </c>
      <c r="EY9" s="2">
        <f t="shared" si="3"/>
        <v>4.9464148393856954E-4</v>
      </c>
      <c r="EZ9" s="2">
        <f t="shared" si="3"/>
        <v>4.9464148393856954E-4</v>
      </c>
      <c r="FA9" s="2">
        <f t="shared" si="3"/>
        <v>4.9464148393856954E-4</v>
      </c>
      <c r="FB9" s="2">
        <f t="shared" si="3"/>
        <v>4.9464148393856954E-4</v>
      </c>
      <c r="FC9" s="2">
        <f t="shared" si="3"/>
        <v>4.9464148393856954E-4</v>
      </c>
      <c r="FD9" s="2">
        <f t="shared" si="3"/>
        <v>4.9464148393856954E-4</v>
      </c>
      <c r="FE9" s="2">
        <f t="shared" si="3"/>
        <v>4.9464148393856954E-4</v>
      </c>
      <c r="FF9" s="2">
        <f t="shared" si="3"/>
        <v>4.9464148393856954E-4</v>
      </c>
      <c r="FG9" s="2">
        <f t="shared" si="4"/>
        <v>4.9464148393856954E-4</v>
      </c>
      <c r="FH9" s="2">
        <f t="shared" si="4"/>
        <v>4.9464148393856954E-4</v>
      </c>
      <c r="FI9" s="2">
        <f t="shared" si="4"/>
        <v>4.9464148393856954E-4</v>
      </c>
      <c r="FJ9" s="2">
        <f t="shared" si="4"/>
        <v>4.9464148393856954E-4</v>
      </c>
      <c r="FK9" s="2">
        <f t="shared" si="4"/>
        <v>4.9464148393856954E-4</v>
      </c>
      <c r="FL9" s="2">
        <f t="shared" si="4"/>
        <v>4.9464148393856954E-4</v>
      </c>
      <c r="FM9" s="2">
        <f t="shared" si="4"/>
        <v>4.9464148393856954E-4</v>
      </c>
      <c r="FN9" s="2">
        <f t="shared" si="4"/>
        <v>4.9464148393856954E-4</v>
      </c>
      <c r="FO9" s="2">
        <f t="shared" si="4"/>
        <v>4.9464148393856954E-4</v>
      </c>
      <c r="FP9" s="2">
        <f t="shared" si="4"/>
        <v>4.9464148393856954E-4</v>
      </c>
      <c r="FQ9" s="2"/>
    </row>
    <row r="10" spans="1:173">
      <c r="B10" s="2">
        <v>9.3662721893491128</v>
      </c>
      <c r="C10" s="2">
        <f t="shared" si="5"/>
        <v>4.9464148393856954E-4</v>
      </c>
      <c r="D10" s="2">
        <f t="shared" si="5"/>
        <v>4.9464148393856954E-4</v>
      </c>
      <c r="E10" s="2">
        <f t="shared" si="5"/>
        <v>4.9464148393856954E-4</v>
      </c>
      <c r="F10" s="2">
        <f t="shared" si="0"/>
        <v>4.9464148393856954E-4</v>
      </c>
      <c r="G10" s="2">
        <f t="shared" si="0"/>
        <v>4.9464148393856954E-4</v>
      </c>
      <c r="H10" s="2">
        <f t="shared" si="0"/>
        <v>4.9464148393856954E-4</v>
      </c>
      <c r="I10" s="2">
        <f t="shared" si="0"/>
        <v>4.9464148393856954E-4</v>
      </c>
      <c r="J10" s="2">
        <f t="shared" si="0"/>
        <v>4.9464148393856954E-4</v>
      </c>
      <c r="K10" s="2">
        <f t="shared" si="0"/>
        <v>4.9464148393856954E-4</v>
      </c>
      <c r="L10" s="2">
        <f t="shared" si="0"/>
        <v>4.9464148393856954E-4</v>
      </c>
      <c r="M10" s="2">
        <f t="shared" si="0"/>
        <v>4.9464148393856954E-4</v>
      </c>
      <c r="N10" s="2">
        <f t="shared" si="0"/>
        <v>4.9464148393856954E-4</v>
      </c>
      <c r="O10" s="2">
        <f>7*(1/14151.6638359215)</f>
        <v>4.9464148393856954E-4</v>
      </c>
      <c r="P10" s="2">
        <f t="shared" si="0"/>
        <v>4.9464148393856954E-4</v>
      </c>
      <c r="Q10" s="2">
        <f>7*(1/14151.6638359215)</f>
        <v>4.9464148393856954E-4</v>
      </c>
      <c r="R10" s="2">
        <f t="shared" si="0"/>
        <v>4.9464148393856954E-4</v>
      </c>
      <c r="S10" s="2">
        <f t="shared" si="6"/>
        <v>4.9464148393856954E-4</v>
      </c>
      <c r="T10" s="2">
        <f t="shared" si="6"/>
        <v>4.9464148393856954E-4</v>
      </c>
      <c r="U10" s="2">
        <f t="shared" si="6"/>
        <v>4.9464148393856954E-4</v>
      </c>
      <c r="V10" s="2">
        <f t="shared" si="6"/>
        <v>4.9464148393856954E-4</v>
      </c>
      <c r="W10" s="2">
        <f t="shared" si="1"/>
        <v>4.9464148393856954E-4</v>
      </c>
      <c r="X10" s="2">
        <f t="shared" si="1"/>
        <v>4.9464148393856954E-4</v>
      </c>
      <c r="Y10" s="2">
        <f>7*(1/14151.6638359215)</f>
        <v>4.9464148393856954E-4</v>
      </c>
      <c r="Z10" s="2">
        <f>7*(1/14151.6638359215)</f>
        <v>4.9464148393856954E-4</v>
      </c>
      <c r="AA10" s="2">
        <f>7*(1/14151.6638359215)</f>
        <v>4.9464148393856954E-4</v>
      </c>
      <c r="AB10" s="2">
        <f t="shared" si="1"/>
        <v>4.9464148393856954E-4</v>
      </c>
      <c r="AC10" s="2">
        <f>7*(1/14151.6638359215)</f>
        <v>4.9464148393856954E-4</v>
      </c>
      <c r="AD10" s="2">
        <f>7*(1/14151.6638359215)</f>
        <v>4.9464148393856954E-4</v>
      </c>
      <c r="AE10" s="2">
        <f>7*(1/14151.6638359215)</f>
        <v>4.9464148393856954E-4</v>
      </c>
      <c r="AF10" s="2">
        <f>7*(1/14151.6638359215)</f>
        <v>4.9464148393856954E-4</v>
      </c>
      <c r="AG10" s="2">
        <f>7*(1/14151.6638359215)</f>
        <v>4.9464148393856954E-4</v>
      </c>
      <c r="AH10" s="2">
        <f>7*(1/14151.6638359215)</f>
        <v>4.9464148393856954E-4</v>
      </c>
      <c r="AI10" s="2">
        <f>7.00017087783048*(1/14151.6638359215)</f>
        <v>4.9465355869051828E-4</v>
      </c>
      <c r="AJ10" s="2">
        <f>7.00272020835112*(1/14151.6638359215)</f>
        <v>4.9483370220934392E-4</v>
      </c>
      <c r="AK10" s="2">
        <f>7.00753146121704*(1/14151.6638359215)</f>
        <v>4.9517368010322993E-4</v>
      </c>
      <c r="AL10" s="2">
        <f>7.01358036970585*(1/14151.6638359215)</f>
        <v>4.9560111454196047E-4</v>
      </c>
      <c r="AM10" s="2">
        <f>7.01984266709516*(1/14151.6638359215)</f>
        <v>4.9604362769531938E-4</v>
      </c>
      <c r="AN10" s="2">
        <f>7.02529408666257*(1/14151.6638359215)</f>
        <v>4.9642884173309017E-4</v>
      </c>
      <c r="AO10" s="2">
        <f>7.0289103616857*(1/14151.6638359215)</f>
        <v>4.9668437882505743E-4</v>
      </c>
      <c r="AP10" s="2">
        <f>7.02966722544216*(1/14151.6638359215)</f>
        <v>4.9673786114100532E-4</v>
      </c>
      <c r="AQ10" s="2">
        <f>7.02654041120954*(1/14151.6638359215)</f>
        <v>4.9651691085071626E-4</v>
      </c>
      <c r="AR10" s="2">
        <f>7.01850565226547*(1/14151.6638359215)</f>
        <v>4.9594915012397573E-4</v>
      </c>
      <c r="AS10" s="2">
        <f>7.00453868188755*(1/14151.6638359215)</f>
        <v>4.9496220113056711E-4</v>
      </c>
      <c r="AT10" s="2">
        <f>6.9898053452787*(1/14151.6638359215)</f>
        <v>4.9392109834720031E-4</v>
      </c>
      <c r="AU10" s="2">
        <f>6.98610371469537*(1/14151.6638359215)</f>
        <v>4.936595297693816E-4</v>
      </c>
      <c r="AV10" s="2">
        <f>6.98862059232072*(1/14151.6638359215)</f>
        <v>4.9383738006702365E-4</v>
      </c>
      <c r="AW10" s="2">
        <f>6.99180786674181*(1/14151.6638359215)</f>
        <v>4.9406260265979053E-4</v>
      </c>
      <c r="AX10" s="2">
        <f>6.99011742654568*(1/14151.6638359215)</f>
        <v>4.9394315096734436E-4</v>
      </c>
      <c r="AY10" s="2">
        <f>6.97800116031937*(1/14151.6638359215)</f>
        <v>4.9308697840934768E-4</v>
      </c>
      <c r="AZ10" s="2">
        <f>6.94991095664993*(1/14151.6638359215)</f>
        <v>4.9110203840546358E-4</v>
      </c>
      <c r="BA10" s="2">
        <f>6.9002987041244*(1/14151.6638359215)</f>
        <v>4.8759628437535451E-4</v>
      </c>
      <c r="BB10" s="2">
        <f>6.82361629132985*(1/14151.6638359215)</f>
        <v>4.8217766973868511E-4</v>
      </c>
      <c r="BC10" s="2">
        <f>6.7143156068533*(1/14151.6638359215)</f>
        <v>4.7445414791511621E-4</v>
      </c>
      <c r="BD10" s="2">
        <f>6.56773245695687*(1/14151.6638359215)</f>
        <v>4.6409613266009336E-4</v>
      </c>
      <c r="BE10" s="2">
        <f>6.41035958766012*(1/14151.6638359215)</f>
        <v>4.5297568271714838E-4</v>
      </c>
      <c r="BF10" s="2">
        <f>6.25036025664641*(1/14151.6638359215)</f>
        <v>4.4166963892831976E-4</v>
      </c>
      <c r="BG10" s="2">
        <f>6.07894284121517*(1/14151.6638359215)</f>
        <v>4.2955675825091658E-4</v>
      </c>
      <c r="BH10" s="2">
        <f>5.88731571866594*(1/14151.6638359215)</f>
        <v>4.1601579764225525E-4</v>
      </c>
      <c r="BI10" s="2">
        <f>5.66668726629818*(1/14151.6638359215)</f>
        <v>4.0042551405964684E-4</v>
      </c>
      <c r="BJ10" s="2">
        <f>5.40826586141134*(1/14151.6638359215)</f>
        <v>3.8216466446040163E-4</v>
      </c>
      <c r="BK10" s="2">
        <f>5.10325988130491*(1/14151.6638359215)</f>
        <v>3.6061200580183276E-4</v>
      </c>
      <c r="BL10" s="2">
        <f>4.74287770327836*(1/14151.6638359215)</f>
        <v>3.3514629504125177E-4</v>
      </c>
      <c r="BM10" s="2">
        <f>4.31832770463108*(1/14151.6638359215)</f>
        <v>3.0514628913596485E-4</v>
      </c>
      <c r="BN10" s="2">
        <f>3.82081826266269*(1/14151.6638359215)</f>
        <v>2.6999074504329432E-4</v>
      </c>
      <c r="BO10" s="2">
        <f>3.22666359840802*(1/14151.6638359215)</f>
        <v>2.2800595292672967E-4</v>
      </c>
      <c r="BP10" s="2">
        <f>2.48942698996376*(1/14151.6638359215)</f>
        <v>1.7591055149605725E-4</v>
      </c>
      <c r="BQ10" s="2">
        <f>1.63568774755777*(1/14151.6638359215)</f>
        <v>1.1558271638744453E-4</v>
      </c>
      <c r="BR10" s="2">
        <f>0.698364665573409*(1/14151.6638359215)</f>
        <v>4.9348590644213412E-5</v>
      </c>
      <c r="BS10" s="2">
        <f>-0.28962346160546*(1/14151.6638359215)</f>
        <v>-2.0465682690278577E-5</v>
      </c>
      <c r="BT10" s="2">
        <f>-1.29535783959548*(1/14151.6638359215)</f>
        <v>-9.1533960572709678E-5</v>
      </c>
      <c r="BU10" s="2">
        <f>-2.28591967401313*(1/14151.6638359215)</f>
        <v>-1.6153009995974654E-4</v>
      </c>
      <c r="BV10" s="2">
        <f>-3.22839017047489*(1/14151.6638359215)</f>
        <v>-2.2812795780805586E-4</v>
      </c>
      <c r="BW10" s="2">
        <f>-4.08985053459723*(1/14151.6638359215)</f>
        <v>-2.8900139107430368E-4</v>
      </c>
      <c r="BX10" s="2">
        <f>-4.83738197199664*(1/14151.6638359215)</f>
        <v>-3.4182425671515744E-4</v>
      </c>
      <c r="BY10" s="2">
        <f>-5.43832023837166*(1/14151.6638359215)</f>
        <v>-3.8428839897733049E-4</v>
      </c>
      <c r="BZ10" s="2">
        <f>-5.93800282030683*(1/14151.6638359215)</f>
        <v>-4.1959750380971163E-4</v>
      </c>
      <c r="CA10" s="2">
        <f>-6.38553019122551*(1/14151.6638359215)</f>
        <v>-4.5122116136033202E-4</v>
      </c>
      <c r="CB10" s="2">
        <f>-6.77697599535854*(1/14151.6638359215)</f>
        <v>-4.7888192328003035E-4</v>
      </c>
      <c r="CC10" s="2">
        <f>-7.10841387693675*(1/14151.6638359215)</f>
        <v>-5.0230234121964492E-4</v>
      </c>
      <c r="CD10" s="2">
        <f>-7.375917480191*(1/14151.6638359215)</f>
        <v>-5.2120496683001583E-4</v>
      </c>
      <c r="CE10" s="2">
        <f>-7.57556044935205*(1/14151.6638359215)</f>
        <v>-5.3531235176197645E-4</v>
      </c>
      <c r="CF10" s="2">
        <f>-7.70341642865077*(1/14151.6638359215)</f>
        <v>-5.4434704766636753E-4</v>
      </c>
      <c r="CG10" s="2">
        <f>-7.755559062318*(1/14151.6638359215)</f>
        <v>-5.4803160619402806E-4</v>
      </c>
      <c r="CH10" s="2">
        <f>-7.72806199458457*(1/14151.6638359215)</f>
        <v>-5.4608857899579621E-4</v>
      </c>
      <c r="CI10" s="2">
        <f>-7.61699886968131*(1/14151.6638359215)</f>
        <v>-5.3824051772250999E-4</v>
      </c>
      <c r="CJ10" s="2">
        <f>-7.41118707191492*(1/14151.6638359215)</f>
        <v>-5.2369722442833404E-4</v>
      </c>
      <c r="CK10" s="2">
        <f>-7.0727438476041*(1/14151.6638359215)</f>
        <v>-4.9978178747089712E-4</v>
      </c>
      <c r="CL10" s="2">
        <f>-6.61497177189386*(1/14151.6638359215)</f>
        <v>-4.6743420763733248E-4</v>
      </c>
      <c r="CM10" s="2">
        <f>-6.05949425336801*(1/14151.6638359215)</f>
        <v>-4.2818246134331244E-4</v>
      </c>
      <c r="CN10" s="2">
        <f>-5.42793470061036*(1/14151.6638359215)</f>
        <v>-3.8355452500450914E-4</v>
      </c>
      <c r="CO10" s="2">
        <f>-4.74191652220474*(1/14151.6638359215)</f>
        <v>-3.3507837503659617E-4</v>
      </c>
      <c r="CP10" s="2">
        <f>-4.02306312673481*(1/14151.6638359215)</f>
        <v>-2.8428198785523538E-4</v>
      </c>
      <c r="CQ10" s="2">
        <f>-3.29299792278468*(1/14151.6638359215)</f>
        <v>-2.3269333987612016E-4</v>
      </c>
      <c r="CR10" s="2">
        <f>-2.57334431893803*(1/14151.6638359215)</f>
        <v>-1.8184040751491353E-4</v>
      </c>
      <c r="CS10" s="2">
        <f>-1.88572572377868*(1/14151.6638359215)</f>
        <v>-1.3325116718728848E-4</v>
      </c>
      <c r="CT10" s="2">
        <f>-1.25176554589044*(1/14151.6638359215)</f>
        <v>-8.8453595308917262E-5</v>
      </c>
      <c r="CU10" s="2">
        <f>-0.641056457383843*(1/14151.6638359215)</f>
        <v>-4.5299016766963782E-5</v>
      </c>
      <c r="CV10" s="2">
        <f>-0.00248087392513252*(1/14151.6638359215)</f>
        <v>-1.7530616568457905E-7</v>
      </c>
      <c r="CW10" s="2">
        <f>0.6531178090707*(1/14151.6638359215)</f>
        <v>4.6151308895062631E-5</v>
      </c>
      <c r="CX10" s="2">
        <f>1.31467182063127*(1/14151.6638359215)</f>
        <v>9.2898745749896044E-5</v>
      </c>
      <c r="CY10" s="2">
        <f>1.97111338978407*(1/14151.6638359215)</f>
        <v>1.392849217334252E-4</v>
      </c>
      <c r="CZ10" s="2">
        <f>2.61137474555659*(1/14151.6638359215)</f>
        <v>1.8452775418025945E-4</v>
      </c>
      <c r="DA10" s="2">
        <f>3.22438811697644*(1/14151.6638359215)</f>
        <v>2.278451604250166E-4</v>
      </c>
      <c r="DB10" s="2">
        <f>3.79908573307089*(1/14151.6638359215)</f>
        <v>2.6845505780229048E-4</v>
      </c>
      <c r="DC10" s="2">
        <f>4.32439982286754*(1/14151.6638359215)</f>
        <v>3.0557536364669819E-4</v>
      </c>
      <c r="DD10" s="2">
        <f>4.78926261539389*(1/14151.6638359215)</f>
        <v>3.3842399529284979E-4</v>
      </c>
      <c r="DE10" s="2">
        <f>5.18383349256538*(1/14151.6638359215)</f>
        <v>3.6630558446471391E-4</v>
      </c>
      <c r="DF10" s="2">
        <f>5.51547388984229*(1/14151.6638359215)</f>
        <v>3.8974031278514638E-4</v>
      </c>
      <c r="DG10" s="2">
        <f>5.79317609328967*(1/14151.6638359215)</f>
        <v>4.0936360278603532E-4</v>
      </c>
      <c r="DH10" s="2">
        <f>6.02368319216329*(1/14151.6638359215)</f>
        <v>4.2565194184963846E-4</v>
      </c>
      <c r="DI10" s="2">
        <f>6.21373827571881*(1/14151.6638359215)</f>
        <v>4.3908181735820577E-4</v>
      </c>
      <c r="DJ10" s="2">
        <f>6.37008443321201*(1/14151.6638359215)</f>
        <v>4.5012971669399572E-4</v>
      </c>
      <c r="DK10" s="2">
        <f>6.49946475389865*(1/14151.6638359215)</f>
        <v>4.5927212723926539E-4</v>
      </c>
      <c r="DL10" s="2">
        <f>6.60862232703446*(1/14151.6638359215)</f>
        <v>4.6698553637626974E-4</v>
      </c>
      <c r="DM10" s="2">
        <f>6.7043002418752*(1/14151.6638359215)</f>
        <v>4.7374643148726566E-4</v>
      </c>
      <c r="DN10" s="2">
        <f>6.79324158767659*(1/14151.6638359215)</f>
        <v>4.8003129995450753E-4</v>
      </c>
      <c r="DO10" s="2">
        <f>6.88218945369438*(1/14151.6638359215)</f>
        <v>4.8631662916025166E-4</v>
      </c>
      <c r="DP10" s="2">
        <f>6.96493040943103*(1/14151.6638359215)</f>
        <v>4.921633590356905E-4</v>
      </c>
      <c r="DQ10" s="2">
        <f>7.02121471419551*(1/14151.6638359215)</f>
        <v>4.961405807544267E-4</v>
      </c>
      <c r="DR10" s="2">
        <f>7.05457808731174*(1/14151.6638359215)</f>
        <v>4.9849813909548502E-4</v>
      </c>
      <c r="DS10" s="2">
        <f>7.06923140308291*(1/14151.6638359215)</f>
        <v>4.9953358736086668E-4</v>
      </c>
      <c r="DT10" s="2">
        <f>7.06938553581217*(1/14151.6638359215)</f>
        <v>4.9954447885257021E-4</v>
      </c>
      <c r="DU10" s="2">
        <f>7.05925135980268*(1/14151.6638359215)</f>
        <v>4.9882836687259468E-4</v>
      </c>
      <c r="DV10" s="2">
        <f>7.04303974935762*(1/14151.6638359215)</f>
        <v>4.9768280472294057E-4</v>
      </c>
      <c r="DW10" s="2">
        <f>7.02496157878014*(1/14151.6638359215)</f>
        <v>4.964053457056064E-4</v>
      </c>
      <c r="DX10" s="2">
        <f>7.00922772237342*(1/14151.6638359215)</f>
        <v>4.9529354312259264E-4</v>
      </c>
      <c r="DY10" s="2">
        <f>7.0000490544406*(1/14151.6638359215)</f>
        <v>4.9464495027589706E-4</v>
      </c>
      <c r="DZ10" s="2">
        <f>7.00113467047189*(1/14151.6638359215)</f>
        <v>4.9472166323656912E-4</v>
      </c>
      <c r="EA10" s="2">
        <f>7.00462641306637*(1/14151.6638359215)</f>
        <v>4.9496840048492119E-4</v>
      </c>
      <c r="EB10" s="2">
        <f>7.00663510280239*(1/14151.6638359215)</f>
        <v>4.9511034066660657E-4</v>
      </c>
      <c r="EC10" s="2">
        <f>7.00741680636054*(1/14151.6638359215)</f>
        <v>4.9516557823917854E-4</v>
      </c>
      <c r="ED10" s="2">
        <f>7.00722759042143*(1/14151.6638359215)</f>
        <v>4.9515220766019189E-4</v>
      </c>
      <c r="EE10" s="2">
        <f>7.00632352166564*(1/14151.6638359215)</f>
        <v>4.9508832338719948E-4</v>
      </c>
      <c r="EF10" s="2">
        <f>7.00496066677379*(1/14151.6638359215)</f>
        <v>4.9499201987775697E-4</v>
      </c>
      <c r="EG10" s="2">
        <f>7.00339509242646*(1/14151.6638359215)</f>
        <v>4.9488139158941711E-4</v>
      </c>
      <c r="EH10" s="2">
        <f>7.00188286530426*(1/14151.6638359215)</f>
        <v>4.9477453297973469E-4</v>
      </c>
      <c r="EI10" s="2">
        <f>7.00068005208778*(1/14151.6638359215)</f>
        <v>4.9468953850626311E-4</v>
      </c>
      <c r="EJ10" s="2">
        <f>7.00004271945762*(1/14151.6638359215)</f>
        <v>4.9464450262655672E-4</v>
      </c>
      <c r="EK10" s="2">
        <f t="shared" si="7"/>
        <v>4.9464148393856954E-4</v>
      </c>
      <c r="EL10" s="2">
        <f t="shared" si="7"/>
        <v>4.9464148393856954E-4</v>
      </c>
      <c r="EM10" s="2">
        <f t="shared" si="7"/>
        <v>4.9464148393856954E-4</v>
      </c>
      <c r="EN10" s="2">
        <f t="shared" si="3"/>
        <v>4.9464148393856954E-4</v>
      </c>
      <c r="EO10" s="2">
        <f>7*(1/14151.6638359215)</f>
        <v>4.9464148393856954E-4</v>
      </c>
      <c r="EP10" s="2">
        <f t="shared" si="3"/>
        <v>4.9464148393856954E-4</v>
      </c>
      <c r="EQ10" s="2">
        <f t="shared" si="3"/>
        <v>4.9464148393856954E-4</v>
      </c>
      <c r="ER10" s="2">
        <f t="shared" si="3"/>
        <v>4.9464148393856954E-4</v>
      </c>
      <c r="ES10" s="2">
        <f t="shared" si="3"/>
        <v>4.9464148393856954E-4</v>
      </c>
      <c r="ET10" s="2">
        <f t="shared" si="3"/>
        <v>4.9464148393856954E-4</v>
      </c>
      <c r="EU10" s="2">
        <f t="shared" si="3"/>
        <v>4.9464148393856954E-4</v>
      </c>
      <c r="EV10" s="2">
        <f t="shared" si="3"/>
        <v>4.9464148393856954E-4</v>
      </c>
      <c r="EW10" s="2">
        <f t="shared" si="3"/>
        <v>4.9464148393856954E-4</v>
      </c>
      <c r="EX10" s="2">
        <f t="shared" si="3"/>
        <v>4.9464148393856954E-4</v>
      </c>
      <c r="EY10" s="2">
        <f t="shared" si="3"/>
        <v>4.9464148393856954E-4</v>
      </c>
      <c r="EZ10" s="2">
        <f t="shared" si="3"/>
        <v>4.9464148393856954E-4</v>
      </c>
      <c r="FA10" s="2">
        <f t="shared" si="3"/>
        <v>4.9464148393856954E-4</v>
      </c>
      <c r="FB10" s="2">
        <f t="shared" si="3"/>
        <v>4.9464148393856954E-4</v>
      </c>
      <c r="FC10" s="2">
        <f t="shared" si="3"/>
        <v>4.9464148393856954E-4</v>
      </c>
      <c r="FD10" s="2">
        <f t="shared" si="3"/>
        <v>4.9464148393856954E-4</v>
      </c>
      <c r="FE10" s="2">
        <f t="shared" si="3"/>
        <v>4.9464148393856954E-4</v>
      </c>
      <c r="FF10" s="2">
        <f t="shared" si="3"/>
        <v>4.9464148393856954E-4</v>
      </c>
      <c r="FG10" s="2">
        <f t="shared" si="4"/>
        <v>4.9464148393856954E-4</v>
      </c>
      <c r="FH10" s="2">
        <f t="shared" si="4"/>
        <v>4.9464148393856954E-4</v>
      </c>
      <c r="FI10" s="2">
        <f t="shared" si="4"/>
        <v>4.9464148393856954E-4</v>
      </c>
      <c r="FJ10" s="2">
        <f t="shared" si="4"/>
        <v>4.9464148393856954E-4</v>
      </c>
      <c r="FK10" s="2">
        <f t="shared" si="4"/>
        <v>4.9464148393856954E-4</v>
      </c>
      <c r="FL10" s="2">
        <f t="shared" si="4"/>
        <v>4.9464148393856954E-4</v>
      </c>
      <c r="FM10" s="2">
        <f t="shared" si="4"/>
        <v>4.9464148393856954E-4</v>
      </c>
      <c r="FN10" s="2">
        <f t="shared" si="4"/>
        <v>4.9464148393856954E-4</v>
      </c>
      <c r="FO10" s="2">
        <f t="shared" si="4"/>
        <v>4.9464148393856954E-4</v>
      </c>
      <c r="FP10" s="2">
        <f t="shared" si="4"/>
        <v>4.9464148393856954E-4</v>
      </c>
      <c r="FQ10" s="2"/>
    </row>
    <row r="11" spans="1:173">
      <c r="B11" s="2">
        <v>9.3757396449704142</v>
      </c>
      <c r="C11" s="2">
        <f t="shared" si="5"/>
        <v>4.9464148393856954E-4</v>
      </c>
      <c r="D11" s="2">
        <f t="shared" si="5"/>
        <v>4.9464148393856954E-4</v>
      </c>
      <c r="E11" s="2">
        <f t="shared" si="5"/>
        <v>4.9464148393856954E-4</v>
      </c>
      <c r="F11" s="2">
        <f t="shared" si="0"/>
        <v>4.9464148393856954E-4</v>
      </c>
      <c r="G11" s="2">
        <f t="shared" si="0"/>
        <v>4.9464148393856954E-4</v>
      </c>
      <c r="H11" s="2">
        <f t="shared" si="0"/>
        <v>4.9464148393856954E-4</v>
      </c>
      <c r="I11" s="2">
        <f t="shared" si="0"/>
        <v>4.9464148393856954E-4</v>
      </c>
      <c r="J11" s="2">
        <f t="shared" si="0"/>
        <v>4.9464148393856954E-4</v>
      </c>
      <c r="K11" s="2">
        <f t="shared" si="0"/>
        <v>4.9464148393856954E-4</v>
      </c>
      <c r="L11" s="2">
        <f t="shared" si="0"/>
        <v>4.9464148393856954E-4</v>
      </c>
      <c r="M11" s="2">
        <f t="shared" si="0"/>
        <v>4.9464148393856954E-4</v>
      </c>
      <c r="N11" s="2">
        <f t="shared" si="0"/>
        <v>4.9464148393856954E-4</v>
      </c>
      <c r="O11" s="2">
        <f>7*(1/14151.6638359215)</f>
        <v>4.9464148393856954E-4</v>
      </c>
      <c r="P11" s="2">
        <f t="shared" si="0"/>
        <v>4.9464148393856954E-4</v>
      </c>
      <c r="Q11" s="2">
        <f>7*(1/14151.6638359215)</f>
        <v>4.9464148393856954E-4</v>
      </c>
      <c r="R11" s="2">
        <f t="shared" si="0"/>
        <v>4.9464148393856954E-4</v>
      </c>
      <c r="S11" s="2">
        <f t="shared" si="6"/>
        <v>4.9464148393856954E-4</v>
      </c>
      <c r="T11" s="2">
        <f t="shared" si="6"/>
        <v>4.9464148393856954E-4</v>
      </c>
      <c r="U11" s="2">
        <f t="shared" si="6"/>
        <v>4.9464148393856954E-4</v>
      </c>
      <c r="V11" s="2">
        <f t="shared" si="6"/>
        <v>4.9464148393856954E-4</v>
      </c>
      <c r="W11" s="2">
        <f t="shared" si="1"/>
        <v>4.9464148393856954E-4</v>
      </c>
      <c r="X11" s="2">
        <f t="shared" si="1"/>
        <v>4.9464148393856954E-4</v>
      </c>
      <c r="Y11" s="2">
        <f t="shared" si="1"/>
        <v>4.9464148393856954E-4</v>
      </c>
      <c r="Z11" s="2">
        <f t="shared" si="1"/>
        <v>4.9464148393856954E-4</v>
      </c>
      <c r="AA11" s="2">
        <f t="shared" si="1"/>
        <v>4.9464148393856954E-4</v>
      </c>
      <c r="AB11" s="2">
        <f t="shared" si="1"/>
        <v>4.9464148393856954E-4</v>
      </c>
      <c r="AC11" s="2">
        <f t="shared" si="1"/>
        <v>4.9464148393856954E-4</v>
      </c>
      <c r="AD11" s="2">
        <f t="shared" si="1"/>
        <v>4.9464148393856954E-4</v>
      </c>
      <c r="AE11" s="2">
        <f t="shared" si="1"/>
        <v>4.9464148393856954E-4</v>
      </c>
      <c r="AF11" s="2">
        <f>7*(1/14151.6638359215)</f>
        <v>4.9464148393856954E-4</v>
      </c>
      <c r="AG11" s="2">
        <f>7*(1/14151.6638359215)</f>
        <v>4.9464148393856954E-4</v>
      </c>
      <c r="AH11" s="2">
        <f>7*(1/14151.6638359215)</f>
        <v>4.9464148393856954E-4</v>
      </c>
      <c r="AI11" s="2">
        <f>7.00014047099849*(1/14151.6638359215)</f>
        <v>4.9465141005044719E-4</v>
      </c>
      <c r="AJ11" s="2">
        <f>7.00223616125104*(1/14151.6638359215)</f>
        <v>4.9479949795564675E-4</v>
      </c>
      <c r="AK11" s="2">
        <f>7.00619127638894*(1/14151.6638359215)</f>
        <v>4.950789785300694E-4</v>
      </c>
      <c r="AL11" s="2">
        <f>7.01116381269052*(1/14151.6638359215)</f>
        <v>4.9543035320651974E-4</v>
      </c>
      <c r="AM11" s="2">
        <f>7.01631176643411*(1/14151.6638359215)</f>
        <v>4.9579412341780205E-4</v>
      </c>
      <c r="AN11" s="2">
        <f>7.02079313389805*(1/14151.6638359215)</f>
        <v>4.9611079059672168E-4</v>
      </c>
      <c r="AO11" s="2">
        <f>7.02376591136068*(1/14151.6638359215)</f>
        <v>4.9632085617608377E-4</v>
      </c>
      <c r="AP11" s="2">
        <f>7.02438809510032*(1/14151.6638359215)</f>
        <v>4.9636482158869194E-4</v>
      </c>
      <c r="AQ11" s="2">
        <f>7.02181768139531*(1/14151.6638359215)</f>
        <v>4.9618318826735177E-4</v>
      </c>
      <c r="AR11" s="2">
        <f>7.015212666524*(1/14151.6638359215)</f>
        <v>4.9571645764486872E-4</v>
      </c>
      <c r="AS11" s="2">
        <f>7.0037310467647*(1/14151.6638359215)</f>
        <v>4.9490513115404598E-4</v>
      </c>
      <c r="AT11" s="2">
        <f>6.9916194317078*(1/14151.6638359215)</f>
        <v>4.9404928726195499E-4</v>
      </c>
      <c r="AU11" s="2">
        <f>6.98857648726837*(1/14151.6638359215)</f>
        <v>4.9383426346866026E-4</v>
      </c>
      <c r="AV11" s="2">
        <f>6.99064549945162*(1/14151.6638359215)</f>
        <v>4.9398046621960457E-4</v>
      </c>
      <c r="AW11" s="2">
        <f>6.9932656147652*(1/14151.6638359215)</f>
        <v>4.941656116091473E-4</v>
      </c>
      <c r="AX11" s="2">
        <f>6.99187597971675*(1/14151.6638359215)</f>
        <v>4.9406741573164751E-4</v>
      </c>
      <c r="AY11" s="2">
        <f>6.98191574081392*(1/14151.6638359215)</f>
        <v>4.9336359468146491E-4</v>
      </c>
      <c r="AZ11" s="2">
        <f>6.95882404456435*(1/14151.6638359215)</f>
        <v>4.9173186455295844E-4</v>
      </c>
      <c r="BA11" s="2">
        <f>6.9180400374757*(1/14151.6638359215)</f>
        <v>4.8884994144048825E-4</v>
      </c>
      <c r="BB11" s="2">
        <f>6.85500286605561*(1/14151.6638359215)</f>
        <v>4.8439554143841346E-4</v>
      </c>
      <c r="BC11" s="2">
        <f>6.76515167681174*(1/14151.6638359215)</f>
        <v>4.7804638064109447E-4</v>
      </c>
      <c r="BD11" s="2">
        <f>6.64465224531793*(1/14151.6638359215)</f>
        <v>4.6953152098282988E-4</v>
      </c>
      <c r="BE11" s="2">
        <f>6.51528306955519*(1/14151.6638359215)</f>
        <v>4.6038989797208825E-4</v>
      </c>
      <c r="BF11" s="2">
        <f>6.38375479744367*(1/14151.6638359215)</f>
        <v>4.510957065867856E-4</v>
      </c>
      <c r="BG11" s="2">
        <f>6.24284023037238*(1/14151.6638359215)</f>
        <v>4.4113825079182794E-4</v>
      </c>
      <c r="BH11" s="2">
        <f>6.08531216973041*(1/14151.6638359215)</f>
        <v>4.3000683455212665E-4</v>
      </c>
      <c r="BI11" s="2">
        <f>5.90394341690679*(1/14151.6638359215)</f>
        <v>4.1719076183258905E-4</v>
      </c>
      <c r="BJ11" s="2">
        <f>5.69150677329054*(1/14151.6638359215)</f>
        <v>4.0217933659812173E-4</v>
      </c>
      <c r="BK11" s="2">
        <f>5.44077504027072*(1/14151.6638359215)</f>
        <v>3.8446186281363418E-4</v>
      </c>
      <c r="BL11" s="2">
        <f>5.14452101923637*(1/14151.6638359215)</f>
        <v>3.6352764444403431E-4</v>
      </c>
      <c r="BM11" s="2">
        <f>4.79551751157646*(1/14151.6638359215)</f>
        <v>3.3886598545422521E-4</v>
      </c>
      <c r="BN11" s="2">
        <f>4.38653731868015*(1/14151.6638359215)</f>
        <v>3.0996618980912334E-4</v>
      </c>
      <c r="BO11" s="2">
        <f>3.89810942425526*(1/14151.6638359215)</f>
        <v>2.7545237573836352E-4</v>
      </c>
      <c r="BP11" s="2">
        <f>3.29206028247653*(1/14151.6638359215)</f>
        <v>2.3262708333420245E-4</v>
      </c>
      <c r="BQ11" s="2">
        <f>2.59023955187713*(1/14151.6638359215)</f>
        <v>1.8303427652812559E-4</v>
      </c>
      <c r="BR11" s="2">
        <f>1.81970829651155*(1/14151.6638359215)</f>
        <v>1.2858617316025711E-4</v>
      </c>
      <c r="BS11" s="2">
        <f>1.0075275804347*(1/14151.6638359215)</f>
        <v>7.1194991070750921E-5</v>
      </c>
      <c r="BT11" s="2">
        <f>0.180758467701059*(1/14151.6638359215)</f>
        <v>1.2772948099730546E-5</v>
      </c>
      <c r="BU11" s="2">
        <f>-0.633537977634741*(1/14151.6638359215)</f>
        <v>-4.4767737912669791E-5</v>
      </c>
      <c r="BV11" s="2">
        <f>-1.40830069151808*(1/14151.6638359215)</f>
        <v>-9.9514849126316687E-5</v>
      </c>
      <c r="BW11" s="2">
        <f>-2.11646860989433*(1/14151.6638359215)</f>
        <v>-1.4955616770107613E-4</v>
      </c>
      <c r="BX11" s="2">
        <f>-2.73098066870888*(1/14151.6638359215)</f>
        <v>-1.9297947579681535E-4</v>
      </c>
      <c r="BY11" s="2">
        <f>-3.22498505810988*(1/14151.6638359215)</f>
        <v>-2.2788734211759784E-4</v>
      </c>
      <c r="BZ11" s="2">
        <f>-3.63575169188115*(1/14151.6638359215)</f>
        <v>-2.5691337315775101E-4</v>
      </c>
      <c r="CA11" s="2">
        <f>-4.00364386647094*(1/14151.6638359215)</f>
        <v>-2.8290976332467682E-4</v>
      </c>
      <c r="CB11" s="2">
        <f>-4.32543390094621*(1/14151.6638359215)</f>
        <v>-3.0564843477746132E-4</v>
      </c>
      <c r="CC11" s="2">
        <f>-4.5978941143739*(1/14151.6638359215)</f>
        <v>-3.249013096751887E-4</v>
      </c>
      <c r="CD11" s="2">
        <f>-4.817796825821*(1/14151.6638359215)</f>
        <v>-3.4044031017694713E-4</v>
      </c>
      <c r="CE11" s="2">
        <f>-4.98191435435439*(1/14151.6638359215)</f>
        <v>-3.5203735844181657E-4</v>
      </c>
      <c r="CF11" s="2">
        <f>-5.08701901904105*(1/14151.6638359215)</f>
        <v>-3.5946437662888448E-4</v>
      </c>
      <c r="CG11" s="2">
        <f>-5.12988313894795*(1/14151.6638359215)</f>
        <v>-3.6249328689723728E-4</v>
      </c>
      <c r="CH11" s="2">
        <f>-5.10727903314202*(1/14151.6638359215)</f>
        <v>-3.6089601140595879E-4</v>
      </c>
      <c r="CI11" s="2">
        <f>-5.01597902069022*(1/14151.6638359215)</f>
        <v>-3.5444447231413473E-4</v>
      </c>
      <c r="CJ11" s="2">
        <f>-4.84679037490733*(1/14151.6638359215)</f>
        <v>-3.4248908334047674E-4</v>
      </c>
      <c r="CK11" s="2">
        <f>-4.56857138349393*(1/14151.6638359215)</f>
        <v>-3.2282927551581736E-4</v>
      </c>
      <c r="CL11" s="2">
        <f>-4.19225749669454*(1/14151.6638359215)</f>
        <v>-2.9623778131679715E-4</v>
      </c>
      <c r="CM11" s="2">
        <f>-3.73562434863319*(1/14151.6638359215)</f>
        <v>-2.6397068160642477E-4</v>
      </c>
      <c r="CN11" s="2">
        <f>-3.21644757343393*(1/14151.6638359215)</f>
        <v>-2.2728405724771006E-4</v>
      </c>
      <c r="CO11" s="2">
        <f>-2.65250280522079*(1/14151.6638359215)</f>
        <v>-1.8743398910366145E-4</v>
      </c>
      <c r="CP11" s="2">
        <f>-2.06156567811771*(1/14151.6638359215)</f>
        <v>-1.4567655803728106E-4</v>
      </c>
      <c r="CQ11" s="2">
        <f>-1.46141182624894*(1/14151.6638359215)</f>
        <v>-1.0326784491159295E-4</v>
      </c>
      <c r="CR11" s="2">
        <f>-0.869816883738419*(1/14151.6638359215)</f>
        <v>-6.1463930589599118E-5</v>
      </c>
      <c r="CS11" s="2">
        <f>-0.304556484710185*(1/14151.6638359215)</f>
        <v>-2.1520895934308595E-5</v>
      </c>
      <c r="CT11" s="2">
        <f>0.21659373671172*(1/14151.6638359215)</f>
        <v>1.5305178191269286E-5</v>
      </c>
      <c r="CU11" s="2">
        <f>0.718630280646958*(1/14151.6638359215)</f>
        <v>5.0780621203200287E-5</v>
      </c>
      <c r="CV11" s="2">
        <f>1.2435746199313*(1/14151.6638359215)</f>
        <v>8.7874799341594413E-5</v>
      </c>
      <c r="CW11" s="2">
        <f>1.78251288565218*(1/14151.6638359215)</f>
        <v>1.2595783127123086E-4</v>
      </c>
      <c r="CX11" s="2">
        <f>2.32634675981725*(1/14151.6638359215)</f>
        <v>1.643868019188125E-4</v>
      </c>
      <c r="CY11" s="2">
        <f>2.86597792443408*(1/14151.6638359215)</f>
        <v>2.0251879621103642E-4</v>
      </c>
      <c r="CZ11" s="2">
        <f>3.39230806151023*(1/14151.6638359215)</f>
        <v>2.3971089907459892E-4</v>
      </c>
      <c r="DA11" s="2">
        <f>3.89623885305336*(1/14151.6638359215)</f>
        <v>2.7532019543620342E-4</v>
      </c>
      <c r="DB11" s="2">
        <f>4.36867198107084*(1/14151.6638359215)</f>
        <v>3.0870377022253296E-4</v>
      </c>
      <c r="DC11" s="2">
        <f>4.80050912757034*(1/14151.6638359215)</f>
        <v>3.3921870836029156E-4</v>
      </c>
      <c r="DD11" s="2">
        <f>5.18265197455941*(1/14151.6638359215)</f>
        <v>3.662220947761749E-4</v>
      </c>
      <c r="DE11" s="2">
        <f>5.50701099138208*(1/14151.6638359215)</f>
        <v>3.8914229840617784E-4</v>
      </c>
      <c r="DF11" s="2">
        <f>5.7796376838804*(1/14151.6638359215)</f>
        <v>4.0840693722598258E-4</v>
      </c>
      <c r="DG11" s="2">
        <f>6.00792420701508*(1/14151.6638359215)</f>
        <v>4.2453836359262754E-4</v>
      </c>
      <c r="DH11" s="2">
        <f>6.19741375195379*(1/14151.6638359215)</f>
        <v>4.3792827640681722E-4</v>
      </c>
      <c r="DI11" s="2">
        <f>6.35364950986409*(1/14151.6638359215)</f>
        <v>4.489683745692484E-4</v>
      </c>
      <c r="DJ11" s="2">
        <f>6.48217467191364*(1/14151.6638359215)</f>
        <v>4.5805035698062474E-4</v>
      </c>
      <c r="DK11" s="2">
        <f>6.58853242927007*(1/14151.6638359215)</f>
        <v>4.6556592254164798E-4</v>
      </c>
      <c r="DL11" s="2">
        <f>6.67826597310101*(1/14151.6638359215)</f>
        <v>4.7190677015301983E-4</v>
      </c>
      <c r="DM11" s="2">
        <f>6.7569184945741*(1/14151.6638359215)</f>
        <v>4.774645987154426E-4</v>
      </c>
      <c r="DN11" s="2">
        <f>6.83003318485695*(1/14151.6638359215)</f>
        <v>4.8263110712961661E-4</v>
      </c>
      <c r="DO11" s="2">
        <f>6.90315323511718*(1/14151.6638359215)</f>
        <v>4.8779799429624272E-4</v>
      </c>
      <c r="DP11" s="2">
        <f>6.97117086289067*(1/14151.6638359215)</f>
        <v>4.9260432862993707E-4</v>
      </c>
      <c r="DQ11" s="2">
        <f>7.01743966480232*(1/14151.6638359215)</f>
        <v>4.958738241781711E-4</v>
      </c>
      <c r="DR11" s="2">
        <f>7.04486619708835*(1/14151.6638359215)</f>
        <v>4.9781186712520695E-4</v>
      </c>
      <c r="DS11" s="2">
        <f>7.0569120306045*(1/14151.6638359215)</f>
        <v>4.9866306269173623E-4</v>
      </c>
      <c r="DT11" s="2">
        <f>7.05703873620649*(1/14151.6638359215)</f>
        <v>4.9867201609844942E-4</v>
      </c>
      <c r="DU11" s="2">
        <f>7.04870788475007*(1/14151.6638359215)</f>
        <v>4.9808333256603859E-4</v>
      </c>
      <c r="DV11" s="2">
        <f>7.03538104709097*(1/14151.6638359215)</f>
        <v>4.9714161731519494E-4</v>
      </c>
      <c r="DW11" s="2">
        <f>7.02051979408493*(1/14151.6638359215)</f>
        <v>4.9609147556661012E-4</v>
      </c>
      <c r="DX11" s="2">
        <f>7.00758569658767*(1/14151.6638359215)</f>
        <v>4.9517751254097425E-4</v>
      </c>
      <c r="DY11" s="2">
        <f>7.00004032545493*(1/14151.6638359215)</f>
        <v>4.946443334589791E-4</v>
      </c>
      <c r="DZ11" s="2">
        <f>7.00093276169118*(1/14151.6638359215)</f>
        <v>4.9470739574243908E-4</v>
      </c>
      <c r="EA11" s="2">
        <f>7.003803166631*(1/14151.6638359215)</f>
        <v>4.9491022736514439E-4</v>
      </c>
      <c r="EB11" s="2">
        <f>7.00545442034883*(1/14151.6638359215)</f>
        <v>4.9502691002076521E-4</v>
      </c>
      <c r="EC11" s="2">
        <f>7.00609702377508*(1/14151.6638359215)</f>
        <v>4.9507231835110019E-4</v>
      </c>
      <c r="ED11" s="2">
        <f>7.00594147784017*(1/14151.6638359215)</f>
        <v>4.9506132699794812E-4</v>
      </c>
      <c r="EE11" s="2">
        <f>7.00519828347451*(1/14151.6638359215)</f>
        <v>4.9500881060310733E-4</v>
      </c>
      <c r="EF11" s="2">
        <f>7.00407794160853*(1/14151.6638359215)</f>
        <v>4.9492964380837788E-4</v>
      </c>
      <c r="EG11" s="2">
        <f>7.00279095317263*(1/14151.6638359215)</f>
        <v>4.9483870125555704E-4</v>
      </c>
      <c r="EH11" s="2">
        <f>7.00154781909723*(1/14151.6638359215)</f>
        <v>4.947508575864441E-4</v>
      </c>
      <c r="EI11" s="2">
        <f>7.00055904031276*(1/14151.6638359215)</f>
        <v>4.9468098744283881E-4</v>
      </c>
      <c r="EJ11" s="2">
        <f>7.00003511774962*(1/14151.6638359215)</f>
        <v>4.9464396546653876E-4</v>
      </c>
      <c r="EK11" s="2">
        <f t="shared" si="7"/>
        <v>4.9464148393856954E-4</v>
      </c>
      <c r="EL11" s="2">
        <f t="shared" si="7"/>
        <v>4.9464148393856954E-4</v>
      </c>
      <c r="EM11" s="2">
        <f t="shared" si="7"/>
        <v>4.9464148393856954E-4</v>
      </c>
      <c r="EN11" s="2">
        <f t="shared" si="3"/>
        <v>4.9464148393856954E-4</v>
      </c>
      <c r="EO11" s="2">
        <f>7*(1/14151.6638359215)</f>
        <v>4.9464148393856954E-4</v>
      </c>
      <c r="EP11" s="2">
        <f t="shared" si="3"/>
        <v>4.9464148393856954E-4</v>
      </c>
      <c r="EQ11" s="2">
        <f t="shared" si="3"/>
        <v>4.9464148393856954E-4</v>
      </c>
      <c r="ER11" s="2">
        <f t="shared" si="3"/>
        <v>4.9464148393856954E-4</v>
      </c>
      <c r="ES11" s="2">
        <f t="shared" si="3"/>
        <v>4.9464148393856954E-4</v>
      </c>
      <c r="ET11" s="2">
        <f t="shared" si="3"/>
        <v>4.9464148393856954E-4</v>
      </c>
      <c r="EU11" s="2">
        <f t="shared" si="3"/>
        <v>4.9464148393856954E-4</v>
      </c>
      <c r="EV11" s="2">
        <f t="shared" si="3"/>
        <v>4.9464148393856954E-4</v>
      </c>
      <c r="EW11" s="2">
        <f t="shared" si="3"/>
        <v>4.9464148393856954E-4</v>
      </c>
      <c r="EX11" s="2">
        <f t="shared" si="3"/>
        <v>4.9464148393856954E-4</v>
      </c>
      <c r="EY11" s="2">
        <f t="shared" si="3"/>
        <v>4.9464148393856954E-4</v>
      </c>
      <c r="EZ11" s="2">
        <f t="shared" si="3"/>
        <v>4.9464148393856954E-4</v>
      </c>
      <c r="FA11" s="2">
        <f t="shared" si="3"/>
        <v>4.9464148393856954E-4</v>
      </c>
      <c r="FB11" s="2">
        <f t="shared" si="3"/>
        <v>4.9464148393856954E-4</v>
      </c>
      <c r="FC11" s="2">
        <f t="shared" si="3"/>
        <v>4.9464148393856954E-4</v>
      </c>
      <c r="FD11" s="2">
        <f t="shared" si="3"/>
        <v>4.9464148393856954E-4</v>
      </c>
      <c r="FE11" s="2">
        <f t="shared" si="3"/>
        <v>4.9464148393856954E-4</v>
      </c>
      <c r="FF11" s="2">
        <f t="shared" si="3"/>
        <v>4.9464148393856954E-4</v>
      </c>
      <c r="FG11" s="2">
        <f t="shared" si="4"/>
        <v>4.9464148393856954E-4</v>
      </c>
      <c r="FH11" s="2">
        <f t="shared" si="4"/>
        <v>4.9464148393856954E-4</v>
      </c>
      <c r="FI11" s="2">
        <f t="shared" si="4"/>
        <v>4.9464148393856954E-4</v>
      </c>
      <c r="FJ11" s="2">
        <f t="shared" si="4"/>
        <v>4.9464148393856954E-4</v>
      </c>
      <c r="FK11" s="2">
        <f t="shared" si="4"/>
        <v>4.9464148393856954E-4</v>
      </c>
      <c r="FL11" s="2">
        <f t="shared" si="4"/>
        <v>4.9464148393856954E-4</v>
      </c>
      <c r="FM11" s="2">
        <f t="shared" si="4"/>
        <v>4.9464148393856954E-4</v>
      </c>
      <c r="FN11" s="2">
        <f t="shared" si="4"/>
        <v>4.9464148393856954E-4</v>
      </c>
      <c r="FO11" s="2">
        <f t="shared" si="4"/>
        <v>4.9464148393856954E-4</v>
      </c>
      <c r="FP11" s="2">
        <f t="shared" si="4"/>
        <v>4.9464148393856954E-4</v>
      </c>
      <c r="FQ11" s="2"/>
    </row>
    <row r="12" spans="1:173">
      <c r="B12" s="2">
        <v>9.3852071005917175</v>
      </c>
      <c r="C12" s="2">
        <f t="shared" si="5"/>
        <v>4.9464148393856954E-4</v>
      </c>
      <c r="D12" s="2">
        <f t="shared" si="5"/>
        <v>4.9464148393856954E-4</v>
      </c>
      <c r="E12" s="2">
        <f t="shared" si="5"/>
        <v>4.9464148393856954E-4</v>
      </c>
      <c r="F12" s="2">
        <f t="shared" si="0"/>
        <v>4.9464148393856954E-4</v>
      </c>
      <c r="G12" s="2">
        <f t="shared" si="0"/>
        <v>4.9464148393856954E-4</v>
      </c>
      <c r="H12" s="2">
        <f t="shared" si="0"/>
        <v>4.9464148393856954E-4</v>
      </c>
      <c r="I12" s="2">
        <f t="shared" si="0"/>
        <v>4.9464148393856954E-4</v>
      </c>
      <c r="J12" s="2">
        <f t="shared" si="0"/>
        <v>4.9464148393856954E-4</v>
      </c>
      <c r="K12" s="2">
        <f t="shared" si="0"/>
        <v>4.9464148393856954E-4</v>
      </c>
      <c r="L12" s="2">
        <f t="shared" si="0"/>
        <v>4.9464148393856954E-4</v>
      </c>
      <c r="M12" s="2">
        <f t="shared" si="0"/>
        <v>4.9464148393856954E-4</v>
      </c>
      <c r="N12" s="2">
        <f t="shared" si="0"/>
        <v>4.9464148393856954E-4</v>
      </c>
      <c r="O12" s="2">
        <f>7*(1/14151.6638359215)</f>
        <v>4.9464148393856954E-4</v>
      </c>
      <c r="P12" s="2">
        <f t="shared" si="0"/>
        <v>4.9464148393856954E-4</v>
      </c>
      <c r="Q12" s="2">
        <f>7*(1/14151.6638359215)</f>
        <v>4.9464148393856954E-4</v>
      </c>
      <c r="R12" s="2">
        <f t="shared" si="0"/>
        <v>4.9464148393856954E-4</v>
      </c>
      <c r="S12" s="2">
        <f t="shared" si="6"/>
        <v>4.9464148393856954E-4</v>
      </c>
      <c r="T12" s="2">
        <f t="shared" si="6"/>
        <v>4.9464148393856954E-4</v>
      </c>
      <c r="U12" s="2">
        <f t="shared" si="6"/>
        <v>4.9464148393856954E-4</v>
      </c>
      <c r="V12" s="2">
        <f t="shared" si="6"/>
        <v>4.9464148393856954E-4</v>
      </c>
      <c r="W12" s="2">
        <f t="shared" si="1"/>
        <v>4.9464148393856954E-4</v>
      </c>
      <c r="X12" s="2">
        <f t="shared" si="1"/>
        <v>4.9464148393856954E-4</v>
      </c>
      <c r="Y12" s="2">
        <f t="shared" si="1"/>
        <v>4.9464148393856954E-4</v>
      </c>
      <c r="Z12" s="2">
        <f t="shared" si="1"/>
        <v>4.9464148393856954E-4</v>
      </c>
      <c r="AA12" s="2">
        <f t="shared" si="1"/>
        <v>4.9464148393856954E-4</v>
      </c>
      <c r="AB12" s="2">
        <f t="shared" si="1"/>
        <v>4.9464148393856954E-4</v>
      </c>
      <c r="AC12" s="2">
        <f t="shared" si="1"/>
        <v>4.9464148393856954E-4</v>
      </c>
      <c r="AD12" s="2">
        <f t="shared" si="1"/>
        <v>4.9464148393856954E-4</v>
      </c>
      <c r="AE12" s="2">
        <f t="shared" si="1"/>
        <v>4.9464148393856954E-4</v>
      </c>
      <c r="AF12" s="2">
        <f>7*(1/14151.6638359215)</f>
        <v>4.9464148393856954E-4</v>
      </c>
      <c r="AG12" s="2">
        <f>7*(1/14151.6638359215)</f>
        <v>4.9464148393856954E-4</v>
      </c>
      <c r="AH12" s="2">
        <f>7*(1/14151.6638359215)</f>
        <v>4.9464148393856954E-4</v>
      </c>
      <c r="AI12" s="2">
        <f>7.00009635967884*(1/14151.6638359215)</f>
        <v>4.9464829300921713E-4</v>
      </c>
      <c r="AJ12" s="2">
        <f>7.0015339520777*(1/14151.6638359215)</f>
        <v>4.9474987770028436E-4</v>
      </c>
      <c r="AK12" s="2">
        <f>7.00424706459607*(1/14151.6638359215)</f>
        <v>4.9494159455773859E-4</v>
      </c>
      <c r="AL12" s="2">
        <f>7.00765810321758*(1/14151.6638359215)</f>
        <v>4.9518262901566935E-4</v>
      </c>
      <c r="AM12" s="2">
        <f>7.01118947392584*(1/14151.6638359215)</f>
        <v>4.9543216650816519E-4</v>
      </c>
      <c r="AN12" s="2">
        <f>7.01426358270446*(1/14151.6638359215)</f>
        <v>4.9564939246931456E-4</v>
      </c>
      <c r="AO12" s="2">
        <f>7.01630283553705*(1/14151.6638359215)</f>
        <v>4.9579349233320569E-4</v>
      </c>
      <c r="AP12" s="2">
        <f>7.01672963840723*(1/14151.6638359215)</f>
        <v>4.9582365153392777E-4</v>
      </c>
      <c r="AQ12" s="2">
        <f>7.01496639729861*(1/14151.6638359215)</f>
        <v>4.9569905550556938E-4</v>
      </c>
      <c r="AR12" s="2">
        <f>7.01043551819481*(1/14151.6638359215)</f>
        <v>4.9537888968221937E-4</v>
      </c>
      <c r="AS12" s="2">
        <f>7.00255940707944*(1/14151.6638359215)</f>
        <v>4.9482233949796632E-4</v>
      </c>
      <c r="AT12" s="2">
        <f>6.99425113455565*(1/14151.6638359215)</f>
        <v>4.9423525146223297E-4</v>
      </c>
      <c r="AU12" s="2">
        <f>6.99216374888836*(1/14151.6638359215)</f>
        <v>4.9408775038451574E-4</v>
      </c>
      <c r="AV12" s="2">
        <f>6.99358304078236*(1/14151.6638359215)</f>
        <v>4.9418804190574288E-4</v>
      </c>
      <c r="AW12" s="2">
        <f>6.99538037598222*(1/14151.6638359215)</f>
        <v>4.9431504712722774E-4</v>
      </c>
      <c r="AX12" s="2">
        <f>6.99442712023252*(1/14151.6638359215)</f>
        <v>4.9424768715028422E-4</v>
      </c>
      <c r="AY12" s="2">
        <f>6.98759463927784*(1/14151.6638359215)</f>
        <v>4.9376488307622634E-4</v>
      </c>
      <c r="AZ12" s="2">
        <f>6.97175429886274*(1/14151.6638359215)</f>
        <v>4.926455560063667E-4</v>
      </c>
      <c r="BA12" s="2">
        <f>6.94377746473181*(1/14151.6638359215)</f>
        <v>4.9066862704202018E-4</v>
      </c>
      <c r="BB12" s="2">
        <f>6.90053550262961*(1/14151.6638359215)</f>
        <v>4.87613017284499E-4</v>
      </c>
      <c r="BC12" s="2">
        <f>6.83889977830073*(1/14151.6638359215)</f>
        <v>4.8325764783511819E-4</v>
      </c>
      <c r="BD12" s="2">
        <f>6.7562401073065*(1/14151.6638359215)</f>
        <v>4.7741666178905247E-4</v>
      </c>
      <c r="BE12" s="2">
        <f>6.66749600807901*(1/14151.6638359215)</f>
        <v>4.7114573137009861E-4</v>
      </c>
      <c r="BF12" s="2">
        <f>6.57727082141715*(1/14151.6638359215)</f>
        <v>4.6477014276737619E-4</v>
      </c>
      <c r="BG12" s="2">
        <f>6.4806068653469*(1/14151.6638359215)</f>
        <v>4.5793957095681029E-4</v>
      </c>
      <c r="BH12" s="2">
        <f>6.37254645789433*(1/14151.6638359215)</f>
        <v>4.5030369091433235E-4</v>
      </c>
      <c r="BI12" s="2">
        <f>6.24813191708545*(1/14151.6638359215)</f>
        <v>4.4151217761586952E-4</v>
      </c>
      <c r="BJ12" s="2">
        <f>6.10240556094625*(1/14151.6638359215)</f>
        <v>4.3121470603734748E-4</v>
      </c>
      <c r="BK12" s="2">
        <f>5.93040970750278*(1/14151.6638359215)</f>
        <v>4.190609511546962E-4</v>
      </c>
      <c r="BL12" s="2">
        <f>5.72718667478104*(1/14151.6638359215)</f>
        <v>4.0470058794384218E-4</v>
      </c>
      <c r="BM12" s="2">
        <f>5.48777878080701*(1/14151.6638359215)</f>
        <v>3.8778329138071046E-4</v>
      </c>
      <c r="BN12" s="2">
        <f>5.2072283436068*(1/14151.6638359215)</f>
        <v>3.6795873644123529E-4</v>
      </c>
      <c r="BO12" s="2">
        <f>4.8721787209068*(1/14151.6638359215)</f>
        <v>3.4428310178903729E-4</v>
      </c>
      <c r="BP12" s="2">
        <f>4.45644379133297*(1/14151.6638359215)</f>
        <v>3.149059957191093E-4</v>
      </c>
      <c r="BQ12" s="2">
        <f>3.97501188772058*(1/14151.6638359215)</f>
        <v>2.8088653983079464E-4</v>
      </c>
      <c r="BR12" s="2">
        <f>3.44644623998505*(1/14151.6638359215)</f>
        <v>2.4353646892295836E-4</v>
      </c>
      <c r="BS12" s="2">
        <f>2.88931007804208*(1/14151.6638359215)</f>
        <v>2.0416751779448551E-4</v>
      </c>
      <c r="BT12" s="2">
        <f>2.32216663180711*(1/14151.6638359215)</f>
        <v>1.6409142124424267E-4</v>
      </c>
      <c r="BU12" s="2">
        <f>1.76357913119567*(1/14151.6638359215)</f>
        <v>1.2461991407110277E-4</v>
      </c>
      <c r="BV12" s="2">
        <f>1.23211080612325*(1/14151.6638359215)</f>
        <v>8.7064731073935932E-5</v>
      </c>
      <c r="BW12" s="2">
        <f>0.746324886505393*(1/14151.6638359215)</f>
        <v>5.2737607051616013E-5</v>
      </c>
      <c r="BX12" s="2">
        <f>0.32478460225761*(1/14151.6638359215)</f>
        <v>2.2950276803014614E-5</v>
      </c>
      <c r="BY12" s="2">
        <f>-0.0140903599839355*(1/14151.6638359215)</f>
        <v>-9.9566808166892775E-7</v>
      </c>
      <c r="BZ12" s="2">
        <f>-0.295866252052641*(1/14151.6638359215)</f>
        <v>-2.0906817423237313E-5</v>
      </c>
      <c r="CA12" s="2">
        <f>-0.548231310841369*(1/14151.6638359215)</f>
        <v>-3.8739707019451709E-5</v>
      </c>
      <c r="CB12" s="2">
        <f>-0.768971425953975*(1/14151.6638359215)</f>
        <v>-5.433788103431887E-5</v>
      </c>
      <c r="CC12" s="2">
        <f>-0.955872486994313*(1/14151.6638359215)</f>
        <v>-6.7544883631845431E-5</v>
      </c>
      <c r="CD12" s="2">
        <f>-1.10672038356626*(1/14151.6638359215)</f>
        <v>-7.8204258976039681E-5</v>
      </c>
      <c r="CE12" s="2">
        <f>-1.21930100527362*(1/14151.6638359215)</f>
        <v>-8.6159551230904712E-5</v>
      </c>
      <c r="CF12" s="2">
        <f>-1.29140024172026*(1/14151.6638359215)</f>
        <v>-9.1254304560448114E-5</v>
      </c>
      <c r="CG12" s="2">
        <f>-1.32080398251005*(1/14151.6638359215)</f>
        <v>-9.3332063128677653E-5</v>
      </c>
      <c r="CH12" s="2">
        <f>-1.30529811724684*(1/14151.6638359215)</f>
        <v>-9.2236371099599701E-5</v>
      </c>
      <c r="CI12" s="2">
        <f>-1.24266853553448*(1/14151.6638359215)</f>
        <v>-8.7810772637220602E-5</v>
      </c>
      <c r="CJ12" s="2">
        <f>-1.12660925107975*(1/14151.6638359215)</f>
        <v>-7.9609667396144008E-5</v>
      </c>
      <c r="CK12" s="2">
        <f>-0.935757808799214*(1/14151.6638359215)</f>
        <v>-6.6123518735935354E-5</v>
      </c>
      <c r="CL12" s="2">
        <f>-0.677615660842315*(1/14151.6638359215)</f>
        <v>-4.7882402288436734E-5</v>
      </c>
      <c r="CM12" s="2">
        <f>-0.364376458666085*(1/14151.6638359215)</f>
        <v>-2.5747958889553303E-5</v>
      </c>
      <c r="CN12" s="2">
        <f>-0.00823385372756658*(1/14151.6638359215)</f>
        <v>-5.8182937519095069E-7</v>
      </c>
      <c r="CO12" s="2">
        <f>0.378618502516202*(1/14151.6638359215)</f>
        <v>2.6754345418744739E-5</v>
      </c>
      <c r="CP12" s="2">
        <f>0.783986958608262*(1/14151.6638359215)</f>
        <v>5.5398924656353798E-5</v>
      </c>
      <c r="CQ12" s="2">
        <f>1.19567786309141*(1/14151.6638359215)</f>
        <v>8.4490267501718976E-5</v>
      </c>
      <c r="CR12" s="2">
        <f>1.60149756450869*(1/14151.6638359215)</f>
        <v>1.1316673311894049E-4</v>
      </c>
      <c r="CS12" s="2">
        <f>1.98925241140306*(1/14151.6638359215)</f>
        <v>1.4056668067211249E-4</v>
      </c>
      <c r="CT12" s="2">
        <f>2.34674875231747*(1/14151.6638359215)</f>
        <v>1.6582846932532857E-4</v>
      </c>
      <c r="CU12" s="2">
        <f>2.69113357666329*(1/14151.6638359215)</f>
        <v>1.901637579768057E-4</v>
      </c>
      <c r="CV12" s="2">
        <f>3.05123258989189*(1/14151.6638359215)</f>
        <v>2.1560945944369277E-4</v>
      </c>
      <c r="CW12" s="2">
        <f>3.42093109534066*(1/14151.6638359215)</f>
        <v>2.4173349049298577E-4</v>
      </c>
      <c r="CX12" s="2">
        <f>3.79398786877707*(1/14151.6638359215)</f>
        <v>2.6809482706526011E-4</v>
      </c>
      <c r="CY12" s="2">
        <f>4.16416168596849*(1/14151.6638359215)</f>
        <v>2.9425244510108425E-4</v>
      </c>
      <c r="CZ12" s="2">
        <f>4.52521132268232*(1/14151.6638359215)</f>
        <v>3.1976532054102852E-4</v>
      </c>
      <c r="DA12" s="2">
        <f>4.87089555468599*(1/14151.6638359215)</f>
        <v>3.4419242932566568E-4</v>
      </c>
      <c r="DB12" s="2">
        <f>5.19497315774676*(1/14151.6638359215)</f>
        <v>3.6709274739555627E-4</v>
      </c>
      <c r="DC12" s="2">
        <f>5.49120290763209*(1/14151.6638359215)</f>
        <v>3.8802525069127499E-4</v>
      </c>
      <c r="DD12" s="2">
        <f>5.75334358010935*(1/14151.6638359215)</f>
        <v>4.065489151533902E-4</v>
      </c>
      <c r="DE12" s="2">
        <f>5.97584595445417*(1/14151.6638359215)</f>
        <v>4.2227161581421548E-4</v>
      </c>
      <c r="DF12" s="2">
        <f>6.16286121607649*(1/14151.6638359215)</f>
        <v>4.3548668817536181E-4</v>
      </c>
      <c r="DG12" s="2">
        <f>6.3194602029829*(1/14151.6638359215)</f>
        <v>4.4655245321345653E-4</v>
      </c>
      <c r="DH12" s="2">
        <f>6.44944540911464*(1/14151.6638359215)</f>
        <v>4.5573760682075147E-4</v>
      </c>
      <c r="DI12" s="2">
        <f>6.55661932841286*(1/14151.6638359215)</f>
        <v>4.6331084488949206E-4</v>
      </c>
      <c r="DJ12" s="2">
        <f>6.6447844548188*(1/14151.6638359215)</f>
        <v>4.6954086331193003E-4</v>
      </c>
      <c r="DK12" s="2">
        <f>6.71774328227367*(1/14151.6638359215)</f>
        <v>4.7469635798031497E-4</v>
      </c>
      <c r="DL12" s="2">
        <f>6.77929830471868*(1/14151.6638359215)</f>
        <v>4.7904602478689672E-4</v>
      </c>
      <c r="DM12" s="2">
        <f>6.83325201609504*(1/14151.6638359215)</f>
        <v>4.8285855962392469E-4</v>
      </c>
      <c r="DN12" s="2">
        <f>6.88340691034394*(1/14151.6638359215)</f>
        <v>4.8640265838364722E-4</v>
      </c>
      <c r="DO12" s="2">
        <f>6.9335654814066*(1/14151.6638359215)</f>
        <v>4.8994701695831465E-4</v>
      </c>
      <c r="DP12" s="2">
        <f>6.98022391509269*(1/14151.6638359215)</f>
        <v>4.9324404508356286E-4</v>
      </c>
      <c r="DQ12" s="2">
        <f>7.01196318469671*(1/14151.6638359215)</f>
        <v>4.9548683928585691E-4</v>
      </c>
      <c r="DR12" s="2">
        <f>7.03077711690512*(1/14151.6638359215)</f>
        <v>4.9681628947818369E-4</v>
      </c>
      <c r="DS12" s="2">
        <f>7.03904026489638*(1/14151.6638359215)</f>
        <v>4.974001888759553E-4</v>
      </c>
      <c r="DT12" s="2">
        <f>7.03912718184896*(1/14151.6638359215)</f>
        <v>4.9740633069458439E-4</v>
      </c>
      <c r="DU12" s="2">
        <f>7.03341242094136*(1/14151.6638359215)</f>
        <v>4.9700250814948589E-4</v>
      </c>
      <c r="DV12" s="2">
        <f>7.02427053535204*(1/14151.6638359215)</f>
        <v>4.9635651445607192E-4</v>
      </c>
      <c r="DW12" s="2">
        <f>7.01407607825947*(1/14151.6638359215)</f>
        <v>4.9563614282975522E-4</v>
      </c>
      <c r="DX12" s="2">
        <f>7.00520360284215*(1/14151.6638359215)</f>
        <v>4.9500918648595074E-4</v>
      </c>
      <c r="DY12" s="2">
        <f>7.00002766227853*(1/14151.6638359215)</f>
        <v>4.946434386400697E-4</v>
      </c>
      <c r="DZ12" s="2">
        <f>7.00063985176986*(1/14151.6638359215)</f>
        <v>4.9468669782841868E-4</v>
      </c>
      <c r="EA12" s="2">
        <f>7.0026088795487*(1/14151.6638359215)</f>
        <v>4.9482583537448178E-4</v>
      </c>
      <c r="EB12" s="2">
        <f>7.00374159932465*(1/14151.6638359215)</f>
        <v>4.9490587683031931E-4</v>
      </c>
      <c r="EC12" s="2">
        <f>7.0041824096018*(1/14151.6638359215)</f>
        <v>4.9493702583740858E-4</v>
      </c>
      <c r="ED12" s="2">
        <f>7.00407570888426*(1/14151.6638359215)</f>
        <v>4.9492948603722844E-4</v>
      </c>
      <c r="EE12" s="2">
        <f>7.00356589567611*(1/14151.6638359215)</f>
        <v>4.9489346107125544E-4</v>
      </c>
      <c r="EF12" s="2">
        <f>7.00279736848146*(1/14151.6638359215)</f>
        <v>4.9483915458096842E-4</v>
      </c>
      <c r="EG12" s="2">
        <f>7.00191452580439*(1/14151.6638359215)</f>
        <v>4.9477677020784417E-4</v>
      </c>
      <c r="EH12" s="2">
        <f>7.00106176614902*(1/14151.6638359215)</f>
        <v>4.9471651159336194E-4</v>
      </c>
      <c r="EI12" s="2">
        <f>7.00038348801942*(1/14151.6638359215)</f>
        <v>4.9466858237899787E-4</v>
      </c>
      <c r="EJ12" s="2">
        <f>7.00002408991971*(1/14151.6638359215)</f>
        <v>4.9464318620623144E-4</v>
      </c>
      <c r="EK12" s="2">
        <f t="shared" si="7"/>
        <v>4.9464148393856954E-4</v>
      </c>
      <c r="EL12" s="2">
        <f t="shared" si="7"/>
        <v>4.9464148393856954E-4</v>
      </c>
      <c r="EM12" s="2">
        <f t="shared" si="7"/>
        <v>4.9464148393856954E-4</v>
      </c>
      <c r="EN12" s="2">
        <f t="shared" si="3"/>
        <v>4.9464148393856954E-4</v>
      </c>
      <c r="EO12" s="2">
        <f>7*(1/14151.6638359215)</f>
        <v>4.9464148393856954E-4</v>
      </c>
      <c r="EP12" s="2">
        <f t="shared" si="3"/>
        <v>4.9464148393856954E-4</v>
      </c>
      <c r="EQ12" s="2">
        <f t="shared" si="3"/>
        <v>4.9464148393856954E-4</v>
      </c>
      <c r="ER12" s="2">
        <f t="shared" si="3"/>
        <v>4.9464148393856954E-4</v>
      </c>
      <c r="ES12" s="2">
        <f t="shared" si="3"/>
        <v>4.9464148393856954E-4</v>
      </c>
      <c r="ET12" s="2">
        <f t="shared" si="3"/>
        <v>4.9464148393856954E-4</v>
      </c>
      <c r="EU12" s="2">
        <f t="shared" si="3"/>
        <v>4.9464148393856954E-4</v>
      </c>
      <c r="EV12" s="2">
        <f t="shared" si="3"/>
        <v>4.9464148393856954E-4</v>
      </c>
      <c r="EW12" s="2">
        <f t="shared" si="3"/>
        <v>4.9464148393856954E-4</v>
      </c>
      <c r="EX12" s="2">
        <f t="shared" si="3"/>
        <v>4.9464148393856954E-4</v>
      </c>
      <c r="EY12" s="2">
        <f t="shared" si="3"/>
        <v>4.9464148393856954E-4</v>
      </c>
      <c r="EZ12" s="2">
        <f t="shared" si="3"/>
        <v>4.9464148393856954E-4</v>
      </c>
      <c r="FA12" s="2">
        <f t="shared" si="3"/>
        <v>4.9464148393856954E-4</v>
      </c>
      <c r="FB12" s="2">
        <f t="shared" si="3"/>
        <v>4.9464148393856954E-4</v>
      </c>
      <c r="FC12" s="2">
        <f t="shared" si="3"/>
        <v>4.9464148393856954E-4</v>
      </c>
      <c r="FD12" s="2">
        <f t="shared" si="3"/>
        <v>4.9464148393856954E-4</v>
      </c>
      <c r="FE12" s="2">
        <f t="shared" si="3"/>
        <v>4.9464148393856954E-4</v>
      </c>
      <c r="FF12" s="2">
        <f t="shared" si="3"/>
        <v>4.9464148393856954E-4</v>
      </c>
      <c r="FG12" s="2">
        <f t="shared" si="4"/>
        <v>4.9464148393856954E-4</v>
      </c>
      <c r="FH12" s="2">
        <f t="shared" si="4"/>
        <v>4.9464148393856954E-4</v>
      </c>
      <c r="FI12" s="2">
        <f t="shared" si="4"/>
        <v>4.9464148393856954E-4</v>
      </c>
      <c r="FJ12" s="2">
        <f t="shared" si="4"/>
        <v>4.9464148393856954E-4</v>
      </c>
      <c r="FK12" s="2">
        <f t="shared" si="4"/>
        <v>4.9464148393856954E-4</v>
      </c>
      <c r="FL12" s="2">
        <f t="shared" si="4"/>
        <v>4.9464148393856954E-4</v>
      </c>
      <c r="FM12" s="2">
        <f t="shared" si="4"/>
        <v>4.9464148393856954E-4</v>
      </c>
      <c r="FN12" s="2">
        <f t="shared" si="4"/>
        <v>4.9464148393856954E-4</v>
      </c>
      <c r="FO12" s="2">
        <f t="shared" si="4"/>
        <v>4.9464148393856954E-4</v>
      </c>
      <c r="FP12" s="2">
        <f t="shared" si="4"/>
        <v>4.9464148393856954E-4</v>
      </c>
      <c r="FQ12" s="2"/>
    </row>
    <row r="13" spans="1:173">
      <c r="B13" s="2">
        <v>9.3946745562130189</v>
      </c>
      <c r="C13" s="2">
        <f t="shared" si="5"/>
        <v>4.9464148393856954E-4</v>
      </c>
      <c r="D13" s="2">
        <f t="shared" si="5"/>
        <v>4.9464148393856954E-4</v>
      </c>
      <c r="E13" s="2">
        <f t="shared" si="5"/>
        <v>4.9464148393856954E-4</v>
      </c>
      <c r="F13" s="2">
        <f t="shared" si="0"/>
        <v>4.9464148393856954E-4</v>
      </c>
      <c r="G13" s="2">
        <f t="shared" si="0"/>
        <v>4.9464148393856954E-4</v>
      </c>
      <c r="H13" s="2">
        <f t="shared" si="0"/>
        <v>4.9464148393856954E-4</v>
      </c>
      <c r="I13" s="2">
        <f t="shared" si="0"/>
        <v>4.9464148393856954E-4</v>
      </c>
      <c r="J13" s="2">
        <f t="shared" si="0"/>
        <v>4.9464148393856954E-4</v>
      </c>
      <c r="K13" s="2">
        <f t="shared" si="0"/>
        <v>4.9464148393856954E-4</v>
      </c>
      <c r="L13" s="2">
        <f t="shared" si="0"/>
        <v>4.9464148393856954E-4</v>
      </c>
      <c r="M13" s="2">
        <f t="shared" si="0"/>
        <v>4.9464148393856954E-4</v>
      </c>
      <c r="N13" s="2">
        <f t="shared" si="0"/>
        <v>4.9464148393856954E-4</v>
      </c>
      <c r="O13" s="2">
        <f>7*(1/14151.6638359215)</f>
        <v>4.9464148393856954E-4</v>
      </c>
      <c r="P13" s="2">
        <f t="shared" si="0"/>
        <v>4.9464148393856954E-4</v>
      </c>
      <c r="Q13" s="2">
        <f>7*(1/14151.6638359215)</f>
        <v>4.9464148393856954E-4</v>
      </c>
      <c r="R13" s="2">
        <f t="shared" si="0"/>
        <v>4.9464148393856954E-4</v>
      </c>
      <c r="S13" s="2">
        <f t="shared" si="6"/>
        <v>4.9464148393856954E-4</v>
      </c>
      <c r="T13" s="2">
        <f t="shared" si="6"/>
        <v>4.9464148393856954E-4</v>
      </c>
      <c r="U13" s="2">
        <f t="shared" si="6"/>
        <v>4.9464148393856954E-4</v>
      </c>
      <c r="V13" s="2">
        <f t="shared" si="6"/>
        <v>4.9464148393856954E-4</v>
      </c>
      <c r="W13" s="2">
        <f t="shared" si="1"/>
        <v>4.9464148393856954E-4</v>
      </c>
      <c r="X13" s="2">
        <f t="shared" si="1"/>
        <v>4.9464148393856954E-4</v>
      </c>
      <c r="Y13" s="2">
        <f t="shared" si="1"/>
        <v>4.9464148393856954E-4</v>
      </c>
      <c r="Z13" s="2">
        <f t="shared" si="1"/>
        <v>4.9464148393856954E-4</v>
      </c>
      <c r="AA13" s="2">
        <f t="shared" si="1"/>
        <v>4.9464148393856954E-4</v>
      </c>
      <c r="AB13" s="2">
        <f t="shared" si="1"/>
        <v>4.9464148393856954E-4</v>
      </c>
      <c r="AC13" s="2">
        <f t="shared" si="1"/>
        <v>4.9464148393856954E-4</v>
      </c>
      <c r="AD13" s="2">
        <f t="shared" si="1"/>
        <v>4.9464148393856954E-4</v>
      </c>
      <c r="AE13" s="2">
        <f t="shared" si="1"/>
        <v>4.9464148393856954E-4</v>
      </c>
      <c r="AF13" s="2">
        <f>7*(1/14151.6638359215)</f>
        <v>4.9464148393856954E-4</v>
      </c>
      <c r="AG13" s="2">
        <f>7*(1/14151.6638359215)</f>
        <v>4.9464148393856954E-4</v>
      </c>
      <c r="AH13" s="2">
        <f>7*(1/14151.6638359215)</f>
        <v>4.9464148393856954E-4</v>
      </c>
      <c r="AI13" s="2">
        <f>7.00003854387154*(1/14151.6638359215)</f>
        <v>4.9464420756682888E-4</v>
      </c>
      <c r="AJ13" s="2">
        <f>7.00061358083108*(1/14151.6638359215)</f>
        <v>4.9468484144325547E-4</v>
      </c>
      <c r="AK13" s="2">
        <f>7.00169882583843*(1/14151.6638359215)</f>
        <v>4.9476152818623729E-4</v>
      </c>
      <c r="AL13" s="2">
        <f>7.00306324128703*(1/14151.6638359215)</f>
        <v>4.948579419694094E-4</v>
      </c>
      <c r="AM13" s="2">
        <f>7.00447578957034*(1/14151.6638359215)</f>
        <v>4.9495775696640804E-4</v>
      </c>
      <c r="AN13" s="2">
        <f>7.00570543308178*(1/14151.6638359215)</f>
        <v>4.9504464735086729E-4</v>
      </c>
      <c r="AO13" s="2">
        <f>7.00652113421482*(1/14151.6638359215)</f>
        <v>4.9510228729642404E-4</v>
      </c>
      <c r="AP13" s="2">
        <f>7.00669185536289*(1/14151.6638359215)</f>
        <v>4.951143509767127E-4</v>
      </c>
      <c r="AQ13" s="2">
        <f>7.00598655891945*(1/14151.6638359215)</f>
        <v>4.9506451256536995E-4</v>
      </c>
      <c r="AR13" s="2">
        <f>7.00417420727793*(1/14151.6638359215)</f>
        <v>4.9493644623602986E-4</v>
      </c>
      <c r="AS13" s="2">
        <f>7.00102376283178*(1/14151.6638359215)</f>
        <v>4.9471382616232858E-4</v>
      </c>
      <c r="AT13" s="2">
        <f>6.99770045382226*(1/14151.6638359215)</f>
        <v>4.9447899094803491E-4</v>
      </c>
      <c r="AU13" s="2">
        <f>6.99686549955535*(1/14151.6638359215)</f>
        <v>4.9441999051694837E-4</v>
      </c>
      <c r="AV13" s="2">
        <f>6.99743321631295*(1/14151.6638359215)</f>
        <v>4.9446010712543933E-4</v>
      </c>
      <c r="AW13" s="2">
        <f>6.99815215039289*(1/14151.6638359215)</f>
        <v>4.9451090921403293E-4</v>
      </c>
      <c r="AX13" s="2">
        <f>6.99777084809301*(1/14151.6638359215)</f>
        <v>4.9448396522325559E-4</v>
      </c>
      <c r="AY13" s="2">
        <f>6.99503785571114*(1/14151.6638359215)</f>
        <v>4.9429084359363254E-4</v>
      </c>
      <c r="AZ13" s="2">
        <f>6.9887017195451*(1/14151.6638359215)</f>
        <v>4.9384311276568871E-4</v>
      </c>
      <c r="BA13" s="2">
        <f>6.97751098589272*(1/14151.6638359215)</f>
        <v>4.9305234117994954E-4</v>
      </c>
      <c r="BB13" s="2">
        <f>6.96021420105184*(1/14151.6638359215)</f>
        <v>4.9183009727694102E-4</v>
      </c>
      <c r="BC13" s="2">
        <f>6.93555991132029*(1/14151.6638359215)</f>
        <v>4.9008794949718883E-4</v>
      </c>
      <c r="BD13" s="2">
        <f>6.9024960429226*(1/14151.6638359215)</f>
        <v>4.8775155507876271E-4</v>
      </c>
      <c r="BE13" s="2">
        <f>6.86699840323161*(1/14151.6638359215)</f>
        <v>4.8524318291118159E-4</v>
      </c>
      <c r="BF13" s="2">
        <f>6.83090832856686*(1/14151.6638359215)</f>
        <v>4.8269294747009219E-4</v>
      </c>
      <c r="BG13" s="2">
        <f>6.79224274613876*(1/14151.6638359215)</f>
        <v>4.7996071874586581E-4</v>
      </c>
      <c r="BH13" s="2">
        <f>6.74901858315773*(1/14151.6638359215)</f>
        <v>4.7690636672887451E-4</v>
      </c>
      <c r="BI13" s="2">
        <f>6.69925276683417*(1/14151.6638359215)</f>
        <v>4.7338976140948879E-4</v>
      </c>
      <c r="BJ13" s="2">
        <f>6.64096222437849*(1/14151.6638359215)</f>
        <v>4.6927077277808001E-4</v>
      </c>
      <c r="BK13" s="2">
        <f>6.5721638830011*(1/14151.6638359215)</f>
        <v>4.6440927082501941E-4</v>
      </c>
      <c r="BL13" s="2">
        <f>6.49087466991241*(1/14151.6638359215)</f>
        <v>4.586651255406782E-4</v>
      </c>
      <c r="BM13" s="2">
        <f>6.39511151232279*(1/14151.6638359215)</f>
        <v>4.5189820691542495E-4</v>
      </c>
      <c r="BN13" s="2">
        <f>6.28289133744271*(1/14151.6638359215)</f>
        <v>4.4396838493963511E-4</v>
      </c>
      <c r="BO13" s="2">
        <f>6.1488714883627*(1/14151.6638359215)</f>
        <v>4.3449813107875528E-4</v>
      </c>
      <c r="BP13" s="2">
        <f>5.98257751653317*(1/14151.6638359215)</f>
        <v>4.2274728865078422E-4</v>
      </c>
      <c r="BQ13" s="2">
        <f>5.79000475508821*(1/14151.6638359215)</f>
        <v>4.0913950629545807E-4</v>
      </c>
      <c r="BR13" s="2">
        <f>5.57857849599399*(1/14151.6638359215)</f>
        <v>3.9419947793232297E-4</v>
      </c>
      <c r="BS13" s="2">
        <f>5.3557240312168*(1/14151.6638359215)</f>
        <v>3.7845189748093367E-4</v>
      </c>
      <c r="BT13" s="2">
        <f>5.12886665272281*(1/14151.6638359215)</f>
        <v>3.624214588608364E-4</v>
      </c>
      <c r="BU13" s="2">
        <f>4.90543165247822*(1/14151.6638359215)</f>
        <v>3.4663285599157947E-4</v>
      </c>
      <c r="BV13" s="2">
        <f>4.69284432244925*(1/14151.6638359215)</f>
        <v>3.3161078279271263E-4</v>
      </c>
      <c r="BW13" s="2">
        <f>4.4985299546021*(1/14151.6638359215)</f>
        <v>3.1787993318378412E-4</v>
      </c>
      <c r="BX13" s="2">
        <f>4.32991384090299*(1/14151.6638359215)</f>
        <v>3.0596500108434377E-4</v>
      </c>
      <c r="BY13" s="2">
        <f>4.19436385600637*(1/14151.6638359215)</f>
        <v>2.9638662313047023E-4</v>
      </c>
      <c r="BZ13" s="2">
        <f>4.08165349917888*(1/14151.6638359215)</f>
        <v>2.8842216339384228E-4</v>
      </c>
      <c r="CA13" s="2">
        <f>3.98070747566339*(1/14151.6638359215)</f>
        <v>2.8128900755535662E-4</v>
      </c>
      <c r="CB13" s="2">
        <f>3.89241142961834*(1/14151.6638359215)</f>
        <v>2.7504973794940924E-4</v>
      </c>
      <c r="CC13" s="2">
        <f>3.81765100520221*(1/14151.6638359215)</f>
        <v>2.6976693691039899E-4</v>
      </c>
      <c r="CD13" s="2">
        <f>3.75731184657342*(1/14151.6638359215)</f>
        <v>2.6550318677272049E-4</v>
      </c>
      <c r="CE13" s="2">
        <f>3.71227959789048*(1/14151.6638359215)</f>
        <v>2.6232106987077473E-4</v>
      </c>
      <c r="CF13" s="2">
        <f>3.68343990331182*(1/14151.6638359215)</f>
        <v>2.6028316853895708E-4</v>
      </c>
      <c r="CG13" s="2">
        <f>3.67167840699591*(1/14151.6638359215)</f>
        <v>2.594520651116657E-4</v>
      </c>
      <c r="CH13" s="2">
        <f>3.67788075310119*(1/14151.6638359215)</f>
        <v>2.5989034192329662E-4</v>
      </c>
      <c r="CI13" s="2">
        <f>3.70293258578614*(1/14151.6638359215)</f>
        <v>2.616605813082487E-4</v>
      </c>
      <c r="CJ13" s="2">
        <f>3.74935629956803*(1/14151.6638359215)</f>
        <v>2.6494102340467917E-4</v>
      </c>
      <c r="CK13" s="2">
        <f>3.82569687648025*(1/14151.6638359215)</f>
        <v>2.7033548286876306E-4</v>
      </c>
      <c r="CL13" s="2">
        <f>3.92895373566301*(1/14151.6638359215)</f>
        <v>2.7763192944776249E-4</v>
      </c>
      <c r="CM13" s="2">
        <f>4.0542494165335*(1/14151.6638359215)</f>
        <v>2.864857068073157E-4</v>
      </c>
      <c r="CN13" s="2">
        <f>4.19670645850891*(1/14151.6638359215)</f>
        <v>2.9655215861306084E-4</v>
      </c>
      <c r="CO13" s="2">
        <f>4.35144740100642*(1/14151.6638359215)</f>
        <v>3.0748662853063535E-4</v>
      </c>
      <c r="CP13" s="2">
        <f>4.51359478344325*(1/14151.6638359215)</f>
        <v>3.1894446022567939E-4</v>
      </c>
      <c r="CQ13" s="2">
        <f>4.67827114523652*(1/14151.6638359215)</f>
        <v>3.3058099736382621E-4</v>
      </c>
      <c r="CR13" s="2">
        <f>4.84059902580343*(1/14151.6638359215)</f>
        <v>3.4205158361071467E-4</v>
      </c>
      <c r="CS13" s="2">
        <f>4.99570096456118*(1/14151.6638359215)</f>
        <v>3.5301156263198362E-4</v>
      </c>
      <c r="CT13" s="2">
        <f>5.13869950092695*(1/14151.6638359215)</f>
        <v>3.6311627809327044E-4</v>
      </c>
      <c r="CU13" s="2">
        <f>5.27645343066528*(1/14151.6638359215)</f>
        <v>3.7285039355386152E-4</v>
      </c>
      <c r="CV13" s="2">
        <f>5.42049303595672*(1/14151.6638359215)</f>
        <v>3.8302867414061626E-4</v>
      </c>
      <c r="CW13" s="2">
        <f>5.56837243813623*(1/14151.6638359215)</f>
        <v>3.9347828656033362E-4</v>
      </c>
      <c r="CX13" s="2">
        <f>5.7175951475108*(1/14151.6638359215)</f>
        <v>4.040228211892438E-4</v>
      </c>
      <c r="CY13" s="2">
        <f>5.86566467438737*(1/14151.6638359215)</f>
        <v>4.1448586840357358E-4</v>
      </c>
      <c r="CZ13" s="2">
        <f>6.01008452907291*(1/14151.6638359215)</f>
        <v>4.246910185795519E-4</v>
      </c>
      <c r="DA13" s="2">
        <f>6.14835822187438*(1/14151.6638359215)</f>
        <v>4.3446186209340689E-4</v>
      </c>
      <c r="DB13" s="2">
        <f>6.27798926309869*(1/14151.6638359215)</f>
        <v>4.4362198932136328E-4</v>
      </c>
      <c r="DC13" s="2">
        <f>6.39648116305282*(1/14151.6638359215)</f>
        <v>4.519949906396506E-4</v>
      </c>
      <c r="DD13" s="2">
        <f>6.50133743204373*(1/14151.6638359215)</f>
        <v>4.5940445642449711E-4</v>
      </c>
      <c r="DE13" s="2">
        <f>6.59033838178166*(1/14151.6638359215)</f>
        <v>4.6569353668882732E-4</v>
      </c>
      <c r="DF13" s="2">
        <f>6.66514448643059*(1/14151.6638359215)</f>
        <v>4.7097956563328598E-4</v>
      </c>
      <c r="DG13" s="2">
        <f>6.72778408119316*(1/14151.6638359215)</f>
        <v>4.7540587164852439E-4</v>
      </c>
      <c r="DH13" s="2">
        <f>6.77977816364585*(1/14151.6638359215)</f>
        <v>4.7907993309144188E-4</v>
      </c>
      <c r="DI13" s="2">
        <f>6.82264773136514*(1/14151.6638359215)</f>
        <v>4.8210922831893829E-4</v>
      </c>
      <c r="DJ13" s="2">
        <f>6.85791378192752*(1/14151.6638359215)</f>
        <v>4.8460123568791372E-4</v>
      </c>
      <c r="DK13" s="2">
        <f>6.88709731290947*(1/14151.6638359215)</f>
        <v>4.8666343355526783E-4</v>
      </c>
      <c r="DL13" s="2">
        <f>6.91171932188747*(1/14151.6638359215)</f>
        <v>4.884033002779003E-4</v>
      </c>
      <c r="DM13" s="2">
        <f>6.93330080643801*(1/14151.6638359215)</f>
        <v>4.8992831421271112E-4</v>
      </c>
      <c r="DN13" s="2">
        <f>6.95336276413758*(1/14151.6638359215)</f>
        <v>4.9134595371660094E-4</v>
      </c>
      <c r="DO13" s="2">
        <f>6.97342619256264*(1/14151.6638359215)</f>
        <v>4.9276369714646763E-4</v>
      </c>
      <c r="DP13" s="2">
        <f>6.99208956603708*(1/14151.6638359215)</f>
        <v>4.9408250839656721E-4</v>
      </c>
      <c r="DQ13" s="2">
        <f>7.00478527387869*(1/14151.6638359215)</f>
        <v>4.9497962607748499E-4</v>
      </c>
      <c r="DR13" s="2">
        <f>7.01231084676205*(1/14151.6638359215)</f>
        <v>4.9551140615441535E-4</v>
      </c>
      <c r="DS13" s="2">
        <f>7.01561610595855*(1/14151.6638359215)</f>
        <v>4.9574496591352376E-4</v>
      </c>
      <c r="DT13" s="2">
        <f>7.01565087273959*(1/14151.6638359215)</f>
        <v>4.9574742264097587E-4</v>
      </c>
      <c r="DU13" s="2">
        <f>7.01336496837654*(1/14151.6638359215)</f>
        <v>4.9558589362293584E-4</v>
      </c>
      <c r="DV13" s="2">
        <f>7.00970821414082*(1/14151.6638359215)</f>
        <v>4.9532749614557075E-4</v>
      </c>
      <c r="DW13" s="2">
        <f>7.00563043130379*(1/14151.6638359215)</f>
        <v>4.9503934749504399E-4</v>
      </c>
      <c r="DX13" s="2">
        <f>7.00208144113686*(1/14151.6638359215)</f>
        <v>4.9478856495752197E-4</v>
      </c>
      <c r="DY13" s="2">
        <f>7.00001106491142*(1/14151.6638359215)</f>
        <v>4.9464226581917017E-4</v>
      </c>
      <c r="DZ13" s="2">
        <f>7.00025594070795*(1/14151.6638359215)</f>
        <v>4.9465956949450965E-4</v>
      </c>
      <c r="EA13" s="2">
        <f>7.00104355181948*(1/14151.6638359215)</f>
        <v>4.9471522451293446E-4</v>
      </c>
      <c r="EB13" s="2">
        <f>7.00149663972986*(1/14151.6638359215)</f>
        <v>4.9474724109526943E-4</v>
      </c>
      <c r="EC13" s="2">
        <f>7.00167296384072*(1/14151.6638359215)</f>
        <v>4.9475970069810522E-4</v>
      </c>
      <c r="ED13" s="2">
        <f>7.00163028355371*(1/14151.6638359215)</f>
        <v>4.9475668477803349E-4</v>
      </c>
      <c r="EE13" s="2">
        <f>7.00142635827045*(1/14151.6638359215)</f>
        <v>4.9474227479164436E-4</v>
      </c>
      <c r="EF13" s="2">
        <f>7.00111894739258*(1/14151.6638359215)</f>
        <v>4.9472055219552881E-4</v>
      </c>
      <c r="EG13" s="2">
        <f>7.00076581032176*(1/14151.6638359215)</f>
        <v>4.9469559844627969E-4</v>
      </c>
      <c r="EH13" s="2">
        <f>7.00042470645961*(1/14151.6638359215)</f>
        <v>4.9467149500048669E-4</v>
      </c>
      <c r="EI13" s="2">
        <f>7.00015339520777*(1/14151.6638359215)</f>
        <v>4.9465232331474102E-4</v>
      </c>
      <c r="EJ13" s="2">
        <f>7.00000963596788*(1/14151.6638359215)</f>
        <v>4.9464216484563399E-4</v>
      </c>
      <c r="EK13" s="2">
        <f t="shared" si="7"/>
        <v>4.9464148393856954E-4</v>
      </c>
      <c r="EL13" s="2">
        <f t="shared" si="7"/>
        <v>4.9464148393856954E-4</v>
      </c>
      <c r="EM13" s="2">
        <f t="shared" si="7"/>
        <v>4.9464148393856954E-4</v>
      </c>
      <c r="EN13" s="2">
        <f t="shared" si="3"/>
        <v>4.9464148393856954E-4</v>
      </c>
      <c r="EO13" s="2">
        <f>7*(1/14151.6638359215)</f>
        <v>4.9464148393856954E-4</v>
      </c>
      <c r="EP13" s="2">
        <f t="shared" si="3"/>
        <v>4.9464148393856954E-4</v>
      </c>
      <c r="EQ13" s="2">
        <f t="shared" si="3"/>
        <v>4.9464148393856954E-4</v>
      </c>
      <c r="ER13" s="2">
        <f t="shared" si="3"/>
        <v>4.9464148393856954E-4</v>
      </c>
      <c r="ES13" s="2">
        <f t="shared" si="3"/>
        <v>4.9464148393856954E-4</v>
      </c>
      <c r="ET13" s="2">
        <f t="shared" si="3"/>
        <v>4.9464148393856954E-4</v>
      </c>
      <c r="EU13" s="2">
        <f t="shared" si="3"/>
        <v>4.9464148393856954E-4</v>
      </c>
      <c r="EV13" s="2">
        <f t="shared" si="3"/>
        <v>4.9464148393856954E-4</v>
      </c>
      <c r="EW13" s="2">
        <f t="shared" si="3"/>
        <v>4.9464148393856954E-4</v>
      </c>
      <c r="EX13" s="2">
        <f t="shared" si="3"/>
        <v>4.9464148393856954E-4</v>
      </c>
      <c r="EY13" s="2">
        <f t="shared" si="3"/>
        <v>4.9464148393856954E-4</v>
      </c>
      <c r="EZ13" s="2">
        <f t="shared" si="3"/>
        <v>4.9464148393856954E-4</v>
      </c>
      <c r="FA13" s="2">
        <f t="shared" si="3"/>
        <v>4.9464148393856954E-4</v>
      </c>
      <c r="FB13" s="2">
        <f t="shared" si="3"/>
        <v>4.9464148393856954E-4</v>
      </c>
      <c r="FC13" s="2">
        <f t="shared" si="3"/>
        <v>4.9464148393856954E-4</v>
      </c>
      <c r="FD13" s="2">
        <f t="shared" si="3"/>
        <v>4.9464148393856954E-4</v>
      </c>
      <c r="FE13" s="2">
        <f t="shared" si="3"/>
        <v>4.9464148393856954E-4</v>
      </c>
      <c r="FF13" s="2">
        <f t="shared" si="3"/>
        <v>4.9464148393856954E-4</v>
      </c>
      <c r="FG13" s="2">
        <f t="shared" si="4"/>
        <v>4.9464148393856954E-4</v>
      </c>
      <c r="FH13" s="2">
        <f t="shared" si="4"/>
        <v>4.9464148393856954E-4</v>
      </c>
      <c r="FI13" s="2">
        <f t="shared" si="4"/>
        <v>4.9464148393856954E-4</v>
      </c>
      <c r="FJ13" s="2">
        <f t="shared" si="4"/>
        <v>4.9464148393856954E-4</v>
      </c>
      <c r="FK13" s="2">
        <f t="shared" si="4"/>
        <v>4.9464148393856954E-4</v>
      </c>
      <c r="FL13" s="2">
        <f t="shared" si="4"/>
        <v>4.9464148393856954E-4</v>
      </c>
      <c r="FM13" s="2">
        <f t="shared" si="4"/>
        <v>4.9464148393856954E-4</v>
      </c>
      <c r="FN13" s="2">
        <f t="shared" si="4"/>
        <v>4.9464148393856954E-4</v>
      </c>
      <c r="FO13" s="2">
        <f t="shared" si="4"/>
        <v>4.9464148393856954E-4</v>
      </c>
      <c r="FP13" s="2">
        <f t="shared" si="4"/>
        <v>4.9464148393856954E-4</v>
      </c>
      <c r="FQ13" s="2"/>
    </row>
    <row r="14" spans="1:173">
      <c r="B14" s="2">
        <v>9.4041420118343204</v>
      </c>
      <c r="C14" s="2">
        <f t="shared" si="5"/>
        <v>4.9464148393856954E-4</v>
      </c>
      <c r="D14" s="2">
        <f t="shared" si="5"/>
        <v>4.9464148393856954E-4</v>
      </c>
      <c r="E14" s="2">
        <f t="shared" si="5"/>
        <v>4.9464148393856954E-4</v>
      </c>
      <c r="F14" s="2">
        <f t="shared" si="0"/>
        <v>4.9464148393856954E-4</v>
      </c>
      <c r="G14" s="2">
        <f t="shared" si="0"/>
        <v>4.9464148393856954E-4</v>
      </c>
      <c r="H14" s="2">
        <f t="shared" si="0"/>
        <v>4.9464148393856954E-4</v>
      </c>
      <c r="I14" s="2">
        <f t="shared" si="0"/>
        <v>4.9464148393856954E-4</v>
      </c>
      <c r="J14" s="2">
        <f t="shared" si="0"/>
        <v>4.9464148393856954E-4</v>
      </c>
      <c r="K14" s="2">
        <f t="shared" si="0"/>
        <v>4.9464148393856954E-4</v>
      </c>
      <c r="L14" s="2">
        <f t="shared" si="0"/>
        <v>4.9464148393856954E-4</v>
      </c>
      <c r="M14" s="2">
        <f t="shared" si="0"/>
        <v>4.9464148393856954E-4</v>
      </c>
      <c r="N14" s="2">
        <f>7.00000311028225*(1/14151.6638359215)</f>
        <v>4.946417037206592E-4</v>
      </c>
      <c r="O14" s="2">
        <f>7.00003026197269*(1/14151.6638359215)</f>
        <v>4.9464362234243791E-4</v>
      </c>
      <c r="P14" s="2">
        <f>7.00007747494446*(1/14151.6638359215)</f>
        <v>4.946469585559261E-4</v>
      </c>
      <c r="Q14" s="2">
        <f>7.00013511978252*(1/14151.6638359215)</f>
        <v>4.9465103191710311E-4</v>
      </c>
      <c r="R14" s="2">
        <f>7.00019356707184*(1/14151.6638359215)</f>
        <v>4.94655161981949E-4</v>
      </c>
      <c r="S14" s="2">
        <f>7.00024318739737*(1/14151.6638359215)</f>
        <v>4.9465866830644245E-4</v>
      </c>
      <c r="T14" s="2">
        <f>7.00027435134408*(1/14151.6638359215)</f>
        <v>4.9466087044656331E-4</v>
      </c>
      <c r="U14" s="2">
        <f>7.00027742949693*(1/14151.6638359215)</f>
        <v>4.9466108795829091E-4</v>
      </c>
      <c r="V14" s="2">
        <f>7.00024279244089*(1/14151.6638359215)</f>
        <v>4.9465864039760542E-4</v>
      </c>
      <c r="W14" s="2">
        <f>7.00016081076093*(1/14151.6638359215)</f>
        <v>4.9465284732048661E-4</v>
      </c>
      <c r="X14" s="2">
        <f>7.00002185504199*(1/14151.6638359215)</f>
        <v>4.9464302828291259E-4</v>
      </c>
      <c r="Y14" s="2">
        <f>7.00009196904987*(1/14151.6638359215)</f>
        <v>4.9464798275389874E-4</v>
      </c>
      <c r="Z14" s="2">
        <f>7.00068198577997*(1/14151.6638359215)</f>
        <v>4.9468967514688803E-4</v>
      </c>
      <c r="AA14" s="2">
        <f>7.00158641948337*(1/14151.6638359215)</f>
        <v>4.9475358520819864E-4</v>
      </c>
      <c r="AB14" s="2">
        <f>7.00259363236439*(1/14151.6638359215)</f>
        <v>4.9482475796164282E-4</v>
      </c>
      <c r="AC14" s="2">
        <f>7.00349198662733*(1/14151.6638359215)</f>
        <v>4.9488823843103194E-4</v>
      </c>
      <c r="AD14" s="2">
        <f>7.00406984447649*(1/14151.6638359215)</f>
        <v>4.9492907164017672E-4</v>
      </c>
      <c r="AE14" s="2">
        <f>7.00411556811618*(1/14151.6638359215)</f>
        <v>4.9493230261288918E-4</v>
      </c>
      <c r="AF14" s="2">
        <f>7.0034175197507*(1/14151.6638359215)</f>
        <v>4.9488297637298039E-4</v>
      </c>
      <c r="AG14" s="2">
        <f>7.00176406158437*(1/14151.6638359215)</f>
        <v>4.9476613794426267E-4</v>
      </c>
      <c r="AH14" s="2">
        <f>6.99894355582149*(1/14151.6638359215)</f>
        <v>4.945668323505472E-4</v>
      </c>
      <c r="AI14" s="2">
        <f>6.99482962603815*(1/14151.6638359215)</f>
        <v>4.942761294458543E-4</v>
      </c>
      <c r="AJ14" s="2">
        <f>6.99043735964367*(1/14151.6638359215)</f>
        <v>4.9396575842196593E-4</v>
      </c>
      <c r="AK14" s="2">
        <f>6.98589879452067*(1/14151.6638359215)</f>
        <v>4.9364504948090984E-4</v>
      </c>
      <c r="AL14" s="2">
        <f>6.98092740406873*(1/14151.6638359215)</f>
        <v>4.9329375577371185E-4</v>
      </c>
      <c r="AM14" s="2">
        <f>6.97523666168743*(1/14151.6638359215)</f>
        <v>4.9289163045139776E-4</v>
      </c>
      <c r="AN14" s="2">
        <f>6.96854004077635*(1/14151.6638359215)</f>
        <v>4.9241842666499338E-4</v>
      </c>
      <c r="AO14" s="2">
        <f>6.96055101473508*(1/14151.6638359215)</f>
        <v>4.9185389756552515E-4</v>
      </c>
      <c r="AP14" s="2">
        <f>6.9509830569632*(1/14151.6638359215)</f>
        <v>4.9117779630401879E-4</v>
      </c>
      <c r="AQ14" s="2">
        <f>6.93954964086028*(1/14151.6638359215)</f>
        <v>4.9036987603149945E-4</v>
      </c>
      <c r="AR14" s="2">
        <f>6.92596423982592*(1/14151.6638359215)</f>
        <v>4.8940988989899423E-4</v>
      </c>
      <c r="AS14" s="2">
        <f>6.90994032725968*(1/14151.6638359215)</f>
        <v>4.8827759105752759E-4</v>
      </c>
      <c r="AT14" s="2">
        <f>6.88983745560453*(1/14151.6638359215)</f>
        <v>4.8685706044796618E-4</v>
      </c>
      <c r="AU14" s="2">
        <f>6.86312558609914*(1/14151.6638359215)</f>
        <v>4.8496951776640622E-4</v>
      </c>
      <c r="AV14" s="2">
        <f>6.83143463154207*(1/14151.6638359215)</f>
        <v>4.8273013765361497E-4</v>
      </c>
      <c r="AW14" s="2">
        <f>6.79656669697327*(1/14151.6638359215)</f>
        <v>4.8026626238261718E-4</v>
      </c>
      <c r="AX14" s="2">
        <f>6.76032388743271*(1/14151.6638359215)</f>
        <v>4.7770523422643928E-4</v>
      </c>
      <c r="AY14" s="2">
        <f>6.72450830796036*(1/14151.6638359215)</f>
        <v>4.7517439545810737E-4</v>
      </c>
      <c r="AZ14" s="2">
        <f>6.69092206359619*(1/14151.6638359215)</f>
        <v>4.7280108835064794E-4</v>
      </c>
      <c r="BA14" s="2">
        <f>6.66136725938015*(1/14151.6638359215)</f>
        <v>4.7071265517708563E-4</v>
      </c>
      <c r="BB14" s="2">
        <f>6.63764600035223*(1/14151.6638359215)</f>
        <v>4.6903643821044833E-4</v>
      </c>
      <c r="BC14" s="2">
        <f>6.62156039155238*(1/14151.6638359215)</f>
        <v>4.6789977972376074E-4</v>
      </c>
      <c r="BD14" s="2">
        <f>6.61462938224856*(1/14151.6638359215)</f>
        <v>4.6741001333415591E-4</v>
      </c>
      <c r="BE14" s="2">
        <f>6.60837917756439*(1/14151.6638359215)</f>
        <v>4.6696835468845624E-4</v>
      </c>
      <c r="BF14" s="2">
        <f>6.60017459380808*(1/14151.6638359215)</f>
        <v>4.6638859361926776E-4</v>
      </c>
      <c r="BG14" s="2">
        <f>6.59280624520404*(1/14151.6638359215)</f>
        <v>4.6586792349245646E-4</v>
      </c>
      <c r="BH14" s="2">
        <f>6.58906474597667*(1/14151.6638359215)</f>
        <v>4.6560353767388771E-4</v>
      </c>
      <c r="BI14" s="2">
        <f>6.59174071035037*(1/14151.6638359215)</f>
        <v>4.6579262952942683E-4</v>
      </c>
      <c r="BJ14" s="2">
        <f>6.60362475254953*(1/14151.6638359215)</f>
        <v>4.6663239242493838E-4</v>
      </c>
      <c r="BK14" s="2">
        <f>6.62750748679855*(1/14151.6638359215)</f>
        <v>4.6832001972628781E-4</v>
      </c>
      <c r="BL14" s="2">
        <f>6.66617952732181*(1/14151.6638359215)</f>
        <v>4.7105270479933886E-4</v>
      </c>
      <c r="BM14" s="2">
        <f>6.72243148834375*(1/14151.6638359215)</f>
        <v>4.7502764100995989E-4</v>
      </c>
      <c r="BN14" s="2">
        <f>6.79905398408872*(1/14151.6638359215)</f>
        <v>4.8044202172401254E-4</v>
      </c>
      <c r="BO14" s="2">
        <f>6.90189716492501*(1/14151.6638359215)</f>
        <v>4.8770923652141613E-4</v>
      </c>
      <c r="BP14" s="2">
        <f>7.04056343915623*(1/14151.6638359215)</f>
        <v>4.9750782104398237E-4</v>
      </c>
      <c r="BQ14" s="2">
        <f>7.20853347423673*(1/14151.6638359215)</f>
        <v>5.0937709924532982E-4</v>
      </c>
      <c r="BR14" s="2">
        <f>7.39793663149433*(1/14151.6638359215)</f>
        <v>5.2276090764083688E-4</v>
      </c>
      <c r="BS14" s="2">
        <f>7.60090227225673*(1/14151.6638359215)</f>
        <v>5.3710308274587345E-4</v>
      </c>
      <c r="BT14" s="2">
        <f>7.80955975785176*(1/14151.6638359215)</f>
        <v>5.5184746107581864E-4</v>
      </c>
      <c r="BU14" s="2">
        <f>8.01603844960719*(1/14151.6638359215)</f>
        <v>5.6643787914604734E-4</v>
      </c>
      <c r="BV14" s="2">
        <f>8.21246770885081*(1/14151.6638359215)</f>
        <v>5.8031817347193552E-4</v>
      </c>
      <c r="BW14" s="2">
        <f>8.3909768969104*(1/14151.6638359215)</f>
        <v>5.9293218056885913E-4</v>
      </c>
      <c r="BX14" s="2">
        <f>8.54369537511374*(1/14151.6638359215)</f>
        <v>6.0372373695219352E-4</v>
      </c>
      <c r="BY14" s="2">
        <f>8.66280738300657*(1/14151.6638359215)</f>
        <v>6.1214055700062363E-4</v>
      </c>
      <c r="BZ14" s="2">
        <f>8.75760636174802*(1/14151.6638359215)</f>
        <v>6.1883934378927118E-4</v>
      </c>
      <c r="CA14" s="2">
        <f>8.83923273315007*(1/14151.6638359215)</f>
        <v>6.2460731371481834E-4</v>
      </c>
      <c r="CB14" s="2">
        <f>8.90762293465577*(1/14151.6638359215)</f>
        <v>6.2943997525190937E-4</v>
      </c>
      <c r="CC14" s="2">
        <f>8.96271340370816*(1/14151.6638359215)</f>
        <v>6.3333283687518733E-4</v>
      </c>
      <c r="CD14" s="2">
        <f>9.00444057775031*(1/14151.6638359215)</f>
        <v>6.3628140705929777E-4</v>
      </c>
      <c r="CE14" s="2">
        <f>9.03274089422526*(1/14151.6638359215)</f>
        <v>6.3828119427888344E-4</v>
      </c>
      <c r="CF14" s="2">
        <f>9.04755079057605*(1/14151.6638359215)</f>
        <v>6.3932770700858793E-4</v>
      </c>
      <c r="CG14" s="2">
        <f>9.04880670424575*(1/14151.6638359215)</f>
        <v>6.3941645372305638E-4</v>
      </c>
      <c r="CH14" s="2">
        <f>9.03644507267741*(1/14151.6638359215)</f>
        <v>6.385429428969327E-4</v>
      </c>
      <c r="CI14" s="2">
        <f>9.01040233331407*(1/14151.6638359215)</f>
        <v>6.3670268300486019E-4</v>
      </c>
      <c r="CJ14" s="2">
        <f>8.96873928101583*(1/14151.6638359215)</f>
        <v>6.3375864385997282E-4</v>
      </c>
      <c r="CK14" s="2">
        <f>8.90186613180285*(1/14151.6638359215)</f>
        <v>6.2903318189392221E-4</v>
      </c>
      <c r="CL14" s="2">
        <f>8.81225874539298*(1/14151.6638359215)</f>
        <v>6.2270124895311715E-4</v>
      </c>
      <c r="CM14" s="2">
        <f>8.70446058342863*(1/14151.6638359215)</f>
        <v>6.1508389998170352E-4</v>
      </c>
      <c r="CN14" s="2">
        <f>8.58301510755224*(1/14151.6638359215)</f>
        <v>6.0650218992382881E-4</v>
      </c>
      <c r="CO14" s="2">
        <f>8.45246577940624*(1/14151.6638359215)</f>
        <v>5.9727717372363997E-4</v>
      </c>
      <c r="CP14" s="2">
        <f>8.31735606063302*(1/14151.6638359215)</f>
        <v>5.877299063252818E-4</v>
      </c>
      <c r="CQ14" s="2">
        <f>8.18222941287507*(1/14151.6638359215)</f>
        <v>5.7818144267290505E-4</v>
      </c>
      <c r="CR14" s="2">
        <f>8.05162929777478*(1/14151.6638359215)</f>
        <v>5.6895283771065416E-4</v>
      </c>
      <c r="CS14" s="2">
        <f>7.93009917697459*(1/14151.6638359215)</f>
        <v>5.603651463826772E-4</v>
      </c>
      <c r="CT14" s="2">
        <f>7.82218251211692*(1/14151.6638359215)</f>
        <v>5.5273942363312013E-4</v>
      </c>
      <c r="CU14" s="2">
        <f>7.72254708371964*(1/14151.6638359215)</f>
        <v>5.4569887846807937E-4</v>
      </c>
      <c r="CV14" s="2">
        <f>7.62132661627464*(1/14151.6638359215)</f>
        <v>5.3854632957922924E-4</v>
      </c>
      <c r="CW14" s="2">
        <f>7.52005506407126*(1/14151.6638359215)</f>
        <v>5.3139017088456612E-4</v>
      </c>
      <c r="CX14" s="2">
        <f>7.42030834131787*(1/14151.6638359215)</f>
        <v>5.2434176131874524E-4</v>
      </c>
      <c r="CY14" s="2">
        <f>7.32366236222287*(1/14151.6638359215)</f>
        <v>5.1751245981642433E-4</v>
      </c>
      <c r="CZ14" s="2">
        <f>7.23169304099464*(1/14151.6638359215)</f>
        <v>5.1101362531225927E-4</v>
      </c>
      <c r="DA14" s="2">
        <f>7.14597629184156*(1/14151.6638359215)</f>
        <v>5.0495661674090659E-4</v>
      </c>
      <c r="DB14" s="2">
        <f>7.06808802897204*(1/14151.6638359215)</f>
        <v>4.9945279303702413E-4</v>
      </c>
      <c r="DC14" s="2">
        <f>6.99960416659448*(1/14151.6638359215)</f>
        <v>4.9461351313526971E-4</v>
      </c>
      <c r="DD14" s="2">
        <f>6.94210061891724*(1/14151.6638359215)</f>
        <v>4.9055013597029793E-4</v>
      </c>
      <c r="DE14" s="2">
        <f>6.89723176958964*(1/14151.6638359215)</f>
        <v>4.8737956536829506E-4</v>
      </c>
      <c r="DF14" s="2">
        <f>6.86625983431719*(1/14151.6638359215)</f>
        <v>4.8519099336492166E-4</v>
      </c>
      <c r="DG14" s="2">
        <f>6.84761635673257*(1/14151.6638359215)</f>
        <v>4.8387358801945995E-4</v>
      </c>
      <c r="DH14" s="2">
        <f>6.83928076347303*(1/14151.6638359215)</f>
        <v>4.8328456941668752E-4</v>
      </c>
      <c r="DI14" s="2">
        <f>6.83923248117582*(1/14151.6638359215)</f>
        <v>4.8328115764138178E-4</v>
      </c>
      <c r="DJ14" s="2">
        <f>6.84545093647818*(1/14151.6638359215)</f>
        <v>4.8372057277831966E-4</v>
      </c>
      <c r="DK14" s="2">
        <f>6.85591555601738*(1/14151.6638359215)</f>
        <v>4.8446003491228002E-4</v>
      </c>
      <c r="DL14" s="2">
        <f>6.86860576643065*(1/14151.6638359215)</f>
        <v>4.8535676412803894E-4</v>
      </c>
      <c r="DM14" s="2">
        <f>6.88150099435524*(1/14151.6638359215)</f>
        <v>4.8626798051037398E-4</v>
      </c>
      <c r="DN14" s="2">
        <f>6.8925806664284*(1/14151.6638359215)</f>
        <v>4.8705090414406267E-4</v>
      </c>
      <c r="DO14" s="2">
        <f>6.89982420928738*(1/14151.6638359215)</f>
        <v>4.8756275511388242E-4</v>
      </c>
      <c r="DP14" s="2">
        <f>6.9042067462339*(1/14151.6638359215)</f>
        <v>4.87872438625117E-4</v>
      </c>
      <c r="DQ14" s="2">
        <f>6.91049622984253*(1/14151.6638359215)</f>
        <v>4.8831687284017137E-4</v>
      </c>
      <c r="DR14" s="2">
        <f>6.9184077112579*(1/14151.6638359215)</f>
        <v>4.8887592239837865E-4</v>
      </c>
      <c r="DS14" s="2">
        <f>6.92750599681687*(1/14151.6638359215)</f>
        <v>4.895188351798337E-4</v>
      </c>
      <c r="DT14" s="2">
        <f>6.93735589285635*(1/14151.6638359215)</f>
        <v>4.9021485906463496E-4</v>
      </c>
      <c r="DU14" s="2">
        <f>6.94752220571321*(1/14151.6638359215)</f>
        <v>4.9093324193287807E-4</v>
      </c>
      <c r="DV14" s="2">
        <f>6.95756974172433*(1/14151.6638359215)</f>
        <v>4.9164323166465897E-4</v>
      </c>
      <c r="DW14" s="2">
        <f>6.96706330722662*(1/14151.6638359215)</f>
        <v>4.9231407614007622E-4</v>
      </c>
      <c r="DX14" s="2">
        <f>6.97556770855694*(1/14151.6638359215)</f>
        <v>4.9291502323922458E-4</v>
      </c>
      <c r="DY14" s="2">
        <f>6.98264775205219*(1/14151.6638359215)</f>
        <v>4.9341532084220174E-4</v>
      </c>
      <c r="DZ14" s="2">
        <f>6.98790093574456*(1/14151.6638359215)</f>
        <v>4.9378652692462965E-4</v>
      </c>
      <c r="EA14" s="2">
        <f>6.99176418890864*(1/14151.6638359215)</f>
        <v>4.9405951625004557E-4</v>
      </c>
      <c r="EB14" s="2">
        <f>6.99462865476978*(1/14151.6638359215)</f>
        <v>4.942619281992235E-4</v>
      </c>
      <c r="EC14" s="2">
        <f>6.99664629732634*(1/14151.6638359215)</f>
        <v>4.9440450101468551E-4</v>
      </c>
      <c r="ED14" s="2">
        <f>6.99796908057671*(1/14151.6638359215)</f>
        <v>4.9449797293895585E-4</v>
      </c>
      <c r="EE14" s="2">
        <f>6.99874896851925*(1/14151.6638359215)</f>
        <v>4.9455308221455635E-4</v>
      </c>
      <c r="EF14" s="2">
        <f>6.99913792515232*(1/14151.6638359215)</f>
        <v>4.945805670840092E-4</v>
      </c>
      <c r="EG14" s="2">
        <f>6.99928791447431*(1/14151.6638359215)</f>
        <v>4.9459116578983841E-4</v>
      </c>
      <c r="EH14" s="2">
        <f>6.99935090048359*(1/14151.6638359215)</f>
        <v>4.9459561657456659E-4</v>
      </c>
      <c r="EI14" s="2">
        <f>6.99947884717852*(1/14151.6638359215)</f>
        <v>4.9460465768071593E-4</v>
      </c>
      <c r="EJ14" s="2">
        <f>6.99982371855747*(1/14151.6638359215)</f>
        <v>4.9462902735080902E-4</v>
      </c>
      <c r="EK14" s="2">
        <f>7.00037658551446*(1/14151.6638359215)</f>
        <v>4.9466809462681276E-4</v>
      </c>
      <c r="EL14" s="2">
        <f>7.00074661584852*(1/14151.6638359215)</f>
        <v>4.9469424210589008E-4</v>
      </c>
      <c r="EM14" s="2">
        <f>7.00093619495705*(1/14151.6638359215)</f>
        <v>4.9470763834754251E-4</v>
      </c>
      <c r="EN14" s="2">
        <f>7.00097902579268*(1/14151.6638359215)</f>
        <v>4.9471066490584174E-4</v>
      </c>
      <c r="EO14" s="2">
        <f>7.00090881130804*(1/14151.6638359215)</f>
        <v>4.9470570333485944E-4</v>
      </c>
      <c r="EP14" s="2">
        <f>7.00075925445575*(1/14151.6638359215)</f>
        <v>4.9469513518866654E-4</v>
      </c>
      <c r="EQ14" s="2">
        <f>7.00056405818845*(1/14151.6638359215)</f>
        <v>4.9468134202133569E-4</v>
      </c>
      <c r="ER14" s="2">
        <f>7.00035692545876*(1/14151.6638359215)</f>
        <v>4.9466670538693761E-4</v>
      </c>
      <c r="ES14" s="2">
        <f>7.00017155921931*(1/14151.6638359215)</f>
        <v>4.9465360683954428E-4</v>
      </c>
      <c r="ET14" s="2">
        <f>7.00004166242272*(1/14151.6638359215)</f>
        <v>4.9464442793322654E-4</v>
      </c>
      <c r="EU14" s="2">
        <f t="shared" si="3"/>
        <v>4.9464148393856954E-4</v>
      </c>
      <c r="EV14" s="2">
        <f t="shared" si="3"/>
        <v>4.9464148393856954E-4</v>
      </c>
      <c r="EW14" s="2">
        <f t="shared" si="3"/>
        <v>4.9464148393856954E-4</v>
      </c>
      <c r="EX14" s="2">
        <f t="shared" si="3"/>
        <v>4.9464148393856954E-4</v>
      </c>
      <c r="EY14" s="2">
        <f t="shared" si="3"/>
        <v>4.9464148393856954E-4</v>
      </c>
      <c r="EZ14" s="2">
        <f t="shared" si="3"/>
        <v>4.9464148393856954E-4</v>
      </c>
      <c r="FA14" s="2">
        <f t="shared" ref="FA14:FF14" si="8">7*(1/14151.6638359215)</f>
        <v>4.9464148393856954E-4</v>
      </c>
      <c r="FB14" s="2">
        <f t="shared" si="8"/>
        <v>4.9464148393856954E-4</v>
      </c>
      <c r="FC14" s="2">
        <f t="shared" si="8"/>
        <v>4.9464148393856954E-4</v>
      </c>
      <c r="FD14" s="2">
        <f t="shared" si="8"/>
        <v>4.9464148393856954E-4</v>
      </c>
      <c r="FE14" s="2">
        <f t="shared" si="8"/>
        <v>4.9464148393856954E-4</v>
      </c>
      <c r="FF14" s="2">
        <f t="shared" si="8"/>
        <v>4.9464148393856954E-4</v>
      </c>
      <c r="FG14" s="2">
        <f t="shared" si="4"/>
        <v>4.9464148393856954E-4</v>
      </c>
      <c r="FH14" s="2">
        <f t="shared" si="4"/>
        <v>4.9464148393856954E-4</v>
      </c>
      <c r="FI14" s="2">
        <f t="shared" si="4"/>
        <v>4.9464148393856954E-4</v>
      </c>
      <c r="FJ14" s="2">
        <f t="shared" si="4"/>
        <v>4.9464148393856954E-4</v>
      </c>
      <c r="FK14" s="2">
        <f t="shared" si="4"/>
        <v>4.9464148393856954E-4</v>
      </c>
      <c r="FL14" s="2">
        <f t="shared" si="4"/>
        <v>4.9464148393856954E-4</v>
      </c>
      <c r="FM14" s="2">
        <f t="shared" si="4"/>
        <v>4.9464148393856954E-4</v>
      </c>
      <c r="FN14" s="2">
        <f t="shared" si="4"/>
        <v>4.9464148393856954E-4</v>
      </c>
      <c r="FO14" s="2">
        <f t="shared" si="4"/>
        <v>4.9464148393856954E-4</v>
      </c>
      <c r="FP14" s="2">
        <f t="shared" si="4"/>
        <v>4.9464148393856954E-4</v>
      </c>
      <c r="FQ14" s="2"/>
    </row>
    <row r="15" spans="1:173">
      <c r="B15" s="2">
        <v>9.4136094674556219</v>
      </c>
      <c r="C15" s="2">
        <f t="shared" si="5"/>
        <v>4.9464148393856954E-4</v>
      </c>
      <c r="D15" s="2">
        <f t="shared" si="5"/>
        <v>4.9464148393856954E-4</v>
      </c>
      <c r="E15" s="2">
        <f t="shared" si="5"/>
        <v>4.9464148393856954E-4</v>
      </c>
      <c r="F15" s="2">
        <f t="shared" si="0"/>
        <v>4.9464148393856954E-4</v>
      </c>
      <c r="G15" s="2">
        <f t="shared" si="0"/>
        <v>4.9464148393856954E-4</v>
      </c>
      <c r="H15" s="2">
        <f t="shared" si="0"/>
        <v>4.9464148393856954E-4</v>
      </c>
      <c r="I15" s="2">
        <f t="shared" si="0"/>
        <v>4.9464148393856954E-4</v>
      </c>
      <c r="J15" s="2">
        <f t="shared" si="0"/>
        <v>4.9464148393856954E-4</v>
      </c>
      <c r="K15" s="2">
        <f t="shared" si="0"/>
        <v>4.9464148393856954E-4</v>
      </c>
      <c r="L15" s="2">
        <f t="shared" si="0"/>
        <v>4.9464148393856954E-4</v>
      </c>
      <c r="M15" s="2">
        <f t="shared" si="0"/>
        <v>4.9464148393856954E-4</v>
      </c>
      <c r="N15" s="2">
        <f>7.00003026197269*(1/14151.6638359215)</f>
        <v>4.9464362234243791E-4</v>
      </c>
      <c r="O15" s="2">
        <f>7.00029443854863*(1/14151.6638359215)</f>
        <v>4.9466228987008712E-4</v>
      </c>
      <c r="P15" s="2">
        <f>7.00075380446722*(1/14151.6638359215)</f>
        <v>4.9469475007575038E-4</v>
      </c>
      <c r="Q15" s="2">
        <f>7.00131466884398*(1/14151.6638359215)</f>
        <v>4.9473438247398015E-4</v>
      </c>
      <c r="R15" s="2">
        <f>7.00188334079445*(1/14151.6638359215)</f>
        <v>4.9477456657933078E-4</v>
      </c>
      <c r="S15" s="2">
        <f>7.00236612943416*(1/14151.6638359215)</f>
        <v>4.9480868190635572E-4</v>
      </c>
      <c r="T15" s="2">
        <f>7.00266934387863*(1/14151.6638359215)</f>
        <v>4.9483010796960779E-4</v>
      </c>
      <c r="U15" s="2">
        <f>7.00269929324339*(1/14151.6638359215)</f>
        <v>4.9483222428364044E-4</v>
      </c>
      <c r="V15" s="2">
        <f>7.00236228664397*(1/14151.6638359215)</f>
        <v>4.9480841036300693E-4</v>
      </c>
      <c r="W15" s="2">
        <f>7.00156463319591*(1/14151.6638359215)</f>
        <v>4.9475204572226158E-4</v>
      </c>
      <c r="X15" s="2">
        <f>7.00021264201473*(1/14151.6638359215)</f>
        <v>4.9465650987595721E-4</v>
      </c>
      <c r="Y15" s="2">
        <f>7.00089482710976*(1/14151.6638359215)</f>
        <v>4.9470471516848953E-4</v>
      </c>
      <c r="Z15" s="2">
        <f>7.00663548623457*(1/14151.6638359215)</f>
        <v>4.9511036776110119E-4</v>
      </c>
      <c r="AA15" s="2">
        <f>7.01543531398071*(1/14151.6638359215)</f>
        <v>4.9573219059749474E-4</v>
      </c>
      <c r="AB15" s="2">
        <f>7.0252351476482*(1/14151.6638359215)</f>
        <v>4.9642467692144303E-4</v>
      </c>
      <c r="AC15" s="2">
        <f>7.03397582453702*(1/14151.6638359215)</f>
        <v>4.970423199767164E-4</v>
      </c>
      <c r="AD15" s="2">
        <f>7.03959818194719*(1/14151.6638359215)</f>
        <v>4.9743961300708771E-4</v>
      </c>
      <c r="AE15" s="2">
        <f>7.04004305717871*(1/14151.6638359215)</f>
        <v>4.9747104925632871E-4</v>
      </c>
      <c r="AF15" s="2">
        <f>7.03325128753158*(1/14151.6638359215)</f>
        <v>4.9699112196821083E-4</v>
      </c>
      <c r="AG15" s="2">
        <f>7.01716371030579*(1/14151.6638359215)</f>
        <v>4.9585432438650496E-4</v>
      </c>
      <c r="AH15" s="2">
        <f>6.98972116280136*(1/14151.6638359215)</f>
        <v>4.9391514975498407E-4</v>
      </c>
      <c r="AI15" s="2">
        <f>6.94989669404688*(1/14151.6638359215)</f>
        <v>4.9110103056615819E-4</v>
      </c>
      <c r="AJ15" s="2">
        <f>6.910184768752*(1/14151.6638359215)</f>
        <v>4.8829486404359862E-4</v>
      </c>
      <c r="AK15" s="2">
        <f>6.87173187388004*(1/14151.6638359215)</f>
        <v>4.8557766447485573E-4</v>
      </c>
      <c r="AL15" s="2">
        <f>6.83053550267556*(1/14151.6638359215)</f>
        <v>4.8266660244836033E-4</v>
      </c>
      <c r="AM15" s="2">
        <f>6.78259314838315*(1/14151.6638359215)</f>
        <v>4.792788485525451E-4</v>
      </c>
      <c r="AN15" s="2">
        <f>6.72390230424737*(1/14151.6638359215)</f>
        <v>4.7513157337584089E-4</v>
      </c>
      <c r="AO15" s="2">
        <f>6.6504604635128*(1/14151.6638359215)</f>
        <v>4.6994194750667981E-4</v>
      </c>
      <c r="AP15" s="2">
        <f>6.558265119424*(1/14151.6638359215)</f>
        <v>4.6342714153349248E-4</v>
      </c>
      <c r="AQ15" s="2">
        <f>6.44331376522558*(1/14151.6638359215)</f>
        <v>4.5530432604471322E-4</v>
      </c>
      <c r="AR15" s="2">
        <f>6.30160389416209*(1/14151.6638359215)</f>
        <v>4.4529067162877212E-4</v>
      </c>
      <c r="AS15" s="2">
        <f>6.12913299947812*(1/14151.6638359215)</f>
        <v>4.3310334887410187E-4</v>
      </c>
      <c r="AT15" s="2">
        <f>5.91606638919682*(1/14151.6638359215)</f>
        <v>4.1804740826163002E-4</v>
      </c>
      <c r="AU15" s="2">
        <f>5.65177926899491*(1/14151.6638359215)</f>
        <v>3.9937206921555516E-4</v>
      </c>
      <c r="AV15" s="2">
        <f>5.34642204405899*(1/14151.6638359215)</f>
        <v>3.7779459051931702E-4</v>
      </c>
      <c r="AW15" s="2">
        <f>5.01094893944539*(1/14151.6638359215)</f>
        <v>3.5408903133538126E-4</v>
      </c>
      <c r="AX15" s="2">
        <f>4.65631418021052*(1/14151.6638359215)</f>
        <v>3.290294508262194E-4</v>
      </c>
      <c r="AY15" s="2">
        <f>4.29347199141073*(1/14151.6638359215)</f>
        <v>3.0338990815429839E-4</v>
      </c>
      <c r="AZ15" s="2">
        <f>3.93337659810242*(1/14151.6638359215)</f>
        <v>2.7794446248208905E-4</v>
      </c>
      <c r="BA15" s="2">
        <f>3.5869822253419*(1/14151.6638359215)</f>
        <v>2.5346717297205574E-4</v>
      </c>
      <c r="BB15" s="2">
        <f>3.26524309818568*(1/14151.6638359215)</f>
        <v>2.3073209878667671E-4</v>
      </c>
      <c r="BC15" s="2">
        <f>2.97911344169008*(1/14151.6638359215)</f>
        <v>2.1051329908841718E-4</v>
      </c>
      <c r="BD15" s="2">
        <f>2.73784073160916*(1/14151.6638359215)</f>
        <v>1.9346422889580199E-4</v>
      </c>
      <c r="BE15" s="2">
        <f>2.49039623517217*(1/14151.6638359215)</f>
        <v>1.7597904133722698E-4</v>
      </c>
      <c r="BF15" s="2">
        <f>2.22082152265633*(1/14151.6638359215)</f>
        <v>1.569300647899201E-4</v>
      </c>
      <c r="BG15" s="2">
        <f>1.94584211646221*(1/14151.6638359215)</f>
        <v>1.3749917599957634E-4</v>
      </c>
      <c r="BH15" s="2">
        <f>1.68218353899058*(1/14151.6638359215)</f>
        <v>1.1886825171190501E-4</v>
      </c>
      <c r="BI15" s="2">
        <f>1.446571312642*(1/14151.6638359215)</f>
        <v>1.0221916867260047E-4</v>
      </c>
      <c r="BJ15" s="2">
        <f>1.25573095981711*(1/14151.6638359215)</f>
        <v>8.8733803627362795E-5</v>
      </c>
      <c r="BK15" s="2">
        <f>1.12638800291656*(1/14151.6638359215)</f>
        <v>7.9594033321892728E-5</v>
      </c>
      <c r="BL15" s="2">
        <f>1.07526796434096*(1/14151.6638359215)</f>
        <v>7.5981734501888188E-5</v>
      </c>
      <c r="BM15" s="2">
        <f>1.11909636649099*(1/14151.6638359215)</f>
        <v>7.9078783913052084E-5</v>
      </c>
      <c r="BN15" s="2">
        <f>1.27459873176727*(1/14151.6638359215)</f>
        <v>9.0067058301083027E-5</v>
      </c>
      <c r="BO15" s="2">
        <f>1.57060548530008*(1/14151.6638359215)</f>
        <v>1.1098380399012696E-4</v>
      </c>
      <c r="BP15" s="2">
        <f>2.04547435200245*(1/14151.6638359215)</f>
        <v>1.445394955475394E-4</v>
      </c>
      <c r="BQ15" s="2">
        <f>2.66729550146672*(1/14151.6638359215)</f>
        <v>1.8847928642116705E-4</v>
      </c>
      <c r="BR15" s="2">
        <f>3.3985295034757*(1/14151.6638359215)</f>
        <v>2.4015052525831862E-4</v>
      </c>
      <c r="BS15" s="2">
        <f>4.20163692781178*(1/14151.6638359215)</f>
        <v>2.9690056070627303E-4</v>
      </c>
      <c r="BT15" s="2">
        <f>5.03907834425776*(1/14151.6638359215)</f>
        <v>3.5607674141233835E-4</v>
      </c>
      <c r="BU15" s="2">
        <f>5.87331432259632*(1/14151.6638359215)</f>
        <v>4.1502641602381401E-4</v>
      </c>
      <c r="BV15" s="2">
        <f>6.66680543261011*(1/14151.6638359215)</f>
        <v>4.7109693318799742E-4</v>
      </c>
      <c r="BW15" s="2">
        <f>7.38201224408184*(1/14151.6638359215)</f>
        <v>5.2163564155219017E-4</v>
      </c>
      <c r="BX15" s="2">
        <f>7.98139532679414*(1/14151.6638359215)</f>
        <v>5.6398988976368828E-4</v>
      </c>
      <c r="BY15" s="2">
        <f>8.42764731975859*(1/14151.6638359215)</f>
        <v>5.9552342519375676E-4</v>
      </c>
      <c r="BZ15" s="2">
        <f>8.75742341306513*(1/14151.6638359215)</f>
        <v>6.1882641607384405E-4</v>
      </c>
      <c r="CA15" s="2">
        <f>9.02088666702024*(1/14151.6638359215)</f>
        <v>6.3744353820236409E-4</v>
      </c>
      <c r="CB15" s="2">
        <f>9.22207499691995*(1/14151.6638359215)</f>
        <v>6.5166012306703766E-4</v>
      </c>
      <c r="CC15" s="2">
        <f>9.36502631806034*(1/14151.6638359215)</f>
        <v>6.6176150215558921E-4</v>
      </c>
      <c r="CD15" s="2">
        <f>9.45377854573747*(1/14151.6638359215)</f>
        <v>6.6803300695574192E-4</v>
      </c>
      <c r="CE15" s="2">
        <f>9.49236959524734*(1/14151.6638359215)</f>
        <v>6.7075996895521472E-4</v>
      </c>
      <c r="CF15" s="2">
        <f>9.48483738188605*(1/14151.6638359215)</f>
        <v>6.7022771964173327E-4</v>
      </c>
      <c r="CG15" s="2">
        <f>9.43521982094963*(1/14151.6638359215)</f>
        <v>6.6672159050301855E-4</v>
      </c>
      <c r="CH15" s="2">
        <f>9.34755482773416*(1/14151.6638359215)</f>
        <v>6.6052691302679494E-4</v>
      </c>
      <c r="CI15" s="2">
        <f>9.22588031753565*(1/14151.6638359215)</f>
        <v>6.5192901870078212E-4</v>
      </c>
      <c r="CJ15" s="2">
        <f>9.06459021890939*(1/14151.6638359215)</f>
        <v>6.4053176531091193E-4</v>
      </c>
      <c r="CK15" s="2">
        <f>8.81530528650126*(1/14151.6638359215)</f>
        <v>6.2291652689807145E-4</v>
      </c>
      <c r="CL15" s="2">
        <f>8.48633894611887*(1/14151.6638359215)</f>
        <v>5.9967075564484494E-4</v>
      </c>
      <c r="CM15" s="2">
        <f>8.09625380584326*(1/14151.6638359215)</f>
        <v>5.7210614240937158E-4</v>
      </c>
      <c r="CN15" s="2">
        <f>7.66361247375551*(1/14151.6638359215)</f>
        <v>5.4153437804979393E-4</v>
      </c>
      <c r="CO15" s="2">
        <f>7.20697755793669*(1/14151.6638359215)</f>
        <v>5.0926715342425322E-4</v>
      </c>
      <c r="CP15" s="2">
        <f>6.74491166646777*(1/14151.6638359215)</f>
        <v>4.7661615939088397E-4</v>
      </c>
      <c r="CQ15" s="2">
        <f>6.29597740743*(1/14151.6638359215)</f>
        <v>4.448930868078404E-4</v>
      </c>
      <c r="CR15" s="2">
        <f>5.87873738890436*(1/14151.6638359215)</f>
        <v>4.1540962653325778E-4</v>
      </c>
      <c r="CS15" s="2">
        <f>5.51175421897193*(1/14151.6638359215)</f>
        <v>3.8947746942527816E-4</v>
      </c>
      <c r="CT15" s="2">
        <f>5.21359050571377*(1/14151.6638359215)</f>
        <v>3.6840830634204236E-4</v>
      </c>
      <c r="CU15" s="2">
        <f>4.96842635464425*(1/14151.6638359215)</f>
        <v>3.5108425498581847E-4</v>
      </c>
      <c r="CV15" s="2">
        <f>4.74088784814268*(1/14151.6638359215)</f>
        <v>3.3500568577023247E-4</v>
      </c>
      <c r="CW15" s="2">
        <f>4.53304039601336*(1/14151.6638359215)</f>
        <v>3.203185468910756E-4</v>
      </c>
      <c r="CX15" s="2">
        <f>4.34709157137378*(1/14151.6638359215)</f>
        <v>3.071788322401678E-4</v>
      </c>
      <c r="CY15" s="2">
        <f>4.18524894734148*(1/14151.6638359215)</f>
        <v>2.9574253570933224E-4</v>
      </c>
      <c r="CZ15" s="2">
        <f>4.04972009703399*(1/14151.6638359215)</f>
        <v>2.8616565119039155E-4</v>
      </c>
      <c r="DA15" s="2">
        <f>3.94271259356883*(1/14151.6638359215)</f>
        <v>2.7860417257516749E-4</v>
      </c>
      <c r="DB15" s="2">
        <f>3.86643401006357*(1/14151.6638359215)</f>
        <v>2.732140937554855E-4</v>
      </c>
      <c r="DC15" s="2">
        <f>3.82309191963573*(1/14151.6638359215)</f>
        <v>2.7015140862316742E-4</v>
      </c>
      <c r="DD15" s="2">
        <f>3.81489389540283*(1/14151.6638359215)</f>
        <v>2.6957211107003515E-4</v>
      </c>
      <c r="DE15" s="2">
        <f>3.84626630033555*(1/14151.6638359215)</f>
        <v>2.7178898148869833E-4</v>
      </c>
      <c r="DF15" s="2">
        <f>3.93822015585477*(1/14151.6638359215)</f>
        <v>2.7828672313839827E-4</v>
      </c>
      <c r="DG15" s="2">
        <f>4.08615908502271*(1/14151.6638359215)</f>
        <v>2.8874054191781439E-4</v>
      </c>
      <c r="DH15" s="2">
        <f>4.27842039355321*(1/14151.6638359215)</f>
        <v>3.0232631605431407E-4</v>
      </c>
      <c r="DI15" s="2">
        <f>4.50334138716004*(1/14151.6638359215)</f>
        <v>3.1821992377525975E-4</v>
      </c>
      <c r="DJ15" s="2">
        <f>4.74925937155705*(1/14151.6638359215)</f>
        <v>3.3559724330801965E-4</v>
      </c>
      <c r="DK15" s="2">
        <f>5.00451165245806*(1/14151.6638359215)</f>
        <v>3.5363415287995964E-4</v>
      </c>
      <c r="DL15" s="2">
        <f>5.25743553557691*(1/14151.6638359215)</f>
        <v>3.7150653071844729E-4</v>
      </c>
      <c r="DM15" s="2">
        <f>5.49636832662745*(1/14151.6638359215)</f>
        <v>3.8839025505085057E-4</v>
      </c>
      <c r="DN15" s="2">
        <f>5.70964733132342*(1/14151.6638359215)</f>
        <v>4.0346120410452997E-4</v>
      </c>
      <c r="DO15" s="2">
        <f>5.8856098553787*(1/14151.6638359215)</f>
        <v>4.1589525610685572E-4</v>
      </c>
      <c r="DP15" s="2">
        <f>6.02637485954422*(1/14151.6638359215)</f>
        <v>4.2584214332786309E-4</v>
      </c>
      <c r="DQ15" s="2">
        <f>6.15431823602828*(1/14151.6638359215)</f>
        <v>4.3488301498560407E-4</v>
      </c>
      <c r="DR15" s="2">
        <f>6.27086062297355*(1/14151.6638359215)</f>
        <v>4.4311825773136847E-4</v>
      </c>
      <c r="DS15" s="2">
        <f>6.37676151046735*(1/14151.6638359215)</f>
        <v>4.5060153946570346E-4</v>
      </c>
      <c r="DT15" s="2">
        <f>6.47278038859701*(1/14151.6638359215)</f>
        <v>4.5738652808915655E-4</v>
      </c>
      <c r="DU15" s="2">
        <f>6.55967674744982*(1/14151.6638359215)</f>
        <v>4.6352689150227263E-4</v>
      </c>
      <c r="DV15" s="2">
        <f>6.63821007711311*(1/14151.6638359215)</f>
        <v>4.6907629760559926E-4</v>
      </c>
      <c r="DW15" s="2">
        <f>6.7091398676742*(1/14151.6638359215)</f>
        <v>4.7408841429968349E-4</v>
      </c>
      <c r="DX15" s="2">
        <f>6.77322560922041*(1/14151.6638359215)</f>
        <v>4.7861690948507223E-4</v>
      </c>
      <c r="DY15" s="2">
        <f>6.83122679183905*(1/14151.6638359215)</f>
        <v>4.8271545106231168E-4</v>
      </c>
      <c r="DZ15" s="2">
        <f>6.88362591331142*(1/14151.6638359215)</f>
        <v>4.8641813380547881E-4</v>
      </c>
      <c r="EA15" s="2">
        <f>6.92535497221666*(1/14151.6638359215)</f>
        <v>4.8936683717979996E-4</v>
      </c>
      <c r="EB15" s="2">
        <f>6.95560738838855*(1/14151.6638359215)</f>
        <v>4.9150456575522731E-4</v>
      </c>
      <c r="EC15" s="2">
        <f>6.97616539453587*(1/14151.6638359215)</f>
        <v>4.9295725756487419E-4</v>
      </c>
      <c r="ED15" s="2">
        <f>6.98881122336738*(1/14151.6638359215)</f>
        <v>4.9385085064185296E-4</v>
      </c>
      <c r="EE15" s="2">
        <f>6.99532710759184*(1/14151.6638359215)</f>
        <v>4.9431128301927565E-4</v>
      </c>
      <c r="EF15" s="2">
        <f>6.997495279918*(1/14151.6638359215)</f>
        <v>4.9446449273025364E-4</v>
      </c>
      <c r="EG15" s="2">
        <f>6.99709797305464*(1/14151.6638359215)</f>
        <v>4.9443641780790059E-4</v>
      </c>
      <c r="EH15" s="2">
        <f>6.99591741971051*(1/14151.6638359215)</f>
        <v>4.9435299628532788E-4</v>
      </c>
      <c r="EI15" s="2">
        <f>6.99573585259437*(1/14151.6638359215)</f>
        <v>4.9434016619564764E-4</v>
      </c>
      <c r="EJ15" s="2">
        <f>6.99833550441499*(1/14151.6638359215)</f>
        <v>4.9452386557197257E-4</v>
      </c>
      <c r="EK15" s="2">
        <f>7.00366404706776*(1/14151.6638359215)</f>
        <v>4.9490039674982922E-4</v>
      </c>
      <c r="EL15" s="2">
        <f>7.00726431449289*(1/14151.6638359215)</f>
        <v>4.9515480269579236E-4</v>
      </c>
      <c r="EM15" s="2">
        <f>7.00910885378091*(1/14151.6638359215)</f>
        <v>4.9528514350302222E-4</v>
      </c>
      <c r="EN15" s="2">
        <f>7.00952558302746*(1/14151.6638359215)</f>
        <v>4.9531459087058137E-4</v>
      </c>
      <c r="EO15" s="2">
        <f>7.00884242032819*(1/14151.6638359215)</f>
        <v>4.95266316497533E-4</v>
      </c>
      <c r="EP15" s="2">
        <f>7.00738728377875*(1/14151.6638359215)</f>
        <v>4.9516349208294044E-4</v>
      </c>
      <c r="EQ15" s="2">
        <f>7.0054880914748*(1/14151.6638359215)</f>
        <v>4.9502928932586754E-4</v>
      </c>
      <c r="ER15" s="2">
        <f>7.00347276151196*(1/14151.6638359215)</f>
        <v>4.9488687992537534E-4</v>
      </c>
      <c r="ES15" s="2">
        <f>7.0016692119859*(1/14151.6638359215)</f>
        <v>4.9475943558052857E-4</v>
      </c>
      <c r="ET15" s="2">
        <f>7.00040536099226*(1/14151.6638359215)</f>
        <v>4.9467012799038988E-4</v>
      </c>
      <c r="EU15" s="2">
        <f t="shared" ref="EU15:FJ30" si="9">7*(1/14151.6638359215)</f>
        <v>4.9464148393856954E-4</v>
      </c>
      <c r="EV15" s="2">
        <f t="shared" si="9"/>
        <v>4.9464148393856954E-4</v>
      </c>
      <c r="EW15" s="2">
        <f t="shared" si="9"/>
        <v>4.9464148393856954E-4</v>
      </c>
      <c r="EX15" s="2">
        <f t="shared" si="9"/>
        <v>4.9464148393856954E-4</v>
      </c>
      <c r="EY15" s="2">
        <f t="shared" si="9"/>
        <v>4.9464148393856954E-4</v>
      </c>
      <c r="EZ15" s="2">
        <f t="shared" si="9"/>
        <v>4.9464148393856954E-4</v>
      </c>
      <c r="FA15" s="2">
        <f t="shared" si="9"/>
        <v>4.9464148393856954E-4</v>
      </c>
      <c r="FB15" s="2">
        <f t="shared" si="9"/>
        <v>4.9464148393856954E-4</v>
      </c>
      <c r="FC15" s="2">
        <f t="shared" si="9"/>
        <v>4.9464148393856954E-4</v>
      </c>
      <c r="FD15" s="2">
        <f t="shared" si="9"/>
        <v>4.9464148393856954E-4</v>
      </c>
      <c r="FE15" s="2">
        <f t="shared" si="9"/>
        <v>4.9464148393856954E-4</v>
      </c>
      <c r="FF15" s="2">
        <f t="shared" si="9"/>
        <v>4.9464148393856954E-4</v>
      </c>
      <c r="FG15" s="2">
        <f t="shared" si="4"/>
        <v>4.9464148393856954E-4</v>
      </c>
      <c r="FH15" s="2">
        <f t="shared" si="4"/>
        <v>4.9464148393856954E-4</v>
      </c>
      <c r="FI15" s="2">
        <f t="shared" si="4"/>
        <v>4.9464148393856954E-4</v>
      </c>
      <c r="FJ15" s="2">
        <f t="shared" si="4"/>
        <v>4.9464148393856954E-4</v>
      </c>
      <c r="FK15" s="2">
        <f t="shared" si="4"/>
        <v>4.9464148393856954E-4</v>
      </c>
      <c r="FL15" s="2">
        <f t="shared" si="4"/>
        <v>4.9464148393856954E-4</v>
      </c>
      <c r="FM15" s="2">
        <f t="shared" si="4"/>
        <v>4.9464148393856954E-4</v>
      </c>
      <c r="FN15" s="2">
        <f t="shared" si="4"/>
        <v>4.9464148393856954E-4</v>
      </c>
      <c r="FO15" s="2">
        <f t="shared" si="4"/>
        <v>4.9464148393856954E-4</v>
      </c>
      <c r="FP15" s="2">
        <f t="shared" si="4"/>
        <v>4.9464148393856954E-4</v>
      </c>
      <c r="FQ15" s="2"/>
    </row>
    <row r="16" spans="1:173">
      <c r="B16" s="2">
        <v>9.4230769230769234</v>
      </c>
      <c r="C16" s="2">
        <f t="shared" si="5"/>
        <v>4.9464148393856954E-4</v>
      </c>
      <c r="D16" s="2">
        <f t="shared" si="5"/>
        <v>4.9464148393856954E-4</v>
      </c>
      <c r="E16" s="2">
        <f t="shared" si="5"/>
        <v>4.9464148393856954E-4</v>
      </c>
      <c r="F16" s="2">
        <f t="shared" si="5"/>
        <v>4.9464148393856954E-4</v>
      </c>
      <c r="G16" s="2">
        <f t="shared" si="5"/>
        <v>4.9464148393856954E-4</v>
      </c>
      <c r="H16" s="2">
        <f t="shared" si="5"/>
        <v>4.9464148393856954E-4</v>
      </c>
      <c r="I16" s="2">
        <f t="shared" si="5"/>
        <v>4.9464148393856954E-4</v>
      </c>
      <c r="J16" s="2">
        <f t="shared" si="0"/>
        <v>4.9464148393856954E-4</v>
      </c>
      <c r="K16" s="2">
        <f t="shared" si="0"/>
        <v>4.9464148393856954E-4</v>
      </c>
      <c r="L16" s="2">
        <f t="shared" si="0"/>
        <v>4.9464148393856954E-4</v>
      </c>
      <c r="M16" s="2">
        <f t="shared" si="0"/>
        <v>4.9464148393856954E-4</v>
      </c>
      <c r="N16" s="2">
        <f>7.00007747494447*(1/14151.6638359215)</f>
        <v>4.9464695855592675E-4</v>
      </c>
      <c r="O16" s="2">
        <f>7.00075380446722*(1/14151.6638359215)</f>
        <v>4.9469475007575038E-4</v>
      </c>
      <c r="P16" s="2">
        <f>7.00192984640577*(1/14151.6638359215)</f>
        <v>4.9477785280855864E-4</v>
      </c>
      <c r="Q16" s="2">
        <f>7.00336573880054*(1/14151.6638359215)</f>
        <v>4.9487931737211941E-4</v>
      </c>
      <c r="R16" s="2">
        <f>7.00482161969194*(1/14151.6638359215)</f>
        <v>4.9498219438419942E-4</v>
      </c>
      <c r="S16" s="2">
        <f>7.00605762712039*(1/14151.6638359215)</f>
        <v>4.9506953446256611E-4</v>
      </c>
      <c r="T16" s="2">
        <f>7.0068338991263*(1/14151.6638359215)</f>
        <v>4.9512438822498666E-4</v>
      </c>
      <c r="U16" s="2">
        <f>7.0069105737501*(1/14151.6638359215)</f>
        <v>4.9512980628922904E-4</v>
      </c>
      <c r="V16" s="2">
        <f>7.0060477890322*(1/14151.6638359215)</f>
        <v>4.9506883927306021E-4</v>
      </c>
      <c r="W16" s="2">
        <f>7.00400568301302*(1/14151.6638359215)</f>
        <v>4.9492453779424782E-4</v>
      </c>
      <c r="X16" s="2">
        <f>7.00054439373297*(1/14151.6638359215)</f>
        <v>4.9467995247055863E-4</v>
      </c>
      <c r="Y16" s="2">
        <f>7.00229088438271*(1/14151.6638359215)</f>
        <v>4.9480336486008316E-4</v>
      </c>
      <c r="Z16" s="2">
        <f>7.01698778637855*(1/14151.6638359215)</f>
        <v>4.9584189306187208E-4</v>
      </c>
      <c r="AA16" s="2">
        <f>7.03951659416068*(1/14151.6638359215)</f>
        <v>4.9743384776368914E-4</v>
      </c>
      <c r="AB16" s="2">
        <f>7.06460555900869*(1/14151.6638359215)</f>
        <v>4.9920671102124663E-4</v>
      </c>
      <c r="AC16" s="2">
        <f>7.08698293220221*(1/14151.6638359215)</f>
        <v>5.0078796489025942E-4</v>
      </c>
      <c r="AD16" s="2">
        <f>7.10137696502083*(1/14151.6638359215)</f>
        <v>5.0180509142643979E-4</v>
      </c>
      <c r="AE16" s="2">
        <f>7.10251590874416*(1/14151.6638359215)</f>
        <v>5.0188557268550133E-4</v>
      </c>
      <c r="AF16" s="2">
        <f>7.08512801465182*(1/14151.6638359215)</f>
        <v>5.0065689072315825E-4</v>
      </c>
      <c r="AG16" s="2">
        <f>7.04394153402342*(1/14151.6638359215)</f>
        <v>4.9774652759512414E-4</v>
      </c>
      <c r="AH16" s="2">
        <f>6.97368471813855*(1/14151.6638359215)</f>
        <v>4.9278196535711106E-4</v>
      </c>
      <c r="AI16" s="2">
        <f>6.87181390816418*(1/14151.6638359215)</f>
        <v>4.8558346126914727E-4</v>
      </c>
      <c r="AJ16" s="2">
        <f>6.77142104289507*(1/14151.6638359215)</f>
        <v>4.7848939329006763E-4</v>
      </c>
      <c r="AK16" s="2">
        <f>6.67538299751662*(1/14151.6638359215)</f>
        <v>4.7170305024998822E-4</v>
      </c>
      <c r="AL16" s="2">
        <f>6.57294039882441*(1/14151.6638359215)</f>
        <v>4.644641418163256E-4</v>
      </c>
      <c r="AM16" s="2">
        <f>6.45333387361405*(1/14151.6638359215)</f>
        <v>4.5601237765649874E-4</v>
      </c>
      <c r="AN16" s="2">
        <f>6.30580404868113*(1/14151.6638359215)</f>
        <v>4.455874674379249E-4</v>
      </c>
      <c r="AO16" s="2">
        <f>6.11959155082124*(1/14151.6638359215)</f>
        <v>4.3242912082802149E-4</v>
      </c>
      <c r="AP16" s="2">
        <f>5.88393700682993*(1/14151.6638359215)</f>
        <v>4.1577704749420311E-4</v>
      </c>
      <c r="AQ16" s="2">
        <f>5.58808104350288*(1/14151.6638359215)</f>
        <v>3.9487095710389355E-4</v>
      </c>
      <c r="AR16" s="2">
        <f>5.22126428763564*(1/14151.6638359215)</f>
        <v>3.6895055932450733E-4</v>
      </c>
      <c r="AS16" s="2">
        <f>4.77272736602381*(1/14151.6638359215)</f>
        <v>3.3725556382346254E-4</v>
      </c>
      <c r="AT16" s="2">
        <f>4.21987627810477*(1/14151.6638359215)</f>
        <v>2.981894091769873E-4</v>
      </c>
      <c r="AU16" s="2">
        <f>3.54141201106735*(1/14151.6638359215)</f>
        <v>2.5024704177031826E-4</v>
      </c>
      <c r="AV16" s="2">
        <f>2.76091324743187*(1/14151.6638359215)</f>
        <v>1.9509460367647931E-4</v>
      </c>
      <c r="AW16" s="2">
        <f>1.90364892320118*(1/14151.6638359215)</f>
        <v>1.3451767546718453E-4</v>
      </c>
      <c r="AX16" s="2">
        <f>0.994887974378251*(1/14151.6638359215)</f>
        <v>7.0301837714156523E-5</v>
      </c>
      <c r="AY16" s="2">
        <f>0.0598993369660752*(1/14151.6638359215)</f>
        <v>4.2326709891194078E-6</v>
      </c>
      <c r="AZ16" s="2">
        <f>-0.876048053032373*(1/14151.6638359215)</f>
        <v>-6.1904244136203951E-5</v>
      </c>
      <c r="BA16" s="2">
        <f>-1.78768525961428*(1/14151.6638359215)</f>
        <v>-1.2632332709010206E-4</v>
      </c>
      <c r="BB16" s="2">
        <f>-2.64974334677633*(1/14151.6638359215)</f>
        <v>-1.8723899730082794E-4</v>
      </c>
      <c r="BC16" s="2">
        <f>-3.43695337851571*(1/14151.6638359215)</f>
        <v>-2.4286567419667013E-4</v>
      </c>
      <c r="BD16" s="2">
        <f>-4.1279737607185*(1/14151.6638359215)</f>
        <v>-2.9169529523732517E-4</v>
      </c>
      <c r="BE16" s="2">
        <f>-4.84019233315103*(1/14151.6638359215)</f>
        <v>-3.4202284545970185E-4</v>
      </c>
      <c r="BF16" s="2">
        <f>-5.61038128279583*(1/14151.6638359215)</f>
        <v>-3.9644676045475782E-4</v>
      </c>
      <c r="BG16" s="2">
        <f>-6.40011889524025*(1/14151.6638359215)</f>
        <v>-4.522520439607022E-4</v>
      </c>
      <c r="BH16" s="2">
        <f>-7.1709834560712*(1/14151.6638359215)</f>
        <v>-5.0672369971571294E-4</v>
      </c>
      <c r="BI16" s="2">
        <f>-7.88455325087605*(1/14151.6638359215)</f>
        <v>-5.571467314580003E-4</v>
      </c>
      <c r="BJ16" s="2">
        <f>-8.502406565242*(1/14151.6638359215)</f>
        <v>-6.0080614292576265E-4</v>
      </c>
      <c r="BK16" s="2">
        <f>-8.98612168475629*(1/14151.6638359215)</f>
        <v>-6.3498693785720144E-4</v>
      </c>
      <c r="BL16" s="2">
        <f>-9.29727689500613*(1/14151.6638359215)</f>
        <v>-6.5697411999051552E-4</v>
      </c>
      <c r="BM16" s="2">
        <f>-9.39745048157872*(1/14151.6638359215)</f>
        <v>-6.640526930639033E-4</v>
      </c>
      <c r="BN16" s="2">
        <f>-9.24822073006123*(1/14151.6638359215)</f>
        <v>-6.5350766081556102E-4</v>
      </c>
      <c r="BO16" s="2">
        <f>-8.78762643716739*(1/14151.6638359215)</f>
        <v>-6.2096065445404038E-4</v>
      </c>
      <c r="BP16" s="2">
        <f>-7.9406962860971*(1/14151.6638359215)</f>
        <v>-5.6111397063722253E-4</v>
      </c>
      <c r="BQ16" s="2">
        <f>-6.77582770985378*(1/14151.6638359215)</f>
        <v>-4.7880078190202184E-4</v>
      </c>
      <c r="BR16" s="2">
        <f>-5.37265939815695*(1/14151.6638359215)</f>
        <v>-3.7964860248583651E-4</v>
      </c>
      <c r="BS16" s="2">
        <f>-3.81083004072693*(1/14151.6638359215)</f>
        <v>-2.6928494662612114E-4</v>
      </c>
      <c r="BT16" s="2">
        <f>-2.16997832728325*(1/14151.6638359215)</f>
        <v>-1.5333732856027453E-4</v>
      </c>
      <c r="BU16" s="2">
        <f>-0.529742947545675*(1/14151.6638359215)</f>
        <v>-3.7433262525712072E-5</v>
      </c>
      <c r="BV16" s="2">
        <f>1.03023740876601*(1/14151.6638359215)</f>
        <v>7.27997372401494E-5</v>
      </c>
      <c r="BW16" s="2">
        <f>2.43032405193201*(1/14151.6638359215)</f>
        <v>1.7173415649989236E-4</v>
      </c>
      <c r="BX16" s="2">
        <f>3.59087829223256*(1/14151.6638359215)</f>
        <v>2.5374248101610141E-4</v>
      </c>
      <c r="BY16" s="2">
        <f>4.43272823179983*(1/14151.6638359215)</f>
        <v>3.1323018149626562E-4</v>
      </c>
      <c r="BZ16" s="2">
        <f>5.02703634754607*(1/14151.6638359215)</f>
        <v>3.5522581696618782E-4</v>
      </c>
      <c r="CA16" s="2">
        <f>5.47766475233118*(1/14151.6638359215)</f>
        <v>3.8706860308729887E-4</v>
      </c>
      <c r="CB16" s="2">
        <f>5.79691523604752*(1/14151.6638359215)</f>
        <v>4.0962782208923547E-4</v>
      </c>
      <c r="CC16" s="2">
        <f>5.99708958858741*(1/14151.6638359215)</f>
        <v>4.2377275620163169E-4</v>
      </c>
      <c r="CD16" s="2">
        <f>6.09048959984318*(1/14151.6638359215)</f>
        <v>4.3037268765412217E-4</v>
      </c>
      <c r="CE16" s="2">
        <f>6.08941705970715*(1/14151.6638359215)</f>
        <v>4.3029689867634085E-4</v>
      </c>
      <c r="CF16" s="2">
        <f>6.00617375807165*(1/14151.6638359215)</f>
        <v>4.2441467149792228E-4</v>
      </c>
      <c r="CG16" s="2">
        <f>5.85306148482903*(1/14151.6638359215)</f>
        <v>4.1359528834850263E-4</v>
      </c>
      <c r="CH16" s="2">
        <f>5.64238202987162*(1/14151.6638359215)</f>
        <v>3.9870803145771665E-4</v>
      </c>
      <c r="CI16" s="2">
        <f>5.38643718309172*(1/14151.6638359215)</f>
        <v>3.8062218305519671E-4</v>
      </c>
      <c r="CJ16" s="2">
        <f>5.07646869319111*(1/14151.6638359215)</f>
        <v>3.5871885822396309E-4</v>
      </c>
      <c r="CK16" s="2">
        <f>4.6075696188359*(1/14151.6638359215)</f>
        <v>3.2558501051589413E-4</v>
      </c>
      <c r="CL16" s="2">
        <f>3.9943689160704*(1/14151.6638359215)</f>
        <v>2.8225436686330835E-4</v>
      </c>
      <c r="CM16" s="2">
        <f>3.27357241723129*(1/14151.6638359215)</f>
        <v>2.3132067403423649E-4</v>
      </c>
      <c r="CN16" s="2">
        <f>2.48188595465528*(1/14151.6638359215)</f>
        <v>1.7537767879671157E-4</v>
      </c>
      <c r="CO16" s="2">
        <f>1.65601536067909*(1/14151.6638359215)</f>
        <v>1.1701912791876723E-4</v>
      </c>
      <c r="CP16" s="2">
        <f>0.832666467639235*(1/14151.6638359215)</f>
        <v>5.883876816842259E-5</v>
      </c>
      <c r="CQ16" s="2">
        <f>0.0485451078727408*(1/14151.6638359215)</f>
        <v>3.4303463137329209E-6</v>
      </c>
      <c r="CR16" s="2">
        <f>-0.659642886283841*(1/14151.6638359215)</f>
        <v>-4.6612390877280033E-5</v>
      </c>
      <c r="CS16" s="2">
        <f>-1.25519168249382*(1/14151.6638359215)</f>
        <v>-8.8695696636584712E-5</v>
      </c>
      <c r="CT16" s="2">
        <f>-1.7013954484205*(1/14151.6638359215)</f>
        <v>-1.2022582419614916E-4</v>
      </c>
      <c r="CU16" s="2">
        <f>-2.02354413760784*(1/14151.6638359215)</f>
        <v>-1.4298983929164784E-4</v>
      </c>
      <c r="CV16" s="2">
        <f>-2.28662850218459*(1/14151.6638359215)</f>
        <v>-1.6158018793383059E-4</v>
      </c>
      <c r="CW16" s="2">
        <f>-2.49078519264676*(1/14151.6638359215)</f>
        <v>-1.7600652626614417E-4</v>
      </c>
      <c r="CX16" s="2">
        <f>-2.635899144779*(1/14151.6638359215)</f>
        <v>-1.8626072349798442E-4</v>
      </c>
      <c r="CY16" s="2">
        <f>-2.72185529436591*(1/14151.6638359215)</f>
        <v>-1.9233464883874367E-4</v>
      </c>
      <c r="CZ16" s="2">
        <f>-2.74853857719211*(1/14151.6638359215)</f>
        <v>-1.942201714978157E-4</v>
      </c>
      <c r="DA16" s="2">
        <f>-2.71583392904218*(1/14151.6638359215)</f>
        <v>-1.919091606845914E-4</v>
      </c>
      <c r="DB16" s="2">
        <f>-2.62362628570075*(1/14151.6638359215)</f>
        <v>-1.853934856084652E-4</v>
      </c>
      <c r="DC16" s="2">
        <f>-2.47180058295242*(1/14151.6638359215)</f>
        <v>-1.7466501547882949E-4</v>
      </c>
      <c r="DD16" s="2">
        <f>-2.26024175658179*(1/14151.6638359215)</f>
        <v>-1.5971561950507652E-4</v>
      </c>
      <c r="DE16" s="2">
        <f>-1.98254044405234*(1/14151.6638359215)</f>
        <v>-1.4009239245918285E-4</v>
      </c>
      <c r="DF16" s="2">
        <f>-1.58122290161037*(1/14151.6638359215)</f>
        <v>-1.1173406321288631E-4</v>
      </c>
      <c r="DG16" s="2">
        <f>-1.06355812852578*(1/14151.6638359215)</f>
        <v>-7.5154281564131391E-5</v>
      </c>
      <c r="DH16" s="2">
        <f>-0.456031056648705*(1/14151.6638359215)</f>
        <v>-3.2224554083255618E-5</v>
      </c>
      <c r="DI16" s="2">
        <f>0.214873382170374*(1/14151.6638359215)</f>
        <v>1.5183612659379024E-5</v>
      </c>
      <c r="DJ16" s="2">
        <f>0.922670256081297*(1/14151.6638359215)</f>
        <v>6.5198712093433246E-5</v>
      </c>
      <c r="DK16" s="2">
        <f>1.64087463323382*(1/14151.6638359215)</f>
        <v>1.1594923764856182E-4</v>
      </c>
      <c r="DL16" s="2">
        <f>2.34300158177769*(1/14151.6638359215)</f>
        <v>1.6556368275441892E-4</v>
      </c>
      <c r="DM16" s="2">
        <f>3.00256616986275*(1/14151.6638359215)</f>
        <v>2.1217054084066538E-4</v>
      </c>
      <c r="DN16" s="2">
        <f>3.59308346563852*(1/14151.6638359215)</f>
        <v>2.5389830533693939E-4</v>
      </c>
      <c r="DO16" s="2">
        <f>4.08806853725486*(1/14151.6638359215)</f>
        <v>2.8887546967290307E-4</v>
      </c>
      <c r="DP16" s="2">
        <f>4.48983796541359*(1/14151.6638359215)</f>
        <v>3.1726573055084368E-4</v>
      </c>
      <c r="DQ16" s="2">
        <f>4.84554730629997*(1/14151.6638359215)</f>
        <v>3.4240124429753651E-4</v>
      </c>
      <c r="DR16" s="2">
        <f>5.16060233357513*(1/14151.6638359215)</f>
        <v>3.6466399947092105E-4</v>
      </c>
      <c r="DS16" s="2">
        <f>5.43905393334779*(1/14151.6638359215)</f>
        <v>3.8434024411615204E-4</v>
      </c>
      <c r="DT16" s="2">
        <f>5.68495299172669*(1/14151.6638359215)</f>
        <v>4.0171622627838577E-4</v>
      </c>
      <c r="DU16" s="2">
        <f>5.90235039482048*(1/14151.6638359215)</f>
        <v>4.17078194002772E-4</v>
      </c>
      <c r="DV16" s="2">
        <f>6.09529702873792*(1/14151.6638359215)</f>
        <v>4.3071239533446837E-4</v>
      </c>
      <c r="DW16" s="2">
        <f>6.26784377958772*(1/14151.6638359215)</f>
        <v>4.4290507831862887E-4</v>
      </c>
      <c r="DX16" s="2">
        <f>6.42404153347862*(1/14151.6638359215)</f>
        <v>4.539424910004098E-4</v>
      </c>
      <c r="DY16" s="2">
        <f>6.56794117651934*(1/14151.6638359215)</f>
        <v>4.6411088142496578E-4</v>
      </c>
      <c r="DZ16" s="2">
        <f>6.70263344109117*(1/14151.6638359215)</f>
        <v>4.7362865022823104E-4</v>
      </c>
      <c r="EA16" s="2">
        <f>6.81121249263335*(1/14151.6638359215)</f>
        <v>4.8130117925386908E-4</v>
      </c>
      <c r="EB16" s="2">
        <f>6.88966781514657*(1/14151.6638359215)</f>
        <v>4.8684507313255737E-4</v>
      </c>
      <c r="EC16" s="2">
        <f>6.94269027425779*(1/14151.6638359215)</f>
        <v>4.9059180282639246E-4</v>
      </c>
      <c r="ED16" s="2">
        <f>6.97497073559401*(1/14151.6638359215)</f>
        <v>4.9287283929747385E-4</v>
      </c>
      <c r="EE16" s="2">
        <f>6.99120006478216*(1/14151.6638359215)</f>
        <v>4.9401965350789586E-4</v>
      </c>
      <c r="EF16" s="2">
        <f>6.99606912744923*(1/14151.6638359215)</f>
        <v>4.9436371641975723E-4</v>
      </c>
      <c r="EG16" s="2">
        <f>6.99426878922217*(1/14151.6638359215)</f>
        <v>4.9423649899515379E-4</v>
      </c>
      <c r="EH16" s="2">
        <f>6.99048991572796*(1/14151.6638359215)</f>
        <v>4.9396947219618344E-4</v>
      </c>
      <c r="EI16" s="2">
        <f>6.98942337259356*(1/14151.6638359215)</f>
        <v>4.9389410698494286E-4</v>
      </c>
      <c r="EJ16" s="2">
        <f>6.99576002544595*(1/14151.6638359215)</f>
        <v>4.9434187432352995E-4</v>
      </c>
      <c r="EK16" s="2">
        <f>7.00938048044524*(1/14151.6638359215)</f>
        <v>4.9530433747678243E-4</v>
      </c>
      <c r="EL16" s="2">
        <f>7.01859767595462*(1/14151.6638359215)</f>
        <v>4.9595565280028406E-4</v>
      </c>
      <c r="EM16" s="2">
        <f>7.0233199582839*(1/14151.6638359215)</f>
        <v>4.9628934376298869E-4</v>
      </c>
      <c r="EN16" s="2">
        <f>7.02438684429163*(1/14151.6638359215)</f>
        <v>4.9636473320271112E-4</v>
      </c>
      <c r="EO16" s="2">
        <f>7.02263785083634*(1/14151.6638359215)</f>
        <v>4.9624114395726486E-4</v>
      </c>
      <c r="EP16" s="2">
        <f>7.01891249477657*(1/14151.6638359215)</f>
        <v>4.9597789886446429E-4</v>
      </c>
      <c r="EQ16" s="2">
        <f>7.01405029297086*(1/14151.6638359215)</f>
        <v>4.9563432076212357E-4</v>
      </c>
      <c r="ER16" s="2">
        <f>7.00889076227776*(1/14151.6638359215)</f>
        <v>4.9526973248805763E-4</v>
      </c>
      <c r="ES16" s="2">
        <f>7.0042734195558*(1/14151.6638359215)</f>
        <v>4.9494345688007996E-4</v>
      </c>
      <c r="ET16" s="2">
        <f>7.00103778166351*(1/14151.6638359215)</f>
        <v>4.947148167760043E-4</v>
      </c>
      <c r="EU16" s="2">
        <f t="shared" si="9"/>
        <v>4.9464148393856954E-4</v>
      </c>
      <c r="EV16" s="2">
        <f t="shared" si="9"/>
        <v>4.9464148393856954E-4</v>
      </c>
      <c r="EW16" s="2">
        <f t="shared" si="9"/>
        <v>4.9464148393856954E-4</v>
      </c>
      <c r="EX16" s="2">
        <f t="shared" si="9"/>
        <v>4.9464148393856954E-4</v>
      </c>
      <c r="EY16" s="2">
        <f t="shared" si="9"/>
        <v>4.9464148393856954E-4</v>
      </c>
      <c r="EZ16" s="2">
        <f t="shared" si="9"/>
        <v>4.9464148393856954E-4</v>
      </c>
      <c r="FA16" s="2">
        <f t="shared" si="9"/>
        <v>4.9464148393856954E-4</v>
      </c>
      <c r="FB16" s="2">
        <f t="shared" si="9"/>
        <v>4.9464148393856954E-4</v>
      </c>
      <c r="FC16" s="2">
        <f t="shared" si="9"/>
        <v>4.9464148393856954E-4</v>
      </c>
      <c r="FD16" s="2">
        <f t="shared" si="9"/>
        <v>4.9464148393856954E-4</v>
      </c>
      <c r="FE16" s="2">
        <f t="shared" si="9"/>
        <v>4.9464148393856954E-4</v>
      </c>
      <c r="FF16" s="2">
        <f t="shared" si="9"/>
        <v>4.9464148393856954E-4</v>
      </c>
      <c r="FG16" s="2">
        <f t="shared" si="4"/>
        <v>4.9464148393856954E-4</v>
      </c>
      <c r="FH16" s="2">
        <f t="shared" si="4"/>
        <v>4.9464148393856954E-4</v>
      </c>
      <c r="FI16" s="2">
        <f t="shared" si="4"/>
        <v>4.9464148393856954E-4</v>
      </c>
      <c r="FJ16" s="2">
        <f t="shared" si="4"/>
        <v>4.9464148393856954E-4</v>
      </c>
      <c r="FK16" s="2">
        <f t="shared" si="4"/>
        <v>4.9464148393856954E-4</v>
      </c>
      <c r="FL16" s="2">
        <f t="shared" si="4"/>
        <v>4.9464148393856954E-4</v>
      </c>
      <c r="FM16" s="2">
        <f t="shared" si="4"/>
        <v>4.9464148393856954E-4</v>
      </c>
      <c r="FN16" s="2">
        <f t="shared" si="4"/>
        <v>4.9464148393856954E-4</v>
      </c>
      <c r="FO16" s="2">
        <f t="shared" si="4"/>
        <v>4.9464148393856954E-4</v>
      </c>
      <c r="FP16" s="2">
        <f t="shared" si="4"/>
        <v>4.9464148393856954E-4</v>
      </c>
      <c r="FQ16" s="2"/>
    </row>
    <row r="17" spans="2:173">
      <c r="B17" s="2">
        <v>9.4325443786982248</v>
      </c>
      <c r="C17" s="2">
        <f t="shared" si="5"/>
        <v>4.9464148393856954E-4</v>
      </c>
      <c r="D17" s="2">
        <f t="shared" si="5"/>
        <v>4.9464148393856954E-4</v>
      </c>
      <c r="E17" s="2">
        <f t="shared" si="5"/>
        <v>4.9464148393856954E-4</v>
      </c>
      <c r="F17" s="2">
        <f t="shared" si="5"/>
        <v>4.9464148393856954E-4</v>
      </c>
      <c r="G17" s="2">
        <f t="shared" si="5"/>
        <v>4.9464148393856954E-4</v>
      </c>
      <c r="H17" s="2">
        <f t="shared" si="5"/>
        <v>4.9464148393856954E-4</v>
      </c>
      <c r="I17" s="2">
        <f t="shared" si="5"/>
        <v>4.9464148393856954E-4</v>
      </c>
      <c r="J17" s="2">
        <f t="shared" si="0"/>
        <v>4.9464148393856954E-4</v>
      </c>
      <c r="K17" s="2">
        <f t="shared" si="0"/>
        <v>4.9464148393856954E-4</v>
      </c>
      <c r="L17" s="2">
        <f t="shared" si="0"/>
        <v>4.9464148393856954E-4</v>
      </c>
      <c r="M17" s="2">
        <f t="shared" si="0"/>
        <v>4.9464148393856954E-4</v>
      </c>
      <c r="N17" s="2">
        <f>7.00013511978252*(1/14151.6638359215)</f>
        <v>4.9465103191710311E-4</v>
      </c>
      <c r="O17" s="2">
        <f>7.00131466884398*(1/14151.6638359215)</f>
        <v>4.9473438247398015E-4</v>
      </c>
      <c r="P17" s="2">
        <f>7.00336573880054*(1/14151.6638359215)</f>
        <v>4.9487931737211941E-4</v>
      </c>
      <c r="Q17" s="2">
        <f>7.00586999962254*(1/14151.6638359215)</f>
        <v>4.9505627612771413E-4</v>
      </c>
      <c r="R17" s="2">
        <f>7.00840912128036*(1/14151.6638359215)</f>
        <v>4.9523569825696051E-4</v>
      </c>
      <c r="S17" s="2">
        <f>7.01056477374432*(1/14151.6638359215)</f>
        <v>4.9538802327605039E-4</v>
      </c>
      <c r="T17" s="2">
        <f>7.0119186269848*(1/14151.6638359215)</f>
        <v>4.9548369070117975E-4</v>
      </c>
      <c r="U17" s="2">
        <f>7.01205235097214*(1/14151.6638359215)</f>
        <v>4.9549314004854205E-4</v>
      </c>
      <c r="V17" s="2">
        <f>7.0105476156767*(1/14151.6638359215)</f>
        <v>4.9538681083433186E-4</v>
      </c>
      <c r="W17" s="2">
        <f>7.00698609106883*(1/14151.6638359215)</f>
        <v>4.9513514257474331E-4</v>
      </c>
      <c r="X17" s="2">
        <f>7.00094944711888*(1/14151.6638359215)</f>
        <v>4.9470857478597008E-4</v>
      </c>
      <c r="Y17" s="2">
        <f>7.00399540524643*(1/14151.6638359215)</f>
        <v>4.9492381153571675E-4</v>
      </c>
      <c r="Z17" s="2">
        <f>7.02962746236102*(1/14151.6638359215)</f>
        <v>4.9673505135965372E-4</v>
      </c>
      <c r="AA17" s="2">
        <f>7.06891871489562*(1/14151.6638359215)</f>
        <v>4.9951149185387079E-4</v>
      </c>
      <c r="AB17" s="2">
        <f>7.11267499632908*(1/14151.6638359215)</f>
        <v>5.0260344499385374E-4</v>
      </c>
      <c r="AC17" s="2">
        <f>7.15170214014025*(1/14151.6638359215)</f>
        <v>5.053612227550881E-4</v>
      </c>
      <c r="AD17" s="2">
        <f>7.17680597980799*(1/14151.6638359215)</f>
        <v>5.0713513711306052E-4</v>
      </c>
      <c r="AE17" s="2">
        <f>7.17879234881113*(1/14151.6638359215)</f>
        <v>5.0727550004325524E-4</v>
      </c>
      <c r="AF17" s="2">
        <f>7.14846708062854*(1/14151.6638359215)</f>
        <v>5.0513262352115933E-4</v>
      </c>
      <c r="AG17" s="2">
        <f>7.07663600873907*(1/14151.6638359215)</f>
        <v>5.0005681952225846E-4</v>
      </c>
      <c r="AH17" s="2">
        <f>6.95410496662155*(1/14151.6638359215)</f>
        <v>4.9139840002203718E-4</v>
      </c>
      <c r="AI17" s="2">
        <f>6.77648662010387*(1/14151.6638359215)</f>
        <v>4.7884734252257711E-4</v>
      </c>
      <c r="AJ17" s="2">
        <f>6.60212680906102*(1/14151.6638359215)</f>
        <v>4.6652654314065088E-4</v>
      </c>
      <c r="AK17" s="2">
        <f>6.43600957123423*(1/14151.6638359215)</f>
        <v>4.5478818927973378E-4</v>
      </c>
      <c r="AL17" s="2">
        <f>6.25907683651543*(1/14151.6638359215)</f>
        <v>4.4228557921421711E-4</v>
      </c>
      <c r="AM17" s="2">
        <f>6.05227053479654*(1/14151.6638359215)</f>
        <v>4.276720112184915E-4</v>
      </c>
      <c r="AN17" s="2">
        <f>5.79653259596951*(1/14151.6638359215)</f>
        <v>4.0960078356694964E-4</v>
      </c>
      <c r="AO17" s="2">
        <f>5.47280494992625*(1/14151.6638359215)</f>
        <v>3.867251945339813E-4</v>
      </c>
      <c r="AP17" s="2">
        <f>5.06202952655863*(1/14151.6638359215)</f>
        <v>3.5769854239397364E-4</v>
      </c>
      <c r="AQ17" s="2">
        <f>4.54514825575872*(1/14151.6638359215)</f>
        <v>3.2117412542132775E-4</v>
      </c>
      <c r="AR17" s="2">
        <f>3.90310306741839*(1/14151.6638359215)</f>
        <v>2.7580524189043076E-4</v>
      </c>
      <c r="AS17" s="2">
        <f>3.11683589142956*(1/14151.6638359215)</f>
        <v>2.2024519007567313E-4</v>
      </c>
      <c r="AT17" s="2">
        <f>2.14842071965765*(1/14151.6638359215)</f>
        <v>1.5181400184226138E-4</v>
      </c>
      <c r="AU17" s="2">
        <f>0.964088818653977*(1/14151.6638359215)</f>
        <v>6.8125474843940809E-5</v>
      </c>
      <c r="AV17" s="2">
        <f>-0.396415513534532*(1/14151.6638359215)</f>
        <v>-2.8011936838713004E-5</v>
      </c>
      <c r="AW17" s="2">
        <f>-1.89061050124297*(1/14151.6638359215)</f>
        <v>-1.335963405549522E-4</v>
      </c>
      <c r="AX17" s="2">
        <f>-3.47601436880624*(1/14151.6638359215)</f>
        <v>-2.4562584365401554E-4</v>
      </c>
      <c r="AY17" s="2">
        <f>-5.11014534055921*(1/14151.6638359215)</f>
        <v>-3.6109855348513925E-4</v>
      </c>
      <c r="AZ17" s="2">
        <f>-6.75052164083678*(1/14151.6638359215)</f>
        <v>-4.7701257739756175E-4</v>
      </c>
      <c r="BA17" s="2">
        <f>-8.35466149397414*(1/14151.6638359215)</f>
        <v>-5.9036602274054213E-4</v>
      </c>
      <c r="BB17" s="2">
        <f>-9.88008312430556*(1/14151.6638359215)</f>
        <v>-6.9815699686327445E-4</v>
      </c>
      <c r="BC17" s="2">
        <f>-11.2843047561662*(1/14151.6638359215)</f>
        <v>-7.9738360711501541E-4</v>
      </c>
      <c r="BD17" s="2">
        <f>-12.5314410153837*(1/14151.6638359215)</f>
        <v>-8.8551008281972118E-4</v>
      </c>
      <c r="BE17" s="2">
        <f>-13.8186368877774*(1/14151.6638359215)</f>
        <v>-9.7646729373978137E-4</v>
      </c>
      <c r="BF17" s="2">
        <f>-15.2076876381606*(1/14151.6638359215)</f>
        <v>-1.074621882944857E-3</v>
      </c>
      <c r="BG17" s="2">
        <f>-16.6341010480909*(1/14151.6638359215)</f>
        <v>-1.1754166323445427E-3</v>
      </c>
      <c r="BH17" s="2">
        <f>-18.0333848991257*(1/14151.6638359215)</f>
        <v>-1.2742943238484182E-3</v>
      </c>
      <c r="BI17" s="2">
        <f>-19.3410469728226*(1/14151.6638359215)</f>
        <v>-1.3666977393660784E-3</v>
      </c>
      <c r="BJ17" s="2">
        <f>-20.4925950507395*(1/14151.6638359215)</f>
        <v>-1.4480696608071388E-3</v>
      </c>
      <c r="BK17" s="2">
        <f>-21.4235369144338*(1/14151.6638359215)</f>
        <v>-1.5138528700811798E-3</v>
      </c>
      <c r="BL17" s="2">
        <f>-22.0693803454633*(1/14151.6638359215)</f>
        <v>-1.5594901490978098E-3</v>
      </c>
      <c r="BM17" s="2">
        <f>-22.3656331253856*(1/14151.6638359215)</f>
        <v>-1.5804242797666228E-3</v>
      </c>
      <c r="BN17" s="2">
        <f>-22.2478030357582*(1/14151.6638359215)</f>
        <v>-1.572098043997207E-3</v>
      </c>
      <c r="BO17" s="2">
        <f>-21.6146080199282*(1/14151.6638359215)</f>
        <v>-1.5273545408182557E-3</v>
      </c>
      <c r="BP17" s="2">
        <f>-20.3485892268447*(1/14151.6638359215)</f>
        <v>-1.4378937673175504E-3</v>
      </c>
      <c r="BQ17" s="2">
        <f>-18.5614253900901*(1/14151.6638359215)</f>
        <v>-1.3116072855670299E-3</v>
      </c>
      <c r="BR17" s="2">
        <f>-16.382585552053*(1/14151.6638359215)</f>
        <v>-1.1576437754597236E-3</v>
      </c>
      <c r="BS17" s="2">
        <f>-13.9415387551231*(1/14151.6638359215)</f>
        <v>-9.8515191688873819E-4</v>
      </c>
      <c r="BT17" s="2">
        <f>-11.367754041689*(1/14151.6638359215)</f>
        <v>-8.0328038974710272E-4</v>
      </c>
      <c r="BU17" s="2">
        <f>-8.79070045413964*(1/14151.6638359215)</f>
        <v>-6.2117787392786984E-4</v>
      </c>
      <c r="BV17" s="2">
        <f>-6.33984703486399*(1/14151.6638359215)</f>
        <v>-4.4799304932409488E-4</v>
      </c>
      <c r="BW17" s="2">
        <f>-4.14466282625099*(1/14151.6638359215)</f>
        <v>-2.9287459582883076E-4</v>
      </c>
      <c r="BX17" s="2">
        <f>-2.33461687068958*(1/14151.6638359215)</f>
        <v>-1.6497119333513049E-4</v>
      </c>
      <c r="BY17" s="2">
        <f>-1.03843698043418*(1/14151.6638359215)</f>
        <v>-7.3379144139807163E-5</v>
      </c>
      <c r="BZ17" s="2">
        <f>-0.144992389254881*(1/14151.6638359215)</f>
        <v>-1.0245607225833292E-5</v>
      </c>
      <c r="CA17" s="2">
        <f>0.512799987210919*(1/14151.6638359215)</f>
        <v>3.6236020948241212E-5</v>
      </c>
      <c r="CB17" s="2">
        <f>0.957519109821988*(1/14151.6638359215)</f>
        <v>6.7661239054555178E-5</v>
      </c>
      <c r="CC17" s="2">
        <f>1.21174393943705*(1/14151.6638359215)</f>
        <v>8.5625545765244366E-5</v>
      </c>
      <c r="CD17" s="2">
        <f>1.29805343691483*(1/14151.6638359215)</f>
        <v>9.172443975244456E-5</v>
      </c>
      <c r="CE17" s="2">
        <f>1.23902656311405*(1/14151.6638359215)</f>
        <v>8.7553419688291342E-5</v>
      </c>
      <c r="CF17" s="2">
        <f>1.05724227889348*(1/14151.6638359215)</f>
        <v>7.470798424492371E-5</v>
      </c>
      <c r="CG17" s="2">
        <f>0.775279545111836*(1/14151.6638359215)</f>
        <v>5.4783632094476824E-5</v>
      </c>
      <c r="CH17" s="2">
        <f>0.41571732262787*(1/14151.6638359215)</f>
        <v>2.9375861909088385E-5</v>
      </c>
      <c r="CI17" s="2">
        <f>0.00113457230029468*(1/14151.6638359215)</f>
        <v>8.0172360893336699E-8</v>
      </c>
      <c r="CJ17" s="2">
        <f>-0.480541988732185*(1/14151.6638359215)</f>
        <v>-3.3956571771611338E-5</v>
      </c>
      <c r="CK17" s="2">
        <f>-1.20142922337855*(1/14151.6638359215)</f>
        <v>-8.4896676271304156E-5</v>
      </c>
      <c r="CL17" s="2">
        <f>-2.13982200486789*(1/14151.6638359215)</f>
        <v>-1.5120639026460831E-4</v>
      </c>
      <c r="CM17" s="2">
        <f>-3.23789433620358*(1/14151.6638359215)</f>
        <v>-2.2879955132800405E-4</v>
      </c>
      <c r="CN17" s="2">
        <f>-4.43782022038899*(1/14151.6638359215)</f>
        <v>-3.1358999703797141E-4</v>
      </c>
      <c r="CO17" s="2">
        <f>-5.68177366042747*(1/14151.6638359215)</f>
        <v>-4.0149156497098885E-4</v>
      </c>
      <c r="CP17" s="2">
        <f>-6.91192865932265*(1/14151.6638359215)</f>
        <v>-4.8841809270355481E-4</v>
      </c>
      <c r="CQ17" s="2">
        <f>-8.07045922007739*(1/14151.6638359215)</f>
        <v>-5.7028341781211302E-4</v>
      </c>
      <c r="CR17" s="2">
        <f>-9.09953934569529*(1/14151.6638359215)</f>
        <v>-6.4300137787315977E-4</v>
      </c>
      <c r="CS17" s="2">
        <f>-9.94134303917972*(1/14151.6638359215)</f>
        <v>-7.0248581046317518E-4</v>
      </c>
      <c r="CT17" s="2">
        <f>-10.5380443035341*(1/14151.6638359215)</f>
        <v>-7.4465055315864239E-4</v>
      </c>
      <c r="CU17" s="2">
        <f>-10.9250445588796*(1/14151.6638359215)</f>
        <v>-7.7199717895702863E-4</v>
      </c>
      <c r="CV17" s="2">
        <f>-11.2010560067243*(1/14151.6638359215)</f>
        <v>-7.9150099497787656E-4</v>
      </c>
      <c r="CW17" s="2">
        <f>-11.3694213561295*(1/14151.6638359215)</f>
        <v>-8.0339820730267999E-4</v>
      </c>
      <c r="CX17" s="2">
        <f>-11.4331085514697*(1/14151.6638359215)</f>
        <v>-8.0789853998996033E-4</v>
      </c>
      <c r="CY17" s="2">
        <f>-11.3950855371191*(1/14151.6638359215)</f>
        <v>-8.0521171709821762E-4</v>
      </c>
      <c r="CZ17" s="2">
        <f>-11.2583202574522*(1/14151.6638359215)</f>
        <v>-7.9554746268597348E-4</v>
      </c>
      <c r="DA17" s="2">
        <f>-11.0257806568432*(1/14151.6638359215)</f>
        <v>-7.7911550081172806E-4</v>
      </c>
      <c r="DB17" s="2">
        <f>-10.7004346796664*(1/14151.6638359215)</f>
        <v>-7.5612555553398856E-4</v>
      </c>
      <c r="DC17" s="2">
        <f>-10.2852502702963*(1/14151.6638359215)</f>
        <v>-7.267873509112765E-4</v>
      </c>
      <c r="DD17" s="2">
        <f>-9.78319537310714*(1/14151.6638359215)</f>
        <v>-6.9131061100209483E-4</v>
      </c>
      <c r="DE17" s="2">
        <f>-9.18590906866794*(1/14151.6638359215)</f>
        <v>-6.4910452757866756E-4</v>
      </c>
      <c r="DF17" s="2">
        <f>-8.39104704184178*(1/14151.6638359215)</f>
        <v>-5.9293713722499469E-4</v>
      </c>
      <c r="DG17" s="2">
        <f>-7.40871232835461*(1/14151.6638359215)</f>
        <v>-5.2352235145304267E-4</v>
      </c>
      <c r="DH17" s="2">
        <f>-6.28316534186012*(1/14151.6638359215)</f>
        <v>-4.4398774693272565E-4</v>
      </c>
      <c r="DI17" s="2">
        <f>-5.05866649601256*(1/14151.6638359215)</f>
        <v>-3.5746090033399663E-4</v>
      </c>
      <c r="DJ17" s="2">
        <f>-3.77947620446561*(1/14151.6638359215)</f>
        <v>-2.6706938832676884E-4</v>
      </c>
      <c r="DK17" s="2">
        <f>-2.48985488087314*(1/14151.6638359215)</f>
        <v>-1.7594078758096862E-4</v>
      </c>
      <c r="DL17" s="2">
        <f>-1.23406293888901*(1/14151.6638359215)</f>
        <v>-8.7202674766521747E-5</v>
      </c>
      <c r="DM17" s="2">
        <f>-0.0563607921668634*(1/14151.6638359215)</f>
        <v>-3.9826265533386597E-6</v>
      </c>
      <c r="DN17" s="2">
        <f>0.99899114563898*(1/14151.6638359215)</f>
        <v>7.0591780388622392E-5</v>
      </c>
      <c r="DO17" s="2">
        <f>1.88773246087488*(1/14151.6638359215)</f>
        <v>1.333929693894512E-4</v>
      </c>
      <c r="DP17" s="2">
        <f>2.61212451480982*(1/14151.6638359215)</f>
        <v>1.8458073517683507E-4</v>
      </c>
      <c r="DQ17" s="2">
        <f>3.24861136315424*(1/14151.6638359215)</f>
        <v>2.2955684934433036E-4</v>
      </c>
      <c r="DR17" s="2">
        <f>3.80763316841654*(1/14151.6638359215)</f>
        <v>2.6905904581703922E-4</v>
      </c>
      <c r="DS17" s="2">
        <f>4.29746040027743*(1/14151.6638359215)</f>
        <v>3.0367174136578098E-4</v>
      </c>
      <c r="DT17" s="2">
        <f>4.72636352841768*(1/14151.6638359215)</f>
        <v>3.3397935276137928E-4</v>
      </c>
      <c r="DU17" s="2">
        <f>5.10261302251783*(1/14151.6638359215)</f>
        <v>3.6056629677464131E-4</v>
      </c>
      <c r="DV17" s="2">
        <f>5.4344793522587*(1/14151.6638359215)</f>
        <v>3.8401699017639421E-4</v>
      </c>
      <c r="DW17" s="2">
        <f>5.73023298732097*(1/14151.6638359215)</f>
        <v>4.0491584973745525E-4</v>
      </c>
      <c r="DX17" s="2">
        <f>5.99814439738536*(1/14151.6638359215)</f>
        <v>4.2384729222864453E-4</v>
      </c>
      <c r="DY17" s="2">
        <f>6.24648405213261*(1/14151.6638359215)</f>
        <v>4.4139573442078333E-4</v>
      </c>
      <c r="DZ17" s="2">
        <f>6.4817042144341*(1/14151.6638359215)</f>
        <v>4.5801711301122339E-4</v>
      </c>
      <c r="EA17" s="2">
        <f>6.672070616836*(1/14151.6638359215)</f>
        <v>4.7146898726495512E-4</v>
      </c>
      <c r="EB17" s="2">
        <f>6.80947529582307*(1/14151.6638359215)</f>
        <v>4.8117842359556473E-4</v>
      </c>
      <c r="EC17" s="2">
        <f>6.902172641724*(1/14151.6638359215)</f>
        <v>4.8772870255750804E-4</v>
      </c>
      <c r="ED17" s="2">
        <f>6.95841704486749*(1/14151.6638359215)</f>
        <v>4.9170310470524157E-4</v>
      </c>
      <c r="EE17" s="2">
        <f>6.98646289558222*(1/14151.6638359215)</f>
        <v>4.9368491059322071E-4</v>
      </c>
      <c r="EF17" s="2">
        <f>6.99456458419687*(1/14151.6638359215)</f>
        <v>4.9425740077590054E-4</v>
      </c>
      <c r="EG17" s="2">
        <f>6.99097650104014*(1/14151.6638359215)</f>
        <v>4.9400385580773763E-4</v>
      </c>
      <c r="EH17" s="2">
        <f>6.98395303644071*(1/14151.6638359215)</f>
        <v>4.9350755624318738E-4</v>
      </c>
      <c r="EI17" s="2">
        <f>6.9817485807273*(1/14151.6638359215)</f>
        <v>4.9335178263670767E-4</v>
      </c>
      <c r="EJ17" s="2">
        <f>6.99261752422857*(1/14151.6638359215)</f>
        <v>4.9411981554275226E-4</v>
      </c>
      <c r="EK17" s="2">
        <f>7.0163599791713*(1/14151.6638359215)</f>
        <v>4.9579753027778324E-4</v>
      </c>
      <c r="EL17" s="2">
        <f>7.03243518208138*(1/14151.6638359215)</f>
        <v>4.9693345345236265E-4</v>
      </c>
      <c r="EM17" s="2">
        <f>7.04067105454004*(1/14151.6638359215)</f>
        <v>4.9751542547728841E-4</v>
      </c>
      <c r="EN17" s="2">
        <f>7.04253175165108*(1/14151.6638359215)</f>
        <v>4.9764690804588341E-4</v>
      </c>
      <c r="EO17" s="2">
        <f>7.03948142851824*(1/14151.6638359215)</f>
        <v>4.9743136285146621E-4</v>
      </c>
      <c r="EP17" s="2">
        <f>7.03298424024528*(1/14151.6638359215)</f>
        <v>4.9697225158735689E-4</v>
      </c>
      <c r="EQ17" s="2">
        <f>7.02450434193599*(1/14151.6638359215)</f>
        <v>4.9637303594687757E-4</v>
      </c>
      <c r="ER17" s="2">
        <f>7.01550588869411*(1/14151.6638359215)</f>
        <v>4.957371776233468E-4</v>
      </c>
      <c r="ES17" s="2">
        <f>7.00745303562341*(1/14151.6638359215)</f>
        <v>4.9516813831008532E-4</v>
      </c>
      <c r="ET17" s="2">
        <f>7.00180993782765*(1/14151.6638359215)</f>
        <v>4.9476937970041319E-4</v>
      </c>
      <c r="EU17" s="2">
        <f t="shared" si="9"/>
        <v>4.9464148393856954E-4</v>
      </c>
      <c r="EV17" s="2">
        <f t="shared" si="9"/>
        <v>4.9464148393856954E-4</v>
      </c>
      <c r="EW17" s="2">
        <f t="shared" si="9"/>
        <v>4.9464148393856954E-4</v>
      </c>
      <c r="EX17" s="2">
        <f t="shared" si="9"/>
        <v>4.9464148393856954E-4</v>
      </c>
      <c r="EY17" s="2">
        <f t="shared" si="9"/>
        <v>4.9464148393856954E-4</v>
      </c>
      <c r="EZ17" s="2">
        <f t="shared" si="9"/>
        <v>4.9464148393856954E-4</v>
      </c>
      <c r="FA17" s="2">
        <f t="shared" si="9"/>
        <v>4.9464148393856954E-4</v>
      </c>
      <c r="FB17" s="2">
        <f t="shared" si="9"/>
        <v>4.9464148393856954E-4</v>
      </c>
      <c r="FC17" s="2">
        <f t="shared" si="9"/>
        <v>4.9464148393856954E-4</v>
      </c>
      <c r="FD17" s="2">
        <f t="shared" si="9"/>
        <v>4.9464148393856954E-4</v>
      </c>
      <c r="FE17" s="2">
        <f t="shared" si="9"/>
        <v>4.9464148393856954E-4</v>
      </c>
      <c r="FF17" s="2">
        <f t="shared" si="9"/>
        <v>4.9464148393856954E-4</v>
      </c>
      <c r="FG17" s="2">
        <f t="shared" si="4"/>
        <v>4.9464148393856954E-4</v>
      </c>
      <c r="FH17" s="2">
        <f t="shared" si="4"/>
        <v>4.9464148393856954E-4</v>
      </c>
      <c r="FI17" s="2">
        <f t="shared" si="4"/>
        <v>4.9464148393856954E-4</v>
      </c>
      <c r="FJ17" s="2">
        <f t="shared" si="4"/>
        <v>4.9464148393856954E-4</v>
      </c>
      <c r="FK17" s="2">
        <f t="shared" si="4"/>
        <v>4.9464148393856954E-4</v>
      </c>
      <c r="FL17" s="2">
        <f t="shared" si="4"/>
        <v>4.9464148393856954E-4</v>
      </c>
      <c r="FM17" s="2">
        <f t="shared" si="4"/>
        <v>4.9464148393856954E-4</v>
      </c>
      <c r="FN17" s="2">
        <f t="shared" si="4"/>
        <v>4.9464148393856954E-4</v>
      </c>
      <c r="FO17" s="2">
        <f t="shared" si="4"/>
        <v>4.9464148393856954E-4</v>
      </c>
      <c r="FP17" s="2">
        <f t="shared" si="4"/>
        <v>4.9464148393856954E-4</v>
      </c>
      <c r="FQ17" s="2"/>
    </row>
    <row r="18" spans="2:173">
      <c r="B18" s="2">
        <v>9.4420118343195281</v>
      </c>
      <c r="C18" s="2">
        <f t="shared" si="5"/>
        <v>4.9464148393856954E-4</v>
      </c>
      <c r="D18" s="2">
        <f t="shared" si="5"/>
        <v>4.9464148393856954E-4</v>
      </c>
      <c r="E18" s="2">
        <f t="shared" si="5"/>
        <v>4.9464148393856954E-4</v>
      </c>
      <c r="F18" s="2">
        <f t="shared" si="5"/>
        <v>4.9464148393856954E-4</v>
      </c>
      <c r="G18" s="2">
        <f t="shared" si="5"/>
        <v>4.9464148393856954E-4</v>
      </c>
      <c r="H18" s="2">
        <f t="shared" si="5"/>
        <v>4.9464148393856954E-4</v>
      </c>
      <c r="I18" s="2">
        <f t="shared" si="5"/>
        <v>4.9464148393856954E-4</v>
      </c>
      <c r="J18" s="2">
        <f t="shared" si="0"/>
        <v>4.9464148393856954E-4</v>
      </c>
      <c r="K18" s="2">
        <f t="shared" si="0"/>
        <v>4.9464148393856954E-4</v>
      </c>
      <c r="L18" s="2">
        <f t="shared" si="0"/>
        <v>4.9464148393856954E-4</v>
      </c>
      <c r="M18" s="2">
        <f t="shared" si="0"/>
        <v>4.9464148393856954E-4</v>
      </c>
      <c r="N18" s="2">
        <f>7.00019356707184*(1/14151.6638359215)</f>
        <v>4.94655161981949E-4</v>
      </c>
      <c r="O18" s="2">
        <f>7.00188334079445*(1/14151.6638359215)</f>
        <v>4.9477456657933078E-4</v>
      </c>
      <c r="P18" s="2">
        <f>7.00482161969194*(1/14151.6638359215)</f>
        <v>4.9498219438419942E-4</v>
      </c>
      <c r="Q18" s="2">
        <f>7.00840912128035*(1/14151.6638359215)</f>
        <v>4.9523569825695975E-4</v>
      </c>
      <c r="R18" s="2">
        <f>7.01204656307577*(1/14151.6638359215)</f>
        <v>4.954927310580207E-4</v>
      </c>
      <c r="S18" s="2">
        <f>7.01513466259424*(1/14151.6638359215)</f>
        <v>4.957109456477873E-4</v>
      </c>
      <c r="T18" s="2">
        <f>7.01707413735183*(1/14151.6638359215)</f>
        <v>4.9584799488666675E-4</v>
      </c>
      <c r="U18" s="2">
        <f>7.0172657048646*(1/14151.6638359215)</f>
        <v>4.958615316350654E-4</v>
      </c>
      <c r="V18" s="2">
        <f>7.01511008264861*(1/14151.6638359215)</f>
        <v>4.9570920875338989E-4</v>
      </c>
      <c r="W18" s="2">
        <f>7.01000798821993*(1/14151.6638359215)</f>
        <v>4.9534867910204755E-4</v>
      </c>
      <c r="X18" s="2">
        <f>7.00136013909461*(1/14151.6638359215)</f>
        <v>4.9473759554144394E-4</v>
      </c>
      <c r="Y18" s="2">
        <f>7.00572365407867*(1/14151.6638359215)</f>
        <v>4.9504593490243016E-4</v>
      </c>
      <c r="Z18" s="2">
        <f>7.04244309033106*(1/14151.6638359215)</f>
        <v>4.9764064296489729E-4</v>
      </c>
      <c r="AA18" s="2">
        <f>7.09873013105786*(1/14151.6638359215)</f>
        <v>5.0161805801512808E-4</v>
      </c>
      <c r="AB18" s="2">
        <f>7.16141358949253*(1/14151.6638359215)</f>
        <v>5.0604746357206043E-4</v>
      </c>
      <c r="AC18" s="2">
        <f>7.21732227886851*(1/14151.6638359215)</f>
        <v>5.0999814315463117E-4</v>
      </c>
      <c r="AD18" s="2">
        <f>7.25328501241926*(1/14151.6638359215)</f>
        <v>5.125393802817784E-4</v>
      </c>
      <c r="AE18" s="2">
        <f>7.25613060337821*(1/14151.6638359215)</f>
        <v>5.1274045847243799E-4</v>
      </c>
      <c r="AF18" s="2">
        <f>7.21268786497883*(1/14151.6638359215)</f>
        <v>5.0967066124554881E-4</v>
      </c>
      <c r="AG18" s="2">
        <f>7.10978561045456*(1/14151.6638359215)</f>
        <v>5.0239927212004747E-4</v>
      </c>
      <c r="AH18" s="2">
        <f>6.93425265303885*(1/14151.6638359215)</f>
        <v>4.8999557461487143E-4</v>
      </c>
      <c r="AI18" s="2">
        <f>6.67982018157975*(1/14151.6638359215)</f>
        <v>4.7201659529420181E-4</v>
      </c>
      <c r="AJ18" s="2">
        <f>6.43028269423804*(1/14151.6638359215)</f>
        <v>4.5438351057462966E-4</v>
      </c>
      <c r="AK18" s="2">
        <f>6.19276900083677*(1/14151.6638359215)</f>
        <v>4.3760006403752464E-4</v>
      </c>
      <c r="AL18" s="2">
        <f>5.93987955974884*(1/14151.6638359215)</f>
        <v>4.1973011997864903E-4</v>
      </c>
      <c r="AM18" s="2">
        <f>5.64421482934713*(1/14151.6638359215)</f>
        <v>3.9883754269376355E-4</v>
      </c>
      <c r="AN18" s="2">
        <f>5.27837526800453*(1/14151.6638359215)</f>
        <v>3.7298619647862938E-4</v>
      </c>
      <c r="AO18" s="2">
        <f>4.8149613340939*(1/14151.6638359215)</f>
        <v>3.4023994562900592E-4</v>
      </c>
      <c r="AP18" s="2">
        <f>4.22657348598802*(1/14151.6638359215)</f>
        <v>2.9866265444064669E-4</v>
      </c>
      <c r="AQ18" s="2">
        <f>3.48581218205998*(1/14151.6638359215)</f>
        <v>2.4631818720932739E-4</v>
      </c>
      <c r="AR18" s="2">
        <f>2.56527788068256*(1/14151.6638359215)</f>
        <v>1.8127040823080146E-4</v>
      </c>
      <c r="AS18" s="2">
        <f>1.43757104022865*(1/14151.6638359215)</f>
        <v>1.0158318180083035E-4</v>
      </c>
      <c r="AT18" s="2">
        <f>0.0488533111853586*(1/14151.6638359215)</f>
        <v>3.4521249057197853E-6</v>
      </c>
      <c r="AU18" s="2">
        <f>-1.64812530190697*(1/14151.6638359215)</f>
        <v>-1.1646159215028094E-4</v>
      </c>
      <c r="AV18" s="2">
        <f>-3.59688799403454*(1/14151.6638359215)</f>
        <v>-2.5416714499000993E-4</v>
      </c>
      <c r="AW18" s="2">
        <f>-5.73710648336951*(1/14151.6638359215)</f>
        <v>-4.054015520639261E-4</v>
      </c>
      <c r="AX18" s="2">
        <f>-8.00845248808377*(1/14151.6638359215)</f>
        <v>-5.6590183182246947E-4</v>
      </c>
      <c r="AY18" s="2">
        <f>-10.3505977263492*(1/14151.6638359215)</f>
        <v>-7.3140500271607885E-4</v>
      </c>
      <c r="AZ18" s="2">
        <f>-12.7032139163376*(1/14151.6638359215)</f>
        <v>-8.9764808319518828E-4</v>
      </c>
      <c r="BA18" s="2">
        <f>-15.0059727762214*(1/14151.6638359215)</f>
        <v>-1.0603680917102756E-3</v>
      </c>
      <c r="BB18" s="2">
        <f>-17.1985460241716*(1/14151.6638359215)</f>
        <v>-1.2153020467117177E-3</v>
      </c>
      <c r="BC18" s="2">
        <f>-19.2206053783604*(1/14151.6638359215)</f>
        <v>-1.358186966649977E-3</v>
      </c>
      <c r="BD18" s="2">
        <f>-21.0211879530332*(1/14151.6638359215)</f>
        <v>-1.4854216576057032E-3</v>
      </c>
      <c r="BE18" s="2">
        <f>-22.8801877890766*(1/14151.6638359215)</f>
        <v>-1.6167842915402841E-3</v>
      </c>
      <c r="BF18" s="2">
        <f>-24.8853513590472*(1/14151.6638359215)</f>
        <v>-1.758475303510258E-3</v>
      </c>
      <c r="BG18" s="2">
        <f>-26.9451286002744*(1/14151.6638359215)</f>
        <v>-1.904025485107903E-3</v>
      </c>
      <c r="BH18" s="2">
        <f>-28.9679694500866*(1/14151.6638359215)</f>
        <v>-2.0469656279254265E-3</v>
      </c>
      <c r="BI18" s="2">
        <f>-30.8623238458132*(1/14151.6638359215)</f>
        <v>-2.1808265235551062E-3</v>
      </c>
      <c r="BJ18" s="2">
        <f>-32.5366417247833*(1/14151.6638359215)</f>
        <v>-2.2991389635891989E-3</v>
      </c>
      <c r="BK18" s="2">
        <f>-33.8993730243261*(1/14151.6638359215)</f>
        <v>-2.3954337396199683E-3</v>
      </c>
      <c r="BL18" s="2">
        <f>-34.8589676817707*(1/14151.6638359215)</f>
        <v>-2.4632416432396709E-3</v>
      </c>
      <c r="BM18" s="2">
        <f>-35.3238756344461*(1/14151.6638359215)</f>
        <v>-2.4960934660405568E-3</v>
      </c>
      <c r="BN18" s="2">
        <f>-35.2025468196813*(1/14151.6638359215)</f>
        <v>-2.4875199996148758E-3</v>
      </c>
      <c r="BO18" s="2">
        <f>-34.3521486804292*(1/14151.6638359215)</f>
        <v>-2.4274282571094107E-3</v>
      </c>
      <c r="BP18" s="2">
        <f>-32.6088452219388*(1/14151.6638359215)</f>
        <v>-2.3042410843004202E-3</v>
      </c>
      <c r="BQ18" s="2">
        <f>-30.130086769604*(1/14151.6638359215)</f>
        <v>-2.1290844044163978E-3</v>
      </c>
      <c r="BR18" s="2">
        <f>-27.0982044368584*(1/14151.6638359215)</f>
        <v>-1.9148422935311954E-3</v>
      </c>
      <c r="BS18" s="2">
        <f>-23.6955293371373*(1/14151.6638359215)</f>
        <v>-1.6743988277187864E-3</v>
      </c>
      <c r="BT18" s="2">
        <f>-20.1043925838744*(1/14151.6638359215)</f>
        <v>-1.4206380830530294E-3</v>
      </c>
      <c r="BU18" s="2">
        <f>-16.5071252905039*(1/14151.6638359215)</f>
        <v>-1.1664441356078201E-3</v>
      </c>
      <c r="BV18" s="2">
        <f>-13.08605857046*(1/14151.6638359215)</f>
        <v>-9.2470106145705298E-4</v>
      </c>
      <c r="BW18" s="2">
        <f>-10.023523537177*(1/14151.6638359215)</f>
        <v>-7.0829293667463013E-4</v>
      </c>
      <c r="BX18" s="2">
        <f>-7.50185130408901*(1/14151.6638359215)</f>
        <v>-5.3010383733444015E-4</v>
      </c>
      <c r="BY18" s="2">
        <f>-5.70233541650624*(1/14151.6638359215)</f>
        <v>-4.0294452176230109E-4</v>
      </c>
      <c r="BZ18" s="2">
        <f>-4.47010035178179*(1/14151.6638359215)</f>
        <v>-3.1587101019423804E-4</v>
      </c>
      <c r="CA18" s="2">
        <f>-3.57047463021095*(1/14151.6638359215)</f>
        <v>-2.5230069563607994E-4</v>
      </c>
      <c r="CB18" s="2">
        <f>-2.97073792397156*(1/14151.6638359215)</f>
        <v>-2.099214593008397E-4</v>
      </c>
      <c r="CC18" s="2">
        <f>-2.63816990524148*(1/14151.6638359215)</f>
        <v>-1.8642118240153158E-4</v>
      </c>
      <c r="CD18" s="2">
        <f>-2.54005024619866*(1/14151.6638359215)</f>
        <v>-1.7948774615117631E-4</v>
      </c>
      <c r="CE18" s="2">
        <f>-2.64365861902095*(1/14151.6638359215)</f>
        <v>-1.8680903176278746E-4</v>
      </c>
      <c r="CF18" s="2">
        <f>-2.91627469588626*(1/14151.6638359215)</f>
        <v>-2.0607292044938291E-4</v>
      </c>
      <c r="CG18" s="2">
        <f>-3.3251781489724*(1/14151.6638359215)</f>
        <v>-2.3496729342397339E-4</v>
      </c>
      <c r="CH18" s="2">
        <f>-3.8376486504573*(1/14151.6638359215)</f>
        <v>-2.7118003189957824E-4</v>
      </c>
      <c r="CI18" s="2">
        <f>-4.42096587251886*(1/14151.6638359215)</f>
        <v>-3.1239901708921453E-4</v>
      </c>
      <c r="CJ18" s="2">
        <f>-5.09135851945193*(1/14151.6638359215)</f>
        <v>-3.5977101904642589E-4</v>
      </c>
      <c r="CK18" s="2">
        <f>-6.09177959232554*(1/14151.6638359215)</f>
        <v>-4.3046384248208557E-4</v>
      </c>
      <c r="CL18" s="2">
        <f>-7.39240447680947*(1/14151.6638359215)</f>
        <v>-5.2236998861188014E-4</v>
      </c>
      <c r="CM18" s="2">
        <f>-8.91245720825561*(1/14151.6638359215)</f>
        <v>-6.2978157986150792E-4</v>
      </c>
      <c r="CN18" s="2">
        <f>-10.5711618220157*(1/14151.6638359215)</f>
        <v>-7.4699073865665689E-4</v>
      </c>
      <c r="CO18" s="2">
        <f>-12.2877423534417*(1/14151.6638359215)</f>
        <v>-8.6828958742303053E-4</v>
      </c>
      <c r="CP18" s="2">
        <f>-13.9814228378856*(1/14151.6638359215)</f>
        <v>-9.8797024858633415E-4</v>
      </c>
      <c r="CQ18" s="2">
        <f>-15.5714273106986*(1/14151.6638359215)</f>
        <v>-1.1003248445722177E-3</v>
      </c>
      <c r="CR18" s="2">
        <f>-16.9769798072328*(1/14151.6638359215)</f>
        <v>-1.1996454978063947E-3</v>
      </c>
      <c r="CS18" s="2">
        <f>-18.1173043628401*(1/14151.6638359215)</f>
        <v>-1.2802243307145638E-3</v>
      </c>
      <c r="CT18" s="2">
        <f>-18.9116250128723*(1/14151.6638359215)</f>
        <v>-1.3363534657224176E-3</v>
      </c>
      <c r="CU18" s="2">
        <f>-19.4077550750113*(1/14151.6638359215)</f>
        <v>-1.3714115386028419E-3</v>
      </c>
      <c r="CV18" s="2">
        <f>-19.7422282374908*(1/14151.6638359215)</f>
        <v>-1.3950464388066256E-3</v>
      </c>
      <c r="CW18" s="2">
        <f>-19.9208677486526*(1/14151.6638359215)</f>
        <v>-1.4076696549339305E-3</v>
      </c>
      <c r="CX18" s="2">
        <f>-19.9489813930249*(1/14151.6638359215)</f>
        <v>-1.4096562513298213E-3</v>
      </c>
      <c r="CY18" s="2">
        <f>-19.8318769551354*(1/14151.6638359215)</f>
        <v>-1.4013812923393278E-3</v>
      </c>
      <c r="CZ18" s="2">
        <f>-19.5748622195123*(1/14151.6638359215)</f>
        <v>-1.3832198423075152E-3</v>
      </c>
      <c r="DA18" s="2">
        <f>-19.1832449706833*(1/14151.6638359215)</f>
        <v>-1.3555469655794127E-3</v>
      </c>
      <c r="DB18" s="2">
        <f>-18.6623329931766*(1/14151.6638359215)</f>
        <v>-1.3187377265000857E-3</v>
      </c>
      <c r="DC18" s="2">
        <f>-18.01743407152*(1/14151.6638359215)</f>
        <v>-1.2731671894145708E-3</v>
      </c>
      <c r="DD18" s="2">
        <f>-17.2538559902415*(1/14151.6638359215)</f>
        <v>-1.219210418667919E-3</v>
      </c>
      <c r="DE18" s="2">
        <f>-16.360560178603*(1/14151.6638359215)</f>
        <v>-1.1560873949729223E-3</v>
      </c>
      <c r="DF18" s="2">
        <f>-15.1902299686009*(1/14151.6638359215)</f>
        <v>-1.07338827043384E-3</v>
      </c>
      <c r="DG18" s="2">
        <f>-13.7564805589036*(1/14151.6638359215)</f>
        <v>-9.720751367754514E-4</v>
      </c>
      <c r="DH18" s="2">
        <f>-12.1220742168067*(1/14151.6638359215)</f>
        <v>-8.5658296843067706E-4</v>
      </c>
      <c r="DI18" s="2">
        <f>-10.3497732096066*(1/14151.6638359215)</f>
        <v>-7.3134673983249433E-4</v>
      </c>
      <c r="DJ18" s="2">
        <f>-8.50233980459884*(1/14151.6638359215)</f>
        <v>-6.0080142541381971E-4</v>
      </c>
      <c r="DK18" s="2">
        <f>-6.64253626907939*(1/14151.6638359215)</f>
        <v>-4.6938199960759982E-4</v>
      </c>
      <c r="DL18" s="2">
        <f>-4.83312487034409*(1/14151.6638359215)</f>
        <v>-3.4152343684677245E-4</v>
      </c>
      <c r="DM18" s="2">
        <f>-3.13686787568849*(1/14151.6638359215)</f>
        <v>-2.2166071156425469E-4</v>
      </c>
      <c r="DN18" s="2">
        <f>-1.61652755240912*(1/14151.6638359215)</f>
        <v>-1.1422879819303298E-4</v>
      </c>
      <c r="DO18" s="2">
        <f>-0.33486616780152*(1/14151.6638359215)</f>
        <v>-2.3662671166023699E-5</v>
      </c>
      <c r="DP18" s="2">
        <f>0.710762958701278*(1/14151.6638359215)</f>
        <v>5.0224692088652628E-5</v>
      </c>
      <c r="DQ18" s="2">
        <f>1.62793832908819*(1/14151.6638359215)</f>
        <v>1.1503511869437967E-4</v>
      </c>
      <c r="DR18" s="2">
        <f>2.43195345285208*(1/14151.6638359215)</f>
        <v>1.7184929496975439E-4</v>
      </c>
      <c r="DS18" s="2">
        <f>3.13505804607587*(1/14151.6638359215)</f>
        <v>2.2153282344921724E-4</v>
      </c>
      <c r="DT18" s="2">
        <f>3.74950182484254*(1/14151.6638359215)</f>
        <v>2.6495130666721265E-4</v>
      </c>
      <c r="DU18" s="2">
        <f>4.28753450523477*(1/14151.6638359215)</f>
        <v>3.0297034715816393E-4</v>
      </c>
      <c r="DV18" s="2">
        <f>4.76140580333559*(1/14151.6638359215)</f>
        <v>3.3645554745651902E-4</v>
      </c>
      <c r="DW18" s="2">
        <f>5.18336543522788*(1/14151.6638359215)</f>
        <v>3.6627251009671542E-4</v>
      </c>
      <c r="DX18" s="2">
        <f>5.56566311699456*(1/14151.6638359215)</f>
        <v>3.9328683761319334E-4</v>
      </c>
      <c r="DY18" s="2">
        <f>5.92054856471856*(1/14151.6638359215)</f>
        <v>4.1836413254039382E-4</v>
      </c>
      <c r="DZ18" s="2">
        <f>6.2576189286906*(1/14151.6638359215)</f>
        <v>4.4218255897280002E-4</v>
      </c>
      <c r="EA18" s="2">
        <f>6.53066321150197*(1/14151.6638359215)</f>
        <v>4.6147670600576557E-4</v>
      </c>
      <c r="EB18" s="2">
        <f>6.72769519119737*(1/14151.6638359215)</f>
        <v>4.7539959040860649E-4</v>
      </c>
      <c r="EC18" s="2">
        <f>6.86056420216641*(1/14151.6638359215)</f>
        <v>4.8478852251648878E-4</v>
      </c>
      <c r="ED18" s="2">
        <f>6.94111957879875*(1/14151.6638359215)</f>
        <v>4.9048081266458174E-4</v>
      </c>
      <c r="EE18" s="2">
        <f>6.981210655484*(1/14151.6638359215)</f>
        <v>4.9331377118805135E-4</v>
      </c>
      <c r="EF18" s="2">
        <f>6.99268676661179*(1/14151.6638359215)</f>
        <v>4.941247084220648E-4</v>
      </c>
      <c r="EG18" s="2">
        <f>6.98739724657176*(1/14151.6638359215)</f>
        <v>4.9375093470179008E-4</v>
      </c>
      <c r="EH18" s="2">
        <f>6.97719142975355*(1/14151.6638359215)</f>
        <v>4.9302976036239509E-4</v>
      </c>
      <c r="EI18" s="2">
        <f>6.97391865054678*(1/14151.6638359215)</f>
        <v>4.9279849573904651E-4</v>
      </c>
      <c r="EJ18" s="2">
        <f>6.98942824334109*(1/14151.6638359215)</f>
        <v>4.9389445116691225E-4</v>
      </c>
      <c r="EK18" s="2">
        <f>7.02343663677033*(1/14151.6638359215)</f>
        <v>4.9629758862294177E-4</v>
      </c>
      <c r="EL18" s="2">
        <f>7.04646531472083*(1/14151.6638359215)</f>
        <v>4.9792486568502438E-4</v>
      </c>
      <c r="EM18" s="2">
        <f>7.05826368862335*(1/14151.6638359215)</f>
        <v>4.9875857499576787E-4</v>
      </c>
      <c r="EN18" s="2">
        <f>7.0609292471717*(1/14151.6638359215)</f>
        <v>4.9894693154375089E-4</v>
      </c>
      <c r="EO18" s="2">
        <f>7.05655947905965*(1/14151.6638359215)</f>
        <v>4.9863815031754924E-4</v>
      </c>
      <c r="EP18" s="2">
        <f>7.04725187298099*(1/14151.6638359215)</f>
        <v>4.9798044630574006E-4</v>
      </c>
      <c r="EQ18" s="2">
        <f>7.0351039176295*(1/14151.6638359215)</f>
        <v>4.9712203449690003E-4</v>
      </c>
      <c r="ER18" s="2">
        <f>7.02221310169896*(1/14151.6638359215)</f>
        <v>4.9621112987960553E-4</v>
      </c>
      <c r="ES18" s="2">
        <f>7.01067691388315*(1/14151.6638359215)</f>
        <v>4.9539594744243325E-4</v>
      </c>
      <c r="ET18" s="2">
        <f>7.00259284287586*(1/14151.6638359215)</f>
        <v>4.9482470217396019E-4</v>
      </c>
      <c r="EU18" s="2">
        <f t="shared" si="9"/>
        <v>4.9464148393856954E-4</v>
      </c>
      <c r="EV18" s="2">
        <f t="shared" si="9"/>
        <v>4.9464148393856954E-4</v>
      </c>
      <c r="EW18" s="2">
        <f t="shared" si="9"/>
        <v>4.9464148393856954E-4</v>
      </c>
      <c r="EX18" s="2">
        <f t="shared" si="9"/>
        <v>4.9464148393856954E-4</v>
      </c>
      <c r="EY18" s="2">
        <f t="shared" si="9"/>
        <v>4.9464148393856954E-4</v>
      </c>
      <c r="EZ18" s="2">
        <f t="shared" si="9"/>
        <v>4.9464148393856954E-4</v>
      </c>
      <c r="FA18" s="2">
        <f t="shared" si="9"/>
        <v>4.9464148393856954E-4</v>
      </c>
      <c r="FB18" s="2">
        <f t="shared" si="9"/>
        <v>4.9464148393856954E-4</v>
      </c>
      <c r="FC18" s="2">
        <f t="shared" si="9"/>
        <v>4.9464148393856954E-4</v>
      </c>
      <c r="FD18" s="2">
        <f t="shared" si="9"/>
        <v>4.9464148393856954E-4</v>
      </c>
      <c r="FE18" s="2">
        <f t="shared" si="9"/>
        <v>4.9464148393856954E-4</v>
      </c>
      <c r="FF18" s="2">
        <f t="shared" si="9"/>
        <v>4.9464148393856954E-4</v>
      </c>
      <c r="FG18" s="2">
        <f t="shared" si="4"/>
        <v>4.9464148393856954E-4</v>
      </c>
      <c r="FH18" s="2">
        <f t="shared" si="4"/>
        <v>4.9464148393856954E-4</v>
      </c>
      <c r="FI18" s="2">
        <f t="shared" si="4"/>
        <v>4.9464148393856954E-4</v>
      </c>
      <c r="FJ18" s="2">
        <f t="shared" si="4"/>
        <v>4.9464148393856954E-4</v>
      </c>
      <c r="FK18" s="2">
        <f t="shared" si="4"/>
        <v>4.9464148393856954E-4</v>
      </c>
      <c r="FL18" s="2">
        <f t="shared" si="4"/>
        <v>4.9464148393856954E-4</v>
      </c>
      <c r="FM18" s="2">
        <f t="shared" si="4"/>
        <v>4.9464148393856954E-4</v>
      </c>
      <c r="FN18" s="2">
        <f t="shared" si="4"/>
        <v>4.9464148393856954E-4</v>
      </c>
      <c r="FO18" s="2">
        <f t="shared" si="4"/>
        <v>4.9464148393856954E-4</v>
      </c>
      <c r="FP18" s="2">
        <f t="shared" si="4"/>
        <v>4.9464148393856954E-4</v>
      </c>
      <c r="FQ18" s="2"/>
    </row>
    <row r="19" spans="2:173">
      <c r="B19" s="2">
        <v>9.4514792899408295</v>
      </c>
      <c r="C19" s="2">
        <f t="shared" si="5"/>
        <v>4.9464148393856954E-4</v>
      </c>
      <c r="D19" s="2">
        <f t="shared" si="5"/>
        <v>4.9464148393856954E-4</v>
      </c>
      <c r="E19" s="2">
        <f t="shared" si="5"/>
        <v>4.9464148393856954E-4</v>
      </c>
      <c r="F19" s="2">
        <f t="shared" si="5"/>
        <v>4.9464148393856954E-4</v>
      </c>
      <c r="G19" s="2">
        <f t="shared" si="5"/>
        <v>4.9464148393856954E-4</v>
      </c>
      <c r="H19" s="2">
        <f t="shared" si="5"/>
        <v>4.9464148393856954E-4</v>
      </c>
      <c r="I19" s="2">
        <f t="shared" si="5"/>
        <v>4.9464148393856954E-4</v>
      </c>
      <c r="J19" s="2">
        <f t="shared" si="5"/>
        <v>4.9464148393856954E-4</v>
      </c>
      <c r="K19" s="2">
        <f t="shared" si="5"/>
        <v>4.9464148393856954E-4</v>
      </c>
      <c r="L19" s="2">
        <f t="shared" si="5"/>
        <v>4.9464148393856954E-4</v>
      </c>
      <c r="M19" s="2">
        <f t="shared" si="5"/>
        <v>4.9464148393856954E-4</v>
      </c>
      <c r="N19" s="2">
        <f>7.00024318739737*(1/14151.6638359215)</f>
        <v>4.9465866830644245E-4</v>
      </c>
      <c r="O19" s="2">
        <f>7.00236612943416*(1/14151.6638359215)</f>
        <v>4.9480868190635572E-4</v>
      </c>
      <c r="P19" s="2">
        <f>7.00605762712039*(1/14151.6638359215)</f>
        <v>4.9506953446256611E-4</v>
      </c>
      <c r="Q19" s="2">
        <f>7.01056477374432*(1/14151.6638359215)</f>
        <v>4.9538802327605039E-4</v>
      </c>
      <c r="R19" s="2">
        <f>7.01513466259424*(1/14151.6638359215)</f>
        <v>4.957109456477873E-4</v>
      </c>
      <c r="S19" s="2">
        <f>7.0190143869584*(1/14151.6638359215)</f>
        <v>4.9598509887875317E-4</v>
      </c>
      <c r="T19" s="2">
        <f>7.02145104012508*(1/14151.6638359215)</f>
        <v>4.9615728026992608E-4</v>
      </c>
      <c r="U19" s="2">
        <f>7.02169171538254*(1/14151.6638359215)</f>
        <v>4.9617428712228281E-4</v>
      </c>
      <c r="V19" s="2">
        <f>7.01898350601905*(1/14151.6638359215)</f>
        <v>4.959829167368009E-4</v>
      </c>
      <c r="W19" s="2">
        <f>7.01257350532289*(1/14151.6638359215)</f>
        <v>4.9552996641445864E-4</v>
      </c>
      <c r="X19" s="2">
        <f>7.00170880658231*(1/14151.6638359215)</f>
        <v>4.9476223345623215E-4</v>
      </c>
      <c r="Y19" s="2">
        <f>7.00719089525717*(1/14151.6638359215)</f>
        <v>4.951496146672629E-4</v>
      </c>
      <c r="Z19" s="2">
        <f>7.05332324643777*(1/14151.6638359215)</f>
        <v>4.9840946818805539E-4</v>
      </c>
      <c r="AA19" s="2">
        <f>7.12403929751974*(1/14151.6638359215)</f>
        <v>5.0340648139454984E-4</v>
      </c>
      <c r="AB19" s="2">
        <f>7.20279146838223*(1/14151.6638359215)</f>
        <v>5.0897135148866499E-4</v>
      </c>
      <c r="AC19" s="2">
        <f>7.27303217890436*(1/14151.6638359215)</f>
        <v>5.1393477567231725E-4</v>
      </c>
      <c r="AD19" s="2">
        <f>7.31821384896525*(1/14151.6638359215)</f>
        <v>5.1712745114742317E-4</v>
      </c>
      <c r="AE19" s="2">
        <f>7.32178889844402*(1/14151.6638359215)</f>
        <v>5.173800751158993E-4</v>
      </c>
      <c r="AF19" s="2">
        <f>7.2672097472198*(1/14151.6638359215)</f>
        <v>5.1352334477966272E-4</v>
      </c>
      <c r="AG19" s="2">
        <f>7.13792881517173*(1/14151.6638359215)</f>
        <v>5.0438795734063138E-4</v>
      </c>
      <c r="AH19" s="2">
        <f>6.91739852217892*(1/14151.6638359215)</f>
        <v>4.8880461000072129E-4</v>
      </c>
      <c r="AI19" s="2">
        <f>6.59771994430563*(1/14151.6638359215)</f>
        <v>4.6621514055177619E-4</v>
      </c>
      <c r="AJ19" s="2">
        <f>6.28386932541424*(1/14151.6638359215)</f>
        <v>4.4403749257127965E-4</v>
      </c>
      <c r="AK19" s="2">
        <f>5.98481869212805*(1/14151.6638359215)</f>
        <v>4.2290565699678679E-4</v>
      </c>
      <c r="AL19" s="2">
        <f>5.66628331252479*(1/14151.6638359215)</f>
        <v>4.0039696944623078E-4</v>
      </c>
      <c r="AM19" s="2">
        <f>5.29397845468221*(1/14151.6638359215)</f>
        <v>3.7408876553754624E-4</v>
      </c>
      <c r="AN19" s="2">
        <f>4.83361938667804*(1/14151.6638359215)</f>
        <v>3.4155838088866631E-4</v>
      </c>
      <c r="AO19" s="2">
        <f>4.25092137659001*(1/14151.6638359215)</f>
        <v>3.0038315111752419E-4</v>
      </c>
      <c r="AP19" s="2">
        <f>3.51159969249571*(1/14151.6638359215)</f>
        <v>2.4814041184204321E-4</v>
      </c>
      <c r="AQ19" s="2">
        <f>2.58136960247314*(1/14151.6638359215)</f>
        <v>1.8240749868017562E-4</v>
      </c>
      <c r="AR19" s="2">
        <f>1.42594637459991*(1/14151.6638359215)</f>
        <v>1.0076174724984611E-4</v>
      </c>
      <c r="AS19" s="2">
        <f>0.0110452769537739*(1/14151.6638359215)</f>
        <v>7.8049316898960074E-7</v>
      </c>
      <c r="AT19" s="2">
        <f>-1.73167234998294*(1/14151.6638359215)</f>
        <v>-1.2236528298442163E-4</v>
      </c>
      <c r="AU19" s="2">
        <f>-3.86316534427815*(1/14151.6638359215)</f>
        <v>-2.7298311979911412E-4</v>
      </c>
      <c r="AV19" s="2">
        <f>-6.31182794926359*(1/14151.6638359215)</f>
        <v>-4.4601313474124002E-4</v>
      </c>
      <c r="AW19" s="2">
        <f>-9.00111617266224*(1/14151.6638359215)</f>
        <v>-6.3604649439272969E-4</v>
      </c>
      <c r="AX19" s="2">
        <f>-11.8544860221968*(1/14151.6638359215)</f>
        <v>-8.3767436533549369E-4</v>
      </c>
      <c r="AY19" s="2">
        <f>-14.7953935055898*(1/14151.6638359215)</f>
        <v>-1.0454879141514304E-3</v>
      </c>
      <c r="AZ19" s="2">
        <f>-17.7472946305639*(1/14151.6638359215)</f>
        <v>-1.2540783074224478E-3</v>
      </c>
      <c r="BA19" s="2">
        <f>-20.6336454048423*(1/14151.6638359215)</f>
        <v>-1.4580367117304918E-3</v>
      </c>
      <c r="BB19" s="2">
        <f>-23.3779018361466*(1/14151.6638359215)</f>
        <v>-1.6519542936573948E-3</v>
      </c>
      <c r="BC19" s="2">
        <f>-25.9035199321999*(1/14151.6638359215)</f>
        <v>-1.8304222197850961E-3</v>
      </c>
      <c r="BD19" s="2">
        <f>-28.1458414943167*(1/14151.6638359215)</f>
        <v>-1.9888715433497967E-3</v>
      </c>
      <c r="BE19" s="2">
        <f>-30.4600953974212*(1/14151.6638359215)</f>
        <v>-2.1524038268986878E-3</v>
      </c>
      <c r="BF19" s="2">
        <f>-32.9576262610684*(1/14151.6638359215)</f>
        <v>-2.3288870229810918E-3</v>
      </c>
      <c r="BG19" s="2">
        <f>-35.5222258099788*(1/14151.6638359215)</f>
        <v>-2.5101094982069813E-3</v>
      </c>
      <c r="BH19" s="2">
        <f>-38.0376857688716*(1/14151.6638359215)</f>
        <v>-2.6878596191862365E-3</v>
      </c>
      <c r="BI19" s="2">
        <f>-40.3877978624672*(1/14151.6638359215)</f>
        <v>-2.8539257525288233E-3</v>
      </c>
      <c r="BJ19" s="2">
        <f>-42.4563538154859*(1/14151.6638359215)</f>
        <v>-3.000096264844699E-3</v>
      </c>
      <c r="BK19" s="2">
        <f>-44.1271453526477*(1/14151.6638359215)</f>
        <v>-3.1181595227438019E-3</v>
      </c>
      <c r="BL19" s="2">
        <f>-45.2839641986727*(1/14151.6638359215)</f>
        <v>-3.1999038928360742E-3</v>
      </c>
      <c r="BM19" s="2">
        <f>-45.8106020782811*(1/14151.6638359215)</f>
        <v>-3.2371177417314686E-3</v>
      </c>
      <c r="BN19" s="2">
        <f>-45.5908507161927*(1/14151.6638359215)</f>
        <v>-3.2215894360399077E-3</v>
      </c>
      <c r="BO19" s="2">
        <f>-44.4420578361218*(1/14151.6638359215)</f>
        <v>-3.1404122053347171E-3</v>
      </c>
      <c r="BP19" s="2">
        <f>-42.1521050230825*(1/14151.6638359215)</f>
        <v>-2.9785971113931368E-3</v>
      </c>
      <c r="BQ19" s="2">
        <f>-38.9224010787615*(1/14151.6638359215)</f>
        <v>-2.7503763182929672E-3</v>
      </c>
      <c r="BR19" s="2">
        <f>-34.986471531223*(1/14151.6638359215)</f>
        <v>-2.4722514565683807E-3</v>
      </c>
      <c r="BS19" s="2">
        <f>-30.5778419085336*(1/14151.6638359215)</f>
        <v>-2.1607241567537204E-3</v>
      </c>
      <c r="BT19" s="2">
        <f>-25.9300377387575*(1/14151.6638359215)</f>
        <v>-1.8322960493831599E-3</v>
      </c>
      <c r="BU19" s="2">
        <f>-21.2765845499595*(1/14151.6638359215)</f>
        <v>-1.5034687649909157E-3</v>
      </c>
      <c r="BV19" s="2">
        <f>-16.8510078702047*(1/14151.6638359215)</f>
        <v>-1.1907439341112239E-3</v>
      </c>
      <c r="BW19" s="2">
        <f>-12.886833227558*(1/14151.6638359215)</f>
        <v>-9.1062318727830782E-4</v>
      </c>
      <c r="BX19" s="2">
        <f>-9.61758615008429*(1/14151.6638359215)</f>
        <v>-6.7960815502638957E-4</v>
      </c>
      <c r="BY19" s="2">
        <f>-7.27545417598076*(1/14151.6638359215)</f>
        <v>-5.1410592141916942E-4</v>
      </c>
      <c r="BZ19" s="2">
        <f>-5.65972509448029*(1/14151.6638359215)</f>
        <v>-3.9993354563115592E-4</v>
      </c>
      <c r="CA19" s="2">
        <f>-4.4689261018063*(1/14151.6638359215)</f>
        <v>-3.157880340870393E-4</v>
      </c>
      <c r="CB19" s="2">
        <f>-3.66248040754944*(1/14151.6638359215)</f>
        <v>-2.5880210624088456E-4</v>
      </c>
      <c r="CC19" s="2">
        <f>-3.19981122130037*(1/14151.6638359215)</f>
        <v>-2.2610848154675737E-4</v>
      </c>
      <c r="CD19" s="2">
        <f>-3.04034175264975*(1/14151.6638359215)</f>
        <v>-2.1483987945872338E-4</v>
      </c>
      <c r="CE19" s="2">
        <f>-3.14349521118832*(1/14151.6638359215)</f>
        <v>-2.2212901943085395E-4</v>
      </c>
      <c r="CF19" s="2">
        <f>-3.46869480650672*(1/14151.6638359215)</f>
        <v>-2.4510862091721333E-4</v>
      </c>
      <c r="CG19" s="2">
        <f>-3.9753637481956*(1/14151.6638359215)</f>
        <v>-2.8091140337186652E-4</v>
      </c>
      <c r="CH19" s="2">
        <f>-4.62292524584564*(1/14151.6638359215)</f>
        <v>-3.2667008624888058E-4</v>
      </c>
      <c r="CI19" s="2">
        <f>-5.37080250904754*(1/14151.6638359215)</f>
        <v>-3.7951738900232401E-4</v>
      </c>
      <c r="CJ19" s="2">
        <f>-6.24089759156118*(1/14151.6638359215)</f>
        <v>-4.4100097797120953E-4</v>
      </c>
      <c r="CK19" s="2">
        <f>-7.54356984019024*(1/14151.6638359215)</f>
        <v>-5.3305179713513404E-4</v>
      </c>
      <c r="CL19" s="2">
        <f>-9.23954915986975*(1/14151.6638359215)</f>
        <v>-6.5289490105161949E-4</v>
      </c>
      <c r="CM19" s="2">
        <f>-11.2244269527211*(1/14151.6638359215)</f>
        <v>-7.9315245775057723E-4</v>
      </c>
      <c r="CN19" s="2">
        <f>-13.3937946208656*(1/14151.6638359215)</f>
        <v>-9.4644663526191304E-4</v>
      </c>
      <c r="CO19" s="2">
        <f>-15.6432435664245*(1/14151.6638359215)</f>
        <v>-1.105399601615528E-3</v>
      </c>
      <c r="CP19" s="2">
        <f>-17.8683651915197*(1/14151.6638359215)</f>
        <v>-1.2626335248413696E-3</v>
      </c>
      <c r="CQ19" s="2">
        <f>-19.9647508982717*(1/14151.6638359215)</f>
        <v>-1.4107705729692862E-3</v>
      </c>
      <c r="CR19" s="2">
        <f>-21.8279920888021*(1/14151.6638359215)</f>
        <v>-1.5424329140292039E-3</v>
      </c>
      <c r="CS19" s="2">
        <f>-23.3536801652324*(1/14151.6638359215)</f>
        <v>-1.6502427160510419E-3</v>
      </c>
      <c r="CT19" s="2">
        <f>-24.4374065296838*(1/14151.6638359215)</f>
        <v>-1.7268221470646977E-3</v>
      </c>
      <c r="CU19" s="2">
        <f>-25.1433558518461*(1/14151.6638359215)</f>
        <v>-1.7767066928218102E-3</v>
      </c>
      <c r="CV19" s="2">
        <f>-25.6499787665015*(1/14151.6638359215)</f>
        <v>-1.8125062228650146E-3</v>
      </c>
      <c r="CW19" s="2">
        <f>-25.9631240244368*(1/14151.6638359215)</f>
        <v>-1.8346340278755065E-3</v>
      </c>
      <c r="CX19" s="2">
        <f>-26.0879624137741*(1/14151.6638359215)</f>
        <v>-1.8434554916118354E-3</v>
      </c>
      <c r="CY19" s="2">
        <f>-26.029664722635*(1/14151.6638359215)</f>
        <v>-1.8393359978325159E-3</v>
      </c>
      <c r="CZ19" s="2">
        <f>-25.7934017391413*(1/14151.6638359215)</f>
        <v>-1.822640930296076E-3</v>
      </c>
      <c r="DA19" s="2">
        <f>-25.3843442514147*(1/14151.6638359215)</f>
        <v>-1.7937356727610377E-3</v>
      </c>
      <c r="DB19" s="2">
        <f>-24.8076630475771*(1/14151.6638359215)</f>
        <v>-1.7529856089859362E-3</v>
      </c>
      <c r="DC19" s="2">
        <f>-24.0685289157501*(1/14151.6638359215)</f>
        <v>-1.7007561227292858E-3</v>
      </c>
      <c r="DD19" s="2">
        <f>-23.1721126440557*(1/14151.6638359215)</f>
        <v>-1.6374125977496289E-3</v>
      </c>
      <c r="DE19" s="2">
        <f>-22.1032143789517*(1/14151.6638359215)</f>
        <v>-1.5618809657452855E-3</v>
      </c>
      <c r="DF19" s="2">
        <f>-20.6777493856517*(1/14151.6638359215)</f>
        <v>-1.4611532343755146E-3</v>
      </c>
      <c r="DG19" s="2">
        <f>-18.9140398646149*(1/14151.6638359215)</f>
        <v>-1.3365241065580536E-3</v>
      </c>
      <c r="DH19" s="2">
        <f>-16.8918494362161*(1/14151.6638359215)</f>
        <v>-1.1936299245138315E-3</v>
      </c>
      <c r="DI19" s="2">
        <f>-14.6909417208313*(1/14151.6638359215)</f>
        <v>-1.0381070304638623E-3</v>
      </c>
      <c r="DJ19" s="2">
        <f>-12.3910803388352*(1/14151.6638359215)</f>
        <v>-8.7559176662906806E-4</v>
      </c>
      <c r="DK19" s="2">
        <f>-10.072028910603*(1/14151.6638359215)</f>
        <v>-7.1172047523040602E-4</v>
      </c>
      <c r="DL19" s="2">
        <f>-7.81355105650974*(1/14151.6638359215)</f>
        <v>-5.5212949848882232E-4</v>
      </c>
      <c r="DM19" s="2">
        <f>-5.69541039693033*(1/14151.6638359215)</f>
        <v>-4.0245517862525372E-4</v>
      </c>
      <c r="DN19" s="2">
        <f>-3.79737055224065*(1/14151.6638359215)</f>
        <v>-2.6833385786070581E-4</v>
      </c>
      <c r="DO19" s="2">
        <f>-2.19919514281546*(1/14151.6638359215)</f>
        <v>-1.5540187841610477E-4</v>
      </c>
      <c r="DP19" s="2">
        <f>-0.896718251944341*(1/14151.6638359215)</f>
        <v>-6.336486383093556E-5</v>
      </c>
      <c r="DQ19" s="2">
        <f>0.247956126598327*(1/14151.6638359215)</f>
        <v>1.7521340916036612E-5</v>
      </c>
      <c r="DR19" s="2">
        <f>1.25356351223556*(1/14151.6638359215)</f>
        <v>8.858064512906323E-5</v>
      </c>
      <c r="DS19" s="2">
        <f>2.13492400556227*(1/14151.6638359215)</f>
        <v>1.508602826010566E-4</v>
      </c>
      <c r="DT19" s="2">
        <f>2.9068577071735*(1/14151.6638359215)</f>
        <v>2.0540748712493827E-4</v>
      </c>
      <c r="DU19" s="2">
        <f>3.58418471766389*(1/14151.6638359215)</f>
        <v>2.5326949249360138E-4</v>
      </c>
      <c r="DV19" s="2">
        <f>4.18172513762848*(1/14151.6638359215)</f>
        <v>2.9549353249996721E-4</v>
      </c>
      <c r="DW19" s="2">
        <f>4.7142990676622*(1/14151.6638359215)</f>
        <v>3.3312684093694936E-4</v>
      </c>
      <c r="DX19" s="2">
        <f>5.19672660835996*(1/14151.6638359215)</f>
        <v>3.6721665159745998E-4</v>
      </c>
      <c r="DY19" s="2">
        <f>5.64382786031675*(1/14151.6638359215)</f>
        <v>3.98810198274417E-4</v>
      </c>
      <c r="DZ19" s="2">
        <f>6.06715827921094*(1/14151.6638359215)</f>
        <v>4.2872402493129678E-4</v>
      </c>
      <c r="EA19" s="2">
        <f>6.40972414330854*(1/14151.6638359215)</f>
        <v>4.529307802690018E-4</v>
      </c>
      <c r="EB19" s="2">
        <f>6.65699286204871*(1/14151.6638359215)</f>
        <v>4.7040354683603418E-4</v>
      </c>
      <c r="EC19" s="2">
        <f>6.82381666081692*(1/14151.6638359215)</f>
        <v>4.8219182846160225E-4</v>
      </c>
      <c r="ED19" s="2">
        <f>6.92504776499869*(1/14151.6638359215)</f>
        <v>4.8934512897491806E-4</v>
      </c>
      <c r="EE19" s="2">
        <f>6.97553839997951*(1/14151.6638359215)</f>
        <v>4.929129522051914E-4</v>
      </c>
      <c r="EF19" s="2">
        <f>6.99014079114487*(1/14151.6638359215)</f>
        <v>4.939448019816321E-4</v>
      </c>
      <c r="EG19" s="2">
        <f>6.98370716388028*(1/14151.6638359215)</f>
        <v>4.9349018213345152E-4</v>
      </c>
      <c r="EH19" s="2">
        <f>6.97108974357123*(1/14151.6638359215)</f>
        <v>4.9259859648985937E-4</v>
      </c>
      <c r="EI19" s="2">
        <f>6.96714075560321*(1/14151.6638359215)</f>
        <v>4.9231954888006549E-4</v>
      </c>
      <c r="EJ19" s="2">
        <f>6.98671242536175*(1/14151.6638359215)</f>
        <v>4.9370254313328265E-4</v>
      </c>
      <c r="EK19" s="2">
        <f>7.02944454676672*(1/14151.6638359215)</f>
        <v>4.9672212598236799E-4</v>
      </c>
      <c r="EL19" s="2">
        <f>7.05837655572064*(1/14151.6638359215)</f>
        <v>4.9876655053126672E-4</v>
      </c>
      <c r="EM19" s="2">
        <f>7.07319940660784*(1/14151.6638359215)</f>
        <v>4.9981397866827304E-4</v>
      </c>
      <c r="EN19" s="2">
        <f>7.0765482729194*(1/14151.6638359215)</f>
        <v>5.0005061983996759E-4</v>
      </c>
      <c r="EO19" s="2">
        <f>7.07105832814636*(1/14151.6638359215)</f>
        <v>4.9966268349292805E-4</v>
      </c>
      <c r="EP19" s="2">
        <f>7.05936474577978*(1/14151.6638359215)</f>
        <v>4.9883637907373324E-4</v>
      </c>
      <c r="EQ19" s="2">
        <f>7.04410269931073*(1/14151.6638359215)</f>
        <v>4.9775791602896322E-4</v>
      </c>
      <c r="ER19" s="2">
        <f>7.02790736223026*(1/14151.6638359215)</f>
        <v>4.9661350380519626E-4</v>
      </c>
      <c r="ES19" s="2">
        <f>7.01341390802944*(1/14151.6638359215)</f>
        <v>4.9558935184901211E-4</v>
      </c>
      <c r="ET19" s="2">
        <f>7.00325751019932*(1/14151.6638359215)</f>
        <v>4.9487166960698902E-4</v>
      </c>
      <c r="EU19" s="2">
        <f t="shared" si="9"/>
        <v>4.9464148393856954E-4</v>
      </c>
      <c r="EV19" s="2">
        <f t="shared" si="9"/>
        <v>4.9464148393856954E-4</v>
      </c>
      <c r="EW19" s="2">
        <f t="shared" si="9"/>
        <v>4.9464148393856954E-4</v>
      </c>
      <c r="EX19" s="2">
        <f t="shared" si="9"/>
        <v>4.9464148393856954E-4</v>
      </c>
      <c r="EY19" s="2">
        <f t="shared" si="9"/>
        <v>4.9464148393856954E-4</v>
      </c>
      <c r="EZ19" s="2">
        <f t="shared" si="9"/>
        <v>4.9464148393856954E-4</v>
      </c>
      <c r="FA19" s="2">
        <f t="shared" si="9"/>
        <v>4.9464148393856954E-4</v>
      </c>
      <c r="FB19" s="2">
        <f t="shared" si="9"/>
        <v>4.9464148393856954E-4</v>
      </c>
      <c r="FC19" s="2">
        <f t="shared" si="9"/>
        <v>4.9464148393856954E-4</v>
      </c>
      <c r="FD19" s="2">
        <f t="shared" si="9"/>
        <v>4.9464148393856954E-4</v>
      </c>
      <c r="FE19" s="2">
        <f t="shared" si="9"/>
        <v>4.9464148393856954E-4</v>
      </c>
      <c r="FF19" s="2">
        <f t="shared" si="9"/>
        <v>4.9464148393856954E-4</v>
      </c>
      <c r="FG19" s="2">
        <f t="shared" si="4"/>
        <v>4.9464148393856954E-4</v>
      </c>
      <c r="FH19" s="2">
        <f t="shared" si="4"/>
        <v>4.9464148393856954E-4</v>
      </c>
      <c r="FI19" s="2">
        <f t="shared" si="4"/>
        <v>4.9464148393856954E-4</v>
      </c>
      <c r="FJ19" s="2">
        <f t="shared" si="4"/>
        <v>4.9464148393856954E-4</v>
      </c>
      <c r="FK19" s="2">
        <f>7*(1/14151.6638359215)</f>
        <v>4.9464148393856954E-4</v>
      </c>
      <c r="FL19" s="2">
        <f>7*(1/14151.6638359215)</f>
        <v>4.9464148393856954E-4</v>
      </c>
      <c r="FM19" s="2">
        <f>7*(1/14151.6638359215)</f>
        <v>4.9464148393856954E-4</v>
      </c>
      <c r="FN19" s="2">
        <f t="shared" si="4"/>
        <v>4.9464148393856954E-4</v>
      </c>
      <c r="FO19" s="2">
        <f t="shared" si="4"/>
        <v>4.9464148393856954E-4</v>
      </c>
      <c r="FP19" s="2">
        <f t="shared" si="4"/>
        <v>4.9464148393856954E-4</v>
      </c>
      <c r="FQ19" s="2"/>
    </row>
    <row r="20" spans="2:173">
      <c r="B20" s="2">
        <v>9.460946745562131</v>
      </c>
      <c r="C20" s="2">
        <f t="shared" si="5"/>
        <v>4.9464148393856954E-4</v>
      </c>
      <c r="D20" s="2">
        <f t="shared" si="5"/>
        <v>4.9464148393856954E-4</v>
      </c>
      <c r="E20" s="2">
        <f t="shared" si="5"/>
        <v>4.9464148393856954E-4</v>
      </c>
      <c r="F20" s="2">
        <f t="shared" si="5"/>
        <v>4.9464148393856954E-4</v>
      </c>
      <c r="G20" s="2">
        <f t="shared" si="5"/>
        <v>4.9464148393856954E-4</v>
      </c>
      <c r="H20" s="2">
        <f t="shared" si="5"/>
        <v>4.9464148393856954E-4</v>
      </c>
      <c r="I20" s="2">
        <f t="shared" si="5"/>
        <v>4.9464148393856954E-4</v>
      </c>
      <c r="J20" s="2">
        <f t="shared" si="5"/>
        <v>4.9464148393856954E-4</v>
      </c>
      <c r="K20" s="2">
        <f t="shared" si="5"/>
        <v>4.9464148393856954E-4</v>
      </c>
      <c r="L20" s="2">
        <f t="shared" si="5"/>
        <v>4.9464148393856954E-4</v>
      </c>
      <c r="M20" s="2">
        <f t="shared" si="5"/>
        <v>4.9464148393856954E-4</v>
      </c>
      <c r="N20" s="2">
        <f>7.00027435134408*(1/14151.6638359215)</f>
        <v>4.9466087044656331E-4</v>
      </c>
      <c r="O20" s="2">
        <f>7.00266934387863*(1/14151.6638359215)</f>
        <v>4.9483010796960779E-4</v>
      </c>
      <c r="P20" s="2">
        <f>7.0068338991263*(1/14151.6638359215)</f>
        <v>4.9512438822498666E-4</v>
      </c>
      <c r="Q20" s="2">
        <f>7.0119186269848*(1/14151.6638359215)</f>
        <v>4.9548369070117975E-4</v>
      </c>
      <c r="R20" s="2">
        <f>7.01707413735183*(1/14151.6638359215)</f>
        <v>4.9584799488666675E-4</v>
      </c>
      <c r="S20" s="2">
        <f>7.02145104012508*(1/14151.6638359215)</f>
        <v>4.9615728026992608E-4</v>
      </c>
      <c r="T20" s="2">
        <f>7.02419994520225*(1/14151.6638359215)</f>
        <v>4.9635152633943711E-4</v>
      </c>
      <c r="U20" s="2">
        <f>7.02447146248105*(1/14151.6638359215)</f>
        <v>4.963707125836801E-4</v>
      </c>
      <c r="V20" s="2">
        <f>7.02141620185916*(1/14151.6638359215)</f>
        <v>4.9615481849113279E-4</v>
      </c>
      <c r="W20" s="2">
        <f>7.0141847732343*(1/14151.6638359215)</f>
        <v>4.9564382355027619E-4</v>
      </c>
      <c r="X20" s="2">
        <f>7.00192778650415*(1/14151.6638359215)</f>
        <v>4.9477770724958806E-4</v>
      </c>
      <c r="Y20" s="2">
        <f>7.00811239315968*(1/14151.6638359215)</f>
        <v>4.9521473053725483E-4</v>
      </c>
      <c r="Z20" s="2">
        <f>7.06015650683024*(1/14151.6638359215)</f>
        <v>4.9889232733957962E-4</v>
      </c>
      <c r="AA20" s="2">
        <f>7.13993466915361*(1/14151.6638359215)</f>
        <v>5.0452969713922588E-4</v>
      </c>
      <c r="AB20" s="2">
        <f>7.22877876288137*(1/14151.6638359215)</f>
        <v>5.1080769347646544E-4</v>
      </c>
      <c r="AC20" s="2">
        <f>7.30802067076514*(1/14151.6638359215)</f>
        <v>5.1640716989157279E-4</v>
      </c>
      <c r="AD20" s="2">
        <f>7.35899227555654*(1/14151.6638359215)</f>
        <v>5.2000897992482257E-4</v>
      </c>
      <c r="AE20" s="2">
        <f>7.36302546000713*(1/14151.6638359215)</f>
        <v>5.2029397711648507E-4</v>
      </c>
      <c r="AF20" s="2">
        <f>7.30145210686854*(1/14151.6638359215)</f>
        <v>5.1594301500683566E-4</v>
      </c>
      <c r="AG20" s="2">
        <f>7.15560409889238*(1/14151.6638359215)</f>
        <v>5.0563694713614822E-4</v>
      </c>
      <c r="AH20" s="2">
        <f>6.90681331883025*(1/14151.6638359215)</f>
        <v>4.880566270446959E-4</v>
      </c>
      <c r="AI20" s="2">
        <f>6.54609125999532*(1/14151.6638359215)</f>
        <v>4.6256689926305511E-4</v>
      </c>
      <c r="AJ20" s="2">
        <f>6.19086732957782*(1/14151.6638359215)</f>
        <v>4.3746568610988315E-4</v>
      </c>
      <c r="AK20" s="2">
        <f>5.85131605091195*(1/14151.6638359215)</f>
        <v>4.1347195063095107E-4</v>
      </c>
      <c r="AL20" s="2">
        <f>5.48922283884351*(1/14151.6638359215)</f>
        <v>3.8788533295357734E-4</v>
      </c>
      <c r="AM20" s="2">
        <f>5.06637310821828*(1/14151.6638359215)</f>
        <v>3.5800547320507902E-4</v>
      </c>
      <c r="AN20" s="2">
        <f>4.54455227388205*(1/14151.6638359215)</f>
        <v>3.2113201151277393E-4</v>
      </c>
      <c r="AO20" s="2">
        <f>3.88554575068061*(1/14151.6638359215)</f>
        <v>2.7456458800398002E-4</v>
      </c>
      <c r="AP20" s="2">
        <f>3.05113895345957*(1/14151.6638359215)</f>
        <v>2.1560284280600225E-4</v>
      </c>
      <c r="AQ20" s="2">
        <f>2.00311729706503*(1/14151.6638359215)</f>
        <v>1.4154641604618041E-4</v>
      </c>
      <c r="AR20" s="2">
        <f>0.703266196342638*(1/14151.6638359215)</f>
        <v>4.9694947851822267E-5</v>
      </c>
      <c r="AS20" s="2">
        <f>-0.886628933861824*(1/14151.6638359215)</f>
        <v>-6.2651921649754921E-5</v>
      </c>
      <c r="AT20" s="2">
        <f>-2.84600266651741*(1/14151.6638359215)</f>
        <v>-2.0110728317989965E-4</v>
      </c>
      <c r="AU20" s="2">
        <f>-5.24896630212138*(1/14151.6638359215)</f>
        <v>-3.7090806868926644E-4</v>
      </c>
      <c r="AV20" s="2">
        <f>-8.01255913441608*(1/14151.6638359215)</f>
        <v>-5.6619202005615853E-4</v>
      </c>
      <c r="AW20" s="2">
        <f>-11.0479167186037*(1/14151.6638359215)</f>
        <v>-7.8067970287426655E-4</v>
      </c>
      <c r="AX20" s="2">
        <f>-14.2661746098861*(1/14151.6638359215)</f>
        <v>-1.0080916827372578E-3</v>
      </c>
      <c r="AY20" s="2">
        <f>-17.5784683634651*(1/14151.6638359215)</f>
        <v>-1.2421485252387965E-3</v>
      </c>
      <c r="AZ20" s="2">
        <f>-20.8959335345425*(1/14151.6638359215)</f>
        <v>-1.4765707959725459E-3</v>
      </c>
      <c r="BA20" s="2">
        <f>-24.1297056783207*(1/14151.6638359215)</f>
        <v>-1.7050790605322114E-3</v>
      </c>
      <c r="BB20" s="2">
        <f>-27.1909203500003*(1/14151.6638359215)</f>
        <v>-1.921393884511371E-3</v>
      </c>
      <c r="BC20" s="2">
        <f>-29.9907131047838*(1/14151.6638359215)</f>
        <v>-2.1192358335037375E-3</v>
      </c>
      <c r="BD20" s="2">
        <f>-32.4540285598812*(1/14151.6638359215)</f>
        <v>-2.2933012638063363E-3</v>
      </c>
      <c r="BE20" s="2">
        <f>-34.9936100731811*(1/14151.6638359215)</f>
        <v>-2.4727558878522822E-3</v>
      </c>
      <c r="BF20" s="2">
        <f>-37.7387661598338*(1/14151.6638359215)</f>
        <v>-2.666737042187266E-3</v>
      </c>
      <c r="BG20" s="2">
        <f>-40.554416935389*(1/14151.6638359215)</f>
        <v>-2.8656995675977529E-3</v>
      </c>
      <c r="BH20" s="2">
        <f>-43.3054825153948*(1/14151.6638359215)</f>
        <v>-3.0600983048700947E-3</v>
      </c>
      <c r="BI20" s="2">
        <f>-45.8568830154006*(1/14151.6638359215)</f>
        <v>-3.2403880947907342E-3</v>
      </c>
      <c r="BJ20" s="2">
        <f>-48.0735385509557*(1/14151.6638359215)</f>
        <v>-3.3970237781461086E-3</v>
      </c>
      <c r="BK20" s="2">
        <f>-49.8203692376091*(1/14151.6638359215)</f>
        <v>-3.5204601957226321E-3</v>
      </c>
      <c r="BL20" s="2">
        <f>-50.96229519091*(1/14151.6638359215)</f>
        <v>-3.6011521883067355E-3</v>
      </c>
      <c r="BM20" s="2">
        <f>-51.3642365264074*(1/14151.6638359215)</f>
        <v>-3.6295545966848336E-3</v>
      </c>
      <c r="BN20" s="2">
        <f>-50.8911133596504*(1/14151.6638359215)</f>
        <v>-3.5961222616433478E-3</v>
      </c>
      <c r="BO20" s="2">
        <f>-49.3261449044535*(1/14151.6638359215)</f>
        <v>-3.4855367875011129E-3</v>
      </c>
      <c r="BP20" s="2">
        <f>-46.4090093819746*(1/14151.6638359215)</f>
        <v>-3.2794030384027018E-3</v>
      </c>
      <c r="BQ20" s="2">
        <f>-42.3789575479247*(1/14151.6638359215)</f>
        <v>-2.9946272070393021E-3</v>
      </c>
      <c r="BR20" s="2">
        <f>-37.5143423137935*(1/14151.6638359215)</f>
        <v>-2.6508785644391839E-3</v>
      </c>
      <c r="BS20" s="2">
        <f>-32.0935165910734*(1/14151.6638359215)</f>
        <v>-2.2678263816308069E-3</v>
      </c>
      <c r="BT20" s="2">
        <f>-26.3948332912538*(1/14151.6638359215)</f>
        <v>-1.8651399296424197E-3</v>
      </c>
      <c r="BU20" s="2">
        <f>-20.6966453258255*(1/14151.6638359215)</f>
        <v>-1.4624884795023693E-3</v>
      </c>
      <c r="BV20" s="2">
        <f>-15.2773056062789*(1/14151.6638359215)</f>
        <v>-1.0795413022389746E-3</v>
      </c>
      <c r="BW20" s="2">
        <f>-10.4151670441045*(1/14151.6638359215)</f>
        <v>-7.3596766888056218E-4</v>
      </c>
      <c r="BX20" s="2">
        <f>-6.38858255079283*(1/14151.6638359215)</f>
        <v>-4.5143685045545963E-4</v>
      </c>
      <c r="BY20" s="2">
        <f>-3.47428035842121*(1/14151.6638359215)</f>
        <v>-2.4550331315829893E-4</v>
      </c>
      <c r="BZ20" s="2">
        <f>-1.42530417179518*(1/14151.6638359215)</f>
        <v>-1.0071636722865738E-4</v>
      </c>
      <c r="CA20" s="2">
        <f>0.120678570553707*(1/14151.6638359215)</f>
        <v>8.527518174038713E-6</v>
      </c>
      <c r="CB20" s="2">
        <f>1.20766711687266*(1/14151.6638359215)</f>
        <v>8.5337464970529499E-5</v>
      </c>
      <c r="CC20" s="2">
        <f>1.8796607154089*(1/14151.6638359215)</f>
        <v>1.3282259508155594E-4</v>
      </c>
      <c r="CD20" s="2">
        <f>2.18065861440968*(1/14151.6638359215)</f>
        <v>1.5409203042786128E-4</v>
      </c>
      <c r="CE20" s="2">
        <f>2.1546600621221*(1/14151.6638359215)</f>
        <v>1.5225489293017801E-4</v>
      </c>
      <c r="CF20" s="2">
        <f>1.84566430679344*(1/14151.6638359215)</f>
        <v>1.3042030450925122E-4</v>
      </c>
      <c r="CG20" s="2">
        <f>1.29767059667094*(1/14151.6638359215)</f>
        <v>9.169738708582326E-5</v>
      </c>
      <c r="CH20" s="2">
        <f>0.554678180001787*(1/14151.6638359215)</f>
        <v>3.9195262580632706E-5</v>
      </c>
      <c r="CI20" s="2">
        <f>-0.339313694966819*(1/14151.6638359215)</f>
        <v>-2.3976947085580929E-5</v>
      </c>
      <c r="CJ20" s="2">
        <f>-1.41407589765217*(1/14151.6638359215)</f>
        <v>-9.9922942916633441E-5</v>
      </c>
      <c r="CK20" s="2">
        <f>-3.03688831915694*(1/14151.6638359215)</f>
        <v>-2.1459584924907098E-4</v>
      </c>
      <c r="CL20" s="2">
        <f>-5.15742671416299*(1/14151.6638359215)</f>
        <v>-3.6443960045685745E-4</v>
      </c>
      <c r="CM20" s="2">
        <f>-7.64811432339501*(1/14151.6638359215)</f>
        <v>-5.4043923117941955E-4</v>
      </c>
      <c r="CN20" s="2">
        <f>-10.3813743875776*(1/14151.6638359215)</f>
        <v>-7.3357977605617748E-4</v>
      </c>
      <c r="CO20" s="2">
        <f>-13.2296301474353*(1/14151.6638359215)</f>
        <v>-9.3484626972654766E-4</v>
      </c>
      <c r="CP20" s="2">
        <f>-16.0653048436935*(1/14151.6638359215)</f>
        <v>-1.1352237468300059E-3</v>
      </c>
      <c r="CQ20" s="2">
        <f>-18.7608217170755*(1/14151.6638359215)</f>
        <v>-1.3256972420058813E-3</v>
      </c>
      <c r="CR20" s="2">
        <f>-21.1886040083066*(1/14151.6638359215)</f>
        <v>-1.4972517898936429E-3</v>
      </c>
      <c r="CS20" s="2">
        <f>-23.2210749581114*(1/14151.6638359215)</f>
        <v>-1.6408724251327114E-3</v>
      </c>
      <c r="CT20" s="2">
        <f>-24.7306578072146*(1/14151.6638359215)</f>
        <v>-1.7475441823625144E-3</v>
      </c>
      <c r="CU20" s="2">
        <f>-25.803527055225*(1/14151.6638359215)</f>
        <v>-1.8233564162065032E-3</v>
      </c>
      <c r="CV20" s="2">
        <f>-26.6641411657714*(1/14151.6638359215)</f>
        <v>-1.8841700505978095E-3</v>
      </c>
      <c r="CW20" s="2">
        <f>-27.3141898377004*(1/14151.6638359215)</f>
        <v>-1.930104484842846E-3</v>
      </c>
      <c r="CX20" s="2">
        <f>-27.7544963580445*(1/14151.6638359215)</f>
        <v>-1.9612178949301078E-3</v>
      </c>
      <c r="CY20" s="2">
        <f>-27.9858840138355*(1/14151.6638359215)</f>
        <v>-1.9775684568480402E-3</v>
      </c>
      <c r="CZ20" s="2">
        <f>-28.0091760921056*(1/14151.6638359215)</f>
        <v>-1.9792143465851169E-3</v>
      </c>
      <c r="DA20" s="2">
        <f>-27.8251958798868*(1/14151.6638359215)</f>
        <v>-1.9662137401297969E-3</v>
      </c>
      <c r="DB20" s="2">
        <f>-27.4347666642113*(1/14151.6638359215)</f>
        <v>-1.9386248134705538E-3</v>
      </c>
      <c r="DC20" s="2">
        <f>-26.8387117321111*(1/14151.6638359215)</f>
        <v>-1.8965057425958474E-3</v>
      </c>
      <c r="DD20" s="2">
        <f>-26.0378543706184*(1/14151.6638359215)</f>
        <v>-1.8399147034941507E-3</v>
      </c>
      <c r="DE20" s="2">
        <f>-25.0105922748062*(1/14151.6638359215)</f>
        <v>-1.7673252109989517E-3</v>
      </c>
      <c r="DF20" s="2">
        <f>-23.5525829967558*(1/14151.6638359215)</f>
        <v>-1.6642978005859442E-3</v>
      </c>
      <c r="DG20" s="2">
        <f>-21.6885672899285*(1/14151.6638359215)</f>
        <v>-1.5325807298273934E-3</v>
      </c>
      <c r="DH20" s="2">
        <f>-19.5115827548143*(1/14151.6638359215)</f>
        <v>-1.3787483211187925E-3</v>
      </c>
      <c r="DI20" s="2">
        <f>-17.1146669919047*(1/14151.6638359215)</f>
        <v>-1.2093748968557421E-3</v>
      </c>
      <c r="DJ20" s="2">
        <f>-14.59085760169*(1/14151.6638359215)</f>
        <v>-1.0310347794337572E-3</v>
      </c>
      <c r="DK20" s="2">
        <f>-12.0331921846605*(1/14151.6638359215)</f>
        <v>-8.5030229124835252E-4</v>
      </c>
      <c r="DL20" s="2">
        <f>-9.53470834130701*(1/14151.6638359215)</f>
        <v>-6.7375175469507943E-4</v>
      </c>
      <c r="DM20" s="2">
        <f>-7.18844367211955*(1/14151.6638359215)</f>
        <v>-5.0795749216943342E-4</v>
      </c>
      <c r="DN20" s="2">
        <f>-5.08743577758961*(1/14151.6638359215)</f>
        <v>-3.5949382606701358E-4</v>
      </c>
      <c r="DO20" s="2">
        <f>-3.32472225820731*(1/14151.6638359215)</f>
        <v>-2.3493507878332226E-4</v>
      </c>
      <c r="DP20" s="2">
        <f>-1.89279066615872*(1/14151.6638359215)</f>
        <v>-1.3375039769911756E-4</v>
      </c>
      <c r="DQ20" s="2">
        <f>-0.626907321818283*(1/14151.6638359215)</f>
        <v>-4.4299195422307125E-5</v>
      </c>
      <c r="DR20" s="2">
        <f>0.492463671921236*(1/14151.6638359215)</f>
        <v>3.4798994494993864E-5</v>
      </c>
      <c r="DS20" s="2">
        <f>1.4801354135562*(1/14151.6638359215)</f>
        <v>1.0459091105592387E-4</v>
      </c>
      <c r="DT20" s="2">
        <f>2.35092100158312*(1/14151.6638359215)</f>
        <v>1.6612329326363181E-4</v>
      </c>
      <c r="DU20" s="2">
        <f>3.11963353449805*(1/14151.6638359215)</f>
        <v>2.2044288012123433E-4</v>
      </c>
      <c r="DV20" s="2">
        <f>3.8010861107975*(1/14151.6638359215)</f>
        <v>2.6859641063188018E-4</v>
      </c>
      <c r="DW20" s="2">
        <f>4.41009182897786*(1/14151.6638359215)</f>
        <v>3.1163062379870987E-4</v>
      </c>
      <c r="DX20" s="2">
        <f>4.96146378753549*(1/14151.6638359215)</f>
        <v>3.5059225862486154E-4</v>
      </c>
      <c r="DY20" s="2">
        <f>5.47001508496683*(1/14151.6638359215)</f>
        <v>3.8652805411347907E-4</v>
      </c>
      <c r="DZ20" s="2">
        <f>5.9471029613455*(1/14151.6638359215)</f>
        <v>4.2024054770505709E-4</v>
      </c>
      <c r="EA20" s="2">
        <f>6.33198727893305*(1/14151.6638359215)</f>
        <v>4.4743765484736982E-4</v>
      </c>
      <c r="EB20" s="2">
        <f>6.61003366915637*(1/14151.6638359215)</f>
        <v>4.6708526614220209E-4</v>
      </c>
      <c r="EC20" s="2">
        <f>6.79788172290743*(1/14151.6638359215)</f>
        <v>4.8035918615111587E-4</v>
      </c>
      <c r="ED20" s="2">
        <f>6.91217103107823*(1/14151.6638359215)</f>
        <v>4.8843521943567542E-4</v>
      </c>
      <c r="EE20" s="2">
        <f>6.96954118456076*(1/14151.6638359215)</f>
        <v>4.9248917055744429E-4</v>
      </c>
      <c r="EF20" s="2">
        <f>6.98663177424698*(1/14151.6638359215)</f>
        <v>4.936968440779839E-4</v>
      </c>
      <c r="EG20" s="2">
        <f>6.98008239102891*(1/14151.6638359215)</f>
        <v>4.932340445588598E-4</v>
      </c>
      <c r="EH20" s="2">
        <f>6.96653262579852*(1/14151.6638359215)</f>
        <v>4.922765765616342E-4</v>
      </c>
      <c r="EI20" s="2">
        <f>6.96262206944781*(1/14151.6638359215)</f>
        <v>4.9200024464787122E-4</v>
      </c>
      <c r="EJ20" s="2">
        <f>6.98499031286876*(1/14151.6638359215)</f>
        <v>4.9358085337913382E-4</v>
      </c>
      <c r="EK20" s="2">
        <f>7.03321780268486*(1/14151.6638359215)</f>
        <v>4.9698875582617212E-4</v>
      </c>
      <c r="EL20" s="2">
        <f>7.06585738692848*(1/14151.6638359215)</f>
        <v>4.9929516902408669E-4</v>
      </c>
      <c r="EM20" s="2">
        <f>7.08257975456753*(1/14151.6638359215)</f>
        <v>5.0047682284465041E-4</v>
      </c>
      <c r="EN20" s="2">
        <f>7.08635777096005*(1/14151.6638359215)</f>
        <v>5.0074378907818474E-4</v>
      </c>
      <c r="EO20" s="2">
        <f>7.08016430146411*(1/14151.6638359215)</f>
        <v>5.0030613951501332E-4</v>
      </c>
      <c r="EP20" s="2">
        <f>7.06697221143774*(1/14151.6638359215)</f>
        <v>4.9937394594545684E-4</v>
      </c>
      <c r="EQ20" s="2">
        <f>7.04975436623902*(1/14151.6638359215)</f>
        <v>4.9815728015983982E-4</v>
      </c>
      <c r="ER20" s="2">
        <f>7.03148363122598*(1/14151.6638359215)</f>
        <v>4.9686621394848284E-4</v>
      </c>
      <c r="ES20" s="2">
        <f>7.01513287175669*(1/14151.6638359215)</f>
        <v>4.9571081910170975E-4</v>
      </c>
      <c r="ET20" s="2">
        <f>7.0036749531892*(1/14151.6638359215)</f>
        <v>4.9490116740984246E-4</v>
      </c>
      <c r="EU20" s="2">
        <f t="shared" si="9"/>
        <v>4.9464148393856954E-4</v>
      </c>
      <c r="EV20" s="2">
        <f t="shared" si="9"/>
        <v>4.9464148393856954E-4</v>
      </c>
      <c r="EW20" s="2">
        <f t="shared" si="9"/>
        <v>4.9464148393856954E-4</v>
      </c>
      <c r="EX20" s="2">
        <f t="shared" si="9"/>
        <v>4.9464148393856954E-4</v>
      </c>
      <c r="EY20" s="2">
        <f t="shared" si="9"/>
        <v>4.9464148393856954E-4</v>
      </c>
      <c r="EZ20" s="2">
        <f t="shared" si="9"/>
        <v>4.9464148393856954E-4</v>
      </c>
      <c r="FA20" s="2">
        <f t="shared" si="9"/>
        <v>4.9464148393856954E-4</v>
      </c>
      <c r="FB20" s="2">
        <f t="shared" si="9"/>
        <v>4.9464148393856954E-4</v>
      </c>
      <c r="FC20" s="2">
        <f t="shared" si="9"/>
        <v>4.9464148393856954E-4</v>
      </c>
      <c r="FD20" s="2">
        <f t="shared" si="9"/>
        <v>4.9464148393856954E-4</v>
      </c>
      <c r="FE20" s="2">
        <f t="shared" si="9"/>
        <v>4.9464148393856954E-4</v>
      </c>
      <c r="FF20" s="2">
        <f t="shared" si="9"/>
        <v>4.9464148393856954E-4</v>
      </c>
      <c r="FG20" s="2">
        <f t="shared" si="4"/>
        <v>4.9464148393856954E-4</v>
      </c>
      <c r="FH20" s="2">
        <f t="shared" si="4"/>
        <v>4.9464148393856954E-4</v>
      </c>
      <c r="FI20" s="2">
        <f t="shared" si="4"/>
        <v>4.9464148393856954E-4</v>
      </c>
      <c r="FJ20" s="2">
        <f t="shared" si="4"/>
        <v>4.9464148393856954E-4</v>
      </c>
      <c r="FK20" s="2">
        <f t="shared" si="4"/>
        <v>4.9464148393856954E-4</v>
      </c>
      <c r="FL20" s="2">
        <f t="shared" si="4"/>
        <v>4.9464148393856954E-4</v>
      </c>
      <c r="FM20" s="2">
        <f t="shared" si="4"/>
        <v>4.9464148393856954E-4</v>
      </c>
      <c r="FN20" s="2">
        <f t="shared" si="4"/>
        <v>4.9464148393856954E-4</v>
      </c>
      <c r="FO20" s="2">
        <f t="shared" si="4"/>
        <v>4.9464148393856954E-4</v>
      </c>
      <c r="FP20" s="2">
        <f t="shared" si="4"/>
        <v>4.9464148393856954E-4</v>
      </c>
      <c r="FQ20" s="2"/>
    </row>
    <row r="21" spans="2:173">
      <c r="B21" s="2">
        <v>9.4704142011834325</v>
      </c>
      <c r="C21" s="2">
        <f t="shared" si="5"/>
        <v>4.9464148393856954E-4</v>
      </c>
      <c r="D21" s="2">
        <f t="shared" si="5"/>
        <v>4.9464148393856954E-4</v>
      </c>
      <c r="E21" s="2">
        <f t="shared" si="5"/>
        <v>4.9464148393856954E-4</v>
      </c>
      <c r="F21" s="2">
        <f t="shared" si="5"/>
        <v>4.9464148393856954E-4</v>
      </c>
      <c r="G21" s="2">
        <f t="shared" si="5"/>
        <v>4.9464148393856954E-4</v>
      </c>
      <c r="H21" s="2">
        <f t="shared" si="5"/>
        <v>4.9464148393856954E-4</v>
      </c>
      <c r="I21" s="2">
        <f t="shared" si="5"/>
        <v>4.9464148393856954E-4</v>
      </c>
      <c r="J21" s="2">
        <f t="shared" si="5"/>
        <v>4.9464148393856954E-4</v>
      </c>
      <c r="K21" s="2">
        <f t="shared" si="5"/>
        <v>4.9464148393856954E-4</v>
      </c>
      <c r="L21" s="2">
        <f t="shared" si="5"/>
        <v>4.9464148393856954E-4</v>
      </c>
      <c r="M21" s="2">
        <f t="shared" si="5"/>
        <v>4.9464148393856954E-4</v>
      </c>
      <c r="N21" s="2">
        <f>7.00027742949693*(1/14151.6638359215)</f>
        <v>4.9466108795829091E-4</v>
      </c>
      <c r="O21" s="2">
        <f>7.00269929324339*(1/14151.6638359215)</f>
        <v>4.9483222428364044E-4</v>
      </c>
      <c r="P21" s="2">
        <f>7.0069105737501*(1/14151.6638359215)</f>
        <v>4.9512980628922904E-4</v>
      </c>
      <c r="Q21" s="2">
        <f>7.01205235097214*(1/14151.6638359215)</f>
        <v>4.9549314004854205E-4</v>
      </c>
      <c r="R21" s="2">
        <f>7.0172657048646*(1/14151.6638359215)</f>
        <v>4.958615316350654E-4</v>
      </c>
      <c r="S21" s="2">
        <f>7.02169171538254*(1/14151.6638359215)</f>
        <v>4.9617428712228281E-4</v>
      </c>
      <c r="T21" s="2">
        <f>7.02447146248105*(1/14151.6638359215)</f>
        <v>4.963707125836801E-4</v>
      </c>
      <c r="U21" s="2">
        <f>7.0247460261152*(1/14151.6638359215)</f>
        <v>4.9639011409274175E-4</v>
      </c>
      <c r="V21" s="2">
        <f>7.02165648624007*(1/14151.6638359215)</f>
        <v>4.9617179772295291E-4</v>
      </c>
      <c r="W21" s="2">
        <f>7.01434392281075*(1/14151.6638359215)</f>
        <v>4.956550695477995E-4</v>
      </c>
      <c r="X21" s="2">
        <f>7.00194941578229*(1/14151.6638359215)</f>
        <v>4.9477923564076459E-4</v>
      </c>
      <c r="Y21" s="2">
        <f>7.00820341216393*(1/14151.6638359215)</f>
        <v>4.952211622194447E-4</v>
      </c>
      <c r="Z21" s="2">
        <f>7.06083144765758*(1/14151.6638359215)</f>
        <v>4.9894002072992333E-4</v>
      </c>
      <c r="AA21" s="2">
        <f>7.14150470083178*(1/14151.6638359215)</f>
        <v>5.0464064039624308E-4</v>
      </c>
      <c r="AB21" s="2">
        <f>7.23134560287314*(1/14151.6638359215)</f>
        <v>5.1098907426825994E-4</v>
      </c>
      <c r="AC21" s="2">
        <f>7.31147658496825*(1/14151.6638359215)</f>
        <v>5.166513753958286E-4</v>
      </c>
      <c r="AD21" s="2">
        <f>7.36302007830373*(1/14151.6638359215)</f>
        <v>5.2029359682880568E-4</v>
      </c>
      <c r="AE21" s="2">
        <f>7.36709851406617*(1/14151.6638359215)</f>
        <v>5.2058179161704578E-4</v>
      </c>
      <c r="AF21" s="2">
        <f>7.30483432344218*(1/14151.6638359215)</f>
        <v>5.161820128104052E-4</v>
      </c>
      <c r="AG21" s="2">
        <f>7.15734993761836*(1/14151.6638359215)</f>
        <v>5.0576031345873906E-4</v>
      </c>
      <c r="AH21" s="2">
        <f>6.90576778778133*(1/14151.6638359215)</f>
        <v>4.8798274661190422E-4</v>
      </c>
      <c r="AI21" s="2">
        <f>6.54083948036262*(1/14151.6638359215)</f>
        <v>4.6219579239579263E-4</v>
      </c>
      <c r="AJ21" s="2">
        <f>6.17925733371691*(1/14151.6638359215)</f>
        <v>4.366452881697173E-4</v>
      </c>
      <c r="AK21" s="2">
        <f>5.83141848299231*(1/14151.6638359215)</f>
        <v>4.120659274134455E-4</v>
      </c>
      <c r="AL21" s="2">
        <f>5.45963288270514*(1/14151.6638359215)</f>
        <v>3.8579441583729723E-4</v>
      </c>
      <c r="AM21" s="2">
        <f>5.02621048737175*(1/14151.6638359215)</f>
        <v>3.5516745915159477E-4</v>
      </c>
      <c r="AN21" s="2">
        <f>4.49346125150845*(1/14151.6638359215)</f>
        <v>3.1752176306665741E-4</v>
      </c>
      <c r="AO21" s="2">
        <f>3.82369512963158*(1/14151.6638359215)</f>
        <v>2.7019403329280652E-4</v>
      </c>
      <c r="AP21" s="2">
        <f>2.97922207625729*(1/14151.6638359215)</f>
        <v>2.1052097554035031E-4</v>
      </c>
      <c r="AQ21" s="2">
        <f>1.92235204590223*(1/14151.6638359215)</f>
        <v>1.3583929551963202E-4</v>
      </c>
      <c r="AR21" s="2">
        <f>0.615394993082575*(1/14151.6638359215)</f>
        <v>4.3485698940961519E-5</v>
      </c>
      <c r="AS21" s="2">
        <f>-0.979339127685336*(1/14151.6638359215)</f>
        <v>-6.9203108485339833E-5</v>
      </c>
      <c r="AT21" s="2">
        <f>-2.94698404108873*(1/14151.6638359215)</f>
        <v>-2.0824293703248739E-4</v>
      </c>
      <c r="AU21" s="2">
        <f>-5.37346316909914*(1/14151.6638359215)</f>
        <v>-3.7970539940749247E-4</v>
      </c>
      <c r="AV21" s="2">
        <f>-8.17040530468724*(1/14151.6638359215)</f>
        <v>-5.7734591489857958E-4</v>
      </c>
      <c r="AW21" s="2">
        <f>-11.2427852706775*(1/14151.6638359215)</f>
        <v>-7.9444971284151576E-4</v>
      </c>
      <c r="AX21" s="2">
        <f>-14.495577889894*(1/14151.6638359215)</f>
        <v>-1.024302022572041E-3</v>
      </c>
      <c r="AY21" s="2">
        <f>-17.8337579851609*(1/14151.6638359215)</f>
        <v>-1.2601880734259003E-3</v>
      </c>
      <c r="AZ21" s="2">
        <f>-21.1623003793021*(1/14151.6638359215)</f>
        <v>-1.4953930947388205E-3</v>
      </c>
      <c r="BA21" s="2">
        <f>-24.3861798951424*(1/14151.6638359215)</f>
        <v>-1.7232023158465927E-3</v>
      </c>
      <c r="BB21" s="2">
        <f>-27.4103713555045*(1/14151.6638359215)</f>
        <v>-1.9369009660848578E-3</v>
      </c>
      <c r="BC21" s="2">
        <f>-30.1398495832133*(1/14151.6638359215)</f>
        <v>-2.1297742747894148E-3</v>
      </c>
      <c r="BD21" s="2">
        <f>-32.4943760703759*(1/14151.6638359215)</f>
        <v>-2.2961523427298112E-3</v>
      </c>
      <c r="BE21" s="2">
        <f>-34.9159821767284*(1/14151.6638359215)</f>
        <v>-2.4672704624385117E-3</v>
      </c>
      <c r="BF21" s="2">
        <f>-37.5430248709556*(1/14151.6638359215)</f>
        <v>-2.6529053619588714E-3</v>
      </c>
      <c r="BG21" s="2">
        <f>-40.2307262346926*(1/14151.6638359215)</f>
        <v>-2.8428265892363838E-3</v>
      </c>
      <c r="BH21" s="2">
        <f>-42.834308349573*(1/14151.6638359215)</f>
        <v>-3.0268036922164354E-3</v>
      </c>
      <c r="BI21" s="2">
        <f>-45.208993297232*(1/14151.6638359215)</f>
        <v>-3.1946062188445258E-3</v>
      </c>
      <c r="BJ21" s="2">
        <f>-47.2100031593041*(1/14151.6638359215)</f>
        <v>-3.3360037170661054E-3</v>
      </c>
      <c r="BK21" s="2">
        <f>-48.692560017424*(1/14151.6638359215)</f>
        <v>-3.440765734826638E-3</v>
      </c>
      <c r="BL21" s="2">
        <f>-49.5118859532262*(1/14151.6638359215)</f>
        <v>-3.498661820071575E-3</v>
      </c>
      <c r="BM21" s="2">
        <f>-49.5232030483452*(1/14151.6638359215)</f>
        <v>-3.4994615207463659E-3</v>
      </c>
      <c r="BN21" s="2">
        <f>-48.5817333844157*(1/14151.6638359215)</f>
        <v>-3.432934384796475E-3</v>
      </c>
      <c r="BO21" s="2">
        <f>-46.446219302875*(1/14151.6638359215)</f>
        <v>-3.2820324056157604E-3</v>
      </c>
      <c r="BP21" s="2">
        <f>-42.8101990503174*(1/14151.6638359215)</f>
        <v>-3.0251000551363627E-3</v>
      </c>
      <c r="BQ21" s="2">
        <f>-37.9403454074591*(1/14151.6638359215)</f>
        <v>-2.6809812504982088E-3</v>
      </c>
      <c r="BR21" s="2">
        <f>-32.148772263219*(1/14151.6638359215)</f>
        <v>-2.2717309170116819E-3</v>
      </c>
      <c r="BS21" s="2">
        <f>-25.7475935065199*(1/14151.6638359215)</f>
        <v>-1.8194039799874402E-3</v>
      </c>
      <c r="BT21" s="2">
        <f>-19.048923026281*(1/14151.6638359215)</f>
        <v>-1.3460553647358887E-3</v>
      </c>
      <c r="BU21" s="2">
        <f>-12.3648747114225*(1/14151.6638359215)</f>
        <v>-8.7373999656750246E-4</v>
      </c>
      <c r="BV21" s="2">
        <f>-6.00756245086484*(1/14151.6638359215)</f>
        <v>-4.2451280079277345E-4</v>
      </c>
      <c r="BW21" s="2">
        <f>-0.289100133528251*(1/14151.6638359215)</f>
        <v>-2.0428702722178954E-5</v>
      </c>
      <c r="BX21" s="2">
        <f>4.478398351667*(1/14151.6638359215)</f>
        <v>3.1645737233380124E-4</v>
      </c>
      <c r="BY21" s="2">
        <f>7.9846989366081*(1/14151.6638359215)</f>
        <v>5.6422333297236418E-4</v>
      </c>
      <c r="BZ21" s="2">
        <f>10.5217248618281*(1/14151.6638359215)</f>
        <v>7.4349737132114167E-4</v>
      </c>
      <c r="CA21" s="2">
        <f>12.5015723849973*(1/14151.6638359215)</f>
        <v>8.8339947372578656E-4</v>
      </c>
      <c r="CB21" s="2">
        <f>13.9650801070785*(1/14151.6638359215)</f>
        <v>9.868154210694723E-4</v>
      </c>
      <c r="CC21" s="2">
        <f>14.9530866290342*(1/14151.6638359215)</f>
        <v>1.0566309942353514E-3</v>
      </c>
      <c r="CD21" s="2">
        <f>15.5064305518273*(1/14151.6638359215)</f>
        <v>1.0957319741066039E-3</v>
      </c>
      <c r="CE21" s="2">
        <f>15.66595047642*(1/14151.6638359215)</f>
        <v>1.1070041415663615E-3</v>
      </c>
      <c r="CF21" s="2">
        <f>15.4724850037751*(1/14151.6638359215)</f>
        <v>1.093333277497797E-3</v>
      </c>
      <c r="CG21" s="2">
        <f>14.9668727348554*(1/14151.6638359215)</f>
        <v>1.0576051627840845E-3</v>
      </c>
      <c r="CH21" s="2">
        <f>14.1899522706233*(1/14151.6638359215)</f>
        <v>1.0027055783083691E-3</v>
      </c>
      <c r="CI21" s="2">
        <f>13.1825622120416*(1/14151.6638359215)</f>
        <v>9.3152030495382405E-4</v>
      </c>
      <c r="CJ21" s="2">
        <f>11.9041898696821*(1/14151.6638359215)</f>
        <v>8.4118659174657725E-4</v>
      </c>
      <c r="CK21" s="2">
        <f>9.9481766185893*(1/14151.6638359215)</f>
        <v>7.0296869215742751E-4</v>
      </c>
      <c r="CL21" s="2">
        <f>7.37779220019557*(1/14151.6638359215)</f>
        <v>5.2133744029930578E-4</v>
      </c>
      <c r="CM21" s="2">
        <f>4.34216992592653*(1/14151.6638359215)</f>
        <v>3.0683105366767537E-4</v>
      </c>
      <c r="CN21" s="2">
        <f>0.99044310720781*(1/14151.6638359215)</f>
        <v>6.9987749757999845E-5</v>
      </c>
      <c r="CO21" s="2">
        <f>-2.52825494453491*(1/14151.6638359215)</f>
        <v>-1.7865425393425339E-4</v>
      </c>
      <c r="CP21" s="2">
        <f>-6.06479091787673*(1/14151.6638359215)</f>
        <v>-4.2855673991367213E-4</v>
      </c>
      <c r="CQ21" s="2">
        <f>-9.47003150139065*(1/14151.6638359215)</f>
        <v>-6.6918149068469592E-4</v>
      </c>
      <c r="CR21" s="2">
        <f>-12.5948433836517*(1/14151.6638359215)</f>
        <v>-8.8999028875190727E-4</v>
      </c>
      <c r="CS21" s="2">
        <f>-15.2900932532342*(1/14151.6638359215)</f>
        <v>-1.0804449166198393E-3</v>
      </c>
      <c r="CT21" s="2">
        <f>-17.4066477987126*(1/14151.6638359215)</f>
        <v>-1.2300071567930338E-3</v>
      </c>
      <c r="CU21" s="2">
        <f>-19.0599488509907*(1/14151.6638359215)</f>
        <v>-1.3468344833496104E-3</v>
      </c>
      <c r="CV21" s="2">
        <f>-20.5245490073174*(1/14151.6638359215)</f>
        <v>-1.4503276254499106E-3</v>
      </c>
      <c r="CW21" s="2">
        <f>-21.7920648426637*(1/14151.6638359215)</f>
        <v>-1.5398941845515288E-3</v>
      </c>
      <c r="CX21" s="2">
        <f>-22.853027970165*(1/14151.6638359215)</f>
        <v>-1.6148650953788646E-3</v>
      </c>
      <c r="CY21" s="2">
        <f>-23.6979700029566*(1/14151.6638359215)</f>
        <v>-1.6745712926563084E-3</v>
      </c>
      <c r="CZ21" s="2">
        <f>-24.3174225541736*(1/14151.6638359215)</f>
        <v>-1.7183437111082385E-3</v>
      </c>
      <c r="DA21" s="2">
        <f>-24.7019172369513*(1/14151.6638359215)</f>
        <v>-1.7455132854590457E-3</v>
      </c>
      <c r="DB21" s="2">
        <f>-24.8419856644248*(1/14151.6638359215)</f>
        <v>-1.7554109504331079E-3</v>
      </c>
      <c r="DC21" s="2">
        <f>-24.7281594497292*(1/14151.6638359215)</f>
        <v>-1.747367640754802E-3</v>
      </c>
      <c r="DD21" s="2">
        <f>-24.3509702059999*(1/14151.6638359215)</f>
        <v>-1.7207142911485264E-3</v>
      </c>
      <c r="DE21" s="2">
        <f>-23.6794144712602*(1/14151.6638359215)</f>
        <v>-1.6732601018372261E-3</v>
      </c>
      <c r="DF21" s="2">
        <f>-22.5137085056768*(1/14151.6638359215)</f>
        <v>-1.5908877406011954E-3</v>
      </c>
      <c r="DG21" s="2">
        <f>-20.887239879286*(1/14151.6638359215)</f>
        <v>-1.4759564756101279E-3</v>
      </c>
      <c r="DH21" s="2">
        <f>-18.9003659273286*(1/14151.6638359215)</f>
        <v>-1.3355578641822568E-3</v>
      </c>
      <c r="DI21" s="2">
        <f>-16.6534439850462*(1/14151.6638359215)</f>
        <v>-1.1767834636358711E-3</v>
      </c>
      <c r="DJ21" s="2">
        <f>-14.2468313876797*(1/14151.6638359215)</f>
        <v>-1.0067248312892109E-3</v>
      </c>
      <c r="DK21" s="2">
        <f>-11.7808854704699*(1/14151.6638359215)</f>
        <v>-8.3247352446050922E-4</v>
      </c>
      <c r="DL21" s="2">
        <f>-9.35596356865783*(1/14151.6638359215)</f>
        <v>-6.6112110046801474E-4</v>
      </c>
      <c r="DM21" s="2">
        <f>-7.07242301748415*(1/14151.6638359215)</f>
        <v>-4.9975911662995082E-4</v>
      </c>
      <c r="DN21" s="2">
        <f>-5.03062115219069*(1/14151.6638359215)</f>
        <v>-3.5547913026462278E-4</v>
      </c>
      <c r="DO21" s="2">
        <f>-3.33091530801801*(1/14151.6638359215)</f>
        <v>-2.3537269869024655E-4</v>
      </c>
      <c r="DP21" s="2">
        <f>-1.95992583297404*(1/14151.6638359215)</f>
        <v>-1.3849437463311659E-4</v>
      </c>
      <c r="DQ21" s="2">
        <f>-0.732224093665008*(1/14151.6638359215)</f>
        <v>-5.1741201752290524E-5</v>
      </c>
      <c r="DR21" s="2">
        <f>0.368654257263017*(1/14151.6638359215)</f>
        <v>2.6050241267549985E-5</v>
      </c>
      <c r="DS21" s="2">
        <f>1.35376940487691*(1/14151.6638359215)</f>
        <v>9.5661501048421277E-5</v>
      </c>
      <c r="DT21" s="2">
        <f>2.23418153424369*(1/14151.6638359215)</f>
        <v>1.5787412421234984E-4</v>
      </c>
      <c r="DU21" s="2">
        <f>3.02095083042991*(1/14151.6638359215)</f>
        <v>2.1346965738132926E-4</v>
      </c>
      <c r="DV21" s="2">
        <f>3.7251374785026*(1/14151.6638359215)</f>
        <v>2.6322964717738674E-4</v>
      </c>
      <c r="DW21" s="2">
        <f>4.35780166352865*(1/14151.6638359215)</f>
        <v>3.0793564022253976E-4</v>
      </c>
      <c r="DX21" s="2">
        <f>4.93000357057493*(1/14151.6638359215)</f>
        <v>3.4836918313880421E-4</v>
      </c>
      <c r="DY21" s="2">
        <f>5.45280338470839*(1/14151.6638359215)</f>
        <v>3.853118225482018E-4</v>
      </c>
      <c r="DZ21" s="2">
        <f>5.93423367044457*(1/14151.6638359215)</f>
        <v>4.1933116411241805E-4</v>
      </c>
      <c r="EA21" s="2">
        <f>6.32018648505279*(1/14151.6638359215)</f>
        <v>4.4660377453357194E-4</v>
      </c>
      <c r="EB21" s="2">
        <f>6.59948297329962*(1/14151.6638359215)</f>
        <v>4.6633972159146385E-4</v>
      </c>
      <c r="EC21" s="2">
        <f>6.78871109366984*(1/14151.6638359215)</f>
        <v>4.7971116134329703E-4</v>
      </c>
      <c r="ED21" s="2">
        <f>6.90445880464828*(1/14151.6638359215)</f>
        <v>4.8789024984627821E-4</v>
      </c>
      <c r="EE21" s="2">
        <f>6.96331406471974*(1/14151.6638359215)</f>
        <v>4.9204914315761211E-4</v>
      </c>
      <c r="EF21" s="2">
        <f>6.981864832369*(1/14151.6638359215)</f>
        <v>4.9335999733450206E-4</v>
      </c>
      <c r="EG21" s="2">
        <f>6.97669906608089*(1/14151.6638359215)</f>
        <v>4.9299496843415488E-4</v>
      </c>
      <c r="EH21" s="2">
        <f>6.96440472434021*(1/14151.6638359215)</f>
        <v>4.9212621251377509E-4</v>
      </c>
      <c r="EI21" s="2">
        <f>6.96156976563177*(1/14151.6638359215)</f>
        <v>4.9192588563056838E-4</v>
      </c>
      <c r="EJ21" s="2">
        <f>6.98478214844038*(1/14151.6638359215)</f>
        <v>4.9356614384173992E-4</v>
      </c>
      <c r="EK21" s="2">
        <f>7.03359049804913*(1/14151.6638359215)</f>
        <v>4.9701509162446351E-4</v>
      </c>
      <c r="EL21" s="2">
        <f>7.06659629019202*(1/14151.6638359215)</f>
        <v>4.9934738219648163E-4</v>
      </c>
      <c r="EM21" s="2">
        <f>7.08350627857642*(1/14151.6638359215)</f>
        <v>5.0054229387474494E-4</v>
      </c>
      <c r="EN21" s="2">
        <f>7.08732668335956*(1/14151.6638359215)</f>
        <v>5.0081225540205617E-4</v>
      </c>
      <c r="EO21" s="2">
        <f>7.08106372469867*(1/14151.6638359215)</f>
        <v>5.0036969552121784E-4</v>
      </c>
      <c r="EP21" s="2">
        <f>7.06772362275097*(1/14151.6638359215)</f>
        <v>4.9942704297503183E-4</v>
      </c>
      <c r="EQ21" s="2">
        <f>7.0503125976737*(1/14151.6638359215)</f>
        <v>4.9819672650630142E-4</v>
      </c>
      <c r="ER21" s="2">
        <f>7.03183686962407*(1/14151.6638359215)</f>
        <v>4.9689117485782793E-4</v>
      </c>
      <c r="ES21" s="2">
        <f>7.01530265875932*(1/14151.6638359215)</f>
        <v>4.9572281677241466E-4</v>
      </c>
      <c r="ET21" s="2">
        <f>7.00371618523668*(1/14151.6638359215)</f>
        <v>4.9490408099286411E-4</v>
      </c>
      <c r="EU21" s="2">
        <f t="shared" si="9"/>
        <v>4.9464148393856954E-4</v>
      </c>
      <c r="EV21" s="2">
        <f t="shared" si="9"/>
        <v>4.9464148393856954E-4</v>
      </c>
      <c r="EW21" s="2">
        <f t="shared" si="9"/>
        <v>4.9464148393856954E-4</v>
      </c>
      <c r="EX21" s="2">
        <f t="shared" si="9"/>
        <v>4.9464148393856954E-4</v>
      </c>
      <c r="EY21" s="2">
        <f t="shared" si="9"/>
        <v>4.9464148393856954E-4</v>
      </c>
      <c r="EZ21" s="2">
        <f t="shared" si="9"/>
        <v>4.9464148393856954E-4</v>
      </c>
      <c r="FA21" s="2">
        <f t="shared" si="9"/>
        <v>4.9464148393856954E-4</v>
      </c>
      <c r="FB21" s="2">
        <f t="shared" si="9"/>
        <v>4.9464148393856954E-4</v>
      </c>
      <c r="FC21" s="2">
        <f t="shared" si="9"/>
        <v>4.9464148393856954E-4</v>
      </c>
      <c r="FD21" s="2">
        <f t="shared" si="9"/>
        <v>4.9464148393856954E-4</v>
      </c>
      <c r="FE21" s="2">
        <f t="shared" si="9"/>
        <v>4.9464148393856954E-4</v>
      </c>
      <c r="FF21" s="2">
        <f t="shared" si="9"/>
        <v>4.9464148393856954E-4</v>
      </c>
      <c r="FG21" s="2">
        <f t="shared" si="4"/>
        <v>4.9464148393856954E-4</v>
      </c>
      <c r="FH21" s="2">
        <f t="shared" si="4"/>
        <v>4.9464148393856954E-4</v>
      </c>
      <c r="FI21" s="2">
        <f t="shared" si="4"/>
        <v>4.9464148393856954E-4</v>
      </c>
      <c r="FJ21" s="2">
        <f t="shared" si="4"/>
        <v>4.9464148393856954E-4</v>
      </c>
      <c r="FK21" s="2">
        <f t="shared" si="4"/>
        <v>4.9464148393856954E-4</v>
      </c>
      <c r="FL21" s="2">
        <f t="shared" si="4"/>
        <v>4.9464148393856954E-4</v>
      </c>
      <c r="FM21" s="2">
        <f t="shared" si="4"/>
        <v>4.9464148393856954E-4</v>
      </c>
      <c r="FN21" s="2">
        <f t="shared" si="4"/>
        <v>4.9464148393856954E-4</v>
      </c>
      <c r="FO21" s="2">
        <f t="shared" si="4"/>
        <v>4.9464148393856954E-4</v>
      </c>
      <c r="FP21" s="2">
        <f t="shared" si="4"/>
        <v>4.9464148393856954E-4</v>
      </c>
      <c r="FQ21" s="2"/>
    </row>
    <row r="22" spans="2:173">
      <c r="B22" s="2">
        <v>9.4798816568047339</v>
      </c>
      <c r="C22" s="2">
        <f t="shared" si="5"/>
        <v>4.9464148393856954E-4</v>
      </c>
      <c r="D22" s="2">
        <f t="shared" si="5"/>
        <v>4.9464148393856954E-4</v>
      </c>
      <c r="E22" s="2">
        <f t="shared" si="5"/>
        <v>4.9464148393856954E-4</v>
      </c>
      <c r="F22" s="2">
        <f t="shared" si="5"/>
        <v>4.9464148393856954E-4</v>
      </c>
      <c r="G22" s="2">
        <f t="shared" si="5"/>
        <v>4.9464148393856954E-4</v>
      </c>
      <c r="H22" s="2">
        <f t="shared" si="5"/>
        <v>4.9464148393856954E-4</v>
      </c>
      <c r="I22" s="2">
        <f t="shared" si="5"/>
        <v>4.9464148393856954E-4</v>
      </c>
      <c r="J22" s="2">
        <f t="shared" si="5"/>
        <v>4.9464148393856954E-4</v>
      </c>
      <c r="K22" s="2">
        <f t="shared" si="5"/>
        <v>4.9464148393856954E-4</v>
      </c>
      <c r="L22" s="2">
        <f t="shared" si="5"/>
        <v>4.9464148393856954E-4</v>
      </c>
      <c r="M22" s="2">
        <f t="shared" si="5"/>
        <v>4.9464148393856954E-4</v>
      </c>
      <c r="N22" s="2">
        <f>7.00024279244089*(1/14151.6638359215)</f>
        <v>4.9465864039760542E-4</v>
      </c>
      <c r="O22" s="2">
        <f>7.00236228664397*(1/14151.6638359215)</f>
        <v>4.9480841036300693E-4</v>
      </c>
      <c r="P22" s="2">
        <f>7.0060477890322*(1/14151.6638359215)</f>
        <v>4.9506883927306021E-4</v>
      </c>
      <c r="Q22" s="2">
        <f>7.0105476156767*(1/14151.6638359215)</f>
        <v>4.9538681083433186E-4</v>
      </c>
      <c r="R22" s="2">
        <f>7.01511008264861*(1/14151.6638359215)</f>
        <v>4.9570920875338989E-4</v>
      </c>
      <c r="S22" s="2">
        <f>7.01898350601905*(1/14151.6638359215)</f>
        <v>4.959829167368009E-4</v>
      </c>
      <c r="T22" s="2">
        <f>7.02141620185916*(1/14151.6638359215)</f>
        <v>4.9615481849113279E-4</v>
      </c>
      <c r="U22" s="2">
        <f>7.02165648624007*(1/14151.6638359215)</f>
        <v>4.9617179772295291E-4</v>
      </c>
      <c r="V22" s="2">
        <f>7.01895267523291*(1/14151.6638359215)</f>
        <v>4.9598073813882852E-4</v>
      </c>
      <c r="W22" s="2">
        <f>7.0125530849088*(1/14151.6638359215)</f>
        <v>4.95528523445326E-4</v>
      </c>
      <c r="X22" s="2">
        <f>7.00170603133888*(1/14151.6638359215)</f>
        <v>4.9476203734901379E-4</v>
      </c>
      <c r="Y22" s="2">
        <f>7.00717921664767*(1/14151.6638359215)</f>
        <v>4.9514878942087247E-4</v>
      </c>
      <c r="Z22" s="2">
        <f>7.05323664506888*(1/14151.6638359215)</f>
        <v>4.9840334866953836E-4</v>
      </c>
      <c r="AA22" s="2">
        <f>7.12383784742662*(1/14151.6638359215)</f>
        <v>5.0339224631269265E-4</v>
      </c>
      <c r="AB22" s="2">
        <f>7.20246211824072*(1/14151.6638359215)</f>
        <v>5.0894807859684611E-4</v>
      </c>
      <c r="AC22" s="2">
        <f>7.27258875203104*(1/14151.6638359215)</f>
        <v>5.1390344176851187E-4</v>
      </c>
      <c r="AD22" s="2">
        <f>7.31769704331743*(1/14151.6638359215)</f>
        <v>5.1709093207420243E-4</v>
      </c>
      <c r="AE22" s="2">
        <f>7.32126628661973*(1/14151.6638359215)</f>
        <v>5.173431457604292E-4</v>
      </c>
      <c r="AF22" s="2">
        <f>7.2667757764578*(1/14151.6638359215)</f>
        <v>5.134926790737053E-4</v>
      </c>
      <c r="AG22" s="2">
        <f>7.13770480735149*(1/14151.6638359215)</f>
        <v>5.0437212826054325E-4</v>
      </c>
      <c r="AH22" s="2">
        <f>6.91753267382063*(1/14151.6638359215)</f>
        <v>4.8881408956745389E-4</v>
      </c>
      <c r="AI22" s="2">
        <f>6.59786995712134*(1/14151.6638359215)</f>
        <v>4.6622574091774368E-4</v>
      </c>
      <c r="AJ22" s="2">
        <f>6.27701996481967*(1/14151.6638359215)</f>
        <v>4.4355349573006129E-4</v>
      </c>
      <c r="AK22" s="2">
        <f>5.96428339417296*(1/14151.6638359215)</f>
        <v>4.2145456981769735E-4</v>
      </c>
      <c r="AL22" s="2">
        <f>5.62844818810987*(1/14151.6638359215)</f>
        <v>3.977234234340027E-4</v>
      </c>
      <c r="AM22" s="2">
        <f>5.23830228955905*(1/14151.6638359215)</f>
        <v>3.7015451683232784E-4</v>
      </c>
      <c r="AN22" s="2">
        <f>4.76263364144915*(1/14151.6638359215)</f>
        <v>3.3654231026602295E-4</v>
      </c>
      <c r="AO22" s="2">
        <f>4.17023018670883*(1/14151.6638359215)</f>
        <v>2.9468126398843911E-4</v>
      </c>
      <c r="AP22" s="2">
        <f>3.4298798682666*(1/14151.6638359215)</f>
        <v>2.4236583825291665E-4</v>
      </c>
      <c r="AQ22" s="2">
        <f>2.51037062905137*(1/14151.6638359215)</f>
        <v>1.773904933128243E-4</v>
      </c>
      <c r="AR22" s="2">
        <f>1.38049041199169*(1/14151.6638359215)</f>
        <v>9.754968942150526E-5</v>
      </c>
      <c r="AS22" s="2">
        <f>0.00902716001619197*(1/14151.6638359215)</f>
        <v>6.3788683230858824E-7</v>
      </c>
      <c r="AT22" s="2">
        <f>-1.68746287636745*(1/14151.6638359215)</f>
        <v>-1.1924130589394892E-4</v>
      </c>
      <c r="AU22" s="2">
        <f>-3.8045909388737*(1/14151.6638359215)</f>
        <v>-2.6884407254053176E-4</v>
      </c>
      <c r="AV22" s="2">
        <f>-6.25669021527203*(1/14151.6638359215)</f>
        <v>-4.4211693323229791E-4</v>
      </c>
      <c r="AW22" s="2">
        <f>-8.95099897836684*(1/14151.6638359215)</f>
        <v>-6.3250505962742767E-4</v>
      </c>
      <c r="AX22" s="2">
        <f>-11.7947555009622*(1/14151.6638359215)</f>
        <v>-8.3345362338407847E-4</v>
      </c>
      <c r="AY22" s="2">
        <f>-14.6951980558621*(1/14151.6638359215)</f>
        <v>-1.0384077961604016E-3</v>
      </c>
      <c r="AZ22" s="2">
        <f>-17.5595649158707*(1/14151.6638359215)</f>
        <v>-1.2408127496145607E-3</v>
      </c>
      <c r="BA22" s="2">
        <f>-20.2950943537924*(1/14151.6638359215)</f>
        <v>-1.4341136554047367E-3</v>
      </c>
      <c r="BB22" s="2">
        <f>-22.8090246424302*(1/14151.6638359215)</f>
        <v>-1.6117556851890107E-3</v>
      </c>
      <c r="BC22" s="2">
        <f>-25.0085940545889*(1/14151.6638359215)</f>
        <v>-1.7671840106255918E-3</v>
      </c>
      <c r="BD22" s="2">
        <f>-26.8155109464494*(1/14151.6638359215)</f>
        <v>-1.8948663038746696E-3</v>
      </c>
      <c r="BE22" s="2">
        <f>-28.6624620684344*(1/14151.6638359215)</f>
        <v>-2.0253775386947647E-3</v>
      </c>
      <c r="BF22" s="2">
        <f>-30.6846562100449*(1/14151.6638359215)</f>
        <v>-2.1682719831259216E-3</v>
      </c>
      <c r="BG22" s="2">
        <f>-32.7401779660761*(1/14151.6638359215)</f>
        <v>-2.3135214590789626E-3</v>
      </c>
      <c r="BH22" s="2">
        <f>-34.6871119313224*(1/14151.6638359215)</f>
        <v>-2.4510977884646531E-3</v>
      </c>
      <c r="BI22" s="2">
        <f>-36.3835427005793*(1/14151.6638359215)</f>
        <v>-2.5709727931938365E-3</v>
      </c>
      <c r="BJ22" s="2">
        <f>-37.6875548686418*(1/14151.6638359215)</f>
        <v>-2.66311829517732E-3</v>
      </c>
      <c r="BK22" s="2">
        <f>-38.4572330303049*(1/14151.6638359215)</f>
        <v>-2.7175061163259126E-3</v>
      </c>
      <c r="BL22" s="2">
        <f>-38.5506617803639*(1/14151.6638359215)</f>
        <v>-2.7241080785504429E-3</v>
      </c>
      <c r="BM22" s="2">
        <f>-37.8259257136135*(1/14151.6638359215)</f>
        <v>-2.6728960037616968E-3</v>
      </c>
      <c r="BN22" s="2">
        <f>-36.1411094248491*(1/14151.6638359215)</f>
        <v>-2.5538417138705116E-3</v>
      </c>
      <c r="BO22" s="2">
        <f>-33.2440904488357*(1/14151.6638359215)</f>
        <v>-2.349129461685731E-3</v>
      </c>
      <c r="BP22" s="2">
        <f>-28.786314779812*(1/14151.6638359215)</f>
        <v>-2.0341293514012835E-3</v>
      </c>
      <c r="BQ22" s="2">
        <f>-23.0471538877286*(1/14151.6638359215)</f>
        <v>-1.6285826285123784E-3</v>
      </c>
      <c r="BR22" s="2">
        <f>-16.3567168581479*(1/14151.6638359215)</f>
        <v>-1.1558158141538994E-3</v>
      </c>
      <c r="BS22" s="2">
        <f>-9.04511277663617*(1/14151.6638359215)</f>
        <v>-6.3915542946100439E-4</v>
      </c>
      <c r="BT22" s="2">
        <f>-1.44245072875586*(1/14151.6638359215)</f>
        <v>-1.0192799556858138E-4</v>
      </c>
      <c r="BU22" s="2">
        <f>6.12116019992932*(1/14151.6638359215)</f>
        <v>4.3253996638839283E-4</v>
      </c>
      <c r="BV22" s="2">
        <f>13.3156109238557*(1/14151.6638359215)</f>
        <v>9.4092193527494446E-4</v>
      </c>
      <c r="BW22" s="2">
        <f>19.8107923574595*(1/14151.6638359215)</f>
        <v>1.3998913899560914E-3</v>
      </c>
      <c r="BX22" s="2">
        <f>25.2765954151771*(1/14151.6638359215)</f>
        <v>1.7861218092968634E-3</v>
      </c>
      <c r="BY22" s="2">
        <f>29.3849966095431*(1/14151.6638359215)</f>
        <v>2.0764340469248909E-3</v>
      </c>
      <c r="BZ22" s="2">
        <f>32.4699244519441*(1/14151.6638359215)</f>
        <v>2.2944245163261249E-3</v>
      </c>
      <c r="CA22" s="2">
        <f>34.9769883396529*(1/14151.6638359215)</f>
        <v>2.4715813451468504E-3</v>
      </c>
      <c r="CB22" s="2">
        <f>36.935134020852*(1/14151.6638359215)</f>
        <v>2.6099499287920254E-3</v>
      </c>
      <c r="CC22" s="2">
        <f>38.3733072437237*(1/14151.6638359215)</f>
        <v>2.711575662666593E-3</v>
      </c>
      <c r="CD22" s="2">
        <f>39.3204537564507*(1/14151.6638359215)</f>
        <v>2.7785039421755254E-3</v>
      </c>
      <c r="CE22" s="2">
        <f>39.8055193072151*(1/14151.6638359215)</f>
        <v>2.8127801627237511E-3</v>
      </c>
      <c r="CF22" s="2">
        <f>39.8574496441993*(1/14151.6638359215)</f>
        <v>2.8164497197162219E-3</v>
      </c>
      <c r="CG22" s="2">
        <f>39.505190515586*(1/14151.6638359215)</f>
        <v>2.7915580085579091E-3</v>
      </c>
      <c r="CH22" s="2">
        <f>38.7776876695575*(1/14151.6638359215)</f>
        <v>2.7401504246537564E-3</v>
      </c>
      <c r="CI22" s="2">
        <f>37.7038868542962*(1/14151.6638359215)</f>
        <v>2.6642723634087138E-3</v>
      </c>
      <c r="CJ22" s="2">
        <f>36.228983017849*(1/14151.6638359215)</f>
        <v>2.5600511316477238E-3</v>
      </c>
      <c r="CK22" s="2">
        <f>33.9315366208637*(1/14151.6638359215)</f>
        <v>2.3977065180657052E-3</v>
      </c>
      <c r="CL22" s="2">
        <f>30.889936923091*(1/14151.6638359215)</f>
        <v>2.1827777483437918E-3</v>
      </c>
      <c r="CM22" s="2">
        <f>27.2721150414478*(1/14151.6638359215)</f>
        <v>1.9271313506064463E-3</v>
      </c>
      <c r="CN22" s="2">
        <f>23.2460020928507*(1/14151.6638359215)</f>
        <v>1.642633852978109E-3</v>
      </c>
      <c r="CO22" s="2">
        <f>18.9795291942165*(1/14151.6638359215)</f>
        <v>1.3411517835832361E-3</v>
      </c>
      <c r="CP22" s="2">
        <f>14.6406274624611*(1/14151.6638359215)</f>
        <v>1.0345516705462189E-3</v>
      </c>
      <c r="CQ22" s="2">
        <f>10.397228014503*(1/14151.6638359215)</f>
        <v>7.3470004199163296E-4</v>
      </c>
      <c r="CR22" s="2">
        <f>6.4172619672581*(1/14151.6638359215)</f>
        <v>4.5346342604387014E-4</v>
      </c>
      <c r="CS22" s="2">
        <f>2.8686604376431*(1/14151.6638359215)</f>
        <v>2.027083508273785E-4</v>
      </c>
      <c r="CT22" s="2">
        <f>-0.08064545742522*(1/14151.6638359215)</f>
        <v>-5.6986555333879366E-6</v>
      </c>
      <c r="CU22" s="2">
        <f>-2.5843014049853*(1/14151.6638359215)</f>
        <v>-1.8261466884377986E-4</v>
      </c>
      <c r="CV22" s="2">
        <f>-4.97103586315583*(1/14151.6638359215)</f>
        <v>-3.5126865086617824E-4</v>
      </c>
      <c r="CW22" s="2">
        <f>-7.2147486935462*(1/14151.6638359215)</f>
        <v>-5.0981628571707832E-4</v>
      </c>
      <c r="CX22" s="2">
        <f>-9.28800199446426*(1/14151.6638359215)</f>
        <v>-6.5631872705231356E-4</v>
      </c>
      <c r="CY22" s="2">
        <f>-11.1633578642175*(1/14151.6638359215)</f>
        <v>-7.8883712852769209E-4</v>
      </c>
      <c r="CZ22" s="2">
        <f>-12.8133784011132*(1/14151.6638359215)</f>
        <v>-9.0543264379900701E-4</v>
      </c>
      <c r="DA22" s="2">
        <f>-14.2106257034591*(1/14151.6638359215)</f>
        <v>-1.0041664265220841E-3</v>
      </c>
      <c r="DB22" s="2">
        <f>-15.3276618695622*(1/14151.6638359215)</f>
        <v>-1.0830996303526966E-3</v>
      </c>
      <c r="DC22" s="2">
        <f>-16.13704899773*(1/14151.6638359215)</f>
        <v>-1.1402934089466534E-3</v>
      </c>
      <c r="DD22" s="2">
        <f>-16.6113491862701*(1/14151.6638359215)</f>
        <v>-1.1738089159597704E-3</v>
      </c>
      <c r="DE22" s="2">
        <f>-16.7064015734071*(1/14151.6638359215)</f>
        <v>-1.1805256093633915E-3</v>
      </c>
      <c r="DF22" s="2">
        <f>-16.2601036161774*(1/14151.6638359215)</f>
        <v>-1.1489888259572699E-3</v>
      </c>
      <c r="DG22" s="2">
        <f>-15.3172346771286*(1/14151.6638359215)</f>
        <v>-1.0823628129328867E-3</v>
      </c>
      <c r="DH22" s="2">
        <f>-13.9772907084857*(1/14151.6638359215)</f>
        <v>-9.8767825964087811E-4</v>
      </c>
      <c r="DI22" s="2">
        <f>-12.3397676624746*(1/14151.6638359215)</f>
        <v>-8.7196585543194429E-4</v>
      </c>
      <c r="DJ22" s="2">
        <f>-10.5041614913204*(1/14151.6638359215)</f>
        <v>-7.4225628965672856E-4</v>
      </c>
      <c r="DK22" s="2">
        <f>-8.56996814724839*(1/14151.6638359215)</f>
        <v>-6.055802516658882E-4</v>
      </c>
      <c r="DL22" s="2">
        <f>-6.63668358248387*(1/14151.6638359215)</f>
        <v>-4.6896843081008048E-4</v>
      </c>
      <c r="DM22" s="2">
        <f>-4.80380374925184*(1/14151.6638359215)</f>
        <v>-3.3945151643994208E-4</v>
      </c>
      <c r="DN22" s="2">
        <f>-3.17082459977834*(1/14151.6638359215)</f>
        <v>-2.240601979061827E-4</v>
      </c>
      <c r="DO22" s="2">
        <f>-1.83724208628832*(1/14151.6638359215)</f>
        <v>-1.2982516455943544E-4</v>
      </c>
      <c r="DP22" s="2">
        <f>-0.780595301422315*(1/14151.6638359215)</f>
        <v>-5.5159259750144128E-5</v>
      </c>
      <c r="DQ22" s="2">
        <f>0.196433733554927*(1/14151.6638359215)</f>
        <v>1.3880610494457524E-5</v>
      </c>
      <c r="DR22" s="2">
        <f>1.10213559361493*(1/14151.6638359215)</f>
        <v>7.7880283646743605E-5</v>
      </c>
      <c r="DS22" s="2">
        <f>1.93890311434375*(1/14151.6638359215)</f>
        <v>1.3700884481315808E-4</v>
      </c>
      <c r="DT22" s="2">
        <f>2.70912913132758*(1/14151.6638359215)</f>
        <v>1.9143537910015456E-4</v>
      </c>
      <c r="DU22" s="2">
        <f>3.41520648015219*(1/14151.6638359215)</f>
        <v>2.4132897161415688E-4</v>
      </c>
      <c r="DV22" s="2">
        <f>4.05952799640378*(1/14151.6638359215)</f>
        <v>2.868587074616191E-4</v>
      </c>
      <c r="DW22" s="2">
        <f>4.6444865156684*(1/14151.6638359215)</f>
        <v>3.2819367174898484E-4</v>
      </c>
      <c r="DX22" s="2">
        <f>5.17247487353211*(1/14151.6638359215)</f>
        <v>3.6550294958269825E-4</v>
      </c>
      <c r="DY22" s="2">
        <f>5.64588590558104*(1/14151.6638359215)</f>
        <v>3.9895562606920862E-4</v>
      </c>
      <c r="DZ22" s="2">
        <f>6.06533110185848*(1/14151.6638359215)</f>
        <v>4.2859491097171969E-4</v>
      </c>
      <c r="EA22" s="2">
        <f>6.39705562834508*(1/14151.6638359215)</f>
        <v>4.5203558412031271E-4</v>
      </c>
      <c r="EB22" s="2">
        <f>6.63800613525773*(1/14151.6638359215)</f>
        <v>4.6906188644817322E-4</v>
      </c>
      <c r="EC22" s="2">
        <f>6.80225647833606*(1/14151.6638359215)</f>
        <v>4.8066831979641386E-4</v>
      </c>
      <c r="ED22" s="2">
        <f>6.90388051331975*(1/14151.6638359215)</f>
        <v>4.8784938600615065E-4</v>
      </c>
      <c r="EE22" s="2">
        <f>6.95695209594845*(1/14151.6638359215)</f>
        <v>4.9159958691849764E-4</v>
      </c>
      <c r="EF22" s="2">
        <f>6.97554508196179*(1/14151.6638359215)</f>
        <v>4.9291342437456716E-4</v>
      </c>
      <c r="EG22" s="2">
        <f>6.97373332709944*(1/14151.6638359215)</f>
        <v>4.9278540021547494E-4</v>
      </c>
      <c r="EH22" s="2">
        <f>6.96559068710106*(1/14151.6638359215)</f>
        <v>4.9221001628233548E-4</v>
      </c>
      <c r="EI22" s="2">
        <f>6.9651910177063*(1/14151.6638359215)</f>
        <v>4.9218177441626284E-4</v>
      </c>
      <c r="EJ22" s="2">
        <f>6.98660817465482*(1/14151.6638359215)</f>
        <v>4.9369517645837151E-4</v>
      </c>
      <c r="EK22" s="2">
        <f>7.02939672638393*(1/14151.6638359215)</f>
        <v>4.9671874684735289E-4</v>
      </c>
      <c r="EL22" s="2">
        <f>7.05828174735892*(1/14151.6638359215)</f>
        <v>4.9875985108144792E-4</v>
      </c>
      <c r="EM22" s="2">
        <f>7.07308052470853*(1/14151.6638359215)</f>
        <v>4.9980557810840336E-4</v>
      </c>
      <c r="EN22" s="2">
        <f>7.07642395218382*(1/14151.6638359215)</f>
        <v>5.0004183495523451E-4</v>
      </c>
      <c r="EO22" s="2">
        <f>7.07094292353581*(1/14151.6638359215)</f>
        <v>4.9965452864895435E-4</v>
      </c>
      <c r="EP22" s="2">
        <f>7.05926833251556*(1/14151.6638359215)</f>
        <v>4.9882956621657829E-4</v>
      </c>
      <c r="EQ22" s="2">
        <f>7.0440310728741*(1/14151.6638359215)</f>
        <v>4.9775285468511984E-4</v>
      </c>
      <c r="ER22" s="2">
        <f>7.02786203836248*(1/14151.6638359215)</f>
        <v>4.9661030108159388E-4</v>
      </c>
      <c r="ES22" s="2">
        <f>7.01339212273175*(1/14151.6638359215)</f>
        <v>4.9558781243301531E-4</v>
      </c>
      <c r="ET22" s="2">
        <f>7.00325221973294*(1/14151.6638359215)</f>
        <v>4.9487129576639751E-4</v>
      </c>
      <c r="EU22" s="2">
        <f t="shared" si="9"/>
        <v>4.9464148393856954E-4</v>
      </c>
      <c r="EV22" s="2">
        <f t="shared" si="9"/>
        <v>4.9464148393856954E-4</v>
      </c>
      <c r="EW22" s="2">
        <f t="shared" si="9"/>
        <v>4.9464148393856954E-4</v>
      </c>
      <c r="EX22" s="2">
        <f t="shared" si="9"/>
        <v>4.9464148393856954E-4</v>
      </c>
      <c r="EY22" s="2">
        <f t="shared" si="9"/>
        <v>4.9464148393856954E-4</v>
      </c>
      <c r="EZ22" s="2">
        <f t="shared" si="9"/>
        <v>4.9464148393856954E-4</v>
      </c>
      <c r="FA22" s="2">
        <f t="shared" si="9"/>
        <v>4.9464148393856954E-4</v>
      </c>
      <c r="FB22" s="2">
        <f t="shared" si="9"/>
        <v>4.9464148393856954E-4</v>
      </c>
      <c r="FC22" s="2">
        <f t="shared" si="9"/>
        <v>4.9464148393856954E-4</v>
      </c>
      <c r="FD22" s="2">
        <f t="shared" si="9"/>
        <v>4.9464148393856954E-4</v>
      </c>
      <c r="FE22" s="2">
        <f t="shared" si="9"/>
        <v>4.9464148393856954E-4</v>
      </c>
      <c r="FF22" s="2">
        <f t="shared" si="9"/>
        <v>4.9464148393856954E-4</v>
      </c>
      <c r="FG22" s="2">
        <f t="shared" si="4"/>
        <v>4.9464148393856954E-4</v>
      </c>
      <c r="FH22" s="2">
        <f t="shared" si="4"/>
        <v>4.9464148393856954E-4</v>
      </c>
      <c r="FI22" s="2">
        <f t="shared" si="4"/>
        <v>4.9464148393856954E-4</v>
      </c>
      <c r="FJ22" s="2">
        <f t="shared" si="4"/>
        <v>4.9464148393856954E-4</v>
      </c>
      <c r="FK22" s="2">
        <f t="shared" si="4"/>
        <v>4.9464148393856954E-4</v>
      </c>
      <c r="FL22" s="2">
        <f t="shared" si="4"/>
        <v>4.9464148393856954E-4</v>
      </c>
      <c r="FM22" s="2">
        <f t="shared" si="4"/>
        <v>4.9464148393856954E-4</v>
      </c>
      <c r="FN22" s="2">
        <f t="shared" si="4"/>
        <v>4.9464148393856954E-4</v>
      </c>
      <c r="FO22" s="2">
        <f t="shared" si="4"/>
        <v>4.9464148393856954E-4</v>
      </c>
      <c r="FP22" s="2">
        <f t="shared" si="4"/>
        <v>4.9464148393856954E-4</v>
      </c>
      <c r="FQ22" s="2"/>
    </row>
    <row r="23" spans="2:173">
      <c r="B23" s="2">
        <v>9.4893491124260354</v>
      </c>
      <c r="C23" s="2">
        <f>7*(1/14151.6638359215)</f>
        <v>4.9464148393856954E-4</v>
      </c>
      <c r="D23" s="2">
        <f>7*(1/14151.6638359215)</f>
        <v>4.9464148393856954E-4</v>
      </c>
      <c r="E23" s="2">
        <f>7*(1/14151.6638359215)</f>
        <v>4.9464148393856954E-4</v>
      </c>
      <c r="F23" s="2">
        <f t="shared" ref="F23:I27" si="10">7*(1/14151.6638359215)</f>
        <v>4.9464148393856954E-4</v>
      </c>
      <c r="G23" s="2">
        <f>7*(1/14151.6638359215)</f>
        <v>4.9464148393856954E-4</v>
      </c>
      <c r="H23" s="2">
        <f>7*(1/14151.6638359215)</f>
        <v>4.9464148393856954E-4</v>
      </c>
      <c r="I23" s="2">
        <f>7*(1/14151.6638359215)</f>
        <v>4.9464148393856954E-4</v>
      </c>
      <c r="J23" s="2">
        <f t="shared" ref="J23:M45" si="11">7*(1/14151.6638359215)</f>
        <v>4.9464148393856954E-4</v>
      </c>
      <c r="K23" s="2">
        <f t="shared" si="11"/>
        <v>4.9464148393856954E-4</v>
      </c>
      <c r="L23" s="2">
        <f>7*(1/14151.6638359215)</f>
        <v>4.9464148393856954E-4</v>
      </c>
      <c r="M23" s="2">
        <f>7*(1/14151.6638359215)</f>
        <v>4.9464148393856954E-4</v>
      </c>
      <c r="N23" s="2">
        <f>7.00016081076092*(1/14151.6638359215)</f>
        <v>4.9465284732048596E-4</v>
      </c>
      <c r="O23" s="2">
        <f>7.00156463319591*(1/14151.6638359215)</f>
        <v>4.9475204572226158E-4</v>
      </c>
      <c r="P23" s="2">
        <f>7.00400568301302*(1/14151.6638359215)</f>
        <v>4.9492453779424782E-4</v>
      </c>
      <c r="Q23" s="2">
        <f>7.00698609106883*(1/14151.6638359215)</f>
        <v>4.9513514257474331E-4</v>
      </c>
      <c r="R23" s="2">
        <f>7.01000798821993*(1/14151.6638359215)</f>
        <v>4.9534867910204755E-4</v>
      </c>
      <c r="S23" s="2">
        <f>7.01257350532289*(1/14151.6638359215)</f>
        <v>4.9552996641445864E-4</v>
      </c>
      <c r="T23" s="2">
        <f>7.0141847732343*(1/14151.6638359215)</f>
        <v>4.9564382355027619E-4</v>
      </c>
      <c r="U23" s="2">
        <f>7.01434392281074*(1/14151.6638359215)</f>
        <v>4.9565506954779885E-4</v>
      </c>
      <c r="V23" s="2">
        <f>7.0125530849088*(1/14151.6638359215)</f>
        <v>4.95528523445326E-4</v>
      </c>
      <c r="W23" s="2">
        <f>7.00831439038506*(1/14151.6638359215)</f>
        <v>4.9522900428115673E-4</v>
      </c>
      <c r="X23" s="2">
        <f>7.00112997009609*(1/14151.6638359215)</f>
        <v>4.9472133109358901E-4</v>
      </c>
      <c r="Y23" s="2">
        <f>7.00475507098863*(1/14151.6638359215)</f>
        <v>4.9497749184857658E-4</v>
      </c>
      <c r="Z23" s="2">
        <f>7.03526067521323*(1/14151.6638359215)</f>
        <v>4.9713311146887642E-4</v>
      </c>
      <c r="AA23" s="2">
        <f>7.08202256381043*(1/14151.6638359215)</f>
        <v>5.004374500356606E-4</v>
      </c>
      <c r="AB23" s="2">
        <f>7.13409843886729*(1/14151.6638359215)</f>
        <v>5.0411729119502122E-4</v>
      </c>
      <c r="AC23" s="2">
        <f>7.18054600247086*(1/14151.6638359215)</f>
        <v>5.0739941859304994E-4</v>
      </c>
      <c r="AD23" s="2">
        <f>7.21042295670822*(1/14151.6638359215)</f>
        <v>5.0951061587584025E-4</v>
      </c>
      <c r="AE23" s="2">
        <f>7.21278700366641*(1/14151.6638359215)</f>
        <v>5.0967766668948307E-4</v>
      </c>
      <c r="AF23" s="2">
        <f>7.1766958454325*(1/14151.6638359215)</f>
        <v>5.0712735468007124E-4</v>
      </c>
      <c r="AG23" s="2">
        <f>7.09120718409357*(1/14151.6638359215)</f>
        <v>5.0108646349369837E-4</v>
      </c>
      <c r="AH23" s="2">
        <f>6.94537872173666*(1/14151.6638359215)</f>
        <v>4.9078177677645525E-4</v>
      </c>
      <c r="AI23" s="2">
        <f>6.73308804198529*(1/14151.6638359215)</f>
        <v>4.7578066579666311E-4</v>
      </c>
      <c r="AJ23" s="2">
        <f>6.51213584987428*(1/14151.6638359215)</f>
        <v>4.6016750577019595E-4</v>
      </c>
      <c r="AK23" s="2">
        <f>6.2890681902578*(1/14151.6638359215)</f>
        <v>4.444048603171389E-4</v>
      </c>
      <c r="AL23" s="2">
        <f>6.04660349905792*(1/14151.6638359215)</f>
        <v>4.2727156108030804E-4</v>
      </c>
      <c r="AM23" s="2">
        <f>5.76746021219669*(1/14151.6638359215)</f>
        <v>4.0754643970251832E-4</v>
      </c>
      <c r="AN23" s="2">
        <f>5.43435676559617*(1/14151.6638359215)</f>
        <v>3.8400832782658492E-4</v>
      </c>
      <c r="AO23" s="2">
        <f>5.03001159517842*(1/14151.6638359215)</f>
        <v>3.5543605709532358E-4</v>
      </c>
      <c r="AP23" s="2">
        <f>4.53714313686538*(1/14151.6638359215)</f>
        <v>3.2060845915154112E-4</v>
      </c>
      <c r="AQ23" s="2">
        <f>3.93846982657931*(1/14151.6638359215)</f>
        <v>2.7830436563806724E-4</v>
      </c>
      <c r="AR23" s="2">
        <f>3.21671010024216*(1/14151.6638359215)</f>
        <v>2.2730260819770953E-4</v>
      </c>
      <c r="AS23" s="2">
        <f>2.35458239377601*(1/14151.6638359215)</f>
        <v>1.6638201847328499E-4</v>
      </c>
      <c r="AT23" s="2">
        <f>1.27971442497631*(1/14151.6638359215)</f>
        <v>9.0428548883982166E-5</v>
      </c>
      <c r="AU23" s="2">
        <f>-0.110284605106852*(1/14151.6638359215)</f>
        <v>-7.7930486750903456E-6</v>
      </c>
      <c r="AV23" s="2">
        <f>-1.74273762136482*(1/14151.6638359215)</f>
        <v>-1.231471890210668E-4</v>
      </c>
      <c r="AW23" s="2">
        <f>-3.53783499115423*(1/14151.6638359215)</f>
        <v>-2.4999427856490348E-4</v>
      </c>
      <c r="AX23" s="2">
        <f>-5.41576708183148*(1/14151.6638359215)</f>
        <v>-3.8269472371753994E-4</v>
      </c>
      <c r="AY23" s="2">
        <f>-7.29672426075297*(1/14151.6638359215)</f>
        <v>-5.156089308899158E-4</v>
      </c>
      <c r="AZ23" s="2">
        <f>-9.1008968952751*(1/14151.6638359215)</f>
        <v>-6.4309730649297089E-4</v>
      </c>
      <c r="BA23" s="2">
        <f>-10.7484753527546*(1/14151.6638359215)</f>
        <v>-7.5952025693766783E-4</v>
      </c>
      <c r="BB23" s="2">
        <f>-12.1596500005471*(1/14151.6638359215)</f>
        <v>-8.5923818863489223E-4</v>
      </c>
      <c r="BC23" s="2">
        <f>-13.2546112060095*(1/14151.6638359215)</f>
        <v>-9.3661150799561883E-4</v>
      </c>
      <c r="BD23" s="2">
        <f>-13.9660601087483*(1/14151.6638359215)</f>
        <v>-9.8688467099521701E-4</v>
      </c>
      <c r="BE23" s="2">
        <f>-14.6683001086689*(1/14151.6638359215)</f>
        <v>-1.0365071046583238E-3</v>
      </c>
      <c r="BF23" s="2">
        <f>-15.4779139927111*(1/14151.6638359215)</f>
        <v>-1.0937169065183099E-3</v>
      </c>
      <c r="BG23" s="2">
        <f>-16.2717963877241*(1/14151.6638359215)</f>
        <v>-1.1498150730814435E-3</v>
      </c>
      <c r="BH23" s="2">
        <f>-16.9268419205566*(1/14151.6638359215)</f>
        <v>-1.1961026008539576E-3</v>
      </c>
      <c r="BI23" s="2">
        <f>-17.3199452180578*(1/14151.6638359215)</f>
        <v>-1.2238804863421203E-3</v>
      </c>
      <c r="BJ23" s="2">
        <f>-17.3280009070766*(1/14151.6638359215)</f>
        <v>-1.2244497260521783E-3</v>
      </c>
      <c r="BK23" s="2">
        <f>-16.827903614462*(1/14151.6638359215)</f>
        <v>-1.1891113164903858E-3</v>
      </c>
      <c r="BL23" s="2">
        <f>-15.6965479670631*(1/14151.6638359215)</f>
        <v>-1.1091662541630042E-3</v>
      </c>
      <c r="BM23" s="2">
        <f>-13.8108285917283*(1/14151.6638359215)</f>
        <v>-9.7591553557624443E-4</v>
      </c>
      <c r="BN23" s="2">
        <f>-11.0476401153074*(1/14151.6638359215)</f>
        <v>-7.8066015723641743E-4</v>
      </c>
      <c r="BO23" s="2">
        <f>-7.16156775978197*(1/14151.6638359215)</f>
        <v>-5.0605835771788156E-4</v>
      </c>
      <c r="BP23" s="2">
        <f>-1.76799732215619*(1/14151.6638359215)</f>
        <v>-1.2493211700439358E-4</v>
      </c>
      <c r="BQ23" s="2">
        <f>4.86002778090565*(1/14151.6638359215)</f>
        <v>3.4342447907569198E-4</v>
      </c>
      <c r="BR23" s="2">
        <f>12.3948684227749*(1/14151.6638359215)</f>
        <v>8.7585944426638485E-4</v>
      </c>
      <c r="BS23" s="2">
        <f>20.5088854768187*(1/14151.6638359215)</f>
        <v>1.4492207923113972E-3</v>
      </c>
      <c r="BT23" s="2">
        <f>28.8744398164083*(1/14151.6638359215)</f>
        <v>2.0403565369547312E-3</v>
      </c>
      <c r="BU23" s="2">
        <f>37.1638923149136*(1/14151.6638359215)</f>
        <v>2.6261146919402951E-3</v>
      </c>
      <c r="BV23" s="2">
        <f>45.0496038457045*(1/14151.6638359215)</f>
        <v>3.1833432710119949E-3</v>
      </c>
      <c r="BW23" s="2">
        <f>52.2039352821511*(1/14151.6638359215)</f>
        <v>3.6888902879137525E-3</v>
      </c>
      <c r="BX23" s="2">
        <f>58.2992474976232*(1/14151.6638359215)</f>
        <v>4.1196037563894679E-3</v>
      </c>
      <c r="BY23" s="2">
        <f>63.0101255608238*(1/14151.6638359215)</f>
        <v>4.4524888586516395E-3</v>
      </c>
      <c r="BZ23" s="2">
        <f>66.7078570441117*(1/14151.6638359215)</f>
        <v>4.7137819140944818E-3</v>
      </c>
      <c r="CA23" s="2">
        <f>69.8501594326529*(1/14151.6638359215)</f>
        <v>4.9358266450161576E-3</v>
      </c>
      <c r="CB23" s="2">
        <f>72.4432043159811*(1/14151.6638359215)</f>
        <v>5.1190591548745546E-3</v>
      </c>
      <c r="CC23" s="2">
        <f>74.4931632836296*(1/14151.6638359215)</f>
        <v>5.26391554712753E-3</v>
      </c>
      <c r="CD23" s="2">
        <f>76.0062079251321*(1/14151.6638359215)</f>
        <v>5.3708319252329731E-3</v>
      </c>
      <c r="CE23" s="2">
        <f>76.9885098300214*(1/14151.6638359215)</f>
        <v>5.4402443926487047E-3</v>
      </c>
      <c r="CF23" s="2">
        <f>77.4462405878315*(1/14151.6638359215)</f>
        <v>5.4725890528326349E-3</v>
      </c>
      <c r="CG23" s="2">
        <f>77.3855717880955*(1/14151.6638359215)</f>
        <v>5.4683020092426088E-3</v>
      </c>
      <c r="CH23" s="2">
        <f>76.8126750203472*(1/14151.6638359215)</f>
        <v>5.4278193653365192E-3</v>
      </c>
      <c r="CI23" s="2">
        <f>75.7337218741198*(1/14151.6638359215)</f>
        <v>5.3515772245722173E-3</v>
      </c>
      <c r="CJ23" s="2">
        <f>74.0753868542601*(1/14151.6638359215)</f>
        <v>5.2343941824164039E-3</v>
      </c>
      <c r="CK23" s="2">
        <f>71.4331033354857*(1/14151.6638359215)</f>
        <v>5.0476823194574036E-3</v>
      </c>
      <c r="CL23" s="2">
        <f>67.9028367944127*(1/14151.6638359215)</f>
        <v>4.7982228508038289E-3</v>
      </c>
      <c r="CM23" s="2">
        <f>63.6674102693772*(1/14151.6638359215)</f>
        <v>4.4989346134529226E-3</v>
      </c>
      <c r="CN23" s="2">
        <f>58.9096467987151*(1/14151.6638359215)</f>
        <v>4.16273644440192E-3</v>
      </c>
      <c r="CO23" s="2">
        <f>53.8123694207626*(1/14151.6638359215)</f>
        <v>3.8025471806480736E-3</v>
      </c>
      <c r="CP23" s="2">
        <f>48.5584011738547*(1/14151.6638359215)</f>
        <v>3.4312856591885523E-3</v>
      </c>
      <c r="CQ23" s="2">
        <f>43.3305650963294*(1/14151.6638359215)</f>
        <v>3.0618707170207374E-3</v>
      </c>
      <c r="CR23" s="2">
        <f>38.3116842265217*(1/14151.6638359215)</f>
        <v>2.7072211911417974E-3</v>
      </c>
      <c r="CS23" s="2">
        <f>33.6845816027678*(1/14151.6638359215)</f>
        <v>2.3802559185489864E-3</v>
      </c>
      <c r="CT23" s="2">
        <f>29.6320802634037*(1/14151.6638359215)</f>
        <v>2.0938937362395436E-3</v>
      </c>
      <c r="CU23" s="2">
        <f>25.9517351169523*(1/14151.6638359215)</f>
        <v>1.8338292527185676E-3</v>
      </c>
      <c r="CV23" s="2">
        <f>22.2565646947003*(1/14151.6638359215)</f>
        <v>1.572717169708762E-3</v>
      </c>
      <c r="CW23" s="2">
        <f>18.5997589554355*(1/14151.6638359215)</f>
        <v>1.3143160529451878E-3</v>
      </c>
      <c r="CX23" s="2">
        <f>15.0361368247324*(1/14151.6638359215)</f>
        <v>1.0624995759555722E-3</v>
      </c>
      <c r="CY23" s="2">
        <f>11.6205172281657*(1/14151.6638359215)</f>
        <v>8.2114141226765638E-4</v>
      </c>
      <c r="CZ23" s="2">
        <f>8.40771909131059*(1/14151.6638359215)</f>
        <v>5.9411523540921598E-4</v>
      </c>
      <c r="DA23" s="2">
        <f>5.4525613397413*(1/14151.6638359215)</f>
        <v>3.8529471890795883E-4</v>
      </c>
      <c r="DB23" s="2">
        <f>2.80986289903394*(1/14151.6638359215)</f>
        <v>1.9855353629172559E-4</v>
      </c>
      <c r="DC23" s="2">
        <f>0.534442694762877*(1/14151.6638359215)</f>
        <v>3.776536108823392E-5</v>
      </c>
      <c r="DD23" s="2">
        <f>-1.31888034749696*(1/14151.6638359215)</f>
        <v>-9.3196133174758934E-5</v>
      </c>
      <c r="DE23" s="2">
        <f>-2.68827418633816*(1/14151.6638359215)</f>
        <v>-1.8996170468057972E-4</v>
      </c>
      <c r="DF23" s="2">
        <f>-3.49074603201904*(1/14151.6638359215)</f>
        <v>-2.466668281900816E-4</v>
      </c>
      <c r="DG23" s="2">
        <f>-3.785728727896*(1/14151.6638359215)</f>
        <v>-2.6751121082219294E-4</v>
      </c>
      <c r="DH23" s="2">
        <f>-3.66144885301141*(1/14151.6638359215)</f>
        <v>-2.5872921343124818E-4</v>
      </c>
      <c r="DI23" s="2">
        <f>-3.20613298640771*(1/14151.6638359215)</f>
        <v>-2.2655519687158674E-4</v>
      </c>
      <c r="DJ23" s="2">
        <f>-2.50800770712732*(1/14151.6638359215)</f>
        <v>-1.772235219975467E-4</v>
      </c>
      <c r="DK23" s="2">
        <f>-1.65529959421263*(1/14151.6638359215)</f>
        <v>-1.1696854966346391E-4</v>
      </c>
      <c r="DL23" s="2">
        <f>-0.736235226706016*(1/14151.6638359215)</f>
        <v>-5.2024640723673277E-5</v>
      </c>
      <c r="DM23" s="2">
        <f>0.160958816350268*(1/14151.6638359215)</f>
        <v>1.1373843967498895E-5</v>
      </c>
      <c r="DN23" s="2">
        <f>0.948055955913489*(1/14151.6638359215)</f>
        <v>6.6992543555692465E-5</v>
      </c>
      <c r="DO23" s="2">
        <f>1.53682961294142*(1/14151.6638359215)</f>
        <v>1.0859709718658307E-4</v>
      </c>
      <c r="DP23" s="2">
        <f>1.9627293794648*(1/14151.6638359215)</f>
        <v>1.3869248183261379E-4</v>
      </c>
      <c r="DQ23" s="2">
        <f>2.42349408233858*(1/14151.6638359215)</f>
        <v>1.7125152988632818E-4</v>
      </c>
      <c r="DR23" s="2">
        <f>2.91290800633123*(1/14151.6638359215)</f>
        <v>2.0583501983260281E-4</v>
      </c>
      <c r="DS23" s="2">
        <f>3.41861367677628*(1/14151.6638359215)</f>
        <v>2.4156973458475836E-4</v>
      </c>
      <c r="DT23" s="2">
        <f>3.92825361900734*(1/14151.6638359215)</f>
        <v>2.7758245705612099E-4</v>
      </c>
      <c r="DU23" s="2">
        <f>4.42947035835775*(1/14151.6638359215)</f>
        <v>3.1299997015999786E-4</v>
      </c>
      <c r="DV23" s="2">
        <f>4.90990642016114*(1/14151.6638359215)</f>
        <v>3.4694905680971659E-4</v>
      </c>
      <c r="DW23" s="2">
        <f>5.35720432975102*(1/14151.6638359215)</f>
        <v>3.7855649991859632E-4</v>
      </c>
      <c r="DX23" s="2">
        <f>5.75900661246094*(1/14151.6638359215)</f>
        <v>4.0694908239995913E-4</v>
      </c>
      <c r="DY23" s="2">
        <f>6.10295579362445*(1/14151.6638359215)</f>
        <v>4.3125358716712692E-4</v>
      </c>
      <c r="DZ23" s="2">
        <f>6.37717595093759*(1/14151.6638359215)</f>
        <v>4.50630825101304E-4</v>
      </c>
      <c r="EA23" s="2">
        <f>6.58532857548726*(1/14151.6638359215)</f>
        <v>4.653395284002978E-4</v>
      </c>
      <c r="EB23" s="2">
        <f>6.73826851580998*(1/14151.6638359215)</f>
        <v>4.7614673397668443E-4</v>
      </c>
      <c r="EC23" s="2">
        <f>6.844469582138*(1/14151.6638359215)</f>
        <v>4.8365122726873452E-4</v>
      </c>
      <c r="ED23" s="2">
        <f>6.91240558470356*(1/14151.6638359215)</f>
        <v>4.8845179371471775E-4</v>
      </c>
      <c r="EE23" s="2">
        <f>6.9505503337389*(1/14151.6638359215)</f>
        <v>4.9114721875290418E-4</v>
      </c>
      <c r="EF23" s="2">
        <f>6.96737763947623*(1/14151.6638359215)</f>
        <v>4.9233628782156152E-4</v>
      </c>
      <c r="EG23" s="2">
        <f>6.9713613121478*(1/14151.6638359215)</f>
        <v>4.9261778635896014E-4</v>
      </c>
      <c r="EH23" s="2">
        <f>6.97097516198585*(1/14151.6638359215)</f>
        <v>4.9259049980337013E-4</v>
      </c>
      <c r="EI23" s="2">
        <f>6.97469299922261*(1/14151.6638359215)</f>
        <v>4.9285321359306058E-4</v>
      </c>
      <c r="EJ23" s="2">
        <f>6.99098863409033*(1/14151.6638359215)</f>
        <v>4.9400471316630209E-4</v>
      </c>
      <c r="EK23" s="2">
        <f>7.01947058121365*(1/14151.6638359215)</f>
        <v>4.9601733496495038E-4</v>
      </c>
      <c r="EL23" s="2">
        <f>7.03860224027685*(1/14151.6638359215)</f>
        <v>4.9736923671198302E-4</v>
      </c>
      <c r="EM23" s="2">
        <f>7.04840403903789*(1/14151.6638359215)</f>
        <v>4.9806186189547269E-4</v>
      </c>
      <c r="EN23" s="2">
        <f>7.05061851949871*(1/14151.6638359215)</f>
        <v>4.9821834388137176E-4</v>
      </c>
      <c r="EO23" s="2">
        <f>7.04698822366129*(1/14151.6638359215)</f>
        <v>4.9796181603563501E-4</v>
      </c>
      <c r="EP23" s="2">
        <f>7.03925569352759*(1/14151.6638359215)</f>
        <v>4.9741541172421599E-4</v>
      </c>
      <c r="EQ23" s="2">
        <f>7.02916347109956*(1/14151.6638359215)</f>
        <v>4.9670226431306754E-4</v>
      </c>
      <c r="ER23" s="2">
        <f>7.01845409837917*(1/14151.6638359215)</f>
        <v>4.9594550716814398E-4</v>
      </c>
      <c r="ES23" s="2">
        <f>7.00887011736838*(1/14151.6638359215)</f>
        <v>4.9526827365539879E-4</v>
      </c>
      <c r="ET23" s="2">
        <f>7.00215407006916*(1/14151.6638359215)</f>
        <v>4.9479369714078628E-4</v>
      </c>
      <c r="EU23" s="2">
        <f t="shared" si="9"/>
        <v>4.9464148393856954E-4</v>
      </c>
      <c r="EV23" s="2">
        <f t="shared" si="9"/>
        <v>4.9464148393856954E-4</v>
      </c>
      <c r="EW23" s="2">
        <f t="shared" si="9"/>
        <v>4.9464148393856954E-4</v>
      </c>
      <c r="EX23" s="2">
        <f t="shared" si="9"/>
        <v>4.9464148393856954E-4</v>
      </c>
      <c r="EY23" s="2">
        <f t="shared" si="9"/>
        <v>4.9464148393856954E-4</v>
      </c>
      <c r="EZ23" s="2">
        <f t="shared" si="9"/>
        <v>4.9464148393856954E-4</v>
      </c>
      <c r="FA23" s="2">
        <f t="shared" si="9"/>
        <v>4.9464148393856954E-4</v>
      </c>
      <c r="FB23" s="2">
        <f t="shared" si="9"/>
        <v>4.9464148393856954E-4</v>
      </c>
      <c r="FC23" s="2">
        <f t="shared" si="9"/>
        <v>4.9464148393856954E-4</v>
      </c>
      <c r="FD23" s="2">
        <f t="shared" si="9"/>
        <v>4.9464148393856954E-4</v>
      </c>
      <c r="FE23" s="2">
        <f t="shared" si="9"/>
        <v>4.9464148393856954E-4</v>
      </c>
      <c r="FF23" s="2">
        <f t="shared" si="9"/>
        <v>4.9464148393856954E-4</v>
      </c>
      <c r="FG23" s="2">
        <f t="shared" si="4"/>
        <v>4.9464148393856954E-4</v>
      </c>
      <c r="FH23" s="2">
        <f t="shared" si="4"/>
        <v>4.9464148393856954E-4</v>
      </c>
      <c r="FI23" s="2">
        <f>7*(1/14151.6638359215)</f>
        <v>4.9464148393856954E-4</v>
      </c>
      <c r="FJ23" s="2">
        <f>7*(1/14151.6638359215)</f>
        <v>4.9464148393856954E-4</v>
      </c>
      <c r="FK23" s="2">
        <f t="shared" si="4"/>
        <v>4.9464148393856954E-4</v>
      </c>
      <c r="FL23" s="2">
        <f t="shared" si="4"/>
        <v>4.9464148393856954E-4</v>
      </c>
      <c r="FM23" s="2">
        <f t="shared" si="4"/>
        <v>4.9464148393856954E-4</v>
      </c>
      <c r="FN23" s="2">
        <f t="shared" si="4"/>
        <v>4.9464148393856954E-4</v>
      </c>
      <c r="FO23" s="2">
        <f t="shared" si="4"/>
        <v>4.9464148393856954E-4</v>
      </c>
      <c r="FP23" s="2">
        <f t="shared" si="4"/>
        <v>4.9464148393856954E-4</v>
      </c>
      <c r="FQ23" s="2"/>
    </row>
    <row r="24" spans="2:173">
      <c r="B24" s="2">
        <v>9.4988165680473386</v>
      </c>
      <c r="C24" s="2">
        <f t="shared" ref="C24:E26" si="12">7*(1/14151.6638359215)</f>
        <v>4.9464148393856954E-4</v>
      </c>
      <c r="D24" s="2">
        <f t="shared" si="12"/>
        <v>4.9464148393856954E-4</v>
      </c>
      <c r="E24" s="2">
        <f t="shared" si="12"/>
        <v>4.9464148393856954E-4</v>
      </c>
      <c r="F24" s="2">
        <f t="shared" si="10"/>
        <v>4.9464148393856954E-4</v>
      </c>
      <c r="G24" s="2">
        <f t="shared" si="10"/>
        <v>4.9464148393856954E-4</v>
      </c>
      <c r="H24" s="2">
        <f t="shared" si="10"/>
        <v>4.9464148393856954E-4</v>
      </c>
      <c r="I24" s="2">
        <f t="shared" si="10"/>
        <v>4.9464148393856954E-4</v>
      </c>
      <c r="J24" s="2">
        <f t="shared" si="11"/>
        <v>4.9464148393856954E-4</v>
      </c>
      <c r="K24" s="2">
        <f t="shared" si="11"/>
        <v>4.9464148393856954E-4</v>
      </c>
      <c r="L24" s="2">
        <f t="shared" si="11"/>
        <v>4.9464148393856954E-4</v>
      </c>
      <c r="M24" s="2">
        <f t="shared" si="11"/>
        <v>4.9464148393856954E-4</v>
      </c>
      <c r="N24" s="2">
        <f>7.00002185504199*(1/14151.6638359215)</f>
        <v>4.9464302828291259E-4</v>
      </c>
      <c r="O24" s="2">
        <f>7.00021264201473*(1/14151.6638359215)</f>
        <v>4.9465650987595721E-4</v>
      </c>
      <c r="P24" s="2">
        <f>7.00054439373297*(1/14151.6638359215)</f>
        <v>4.9467995247055863E-4</v>
      </c>
      <c r="Q24" s="2">
        <f>7.00094944711888*(1/14151.6638359215)</f>
        <v>4.9470857478597008E-4</v>
      </c>
      <c r="R24" s="2">
        <f>7.00136013909461*(1/14151.6638359215)</f>
        <v>4.9473759554144394E-4</v>
      </c>
      <c r="S24" s="2">
        <f>7.00170880658231*(1/14151.6638359215)</f>
        <v>4.9476223345623215E-4</v>
      </c>
      <c r="T24" s="2">
        <f>7.00192778650416*(1/14151.6638359215)</f>
        <v>4.9477770724958871E-4</v>
      </c>
      <c r="U24" s="2">
        <f>7.00194941578229*(1/14151.6638359215)</f>
        <v>4.9477923564076459E-4</v>
      </c>
      <c r="V24" s="2">
        <f>7.00170603133889*(1/14151.6638359215)</f>
        <v>4.9476203734901444E-4</v>
      </c>
      <c r="W24" s="2">
        <f>7.00112997009609*(1/14151.6638359215)</f>
        <v>4.9472133109358901E-4</v>
      </c>
      <c r="X24" s="2">
        <f>7.00015356897607*(1/14151.6638359215)</f>
        <v>4.946523355937424E-4</v>
      </c>
      <c r="Y24" s="2">
        <f>7.00064623956455*(1/14151.6638359215)</f>
        <v>4.9468714920959656E-4</v>
      </c>
      <c r="Z24" s="2">
        <f>7.00479211423973*(1/14151.6638359215)</f>
        <v>4.9498010943839E-4</v>
      </c>
      <c r="AA24" s="2">
        <f>7.01114730485558*(1/14151.6638359215)</f>
        <v>4.9542918671223804E-4</v>
      </c>
      <c r="AB24" s="2">
        <f>7.01822469463605*(1/14151.6638359215)</f>
        <v>4.959292967955843E-4</v>
      </c>
      <c r="AC24" s="2">
        <f>7.0245371668051*(1/14151.6638359215)</f>
        <v>4.9637535545287283E-4</v>
      </c>
      <c r="AD24" s="2">
        <f>7.02859760458671*(1/14151.6638359215)</f>
        <v>4.9666227844854941E-4</v>
      </c>
      <c r="AE24" s="2">
        <f>7.02891889120482*(1/14151.6638359215)</f>
        <v>4.9668498154705669E-4</v>
      </c>
      <c r="AF24" s="2">
        <f>7.02401390988341*(1/14151.6638359215)</f>
        <v>4.9633838051284056E-4</v>
      </c>
      <c r="AG24" s="2">
        <f>7.01239554384644*(1/14151.6638359215)</f>
        <v>4.9551739111034507E-4</v>
      </c>
      <c r="AH24" s="2">
        <f>6.99257667631787*(1/14151.6638359215)</f>
        <v>4.9411692910401449E-4</v>
      </c>
      <c r="AI24" s="2">
        <f>6.96239908666826*(1/14151.6638359215)</f>
        <v>4.9198448800030423E-4</v>
      </c>
      <c r="AJ24" s="2">
        <f>6.91258561586884*(1/14151.6638359215)</f>
        <v>4.8846451526939625E-4</v>
      </c>
      <c r="AK24" s="2">
        <f>6.84493027705061*(1/14151.6638359215)</f>
        <v>4.8368378138519396E-4</v>
      </c>
      <c r="AL24" s="2">
        <f>6.7650335595494*(1/14151.6638359215)</f>
        <v>4.7803803411281985E-4</v>
      </c>
      <c r="AM24" s="2">
        <f>6.67849595270102*(1/14151.6638359215)</f>
        <v>4.7192302121739477E-4</v>
      </c>
      <c r="AN24" s="2">
        <f>6.59091794584131*(1/14151.6638359215)</f>
        <v>4.6573449046404203E-4</v>
      </c>
      <c r="AO24" s="2">
        <f>6.50790002830609*(1/14151.6638359215)</f>
        <v>4.5986818961788329E-4</v>
      </c>
      <c r="AP24" s="2">
        <f>6.43504268943117*(1/14151.6638359215)</f>
        <v>4.5471986644403964E-4</v>
      </c>
      <c r="AQ24" s="2">
        <f>6.37794641855242*(1/14151.6638359215)</f>
        <v>4.5068526870763631E-4</v>
      </c>
      <c r="AR24" s="2">
        <f>6.34221170500563*(1/14151.6638359215)</f>
        <v>4.4816014417379288E-4</v>
      </c>
      <c r="AS24" s="2">
        <f>6.33343903812664*(1/14151.6638359215)</f>
        <v>4.4754024060763252E-4</v>
      </c>
      <c r="AT24" s="2">
        <f>6.30170146027149*(1/14151.6638359215)</f>
        <v>4.4529756594950578E-4</v>
      </c>
      <c r="AU24" s="2">
        <f>6.14152083853847*(1/14151.6638359215)</f>
        <v>4.3397871160204526E-4</v>
      </c>
      <c r="AV24" s="2">
        <f>5.90012872183862*(1/14151.6638359215)</f>
        <v>4.1692120377126148E-4</v>
      </c>
      <c r="AW24" s="2">
        <f>5.63142954147612*(1/14151.6638359215)</f>
        <v>3.9793409501303516E-4</v>
      </c>
      <c r="AX24" s="2">
        <f>5.3893277287552*(1/14151.6638359215)</f>
        <v>3.808264378832504E-4</v>
      </c>
      <c r="AY24" s="2">
        <f>5.22772771498009*(1/14151.6638359215)</f>
        <v>3.6940728493779128E-4</v>
      </c>
      <c r="AZ24" s="2">
        <f>5.20053393145498*(1/14151.6638359215)</f>
        <v>3.6748568873253918E-4</v>
      </c>
      <c r="BA24" s="2">
        <f>5.36165080948416*(1/14151.6638359215)</f>
        <v>3.7887070182338251E-4</v>
      </c>
      <c r="BB24" s="2">
        <f>5.76498278037178*(1/14151.6638359215)</f>
        <v>4.0737137676619974E-4</v>
      </c>
      <c r="BC24" s="2">
        <f>6.46443427542208*(1/14151.6638359215)</f>
        <v>4.567967661168756E-4</v>
      </c>
      <c r="BD24" s="2">
        <f>7.50534952207639*(1/14151.6638359215)</f>
        <v>5.3035103215392848E-4</v>
      </c>
      <c r="BE24" s="2">
        <f>8.63125334219445*(1/14151.6638359215)</f>
        <v>6.0991085163325726E-4</v>
      </c>
      <c r="BF24" s="2">
        <f>9.76294796543177*(1/14151.6638359215)</f>
        <v>6.8987986703374418E-4</v>
      </c>
      <c r="BG24" s="2">
        <f>10.9853942421738*(1/14151.6638359215)</f>
        <v>7.7626167279986659E-4</v>
      </c>
      <c r="BH24" s="2">
        <f>12.3835530228051*(1/14151.6638359215)</f>
        <v>8.7505986337603904E-4</v>
      </c>
      <c r="BI24" s="2">
        <f>14.0423851577112*(1/14151.6638359215)</f>
        <v>9.9227803320674451E-4</v>
      </c>
      <c r="BJ24" s="2">
        <f>16.0468514972772*(1/14151.6638359215)</f>
        <v>1.1339197767364357E-3</v>
      </c>
      <c r="BK24" s="2">
        <f>18.4819128918883*(1/14151.6638359215)</f>
        <v>1.3059886884095725E-3</v>
      </c>
      <c r="BL24" s="2">
        <f>21.4325301919296*(1/14151.6638359215)</f>
        <v>1.5144883626706076E-3</v>
      </c>
      <c r="BM24" s="2">
        <f>24.983664247787*(1/14151.6638359215)</f>
        <v>1.7654223939640497E-3</v>
      </c>
      <c r="BN24" s="2">
        <f>29.2202759098443*(1/14151.6638359215)</f>
        <v>2.0647943767342601E-3</v>
      </c>
      <c r="BO24" s="2">
        <f>34.3595393468318*(1/14151.6638359215)</f>
        <v>2.4279505042803643E-3</v>
      </c>
      <c r="BP24" s="2">
        <f>40.814112570944*(1/14151.6638359215)</f>
        <v>2.8840504582467951E-3</v>
      </c>
      <c r="BQ24" s="2">
        <f>48.3406103680745*(1/14151.6638359215)</f>
        <v>3.4158958924229389E-3</v>
      </c>
      <c r="BR24" s="2">
        <f>56.639028100896*(1/14151.6638359215)</f>
        <v>4.0022875583807915E-3</v>
      </c>
      <c r="BS24" s="2">
        <f>65.4093611320766*(1/14151.6638359215)</f>
        <v>4.6220262076920229E-3</v>
      </c>
      <c r="BT24" s="2">
        <f>74.351604824289*(1/14151.6638359215)</f>
        <v>5.2539125919286306E-3</v>
      </c>
      <c r="BU24" s="2">
        <f>83.1657545402045*(1/14151.6638359215)</f>
        <v>5.8767474626625123E-3</v>
      </c>
      <c r="BV24" s="2">
        <f>91.5518056424942*(1/14151.6638359215)</f>
        <v>6.4693315714655485E-3</v>
      </c>
      <c r="BW24" s="2">
        <f>99.2097534938294*(1/14151.6638359215)</f>
        <v>7.0104656699096369E-3</v>
      </c>
      <c r="BX24" s="2">
        <f>105.839593456881*(1/14151.6638359215)</f>
        <v>7.4789505095666483E-3</v>
      </c>
      <c r="BY24" s="2">
        <f>111.14359869088*(1/14151.6638359215)</f>
        <v>7.8537477981042488E-3</v>
      </c>
      <c r="BZ24" s="2">
        <f>115.524085083879*(1/14151.6638359215)</f>
        <v>8.16328641093364E-3</v>
      </c>
      <c r="CA24" s="2">
        <f>119.424318662119*(1/14151.6638359215)</f>
        <v>8.4388888859118789E-3</v>
      </c>
      <c r="CB24" s="2">
        <f>122.814666450243*(1/14151.6638359215)</f>
        <v>8.6784612660526644E-3</v>
      </c>
      <c r="CC24" s="2">
        <f>125.665495472893*(1/14151.6638359215)</f>
        <v>8.8799095943696265E-3</v>
      </c>
      <c r="CD24" s="2">
        <f>127.947172754712*(1/14151.6638359215)</f>
        <v>9.0411399138764659E-3</v>
      </c>
      <c r="CE24" s="2">
        <f>129.630065320342*(1/14151.6638359215)</f>
        <v>9.160058267586809E-3</v>
      </c>
      <c r="CF24" s="2">
        <f>130.684540194426*(1/14151.6638359215)</f>
        <v>9.2345706985143602E-3</v>
      </c>
      <c r="CG24" s="2">
        <f>131.080964401605*(1/14151.6638359215)</f>
        <v>9.2625832496726727E-3</v>
      </c>
      <c r="CH24" s="2">
        <f>130.789704966524*(1/14151.6638359215)</f>
        <v>9.2420019640755899E-3</v>
      </c>
      <c r="CI24" s="2">
        <f>129.781128913824*(1/14151.6638359215)</f>
        <v>9.170732884736672E-3</v>
      </c>
      <c r="CJ24" s="2">
        <f>127.958484686316*(1/14151.6638359215)</f>
        <v>9.0419392496814393E-3</v>
      </c>
      <c r="CK24" s="2">
        <f>124.972788410264*(1/14151.6638359215)</f>
        <v>8.8309607873134077E-3</v>
      </c>
      <c r="CL24" s="2">
        <f>120.940321154039*(1/14151.6638359215)</f>
        <v>8.5460142748058614E-3</v>
      </c>
      <c r="CM24" s="2">
        <f>116.053744855912*(1/14151.6638359215)</f>
        <v>8.2007137960223488E-3</v>
      </c>
      <c r="CN24" s="2">
        <f>110.505721454155*(1/14151.6638359215)</f>
        <v>7.8086734348264929E-3</v>
      </c>
      <c r="CO24" s="2">
        <f>104.488912887037*(1/14151.6638359215)</f>
        <v>7.3835072750817006E-3</v>
      </c>
      <c r="CP24" s="2">
        <f>98.1959810928284*(1/14151.6638359215)</f>
        <v>6.9388294006514804E-3</v>
      </c>
      <c r="CQ24" s="2">
        <f>91.8195880098025*(1/14151.6638359215)</f>
        <v>6.4882538953995421E-3</v>
      </c>
      <c r="CR24" s="2">
        <f>85.5523955762288*(1/14151.6638359215)</f>
        <v>6.0453948431893325E-3</v>
      </c>
      <c r="CS24" s="2">
        <f>79.5870657303782*(1/14151.6638359215)</f>
        <v>5.6238663278843923E-3</v>
      </c>
      <c r="CT24" s="2">
        <f>74.1162604105214*(1/14151.6638359215)</f>
        <v>5.2372824333482516E-3</v>
      </c>
      <c r="CU24" s="2">
        <f>68.8764805489749*(1/14151.6638359215)</f>
        <v>4.8670235067444232E-3</v>
      </c>
      <c r="CV24" s="2">
        <f>63.4184190942297*(1/14151.6638359215)</f>
        <v>4.481340132829699E-3</v>
      </c>
      <c r="CW24" s="2">
        <f>57.8334584500572*(1/14151.6638359215)</f>
        <v>4.0866896727194141E-3</v>
      </c>
      <c r="CX24" s="2">
        <f>52.214943743092*(1/14151.6638359215)</f>
        <v>3.6896681795502793E-3</v>
      </c>
      <c r="CY24" s="2">
        <f>46.6562200999698*(1/14151.6638359215)</f>
        <v>3.2968717064590825E-3</v>
      </c>
      <c r="CZ24" s="2">
        <f>41.2506326473261*(1/14151.6638359215)</f>
        <v>2.914896306582598E-3</v>
      </c>
      <c r="DA24" s="2">
        <f>36.0915265117955*(1/14151.6638359215)</f>
        <v>2.550338033057536E-3</v>
      </c>
      <c r="DB24" s="2">
        <f>31.2722468200155*(1/14151.6638359215)</f>
        <v>2.2097929390208115E-3</v>
      </c>
      <c r="DC24" s="2">
        <f>26.8861386986208*(1/14151.6638359215)</f>
        <v>1.899857077609142E-3</v>
      </c>
      <c r="DD24" s="2">
        <f>23.026547274247*(1/14151.6638359215)</f>
        <v>1.6271265019593085E-3</v>
      </c>
      <c r="DE24" s="2">
        <f>19.7782470848507*(1/14151.6638359215)</f>
        <v>1.3975916411077484E-3</v>
      </c>
      <c r="DF24" s="2">
        <f>17.0953865430331*(1/14151.6638359215)</f>
        <v>1.2080124811641923E-3</v>
      </c>
      <c r="DG24" s="2">
        <f>14.9001009239686*(1/14151.6638359215)</f>
        <v>1.0528868616951827E-3</v>
      </c>
      <c r="DH24" s="2">
        <f>13.1280678843657*(1/14151.6638359215)</f>
        <v>9.2766956850984673E-4</v>
      </c>
      <c r="DI24" s="2">
        <f>11.714965080934*(1/14151.6638359215)</f>
        <v>8.278153874173884E-4</v>
      </c>
      <c r="DJ24" s="2">
        <f>10.5964701703821*(1/14151.6638359215)</f>
        <v>7.4877910422694129E-4</v>
      </c>
      <c r="DK24" s="2">
        <f>9.70826080941878*(1/14151.6638359215)</f>
        <v>6.8601550474765198E-4</v>
      </c>
      <c r="DL24" s="2">
        <f>8.98601465475301*(1/14151.6638359215)</f>
        <v>6.3497937478868027E-4</v>
      </c>
      <c r="DM24" s="2">
        <f>8.36540936309357*(1/14151.6638359215)</f>
        <v>5.911255001591725E-4</v>
      </c>
      <c r="DN24" s="2">
        <f>7.78212259114959*(1/14151.6638359215)</f>
        <v>5.4990866666829988E-4</v>
      </c>
      <c r="DO24" s="2">
        <f>7.17183199562985*(1/14151.6638359215)</f>
        <v>5.0678366012520874E-4</v>
      </c>
      <c r="DP24" s="2">
        <f>6.58757666065478*(1/14151.6638359215)</f>
        <v>4.6549838499790959E-4</v>
      </c>
      <c r="DQ24" s="2">
        <f>6.21338487518232*(1/14151.6638359215)</f>
        <v>4.3905684499166378E-4</v>
      </c>
      <c r="DR24" s="2">
        <f>6.02097182076561*(1/14151.6638359215)</f>
        <v>4.2546034802511606E-4</v>
      </c>
      <c r="DS24" s="2">
        <f>5.97597822699357*(1/14151.6638359215)</f>
        <v>4.222809625978116E-4</v>
      </c>
      <c r="DT24" s="2">
        <f>6.04404482345512*(1/14151.6638359215)</f>
        <v>4.2709075720929573E-4</v>
      </c>
      <c r="DU24" s="2">
        <f>6.19081233973914*(1/14151.6638359215)</f>
        <v>4.3746180035911085E-4</v>
      </c>
      <c r="DV24" s="2">
        <f>6.38192150543455*(1/14151.6638359215)</f>
        <v>4.5096616054680227E-4</v>
      </c>
      <c r="DW24" s="2">
        <f>6.58301305013024*(1/14151.6638359215)</f>
        <v>4.6517590627191295E-4</v>
      </c>
      <c r="DX24" s="2">
        <f>6.75972770341513*(1/14151.6638359215)</f>
        <v>4.7766310603398842E-4</v>
      </c>
      <c r="DY24" s="2">
        <f>6.87770619487815*(1/14151.6638359215)</f>
        <v>4.8599982833257439E-4</v>
      </c>
      <c r="DZ24" s="2">
        <f>6.90654891303218*(1/14151.6638359215)</f>
        <v>4.8803794331950744E-4</v>
      </c>
      <c r="EA24" s="2">
        <f>6.90773919315659*(1/14151.6638359215)</f>
        <v>4.8812205216622751E-4</v>
      </c>
      <c r="EB24" s="2">
        <f>6.91293547573563*(1/14151.6638359215)</f>
        <v>4.8848923744135048E-4</v>
      </c>
      <c r="EC24" s="2">
        <f>6.92130211030755*(1/14151.6638359215)</f>
        <v>4.8908044951852562E-4</v>
      </c>
      <c r="ED24" s="2">
        <f>6.93200344641062*(1/14151.6638359215)</f>
        <v>4.8983663877140394E-4</v>
      </c>
      <c r="EE24" s="2">
        <f>6.94420383358308*(1/14151.6638359215)</f>
        <v>4.9069875557363407E-4</v>
      </c>
      <c r="EF24" s="2">
        <f>6.95706762136318*(1/14151.6638359215)</f>
        <v>4.9160775029886538E-4</v>
      </c>
      <c r="EG24" s="2">
        <f>6.96975915928919*(1/14151.6638359215)</f>
        <v>4.9250457332074879E-4</v>
      </c>
      <c r="EH24" s="2">
        <f>6.98144279689934*(1/14151.6638359215)</f>
        <v>4.9333017501293236E-4</v>
      </c>
      <c r="EI24" s="2">
        <f>6.9912828837319*(1/14151.6638359215)</f>
        <v>4.9402550574906702E-4</v>
      </c>
      <c r="EJ24" s="2">
        <f>6.99844376932512*(1/14151.6638359215)</f>
        <v>4.9453151590280191E-4</v>
      </c>
      <c r="EK24" s="2">
        <f>7.00264615606268*(1/14151.6638359215)</f>
        <v>4.9482846944736629E-4</v>
      </c>
      <c r="EL24" s="2">
        <f>7.00524625079349*(1/14151.6638359215)</f>
        <v>4.950122001210846E-4</v>
      </c>
      <c r="EM24" s="2">
        <f>7.00657836763849*(1/14151.6638359215)</f>
        <v>4.951063315857976E-4</v>
      </c>
      <c r="EN24" s="2">
        <f>7.00687932737014*(1/14151.6638359215)</f>
        <v>4.9512759832412174E-4</v>
      </c>
      <c r="EO24" s="2">
        <f>7.00638595076088*(1/14151.6638359215)</f>
        <v>4.9509273481867242E-4</v>
      </c>
      <c r="EP24" s="2">
        <f>7.00533505858315*(1/14151.6638359215)</f>
        <v>4.9501847555206513E-4</v>
      </c>
      <c r="EQ24" s="2">
        <f>7.00396347160941*(1/14151.6638359215)</f>
        <v>4.9492155500691624E-4</v>
      </c>
      <c r="ER24" s="2">
        <f>7.00250801061209*(1/14151.6638359215)</f>
        <v>4.948187076658407E-4</v>
      </c>
      <c r="ES24" s="2">
        <f>7.00120549636364*(1/14151.6638359215)</f>
        <v>4.9472666801145433E-4</v>
      </c>
      <c r="ET24" s="2">
        <f>7.00029274963651*(1/14151.6638359215)</f>
        <v>4.9466217052637328E-4</v>
      </c>
      <c r="EU24" s="2">
        <f t="shared" si="9"/>
        <v>4.9464148393856954E-4</v>
      </c>
      <c r="EV24" s="2">
        <f t="shared" si="9"/>
        <v>4.9464148393856954E-4</v>
      </c>
      <c r="EW24" s="2">
        <f t="shared" si="9"/>
        <v>4.9464148393856954E-4</v>
      </c>
      <c r="EX24" s="2">
        <f t="shared" si="9"/>
        <v>4.9464148393856954E-4</v>
      </c>
      <c r="EY24" s="2">
        <f t="shared" si="9"/>
        <v>4.9464148393856954E-4</v>
      </c>
      <c r="EZ24" s="2">
        <f t="shared" si="9"/>
        <v>4.9464148393856954E-4</v>
      </c>
      <c r="FA24" s="2">
        <f t="shared" si="9"/>
        <v>4.9464148393856954E-4</v>
      </c>
      <c r="FB24" s="2">
        <f t="shared" si="9"/>
        <v>4.9464148393856954E-4</v>
      </c>
      <c r="FC24" s="2">
        <f t="shared" si="9"/>
        <v>4.9464148393856954E-4</v>
      </c>
      <c r="FD24" s="2">
        <f t="shared" si="9"/>
        <v>4.9464148393856954E-4</v>
      </c>
      <c r="FE24" s="2">
        <f t="shared" si="9"/>
        <v>4.9464148393856954E-4</v>
      </c>
      <c r="FF24" s="2">
        <f t="shared" si="9"/>
        <v>4.9464148393856954E-4</v>
      </c>
      <c r="FG24" s="2">
        <f t="shared" si="9"/>
        <v>4.9464148393856954E-4</v>
      </c>
      <c r="FH24" s="2">
        <f t="shared" si="9"/>
        <v>4.9464148393856954E-4</v>
      </c>
      <c r="FI24" s="2">
        <f t="shared" si="9"/>
        <v>4.9464148393856954E-4</v>
      </c>
      <c r="FJ24" s="2">
        <f t="shared" si="9"/>
        <v>4.9464148393856954E-4</v>
      </c>
      <c r="FK24" s="2">
        <f t="shared" ref="FK24:FP39" si="13">7*(1/14151.6638359215)</f>
        <v>4.9464148393856954E-4</v>
      </c>
      <c r="FL24" s="2">
        <f t="shared" si="13"/>
        <v>4.9464148393856954E-4</v>
      </c>
      <c r="FM24" s="2">
        <f t="shared" si="13"/>
        <v>4.9464148393856954E-4</v>
      </c>
      <c r="FN24" s="2">
        <f t="shared" si="13"/>
        <v>4.9464148393856954E-4</v>
      </c>
      <c r="FO24" s="2">
        <f t="shared" si="13"/>
        <v>4.9464148393856954E-4</v>
      </c>
      <c r="FP24" s="2">
        <f t="shared" si="13"/>
        <v>4.9464148393856954E-4</v>
      </c>
      <c r="FQ24" s="2"/>
    </row>
    <row r="25" spans="2:173">
      <c r="B25" s="2">
        <v>9.5082840236686401</v>
      </c>
      <c r="C25" s="2">
        <f t="shared" si="12"/>
        <v>4.9464148393856954E-4</v>
      </c>
      <c r="D25" s="2">
        <f t="shared" si="12"/>
        <v>4.9464148393856954E-4</v>
      </c>
      <c r="E25" s="2">
        <f t="shared" si="12"/>
        <v>4.9464148393856954E-4</v>
      </c>
      <c r="F25" s="2">
        <f t="shared" si="10"/>
        <v>4.9464148393856954E-4</v>
      </c>
      <c r="G25" s="2">
        <f t="shared" si="10"/>
        <v>4.9464148393856954E-4</v>
      </c>
      <c r="H25" s="2">
        <f t="shared" si="10"/>
        <v>4.9464148393856954E-4</v>
      </c>
      <c r="I25" s="2">
        <f t="shared" si="10"/>
        <v>4.9464148393856954E-4</v>
      </c>
      <c r="J25" s="2">
        <f t="shared" si="11"/>
        <v>4.9464148393856954E-4</v>
      </c>
      <c r="K25" s="2">
        <f t="shared" si="11"/>
        <v>4.9464148393856954E-4</v>
      </c>
      <c r="L25" s="2">
        <f t="shared" si="11"/>
        <v>4.9464148393856954E-4</v>
      </c>
      <c r="M25" s="2">
        <f t="shared" si="11"/>
        <v>4.9464148393856954E-4</v>
      </c>
      <c r="N25" s="2">
        <f>7.00039266305734*(1/14151.6638359215)</f>
        <v>4.946692307153368E-4</v>
      </c>
      <c r="O25" s="2">
        <f>7.00382047601042*(1/14151.6638359215)</f>
        <v>4.9491145049901895E-4</v>
      </c>
      <c r="P25" s="2">
        <f>7.00978096073673*(1/14151.6638359215)</f>
        <v>4.9533263664330689E-4</v>
      </c>
      <c r="Q25" s="2">
        <f>7.01705843478512*(1/14151.6638359215)</f>
        <v>4.9584688529510977E-4</v>
      </c>
      <c r="R25" s="2">
        <f>7.02443721570445*(1/14151.6638359215)</f>
        <v>4.9636829260133754E-4</v>
      </c>
      <c r="S25" s="2">
        <f>7.03070162104354*(1/14151.6638359215)</f>
        <v>4.9681095470889753E-4</v>
      </c>
      <c r="T25" s="2">
        <f>7.03463596835127*(1/14151.6638359215)</f>
        <v>4.9708896776470119E-4</v>
      </c>
      <c r="U25" s="2">
        <f>7.03502457517647*(1/14151.6638359215)</f>
        <v>4.9711642791565628E-4</v>
      </c>
      <c r="V25" s="2">
        <f>7.03065175906801*(1/14151.6638359215)</f>
        <v>4.968074313086735E-4</v>
      </c>
      <c r="W25" s="2">
        <f>7.02030183757472*(1/14151.6638359215)</f>
        <v>4.9607607409066082E-4</v>
      </c>
      <c r="X25" s="2">
        <f>7.00275912824545*(1/14151.6638359215)</f>
        <v>4.9483645240852754E-4</v>
      </c>
      <c r="Y25" s="2">
        <f>6.96057256687326*(1/14151.6638359215)</f>
        <v>4.9185542050575535E-4</v>
      </c>
      <c r="Z25" s="2">
        <f>6.87593120468769*(1/14151.6638359215)</f>
        <v>4.8587440207803365E-4</v>
      </c>
      <c r="AA25" s="2">
        <f>6.76303155612319*(1/14151.6638359215)</f>
        <v>4.7789656640630685E-4</v>
      </c>
      <c r="AB25" s="2">
        <f>6.63644257576132*(1/14151.6638359215)</f>
        <v>4.6895140053538318E-4</v>
      </c>
      <c r="AC25" s="2">
        <f>6.51073321818367*(1/14151.6638359215)</f>
        <v>4.6006839151007273E-4</v>
      </c>
      <c r="AD25" s="2">
        <f>6.4004724379718*(1/14151.6638359215)</f>
        <v>4.5227702637518362E-4</v>
      </c>
      <c r="AE25" s="2">
        <f>6.32022918970734*(1/14151.6638359215)</f>
        <v>4.4660679217552879E-4</v>
      </c>
      <c r="AF25" s="2">
        <f>6.28457242797183*(1/14151.6638359215)</f>
        <v>4.44087175955915E-4</v>
      </c>
      <c r="AG25" s="2">
        <f>6.30807110734688*(1/14151.6638359215)</f>
        <v>4.4574766476115376E-4</v>
      </c>
      <c r="AH25" s="2">
        <f>6.40529418241404*(1/14151.6638359215)</f>
        <v>4.5261774563605246E-4</v>
      </c>
      <c r="AI25" s="2">
        <f>6.58180067696562*(1/14151.6638359215)</f>
        <v>4.650902362631651E-4</v>
      </c>
      <c r="AJ25" s="2">
        <f>6.72713920920411*(1/14151.6638359215)</f>
        <v>4.7536030301457949E-4</v>
      </c>
      <c r="AK25" s="2">
        <f>6.83436215686135*(1/14151.6638359215)</f>
        <v>4.8293700557764302E-4</v>
      </c>
      <c r="AL25" s="2">
        <f>6.94201905814436*(1/14151.6638359215)</f>
        <v>4.9054437263576533E-4</v>
      </c>
      <c r="AM25" s="2">
        <f>7.08865945126013*(1/14151.6638359215)</f>
        <v>5.0090643287235381E-4</v>
      </c>
      <c r="AN25" s="2">
        <f>7.31283287441568*(1/14151.6638359215)</f>
        <v>5.1674721497081807E-4</v>
      </c>
      <c r="AO25" s="2">
        <f>7.65308886581802*(1/14151.6638359215)</f>
        <v>5.4079074761456713E-4</v>
      </c>
      <c r="AP25" s="2">
        <f>8.14797696367426*(1/14151.6638359215)</f>
        <v>5.757610594870166E-4</v>
      </c>
      <c r="AQ25" s="2">
        <f>8.83604670619123*(1/14151.6638359215)</f>
        <v>6.243821792715628E-4</v>
      </c>
      <c r="AR25" s="2">
        <f>9.75584763157603*(1/14151.6638359215)</f>
        <v>6.8937813565162094E-4</v>
      </c>
      <c r="AS25" s="2">
        <f>10.9459292780356*(1/14151.6638359215)</f>
        <v>7.7347295731059493E-4</v>
      </c>
      <c r="AT25" s="2">
        <f>12.3913562013139*(1/14151.6638359215)</f>
        <v>8.7561125991847204E-4</v>
      </c>
      <c r="AU25" s="2">
        <f>13.9872523987252*(1/14151.6638359215)</f>
        <v>9.8838218324696415E-4</v>
      </c>
      <c r="AV25" s="2">
        <f>15.7416322877142*(1/14151.6638359215)</f>
        <v>1.112352050630036E-3</v>
      </c>
      <c r="AW25" s="2">
        <f>17.6681941947669*(1/14151.6638359215)</f>
        <v>1.2484888278591886E-3</v>
      </c>
      <c r="AX25" s="2">
        <f>19.7806364463689*(1/14151.6638359215)</f>
        <v>1.3977604807258949E-3</v>
      </c>
      <c r="AY25" s="2">
        <f>22.0926573690061*(1/14151.6638359215)</f>
        <v>1.5611349750216503E-3</v>
      </c>
      <c r="AZ25" s="2">
        <f>24.6179552891639*(1/14151.6638359215)</f>
        <v>1.7395802765379125E-3</v>
      </c>
      <c r="BA25" s="2">
        <f>27.3702285333287*(1/14151.6638359215)</f>
        <v>1.9340643510662122E-3</v>
      </c>
      <c r="BB25" s="2">
        <f>30.3631754279852*(1/14151.6638359215)</f>
        <v>2.1455551643979587E-3</v>
      </c>
      <c r="BC25" s="2">
        <f>33.6104942996194*(1/14151.6638359215)</f>
        <v>2.3750206823246532E-3</v>
      </c>
      <c r="BD25" s="2">
        <f>37.1238200533948*(1/14151.6638359215)</f>
        <v>2.6232830629542331E-3</v>
      </c>
      <c r="BE25" s="2">
        <f>40.8416973223154*(1/14151.6638359215)</f>
        <v>2.8859996814399988E-3</v>
      </c>
      <c r="BF25" s="2">
        <f>44.7444632811859*(1/14151.6638359215)</f>
        <v>3.1617811022058044E-3</v>
      </c>
      <c r="BG25" s="2">
        <f>48.851867349699*(1/14151.6638359215)</f>
        <v>3.4520228798607527E-3</v>
      </c>
      <c r="BH25" s="2">
        <f>53.1836589475455*(1/14151.6638359215)</f>
        <v>3.7581205690138128E-3</v>
      </c>
      <c r="BI25" s="2">
        <f>57.7595874944181*(1/14151.6638359215)</f>
        <v>4.0814697242740876E-3</v>
      </c>
      <c r="BJ25" s="2">
        <f>62.5994024100091*(1/14151.6638359215)</f>
        <v>4.4234659002506524E-3</v>
      </c>
      <c r="BK25" s="2">
        <f>67.7228531140105*(1/14151.6638359215)</f>
        <v>4.7855046515525614E-3</v>
      </c>
      <c r="BL25" s="2">
        <f>73.1496890261145*(1/14151.6638359215)</f>
        <v>5.168981532788882E-3</v>
      </c>
      <c r="BM25" s="2">
        <f>78.8996595660143*(1/14151.6638359215)</f>
        <v>5.575292098568752E-3</v>
      </c>
      <c r="BN25" s="2">
        <f>84.9925141534*(1/14151.6638359215)</f>
        <v>6.0058319035010931E-3</v>
      </c>
      <c r="BO25" s="2">
        <f>91.5842096275449*(1/14151.6638359215)</f>
        <v>6.4716213365014052E-3</v>
      </c>
      <c r="BP25" s="2">
        <f>99.0955030822249*(1/14151.6638359215)</f>
        <v>7.002392385175831E-3</v>
      </c>
      <c r="BQ25" s="2">
        <f>107.348583437608*(1/14151.6638359215)</f>
        <v>7.5855803728973959E-3</v>
      </c>
      <c r="BR25" s="2">
        <f>116.110686658722*(1/14151.6638359215)</f>
        <v>8.2047374785709313E-3</v>
      </c>
      <c r="BS25" s="2">
        <f>125.149048710588*(1/14151.6638359215)</f>
        <v>8.8434158811007968E-3</v>
      </c>
      <c r="BT25" s="2">
        <f>134.230905558235*(1/14151.6638359215)</f>
        <v>9.4851677593919062E-3</v>
      </c>
      <c r="BU25" s="2">
        <f>143.123493166686*(1/14151.6638359215)</f>
        <v>1.0113545292348754E-2</v>
      </c>
      <c r="BV25" s="2">
        <f>151.594047500969*(1/14151.6638359215)</f>
        <v>1.0712100658876187E-2</v>
      </c>
      <c r="BW25" s="2">
        <f>159.409804526108*(1/14151.6638359215)</f>
        <v>1.1264386037878766E-2</v>
      </c>
      <c r="BX25" s="2">
        <f>166.338000207128*(1/14151.6638359215)</f>
        <v>1.1753953608261127E-2</v>
      </c>
      <c r="BY25" s="2">
        <f>172.148098854317*(1/14151.6638359215)</f>
        <v>1.2164513010643275E-2</v>
      </c>
      <c r="BZ25" s="2">
        <f>177.2714215844*(1/14151.6638359215)</f>
        <v>1.252654271891534E-2</v>
      </c>
      <c r="CA25" s="2">
        <f>182.098057797142*(1/14151.6638359215)</f>
        <v>1.2867607647301389E-2</v>
      </c>
      <c r="CB25" s="2">
        <f>186.537567449941*(1/14151.6638359215)</f>
        <v>1.3181317024818548E-2</v>
      </c>
      <c r="CC25" s="2">
        <f>190.499510500191*(1/14151.6638359215)</f>
        <v>1.3461280080483655E-2</v>
      </c>
      <c r="CD25" s="2">
        <f>193.893446905289*(1/14151.6638359215)</f>
        <v>1.3701106043313772E-2</v>
      </c>
      <c r="CE25" s="2">
        <f>196.62893662263*(1/14151.6638359215)</f>
        <v>1.3894404142325806E-2</v>
      </c>
      <c r="CF25" s="2">
        <f>198.61553960961*(1/14151.6638359215)</f>
        <v>1.4034783606536748E-2</v>
      </c>
      <c r="CG25" s="2">
        <f>199.762815823626*(1/14151.6638359215)</f>
        <v>1.4115853664963646E-2</v>
      </c>
      <c r="CH25" s="2">
        <f>199.980325222073*(1/14151.6638359215)</f>
        <v>1.4131223546623418E-2</v>
      </c>
      <c r="CI25" s="2">
        <f>199.177627762346*(1/14151.6638359215)</f>
        <v>1.4074502480532979E-2</v>
      </c>
      <c r="CJ25" s="2">
        <f>197.222579221755*(1/14151.6638359215)</f>
        <v>1.3936352750348713E-2</v>
      </c>
      <c r="CK25" s="2">
        <f>193.883015578617*(1/14151.6638359215)</f>
        <v>1.3700368933755988E-2</v>
      </c>
      <c r="CL25" s="2">
        <f>189.304073202824*(1/14151.6638359215)</f>
        <v>1.3376806812094352E-2</v>
      </c>
      <c r="CM25" s="2">
        <f>183.68464832229*(1/14151.6638359215)</f>
        <v>1.2979721003267402E-2</v>
      </c>
      <c r="CN25" s="2">
        <f>177.223637164931*(1/14151.6638359215)</f>
        <v>1.2523166125178871E-2</v>
      </c>
      <c r="CO25" s="2">
        <f>170.119935958661*(1/14151.6638359215)</f>
        <v>1.2021196795732356E-2</v>
      </c>
      <c r="CP25" s="2">
        <f>162.572440931396*(1/14151.6638359215)</f>
        <v>1.1487867632831593E-2</v>
      </c>
      <c r="CQ25" s="2">
        <f>154.780048311052*(1/14151.6638359215)</f>
        <v>1.0937233254380322E-2</v>
      </c>
      <c r="CR25" s="2">
        <f>146.941654325544*(1/14151.6638359215)</f>
        <v>1.0383348278282202E-2</v>
      </c>
      <c r="CS25" s="2">
        <f>139.256155202787*(1/14151.6638359215)</f>
        <v>9.8402673224409019E-3</v>
      </c>
      <c r="CT25" s="2">
        <f>131.922447170697*(1/14151.6638359215)</f>
        <v>9.3220450047601603E-3</v>
      </c>
      <c r="CU25" s="2">
        <f>124.590323126869*(1/14151.6638359215)</f>
        <v>8.8039346165514794E-3</v>
      </c>
      <c r="CV25" s="2">
        <f>116.73125279703*(1/14151.6638359215)</f>
        <v>8.248588586504459E-3</v>
      </c>
      <c r="CW25" s="2">
        <f>108.494643388634*(1/14151.6638359215)</f>
        <v>7.666564486448548E-3</v>
      </c>
      <c r="CX25" s="2">
        <f>100.032311917847*(1/14151.6638359215)</f>
        <v>7.0685901726928136E-3</v>
      </c>
      <c r="CY25" s="2">
        <f>91.4960754008384*(1/14151.6638359215)</f>
        <v>6.4653935015465645E-3</v>
      </c>
      <c r="CZ25" s="2">
        <f>83.0377508537767*(1/14151.6638359215)</f>
        <v>5.8677023293190467E-3</v>
      </c>
      <c r="DA25" s="2">
        <f>74.8091552928285*(1/14151.6638359215)</f>
        <v>5.2862445123193699E-3</v>
      </c>
      <c r="DB25" s="2">
        <f>66.9621057341656*(1/14151.6638359215)</f>
        <v>4.7317479068570102E-3</v>
      </c>
      <c r="DC25" s="2">
        <f>59.6484191939548*(1/14151.6638359215)</f>
        <v>4.2149403692410938E-3</v>
      </c>
      <c r="DD25" s="2">
        <f>53.0199126883647*(1/14151.6638359215)</f>
        <v>3.7465497557808724E-3</v>
      </c>
      <c r="DE25" s="2">
        <f>47.1962952954583*(1/14151.6638359215)</f>
        <v>3.3350350773354888E-3</v>
      </c>
      <c r="DF25" s="2">
        <f>41.9372091262258*(1/14151.6638359215)</f>
        <v>2.9634119077769218E-3</v>
      </c>
      <c r="DG25" s="2">
        <f>37.1366850149251*(1/14151.6638359215)</f>
        <v>2.6241921406202559E-3</v>
      </c>
      <c r="DH25" s="2">
        <f>32.7662017422323*(1/14151.6638359215)</f>
        <v>2.3153603789726183E-3</v>
      </c>
      <c r="DI25" s="2">
        <f>28.7972380888263*(1/14151.6638359215)</f>
        <v>2.0349012259413342E-3</v>
      </c>
      <c r="DJ25" s="2">
        <f>25.2012728353831*(1/14151.6638359215)</f>
        <v>1.7807992846335227E-3</v>
      </c>
      <c r="DK25" s="2">
        <f>21.9497847625797*(1/14151.6638359215)</f>
        <v>1.5510391581563751E-3</v>
      </c>
      <c r="DL25" s="2">
        <f>19.0142526510931*(1/14151.6638359215)</f>
        <v>1.3436054496170815E-3</v>
      </c>
      <c r="DM25" s="2">
        <f>16.3661552816*(1/14151.6638359215)</f>
        <v>1.1564827621228118E-3</v>
      </c>
      <c r="DN25" s="2">
        <f>13.9769714347782*(1/14151.6638359215)</f>
        <v>9.8765569878081234E-4</v>
      </c>
      <c r="DO25" s="2">
        <f>11.8181798913043*(1/14151.6638359215)</f>
        <v>8.3510886269824594E-4</v>
      </c>
      <c r="DP25" s="2">
        <f>9.9741105701983*(1/14151.6638359215)</f>
        <v>7.0480126477289416E-4</v>
      </c>
      <c r="DQ25" s="2">
        <f>8.6155099751057*(1/14151.6638359215)</f>
        <v>6.087983769962617E-4</v>
      </c>
      <c r="DR25" s="2">
        <f>7.67671939036692*(1/14151.6638359215)</f>
        <v>5.4246055300444067E-4</v>
      </c>
      <c r="DS25" s="2">
        <f>7.08581596998063*(1/14151.6638359215)</f>
        <v>5.0070550375811904E-4</v>
      </c>
      <c r="DT25" s="2">
        <f>6.77087686794544*(1/14151.6638359215)</f>
        <v>4.7845094021798095E-4</v>
      </c>
      <c r="DU25" s="2">
        <f>6.65997923826011*(1/14151.6638359215)</f>
        <v>4.7061457334472072E-4</v>
      </c>
      <c r="DV25" s="2">
        <f>6.68120023492322*(1/14151.6638359215)</f>
        <v>4.7211411409902015E-4</v>
      </c>
      <c r="DW25" s="2">
        <f>6.76261701193342*(1/14151.6638359215)</f>
        <v>4.7786727344156603E-4</v>
      </c>
      <c r="DX25" s="2">
        <f>6.83230672328938*(1/14151.6638359215)</f>
        <v>4.827917623330464E-4</v>
      </c>
      <c r="DY25" s="2">
        <f>6.81834652298974*(1/14151.6638359215)</f>
        <v>4.8180529173414734E-4</v>
      </c>
      <c r="DZ25" s="2">
        <f>6.65825058106443*(1/14151.6638359215)</f>
        <v>4.7049242112179323E-4</v>
      </c>
      <c r="EA25" s="2">
        <f>6.50320072194736*(1/14151.6638359215)</f>
        <v>4.5953612220777415E-4</v>
      </c>
      <c r="EB25" s="2">
        <f>6.42011354967774*(1/14151.6638359215)</f>
        <v>4.5366492760953069E-4</v>
      </c>
      <c r="EC25" s="2">
        <f>6.39654903840207*(1/14151.6638359215)</f>
        <v>4.5199978692014717E-4</v>
      </c>
      <c r="ED25" s="2">
        <f>6.42006716226685*(1/14151.6638359215)</f>
        <v>4.5366164973270802E-4</v>
      </c>
      <c r="EE25" s="2">
        <f>6.47822789541859*(1/14151.6638359215)</f>
        <v>4.5777146564029828E-4</v>
      </c>
      <c r="EF25" s="2">
        <f>6.55859121200375*(1/14151.6638359215)</f>
        <v>4.6345018423599952E-4</v>
      </c>
      <c r="EG25" s="2">
        <f>6.64871708616884*(1/14151.6638359215)</f>
        <v>4.6981875511289674E-4</v>
      </c>
      <c r="EH25" s="2">
        <f>6.73616549206036*(1/14151.6638359215)</f>
        <v>4.7599812786407446E-4</v>
      </c>
      <c r="EI25" s="2">
        <f>6.8084964038248*(1/14151.6638359215)</f>
        <v>4.8110925208261619E-4</v>
      </c>
      <c r="EJ25" s="2">
        <f>6.85326979560867*(1/14151.6638359215)</f>
        <v>4.842730773616071E-4</v>
      </c>
      <c r="EK25" s="2">
        <f>6.86932937682613*(1/14151.6638359215)</f>
        <v>4.8540789665944085E-4</v>
      </c>
      <c r="EL25" s="2">
        <f>6.8841122217393*(1/14151.6638359215)</f>
        <v>4.864524978515386E-4</v>
      </c>
      <c r="EM25" s="2">
        <f>6.8994196765354*(1/14151.6638359215)</f>
        <v>4.8753416958806226E-4</v>
      </c>
      <c r="EN25" s="2">
        <f>6.9149187924306*(1/14151.6638359215)</f>
        <v>4.886293846860819E-4</v>
      </c>
      <c r="EO25" s="2">
        <f>6.93027662064107*(1/14151.6638359215)</f>
        <v>4.8971461596266773E-4</v>
      </c>
      <c r="EP25" s="2">
        <f>6.94516021238298*(1/14151.6638359215)</f>
        <v>4.9076633623488977E-4</v>
      </c>
      <c r="EQ25" s="2">
        <f>6.9592366188725*(1/14151.6638359215)</f>
        <v>4.9176101831981806E-4</v>
      </c>
      <c r="ER25" s="2">
        <f>6.97217289132577*(1/14151.6638359215)</f>
        <v>4.9267513503452082E-4</v>
      </c>
      <c r="ES25" s="2">
        <f>6.98363608095898*(1/14151.6638359215)</f>
        <v>4.9348515919606941E-4</v>
      </c>
      <c r="ET25" s="2">
        <f>6.99329323898829*(1/14151.6638359215)</f>
        <v>4.9416756362153334E-4</v>
      </c>
      <c r="EU25" s="2">
        <f>7.00081097104276*(1/14151.6638359215)</f>
        <v>4.9469878964142984E-4</v>
      </c>
      <c r="EV25" s="2">
        <f>7.00596717547108*(1/14151.6638359215)</f>
        <v>4.9506314287141773E-4</v>
      </c>
      <c r="EW25" s="2">
        <f>7.00900925466392*(1/14151.6638359215)</f>
        <v>4.9527810552373269E-4</v>
      </c>
      <c r="EX25" s="2">
        <f>7.01029452556247*(1/14151.6638359215)</f>
        <v>4.9536892671009293E-4</v>
      </c>
      <c r="EY25" s="2">
        <f>7.01018030510796*(1/14151.6638359215)</f>
        <v>4.9536085554221935E-4</v>
      </c>
      <c r="EZ25" s="2">
        <f>7.00902391024158*(1/14151.6638359215)</f>
        <v>4.9527914113183002E-4</v>
      </c>
      <c r="FA25" s="2">
        <f>7.00718265790456*(1/14151.6638359215)</f>
        <v>4.9514903259064596E-4</v>
      </c>
      <c r="FB25" s="2">
        <f>7.00501386503809*(1/14151.6638359215)</f>
        <v>4.9499577903038504E-4</v>
      </c>
      <c r="FC25" s="2">
        <f>7.00287484858339*(1/14151.6638359215)</f>
        <v>4.9484462956276762E-4</v>
      </c>
      <c r="FD25" s="2">
        <f>7.00112292548166*(1/14151.6638359215)</f>
        <v>4.9472083329951254E-4</v>
      </c>
      <c r="FE25" s="2">
        <f>7.00011541267413*(1/14151.6638359215)</f>
        <v>4.9464963935234049E-4</v>
      </c>
      <c r="FF25" s="2">
        <f t="shared" si="9"/>
        <v>4.9464148393856954E-4</v>
      </c>
      <c r="FG25" s="2">
        <f t="shared" si="9"/>
        <v>4.9464148393856954E-4</v>
      </c>
      <c r="FH25" s="2">
        <f t="shared" si="9"/>
        <v>4.9464148393856954E-4</v>
      </c>
      <c r="FI25" s="2">
        <f t="shared" si="9"/>
        <v>4.9464148393856954E-4</v>
      </c>
      <c r="FJ25" s="2">
        <f t="shared" si="9"/>
        <v>4.9464148393856954E-4</v>
      </c>
      <c r="FK25" s="2">
        <f t="shared" si="13"/>
        <v>4.9464148393856954E-4</v>
      </c>
      <c r="FL25" s="2">
        <f t="shared" si="13"/>
        <v>4.9464148393856954E-4</v>
      </c>
      <c r="FM25" s="2">
        <f t="shared" si="13"/>
        <v>4.9464148393856954E-4</v>
      </c>
      <c r="FN25" s="2">
        <f t="shared" si="13"/>
        <v>4.9464148393856954E-4</v>
      </c>
      <c r="FO25" s="2">
        <f t="shared" si="13"/>
        <v>4.9464148393856954E-4</v>
      </c>
      <c r="FP25" s="2">
        <f t="shared" si="13"/>
        <v>4.9464148393856954E-4</v>
      </c>
      <c r="FQ25" s="2"/>
    </row>
    <row r="26" spans="2:173">
      <c r="B26" s="2">
        <v>9.5177514792899416</v>
      </c>
      <c r="C26" s="2">
        <f t="shared" si="12"/>
        <v>4.9464148393856954E-4</v>
      </c>
      <c r="D26" s="2">
        <f t="shared" si="12"/>
        <v>4.9464148393856954E-4</v>
      </c>
      <c r="E26" s="2">
        <f t="shared" si="12"/>
        <v>4.9464148393856954E-4</v>
      </c>
      <c r="F26" s="2">
        <f t="shared" si="10"/>
        <v>4.9464148393856954E-4</v>
      </c>
      <c r="G26" s="2">
        <f t="shared" si="10"/>
        <v>4.9464148393856954E-4</v>
      </c>
      <c r="H26" s="2">
        <f t="shared" si="10"/>
        <v>4.9464148393856954E-4</v>
      </c>
      <c r="I26" s="2">
        <f t="shared" si="10"/>
        <v>4.9464148393856954E-4</v>
      </c>
      <c r="J26" s="2">
        <f t="shared" si="11"/>
        <v>4.9464148393856954E-4</v>
      </c>
      <c r="K26" s="2">
        <f t="shared" si="11"/>
        <v>4.9464148393856954E-4</v>
      </c>
      <c r="L26" s="2">
        <f t="shared" si="11"/>
        <v>4.9464148393856954E-4</v>
      </c>
      <c r="M26" s="2">
        <f t="shared" si="11"/>
        <v>4.9464148393856954E-4</v>
      </c>
      <c r="N26" s="2">
        <f>7.00192019579759*(1/14151.6638359215)</f>
        <v>4.9477717086696561E-4</v>
      </c>
      <c r="O26" s="2">
        <f>7.01868284230673*(1/14151.6638359215)</f>
        <v>4.9596167091611114E-4</v>
      </c>
      <c r="P26" s="2">
        <f>7.04783072752038*(1/14151.6638359215)</f>
        <v>4.9802134994407564E-4</v>
      </c>
      <c r="Q26" s="2">
        <f>7.08341893686038*(1/14151.6638359215)</f>
        <v>5.0053612204102615E-4</v>
      </c>
      <c r="R26" s="2">
        <f>7.11950255574858*(1/14151.6638359215)</f>
        <v>5.0308590129713091E-4</v>
      </c>
      <c r="S26" s="2">
        <f>7.15013666960677*(1/14151.6638359215)</f>
        <v>5.0525060180255349E-4</v>
      </c>
      <c r="T26" s="2">
        <f>7.16937636385681*(1/14151.6638359215)</f>
        <v>5.0661013764746266E-4</v>
      </c>
      <c r="U26" s="2">
        <f>7.17127672392053*(1/14151.6638359215)</f>
        <v>5.0674442292202493E-4</v>
      </c>
      <c r="V26" s="2">
        <f>7.14989283521977*(1/14151.6638359215)</f>
        <v>5.0523337171640766E-4</v>
      </c>
      <c r="W26" s="2">
        <f>7.09927978317636*(1/14151.6638359215)</f>
        <v>5.0165689812077736E-4</v>
      </c>
      <c r="X26" s="2">
        <f>7.0134926532121*(1/14151.6638359215)</f>
        <v>4.9559491622529835E-4</v>
      </c>
      <c r="Y26" s="2">
        <f>6.84661166676305*(1/14151.6638359215)</f>
        <v>4.8380259354268546E-4</v>
      </c>
      <c r="Z26" s="2">
        <f>6.55560232672616*(1/14151.6638359215)</f>
        <v>4.632389804289953E-4</v>
      </c>
      <c r="AA26" s="2">
        <f>6.17888747789477*(1/14151.6638359215)</f>
        <v>4.3661915302218782E-4</v>
      </c>
      <c r="AB26" s="2">
        <f>5.75582375138819*(1/14151.6638359215)</f>
        <v>4.0672417166793124E-4</v>
      </c>
      <c r="AC26" s="2">
        <f>5.32576777832574*(1/14151.6638359215)</f>
        <v>3.7633509671189467E-4</v>
      </c>
      <c r="AD26" s="2">
        <f>4.92807618982668*(1/14151.6638359215)</f>
        <v>3.4823298849974297E-4</v>
      </c>
      <c r="AE26" s="2">
        <f>4.60210561701046*(1/14151.6638359215)</f>
        <v>3.2519890737715433E-4</v>
      </c>
      <c r="AF26" s="2">
        <f>4.38721269099635*(1/14151.6638359215)</f>
        <v>3.1001391368979422E-4</v>
      </c>
      <c r="AG26" s="2">
        <f>4.32275404290364*(1/14151.6638359215)</f>
        <v>3.0545906778332968E-4</v>
      </c>
      <c r="AH26" s="2">
        <f>4.44808630385167*(1/14151.6638359215)</f>
        <v>3.1431543000343099E-4</v>
      </c>
      <c r="AI26" s="2">
        <f>4.78213336043361*(1/14151.6638359215)</f>
        <v>3.3792022025671702E-4</v>
      </c>
      <c r="AJ26" s="2">
        <f>5.07699239982725*(1/14151.6638359215)</f>
        <v>3.5875586494219864E-4</v>
      </c>
      <c r="AK26" s="2">
        <f>5.31123089692425*(1/14151.6638359215)</f>
        <v>3.7530787605642723E-4</v>
      </c>
      <c r="AL26" s="2">
        <f>5.56556928687267*(1/14151.6638359215)</f>
        <v>3.9328020728880339E-4</v>
      </c>
      <c r="AM26" s="2">
        <f>5.92072800482056*(1/14151.6638359215)</f>
        <v>4.1837681232872689E-4</v>
      </c>
      <c r="AN26" s="2">
        <f>6.45742748591598*(1/14151.6638359215)</f>
        <v>4.5630164486559814E-4</v>
      </c>
      <c r="AO26" s="2">
        <f>7.256388165307*(1/14151.6638359215)</f>
        <v>5.1275865858881845E-4</v>
      </c>
      <c r="AP26" s="2">
        <f>8.39833047814189*(1/14151.6638359215)</f>
        <v>5.9345180718780297E-4</v>
      </c>
      <c r="AQ26" s="2">
        <f>9.96397485956832*(1/14151.6638359215)</f>
        <v>7.0408504435192493E-4</v>
      </c>
      <c r="AR26" s="2">
        <f>12.0340417447345*(1/14151.6638359215)</f>
        <v>8.5036232377059509E-4</v>
      </c>
      <c r="AS26" s="2">
        <f>14.6892515687886*(1/14151.6638359215)</f>
        <v>1.037987599133222E-3</v>
      </c>
      <c r="AT26" s="2">
        <f>17.9607365995471*(1/14151.6638359215)</f>
        <v>1.2691607720328223E-3</v>
      </c>
      <c r="AU26" s="2">
        <f>21.7468152782286*(1/14151.6638359215)</f>
        <v>1.5366967114515643E-3</v>
      </c>
      <c r="AV26" s="2">
        <f>26.0040714066755*(1/14151.6638359215)</f>
        <v>1.8375274955774992E-3</v>
      </c>
      <c r="AW26" s="2">
        <f>30.6933498795555*(1/14151.6638359215)</f>
        <v>2.1688863044955781E-3</v>
      </c>
      <c r="AX26" s="2">
        <f>35.7754955915357*(1/14151.6638359215)</f>
        <v>2.5280063182907104E-3</v>
      </c>
      <c r="AY26" s="2">
        <f>41.2113534372835*(1/14151.6638359215)</f>
        <v>2.9121207170478254E-3</v>
      </c>
      <c r="AZ26" s="2">
        <f>46.9617683114659*(1/14151.6638359215)</f>
        <v>3.3184626808518266E-3</v>
      </c>
      <c r="BA26" s="2">
        <f>52.9875851087513*(1/14151.6638359215)</f>
        <v>3.7442653897877131E-3</v>
      </c>
      <c r="BB26" s="2">
        <f>59.2496487238046*(1/14151.6638359215)</f>
        <v>4.1867620239402397E-3</v>
      </c>
      <c r="BC26" s="2">
        <f>65.708804051294*(1/14151.6638359215)</f>
        <v>4.643185763394393E-3</v>
      </c>
      <c r="BD26" s="2">
        <f>72.3330095164209*(1/14151.6638359215)</f>
        <v>5.1112724521350152E-3</v>
      </c>
      <c r="BE26" s="2">
        <f>79.3383367518294*(1/14151.6638359215)</f>
        <v>5.606290374877549E-3</v>
      </c>
      <c r="BF26" s="2">
        <f>86.7860192017313*(1/14151.6638359215)</f>
        <v>6.1325664747236518E-3</v>
      </c>
      <c r="BG26" s="2">
        <f>94.599611067365*(1/14151.6638359215)</f>
        <v>6.6846988569104222E-3</v>
      </c>
      <c r="BH26" s="2">
        <f>102.702666549965*(1/14151.6638359215)</f>
        <v>7.2572856266746822E-3</v>
      </c>
      <c r="BI26" s="2">
        <f>111.018739850769*(1/14151.6638359215)</f>
        <v>7.844924889253483E-3</v>
      </c>
      <c r="BJ26" s="2">
        <f>119.471385171014*(1/14151.6638359215)</f>
        <v>8.4422147498838251E-3</v>
      </c>
      <c r="BK26" s="2">
        <f>127.984156711939*(1/14151.6638359215)</f>
        <v>9.0437533138028482E-3</v>
      </c>
      <c r="BL26" s="2">
        <f>136.480608674778*(1/14151.6638359215)</f>
        <v>9.6441386862473437E-3</v>
      </c>
      <c r="BM26" s="2">
        <f>144.884295260772*(1/14151.6638359215)</f>
        <v>1.0237968972454589E-2</v>
      </c>
      <c r="BN26" s="2">
        <f>153.118770671154*(1/14151.6638359215)</f>
        <v>1.0819842277661305E-2</v>
      </c>
      <c r="BO26" s="2">
        <f>161.238532377367*(1/14151.6638359215)</f>
        <v>1.13936095604597E-2</v>
      </c>
      <c r="BP26" s="2">
        <f>169.641927104384*(1/14151.6638359215)</f>
        <v>1.1987419223015877E-2</v>
      </c>
      <c r="BQ26" s="2">
        <f>178.260697065127*(1/14151.6638359215)</f>
        <v>1.2596447960602605E-2</v>
      </c>
      <c r="BR26" s="2">
        <f>186.978510057667*(1/14151.6638359215)</f>
        <v>1.321247538279245E-2</v>
      </c>
      <c r="BS26" s="2">
        <f>195.679033880073*(1/14151.6638359215)</f>
        <v>1.3827281099157849E-2</v>
      </c>
      <c r="BT26" s="2">
        <f>204.245936330418*(1/14151.6638359215)</f>
        <v>1.4432644719271508E-2</v>
      </c>
      <c r="BU26" s="2">
        <f>212.562885206774*(1/14151.6638359215)</f>
        <v>1.5020345852706073E-2</v>
      </c>
      <c r="BV26" s="2">
        <f>220.513548307212*(1/14151.6638359215)</f>
        <v>1.5582164109034112E-2</v>
      </c>
      <c r="BW26" s="2">
        <f>227.981593429805*(1/14151.6638359215)</f>
        <v>1.610987909782834E-2</v>
      </c>
      <c r="BX26" s="2">
        <f>234.850688372622*(1/14151.6638359215)</f>
        <v>1.6595270428661185E-2</v>
      </c>
      <c r="BY26" s="2">
        <f>241.006581454144*(1/14151.6638359215)</f>
        <v>1.7030264727062788E-2</v>
      </c>
      <c r="BZ26" s="2">
        <f>246.914742082752*(1/14151.6638359215)</f>
        <v>1.7447753490017374E-2</v>
      </c>
      <c r="CA26" s="2">
        <f>252.866952058256*(1/14151.6638359215)</f>
        <v>1.7868354915016982E-2</v>
      </c>
      <c r="CB26" s="2">
        <f>258.676578076134*(1/14151.6638359215)</f>
        <v>1.8278880919961452E-2</v>
      </c>
      <c r="CC26" s="2">
        <f>264.156986831863*(1/14151.6638359215)</f>
        <v>1.8666143422750553E-2</v>
      </c>
      <c r="CD26" s="2">
        <f>269.121545020922*(1/14151.6638359215)</f>
        <v>1.9016954341284201E-2</v>
      </c>
      <c r="CE26" s="2">
        <f>273.383619338788*(1/14151.6638359215)</f>
        <v>1.931812559346216E-2</v>
      </c>
      <c r="CF26" s="2">
        <f>276.756576480938*(1/14151.6638359215)</f>
        <v>1.9556469097184198E-2</v>
      </c>
      <c r="CG26" s="2">
        <f>279.053783142851*(1/14151.6638359215)</f>
        <v>1.9718796770350228E-2</v>
      </c>
      <c r="CH26" s="2">
        <f>280.088606020004*(1/14151.6638359215)</f>
        <v>1.9791920530860024E-2</v>
      </c>
      <c r="CI26" s="2">
        <f>279.674411807875*(1/14151.6638359215)</f>
        <v>1.9762652296613413E-2</v>
      </c>
      <c r="CJ26" s="2">
        <f>277.624749505733*(1/14151.6638359215)</f>
        <v>1.9617816867655631E-2</v>
      </c>
      <c r="CK26" s="2">
        <f>273.900846834306*(1/14151.6638359215)</f>
        <v>1.9354674475735995E-2</v>
      </c>
      <c r="CL26" s="2">
        <f>268.69132453258*(1/14151.6638359215)</f>
        <v>1.8986553641173593E-2</v>
      </c>
      <c r="CM26" s="2">
        <f>262.200928502694*(1/14151.6638359215)</f>
        <v>1.8527922337806191E-2</v>
      </c>
      <c r="CN26" s="2">
        <f>254.634404646787*(1/14151.6638359215)</f>
        <v>1.7993248539471558E-2</v>
      </c>
      <c r="CO26" s="2">
        <f>246.196498866997*(1/14151.6638359215)</f>
        <v>1.7397000220007394E-2</v>
      </c>
      <c r="CP26" s="2">
        <f>237.091957065463*(1/14151.6638359215)</f>
        <v>1.675364535325146E-2</v>
      </c>
      <c r="CQ26" s="2">
        <f>227.525525144325*(1/14151.6638359215)</f>
        <v>1.6077651913041606E-2</v>
      </c>
      <c r="CR26" s="2">
        <f>217.701949005723*(1/14151.6638359215)</f>
        <v>1.5383487873215661E-2</v>
      </c>
      <c r="CS26" s="2">
        <f>207.825974551794*(1/14151.6638359215)</f>
        <v>1.4685621207611252E-2</v>
      </c>
      <c r="CT26" s="2">
        <f>198.102347684677*(1/14151.6638359215)</f>
        <v>1.3998519890066154E-2</v>
      </c>
      <c r="CU26" s="2">
        <f>188.055835988161*(1/14151.6638359215)</f>
        <v>1.3288602539498887E-2</v>
      </c>
      <c r="CV26" s="2">
        <f>177.047445554481*(1/14151.6638359215)</f>
        <v>1.2510715885228797E-2</v>
      </c>
      <c r="CW26" s="2">
        <f>165.311785555667*(1/14151.6638359215)</f>
        <v>1.168143813139853E-2</v>
      </c>
      <c r="CX26" s="2">
        <f>153.08650871331*(1/14151.6638359215)</f>
        <v>1.0817562548703773E-2</v>
      </c>
      <c r="CY26" s="2">
        <f>140.609267749006*(1/14151.6638359215)</f>
        <v>9.9358824078405669E-3</v>
      </c>
      <c r="CZ26" s="2">
        <f>128.117715384347*(1/14151.6638359215)</f>
        <v>9.0531909795046727E-3</v>
      </c>
      <c r="DA26" s="2">
        <f>115.849504340926*(1/14151.6638359215)</f>
        <v>8.1862815343919128E-3</v>
      </c>
      <c r="DB26" s="2">
        <f>104.042287340343*(1/14151.6638359215)</f>
        <v>7.3519473431986155E-3</v>
      </c>
      <c r="DC26" s="2">
        <f>92.9337171041881*(1/14151.6638359215)</f>
        <v>6.5669816766204042E-3</v>
      </c>
      <c r="DD26" s="2">
        <f>82.7614463540566*(1/14151.6638359215)</f>
        <v>5.848177805353268E-3</v>
      </c>
      <c r="DE26" s="2">
        <f>73.698566263028*(1/14151.6638359215)</f>
        <v>5.207766882927024E-3</v>
      </c>
      <c r="DF26" s="2">
        <f>65.2383381675343*(1/14151.6638359215)</f>
        <v>4.6099412001250548E-3</v>
      </c>
      <c r="DG26" s="2">
        <f>57.2311482753509*(1/14151.6638359215)</f>
        <v>4.0441285872039818E-3</v>
      </c>
      <c r="DH26" s="2">
        <f>49.6922407020603*(1/14151.6638359215)</f>
        <v>3.511406240157099E-3</v>
      </c>
      <c r="DI26" s="2">
        <f>42.6368595632493*(1/14151.6638359215)</f>
        <v>3.0128513549780036E-3</v>
      </c>
      <c r="DJ26" s="2">
        <f>36.0802489745001*(1/14151.6638359215)</f>
        <v>2.5495411276599688E-3</v>
      </c>
      <c r="DK26" s="2">
        <f>30.0376530513968*(1/14151.6638359215)</f>
        <v>2.1225527541964022E-3</v>
      </c>
      <c r="DL26" s="2">
        <f>24.524315909523*(1/14151.6638359215)</f>
        <v>1.7329634305806752E-3</v>
      </c>
      <c r="DM26" s="2">
        <f>19.5554816644619*(1/14151.6638359215)</f>
        <v>1.3818503528061318E-3</v>
      </c>
      <c r="DN26" s="2">
        <f>15.1463944317991*(1/14151.6638359215)</f>
        <v>1.0702907168662849E-3</v>
      </c>
      <c r="DO26" s="2">
        <f>11.3122983271175*(1/14151.6638359215)</f>
        <v>7.9936171875445684E-4</v>
      </c>
      <c r="DP26" s="2">
        <f>8.19172074339255*(1/14151.6638359215)</f>
        <v>5.7885212921743616E-4</v>
      </c>
      <c r="DQ26" s="2">
        <f>5.96254729447947*(1/14151.6638359215)</f>
        <v>4.2133189168503261E-4</v>
      </c>
      <c r="DR26" s="2">
        <f>4.49950322596607*(1/14151.6638359215)</f>
        <v>3.1794870752546251E-4</v>
      </c>
      <c r="DS26" s="2">
        <f>3.66988150051725*(1/14151.6638359215)</f>
        <v>2.593250901849367E-4</v>
      </c>
      <c r="DT26" s="2">
        <f>3.34097508079788*(1/14151.6638359215)</f>
        <v>2.3608355310966367E-4</v>
      </c>
      <c r="DU26" s="2">
        <f>3.38007692947296*(1/14151.6638359215)</f>
        <v>2.3884660974586122E-4</v>
      </c>
      <c r="DV26" s="2">
        <f>3.6544800092073*(1/14151.6638359215)</f>
        <v>2.5823677353973374E-4</v>
      </c>
      <c r="DW26" s="2">
        <f>4.03147728266577*(1/14151.6638359215)</f>
        <v>2.8487655793748976E-4</v>
      </c>
      <c r="DX26" s="2">
        <f>4.37836171251329*(1/14151.6638359215)</f>
        <v>3.0938847638534151E-4</v>
      </c>
      <c r="DY26" s="2">
        <f>4.56242626141478*(1/14151.6638359215)</f>
        <v>3.2239504232950097E-4</v>
      </c>
      <c r="DZ26" s="2">
        <f>4.46847681081132*(1/14151.6638359215)</f>
        <v>3.1575628580639975E-4</v>
      </c>
      <c r="EA26" s="2">
        <f>4.377428818294*(1/14151.6638359215)</f>
        <v>3.0932255521662902E-4</v>
      </c>
      <c r="EB26" s="2">
        <f>4.41280873634528*(1/14151.6638359215)</f>
        <v>3.1182260881184475E-4</v>
      </c>
      <c r="EC26" s="2">
        <f>4.55072852992645*(1/14151.6638359215)</f>
        <v>3.2156844472062919E-4</v>
      </c>
      <c r="ED26" s="2">
        <f>4.76730016399879*(1/14151.6638359215)</f>
        <v>3.3687206107156393E-4</v>
      </c>
      <c r="EE26" s="2">
        <f>5.03863560352365*(1/14151.6638359215)</f>
        <v>3.5604545599323545E-4</v>
      </c>
      <c r="EF26" s="2">
        <f>5.3408468134622*(1/14151.6638359215)</f>
        <v>3.7740062761421761E-4</v>
      </c>
      <c r="EG26" s="2">
        <f>5.65004575877578*(1/14151.6638359215)</f>
        <v>3.9924957406309617E-4</v>
      </c>
      <c r="EH26" s="2">
        <f>5.94234440442566*(1/14151.6638359215)</f>
        <v>4.1990429346845198E-4</v>
      </c>
      <c r="EI26" s="2">
        <f>6.19385471537315*(1/14151.6638359215)</f>
        <v>4.3767678395886876E-4</v>
      </c>
      <c r="EJ26" s="2">
        <f>6.38068865657954*(1/14151.6638359215)</f>
        <v>4.508790436629288E-4</v>
      </c>
      <c r="EK26" s="2">
        <f>6.49863862397978*(1/14151.6638359215)</f>
        <v>4.5921375036369461E-4</v>
      </c>
      <c r="EL26" s="2">
        <f>6.59559228566987*(1/14151.6638359215)</f>
        <v>4.6606479366250375E-4</v>
      </c>
      <c r="EM26" s="2">
        <f>6.67711108925633*(1/14151.6638359215)</f>
        <v>4.7182516251606142E-4</v>
      </c>
      <c r="EN26" s="2">
        <f>6.74511025241534*(1/14151.6638359215)</f>
        <v>4.7663019208342617E-4</v>
      </c>
      <c r="EO26" s="2">
        <f>6.80150499282309*(1/14151.6638359215)</f>
        <v>4.8061521752365761E-4</v>
      </c>
      <c r="EP26" s="2">
        <f>6.84821052815577*(1/14151.6638359215)</f>
        <v>4.8391557399581503E-4</v>
      </c>
      <c r="EQ26" s="2">
        <f>6.8871420760896*(1/14151.6638359215)</f>
        <v>4.8666659665896011E-4</v>
      </c>
      <c r="ER26" s="2">
        <f>6.92021485430074*(1/14151.6638359215)</f>
        <v>4.8900362067214997E-4</v>
      </c>
      <c r="ES26" s="2">
        <f>6.94934408046539*(1/14151.6638359215)</f>
        <v>4.9106198119444491E-4</v>
      </c>
      <c r="ET26" s="2">
        <f>6.97644497225974*(1/14151.6638359215)</f>
        <v>4.9297701338490432E-4</v>
      </c>
      <c r="EU26" s="2">
        <f>7.00333944955394*(1/14151.6638359215)</f>
        <v>4.9487745969326946E-4</v>
      </c>
      <c r="EV26" s="2">
        <f>7.02457187792733*(1/14151.6638359215)</f>
        <v>4.9637780824730263E-4</v>
      </c>
      <c r="EW26" s="2">
        <f>7.03709867539354*(1/14151.6638359215)</f>
        <v>4.9726299020268607E-4</v>
      </c>
      <c r="EX26" s="2">
        <f>7.04239121619043*(1/14151.6638359215)</f>
        <v>4.9763697737891172E-4</v>
      </c>
      <c r="EY26" s="2">
        <f>7.04192087455581*(1/14151.6638359215)</f>
        <v>4.9760374159546787E-4</v>
      </c>
      <c r="EZ26" s="2">
        <f>7.03715902472752*(1/14151.6638359215)</f>
        <v>4.9726725467184537E-4</v>
      </c>
      <c r="FA26" s="2">
        <f>7.02957704094338*(1/14151.6638359215)</f>
        <v>4.9673148842753316E-4</v>
      </c>
      <c r="FB26" s="2">
        <f>7.02064629744124*(1/14151.6638359215)</f>
        <v>4.9610041468202274E-4</v>
      </c>
      <c r="FC26" s="2">
        <f>7.01183816845891*(1/14151.6638359215)</f>
        <v>4.9547800525480239E-4</v>
      </c>
      <c r="FD26" s="2">
        <f>7.00462402823424*(1/14151.6638359215)</f>
        <v>4.9496823196536362E-4</v>
      </c>
      <c r="FE26" s="2">
        <f>7.00047525100504*(1/14151.6638359215)</f>
        <v>4.9467506663319471E-4</v>
      </c>
      <c r="FF26" s="2">
        <f t="shared" si="9"/>
        <v>4.9464148393856954E-4</v>
      </c>
      <c r="FG26" s="2">
        <f t="shared" si="9"/>
        <v>4.9464148393856954E-4</v>
      </c>
      <c r="FH26" s="2">
        <f t="shared" si="9"/>
        <v>4.9464148393856954E-4</v>
      </c>
      <c r="FI26" s="2">
        <f t="shared" si="9"/>
        <v>4.9464148393856954E-4</v>
      </c>
      <c r="FJ26" s="2">
        <f t="shared" si="9"/>
        <v>4.9464148393856954E-4</v>
      </c>
      <c r="FK26" s="2">
        <f t="shared" si="13"/>
        <v>4.9464148393856954E-4</v>
      </c>
      <c r="FL26" s="2">
        <f t="shared" si="13"/>
        <v>4.9464148393856954E-4</v>
      </c>
      <c r="FM26" s="2">
        <f t="shared" si="13"/>
        <v>4.9464148393856954E-4</v>
      </c>
      <c r="FN26" s="2">
        <f t="shared" si="13"/>
        <v>4.9464148393856954E-4</v>
      </c>
      <c r="FO26" s="2">
        <f t="shared" si="13"/>
        <v>4.9464148393856954E-4</v>
      </c>
      <c r="FP26" s="2">
        <f t="shared" si="13"/>
        <v>4.9464148393856954E-4</v>
      </c>
      <c r="FQ26" s="2"/>
    </row>
    <row r="27" spans="2:173">
      <c r="B27" s="2">
        <v>9.5272189349112431</v>
      </c>
      <c r="C27" s="2">
        <f>7*(1/14151.6638359215)</f>
        <v>4.9464148393856954E-4</v>
      </c>
      <c r="D27" s="2">
        <f>7*(1/14151.6638359215)</f>
        <v>4.9464148393856954E-4</v>
      </c>
      <c r="E27" s="2">
        <f>7*(1/14151.6638359215)</f>
        <v>4.9464148393856954E-4</v>
      </c>
      <c r="F27" s="2">
        <f t="shared" si="10"/>
        <v>4.9464148393856954E-4</v>
      </c>
      <c r="G27" s="2">
        <f>7*(1/14151.6638359215)</f>
        <v>4.9464148393856954E-4</v>
      </c>
      <c r="H27" s="2">
        <f>7*(1/14151.6638359215)</f>
        <v>4.9464148393856954E-4</v>
      </c>
      <c r="I27" s="2">
        <f>7*(1/14151.6638359215)</f>
        <v>4.9464148393856954E-4</v>
      </c>
      <c r="J27" s="2">
        <f t="shared" si="11"/>
        <v>4.9464148393856954E-4</v>
      </c>
      <c r="K27" s="2">
        <f t="shared" si="11"/>
        <v>4.9464148393856954E-4</v>
      </c>
      <c r="L27" s="2">
        <f t="shared" si="11"/>
        <v>4.9464148393856954E-4</v>
      </c>
      <c r="M27" s="2">
        <f t="shared" si="11"/>
        <v>4.9464148393856954E-4</v>
      </c>
      <c r="N27" s="2">
        <f>7.00416249018574*(1/14151.6638359215)</f>
        <v>4.949356182703344E-4</v>
      </c>
      <c r="O27" s="2">
        <f>7.04049959271923*(1/14151.6638359215)</f>
        <v>4.9750330945879068E-4</v>
      </c>
      <c r="P27" s="2">
        <f>7.10368470451321*(1/14151.6638359215)</f>
        <v>5.0196816338173326E-4</v>
      </c>
      <c r="Q27" s="2">
        <f>7.18083078112264*(1/14151.6638359215)</f>
        <v>5.0741954192660857E-4</v>
      </c>
      <c r="R27" s="2">
        <f>7.25905077810251*(1/14151.6638359215)</f>
        <v>5.1294680698086475E-4</v>
      </c>
      <c r="S27" s="2">
        <f>7.32545765100774*(1/14151.6638359215)</f>
        <v>5.1763932043194527E-4</v>
      </c>
      <c r="T27" s="2">
        <f>7.36716435539333*(1/14151.6638359215)</f>
        <v>5.2058644416729883E-4</v>
      </c>
      <c r="U27" s="2">
        <f>7.37128384681423*(1/14151.6638359215)</f>
        <v>5.2087754007437118E-4</v>
      </c>
      <c r="V27" s="2">
        <f>7.32492908082542*(1/14151.6638359215)</f>
        <v>5.1760197004060971E-4</v>
      </c>
      <c r="W27" s="2">
        <f>7.21521301298186*(1/14151.6638359215)</f>
        <v>5.0984909595346072E-4</v>
      </c>
      <c r="X27" s="2">
        <f>7.02924859883847*(1/14151.6638359215)</f>
        <v>4.9670827970036736E-4</v>
      </c>
      <c r="Y27" s="2">
        <f>6.68583339921561*(1/14151.6638359215)</f>
        <v>4.7244150770772285E-4</v>
      </c>
      <c r="Z27" s="2">
        <f>6.11218069933758*(1/14151.6638359215)</f>
        <v>4.3190544731728923E-4</v>
      </c>
      <c r="AA27" s="2">
        <f>5.37715819629154*(1/14151.6638359215)</f>
        <v>3.7996650136944133E-4</v>
      </c>
      <c r="AB27" s="2">
        <f>4.55124487793641*(1/14151.6638359215)</f>
        <v>3.2160493145575429E-4</v>
      </c>
      <c r="AC27" s="2">
        <f>3.70491973213108*(1/14151.6638359215)</f>
        <v>2.6180099916780071E-4</v>
      </c>
      <c r="AD27" s="2">
        <f>2.90866174673433*(1/14151.6638359215)</f>
        <v>2.0553496609714581E-4</v>
      </c>
      <c r="AE27" s="2">
        <f>2.23294990960537*(1/14151.6638359215)</f>
        <v>1.5778709383538502E-4</v>
      </c>
      <c r="AF27" s="2">
        <f>1.74826320860295*(1/14151.6638359215)</f>
        <v>1.2353764397408115E-4</v>
      </c>
      <c r="AG27" s="2">
        <f>1.52508063158598*(1/14151.6638359215)</f>
        <v>1.0776687810480858E-4</v>
      </c>
      <c r="AH27" s="2">
        <f>1.63388116641335*(1/14151.6638359215)</f>
        <v>1.1545505781914004E-4</v>
      </c>
      <c r="AI27" s="2">
        <f>2.11087202820396*(1/14151.6638359215)</f>
        <v>1.4916069606217498E-4</v>
      </c>
      <c r="AJ27" s="2">
        <f>2.54207012825395*(1/14151.6638359215)</f>
        <v>1.7963047721649195E-4</v>
      </c>
      <c r="AK27" s="2">
        <f>2.88751330800899*(1/14151.6638359215)</f>
        <v>2.0404055250941924E-4</v>
      </c>
      <c r="AL27" s="2">
        <f>3.27785510153608*(1/14151.6638359215)</f>
        <v>2.3162330165134532E-4</v>
      </c>
      <c r="AM27" s="2">
        <f>3.84374904290225*(1/14151.6638359215)</f>
        <v>2.7161110435266079E-4</v>
      </c>
      <c r="AN27" s="2">
        <f>4.71584866617449*(1/14151.6638359215)</f>
        <v>3.3323634032375338E-4</v>
      </c>
      <c r="AO27" s="2">
        <f>6.02480750541982*(1/14151.6638359215)</f>
        <v>4.2573138927501299E-4</v>
      </c>
      <c r="AP27" s="2">
        <f>7.90127909470566*(1/14151.6638359215)</f>
        <v>5.583286309168579E-4</v>
      </c>
      <c r="AQ27" s="2">
        <f>10.4759169680983*(1/14151.6638359215)</f>
        <v>7.4026044495962618E-4</v>
      </c>
      <c r="AR27" s="2">
        <f>13.8793746596652*(1/14151.6638359215)</f>
        <v>9.80759211113739E-4</v>
      </c>
      <c r="AS27" s="2">
        <f>18.2423057034731*(1/14151.6638359215)</f>
        <v>1.2890573090895664E-3</v>
      </c>
      <c r="AT27" s="2">
        <f>23.6512902219289*(1/14151.6638359215)</f>
        <v>1.6712727560623845E-3</v>
      </c>
      <c r="AU27" s="2">
        <f>30.0101309930429*(1/14151.6638359215)</f>
        <v>2.1206079610842283E-3</v>
      </c>
      <c r="AV27" s="2">
        <f>37.2136458065924*(1/14151.6638359215)</f>
        <v>2.6296304263624562E-3</v>
      </c>
      <c r="AW27" s="2">
        <f>45.1591185644292*(1/14151.6638359215)</f>
        <v>3.1910819171524379E-3</v>
      </c>
      <c r="AX27" s="2">
        <f>53.7438331684041*(1/14151.6638359215)</f>
        <v>3.7977041987094741E-3</v>
      </c>
      <c r="AY27" s="2">
        <f>62.8650735203677*(1/14151.6638359215)</f>
        <v>4.442239036288851E-3</v>
      </c>
      <c r="AZ27" s="2">
        <f>72.4201235221709*(1/14151.6638359215)</f>
        <v>5.1174281951458745E-3</v>
      </c>
      <c r="BA27" s="2">
        <f>82.3062670756661*(1/14151.6638359215)</f>
        <v>5.8160134405359585E-3</v>
      </c>
      <c r="BB27" s="2">
        <f>92.4207880827005*(1/14151.6638359215)</f>
        <v>6.530736537714148E-3</v>
      </c>
      <c r="BC27" s="2">
        <f>102.660970445126*(1/14151.6638359215)</f>
        <v>7.2543392519358223E-3</v>
      </c>
      <c r="BD27" s="2">
        <f>112.942496862626*(1/14151.6638359215)</f>
        <v>7.9808634639795088E-3</v>
      </c>
      <c r="BE27" s="2">
        <f>123.823473382153*(1/14151.6638359215)</f>
        <v>8.7497466600251605E-3</v>
      </c>
      <c r="BF27" s="2">
        <f>135.463449461756*(1/14151.6638359215)</f>
        <v>9.5722630944572017E-3</v>
      </c>
      <c r="BG27" s="2">
        <f>147.66619729986*(1/14151.6638359215)</f>
        <v>1.0434546708566906E-2</v>
      </c>
      <c r="BH27" s="2">
        <f>160.235489094884*(1/14151.6638359215)</f>
        <v>1.1322731443645128E-2</v>
      </c>
      <c r="BI27" s="2">
        <f>172.975097045253*(1/14151.6638359215)</f>
        <v>1.2222951240983146E-2</v>
      </c>
      <c r="BJ27" s="2">
        <f>185.688793349392*(1/14151.6638359215)</f>
        <v>1.3121340041872235E-2</v>
      </c>
      <c r="BK27" s="2">
        <f>198.180350205723*(1/14151.6638359215)</f>
        <v>1.400403178760346E-2</v>
      </c>
      <c r="BL27" s="2">
        <f>210.253539812671*(1/14151.6638359215)</f>
        <v>1.4857160419468099E-2</v>
      </c>
      <c r="BM27" s="2">
        <f>221.712134368662*(1/14151.6638359215)</f>
        <v>1.5666859878757499E-2</v>
      </c>
      <c r="BN27" s="2">
        <f>232.359906072113*(1/14151.6638359215)</f>
        <v>1.6419264106762373E-2</v>
      </c>
      <c r="BO27" s="2">
        <f>242.120189568107*(1/14151.6638359215)</f>
        <v>1.710895569420803E-2</v>
      </c>
      <c r="BP27" s="2">
        <f>251.348563636087*(1/14151.6638359215)</f>
        <v>1.7761060928968866E-2</v>
      </c>
      <c r="BQ27" s="2">
        <f>260.118733003196*(1/14151.6638359215)</f>
        <v>1.8380788013274491E-2</v>
      </c>
      <c r="BR27" s="2">
        <f>268.466805276936*(1/14151.6638359215)</f>
        <v>1.8970688421490089E-2</v>
      </c>
      <c r="BS27" s="2">
        <f>276.428888064801*(1/14151.6638359215)</f>
        <v>1.9533313627980272E-2</v>
      </c>
      <c r="BT27" s="2">
        <f>284.041088974293*(1/14151.6638359215)</f>
        <v>2.0071215107110223E-2</v>
      </c>
      <c r="BU27" s="2">
        <f>291.33951561291*(1/14151.6638359215)</f>
        <v>2.0586944333244837E-2</v>
      </c>
      <c r="BV27" s="2">
        <f>298.360275588151*(1/14151.6638359215)</f>
        <v>2.1083052780749085E-2</v>
      </c>
      <c r="BW27" s="2">
        <f>305.139476507515*(1/14151.6638359215)</f>
        <v>2.1562091923987926E-2</v>
      </c>
      <c r="BX27" s="2">
        <f>311.713225978499*(1/14151.6638359215)</f>
        <v>2.2026613237326201E-2</v>
      </c>
      <c r="BY27" s="2">
        <f>318.119487052934*(1/14151.6638359215)</f>
        <v>2.2479299306519977E-2</v>
      </c>
      <c r="BZ27" s="2">
        <f>324.860287274866*(1/14151.6638359215)</f>
        <v>2.2955624938621386E-2</v>
      </c>
      <c r="CA27" s="2">
        <f>332.095540047958*(1/14151.6638359215)</f>
        <v>2.3466890105528944E-2</v>
      </c>
      <c r="CB27" s="2">
        <f>339.517282913329*(1/14151.6638359215)</f>
        <v>2.3991333234720028E-2</v>
      </c>
      <c r="CC27" s="2">
        <f>346.817553412102*(1/14151.6638359215)</f>
        <v>2.450719275367232E-2</v>
      </c>
      <c r="CD27" s="2">
        <f>353.688389085398*(1/14151.6638359215)</f>
        <v>2.4992707089863349E-2</v>
      </c>
      <c r="CE27" s="2">
        <f>359.821827474336*(1/14151.6638359215)</f>
        <v>2.5426114670770501E-2</v>
      </c>
      <c r="CF27" s="2">
        <f>364.909906120038*(1/14151.6638359215)</f>
        <v>2.5785653923871384E-2</v>
      </c>
      <c r="CG27" s="2">
        <f>368.644662563626*(1/14151.6638359215)</f>
        <v>2.6049563276643602E-2</v>
      </c>
      <c r="CH27" s="2">
        <f>370.718134346219*(1/14151.6638359215)</f>
        <v>2.6196081156564539E-2</v>
      </c>
      <c r="CI27" s="2">
        <f>370.82235900894*(1/14151.6638359215)</f>
        <v>2.6203445991111865E-2</v>
      </c>
      <c r="CJ27" s="2">
        <f>368.703480932777*(1/14151.6638359215)</f>
        <v>2.6053719563129272E-2</v>
      </c>
      <c r="CK27" s="2">
        <f>364.572233708754*(1/14151.6638359215)</f>
        <v>2.5761792954928156E-2</v>
      </c>
      <c r="CL27" s="2">
        <f>358.670680078527*(1/14151.6638359215)</f>
        <v>2.5344771062756934E-2</v>
      </c>
      <c r="CM27" s="2">
        <f>351.208337611736*(1/14151.6638359215)</f>
        <v>2.4817459041123889E-2</v>
      </c>
      <c r="CN27" s="2">
        <f>342.394723878023*(1/14151.6638359215)</f>
        <v>2.4194662044537438E-2</v>
      </c>
      <c r="CO27" s="2">
        <f>332.439356447028*(1/14151.6638359215)</f>
        <v>2.3491185227505856E-2</v>
      </c>
      <c r="CP27" s="2">
        <f>321.551752888392*(1/14151.6638359215)</f>
        <v>2.2721833744537491E-2</v>
      </c>
      <c r="CQ27" s="2">
        <f>309.94143077176*(1/14151.6638359215)</f>
        <v>2.1901412750140969E-2</v>
      </c>
      <c r="CR27" s="2">
        <f>297.817907666771*(1/14151.6638359215)</f>
        <v>2.10447273988245E-2</v>
      </c>
      <c r="CS27" s="2">
        <f>285.390701143067*(1/14151.6638359215)</f>
        <v>2.0166582845096499E-2</v>
      </c>
      <c r="CT27" s="2">
        <f>272.869328770288*(1/14151.6638359215)</f>
        <v>1.9281784243465237E-2</v>
      </c>
      <c r="CU27" s="2">
        <f>259.626397987855*(1/14151.6638359215)</f>
        <v>1.834599811004832E-2</v>
      </c>
      <c r="CV27" s="2">
        <f>244.891295191662*(1/14151.6638359215)</f>
        <v>1.7304770522463139E-2</v>
      </c>
      <c r="CW27" s="2">
        <f>229.00347131476*(1/14151.6638359215)</f>
        <v>1.6182088125459505E-2</v>
      </c>
      <c r="CX27" s="2">
        <f>212.306183961107*(1/14151.6638359215)</f>
        <v>1.50022065548367E-2</v>
      </c>
      <c r="CY27" s="2">
        <f>195.142690734661*(1/14151.6638359215)</f>
        <v>1.3789381446394008E-2</v>
      </c>
      <c r="CZ27" s="2">
        <f>177.856249239381*(1/14151.6638359215)</f>
        <v>1.2567868435930784E-2</v>
      </c>
      <c r="DA27" s="2">
        <f>160.790117079223*(1/14151.6638359215)</f>
        <v>1.1361923159246171E-2</v>
      </c>
      <c r="DB27" s="2">
        <f>144.287551858154*(1/14151.6638359215)</f>
        <v>1.0195801252140086E-2</v>
      </c>
      <c r="DC27" s="2">
        <f>128.691811180129*(1/14151.6638359215)</f>
        <v>9.0937583504116012E-3</v>
      </c>
      <c r="DD27" s="2">
        <f>114.346152649106*(1/14151.6638359215)</f>
        <v>8.080050089859998E-3</v>
      </c>
      <c r="DE27" s="2">
        <f>101.489917325945*(1/14151.6638359215)</f>
        <v>7.1715890444154539E-3</v>
      </c>
      <c r="DF27" s="2">
        <f>89.2938642804896*(1/14151.6638359215)</f>
        <v>6.309778504901515E-3</v>
      </c>
      <c r="DG27" s="2">
        <f>77.5540310587403*(1/14151.6638359215)</f>
        <v>5.4802058583304598E-3</v>
      </c>
      <c r="DH27" s="2">
        <f>66.3371064913555*(1/14151.6638359215)</f>
        <v>4.6875835421535715E-3</v>
      </c>
      <c r="DI27" s="2">
        <f>55.7097794089988*(1/14151.6638359215)</f>
        <v>3.9366239938225045E-3</v>
      </c>
      <c r="DJ27" s="2">
        <f>45.7387386423278*(1/14151.6638359215)</f>
        <v>3.2320396507884886E-3</v>
      </c>
      <c r="DK27" s="2">
        <f>36.490673022002*(1/14151.6638359215)</f>
        <v>2.5785429505028852E-3</v>
      </c>
      <c r="DL27" s="2">
        <f>28.0322713786813*(1/14151.6638359215)</f>
        <v>1.980846330417087E-3</v>
      </c>
      <c r="DM27" s="2">
        <f>20.4302225430238*(1/14151.6638359215)</f>
        <v>1.4436622279823583E-3</v>
      </c>
      <c r="DN27" s="2">
        <f>13.7512153456921*(1/14151.6638359215)</f>
        <v>9.7170308065028135E-4</v>
      </c>
      <c r="DO27" s="2">
        <f>8.06193861734421*(1/14151.6638359215)</f>
        <v>5.6968132587211417E-4</v>
      </c>
      <c r="DP27" s="2">
        <f>3.57059745627449*(1/14151.6638359215)</f>
        <v>2.5230937490269937E-4</v>
      </c>
      <c r="DQ27" s="2">
        <f>0.472221436018245*(1/14151.6638359215)</f>
        <v>3.3368615979952426E-5</v>
      </c>
      <c r="DR27" s="2">
        <f>-1.43375578256108*(1/14151.6638359215)</f>
        <v>-1.0131358398450253E-4</v>
      </c>
      <c r="DS27" s="2">
        <f>-2.35705650437987*(1/14151.6638359215)</f>
        <v>-1.665568467219309E-4</v>
      </c>
      <c r="DT27" s="2">
        <f>-2.50740303435451*(1/14151.6638359215)</f>
        <v>-1.7718079396359814E-4</v>
      </c>
      <c r="DU27" s="2">
        <f>-2.09451767740139*(1/14151.6638359215)</f>
        <v>-1.4800504744076994E-4</v>
      </c>
      <c r="DV27" s="2">
        <f>-1.32812273843698*(1/14151.6638359215)</f>
        <v>-9.3849228884717781E-5</v>
      </c>
      <c r="DW27" s="2">
        <f>-0.417940522377709*(1/14151.6638359215)</f>
        <v>-2.9532960026710131E-5</v>
      </c>
      <c r="DX27" s="2">
        <f>0.426306665860034*(1/14151.6638359215)</f>
        <v>3.0124137401987308E-5</v>
      </c>
      <c r="DY27" s="2">
        <f>0.994896521359932*(1/14151.6638359215)</f>
        <v>7.0302441670113926E-5</v>
      </c>
      <c r="DZ27" s="2">
        <f>1.10560034956041*(1/14151.6638359215)</f>
        <v>7.8125113935651781E-5</v>
      </c>
      <c r="EA27" s="2">
        <f>1.19878247278289*(1/14151.6638359215)</f>
        <v>8.470964875098237E-5</v>
      </c>
      <c r="EB27" s="2">
        <f>1.46955373330926*(1/14151.6638359215)</f>
        <v>1.0384317705307961E-4</v>
      </c>
      <c r="EC27" s="2">
        <f>1.88186427201923*(1/14151.6638359215)</f>
        <v>1.3297830515465254E-4</v>
      </c>
      <c r="ED27" s="2">
        <f>2.39966422979248*(1/14151.6638359215)</f>
        <v>1.6956763936840815E-4</v>
      </c>
      <c r="EE27" s="2">
        <f>2.98690374750882*(1/14151.6638359215)</f>
        <v>2.1106378600706246E-4</v>
      </c>
      <c r="EF27" s="2">
        <f>3.60753296604773*(1/14151.6638359215)</f>
        <v>2.5491935138330834E-4</v>
      </c>
      <c r="EG27" s="2">
        <f>4.22550202628899*(1/14151.6638359215)</f>
        <v>2.985869418098598E-4</v>
      </c>
      <c r="EH27" s="2">
        <f>4.80476106911231*(1/14151.6638359215)</f>
        <v>3.3951916359942582E-4</v>
      </c>
      <c r="EI27" s="2">
        <f>5.30926023539738*(1/14151.6638359215)</f>
        <v>3.7516862306471413E-4</v>
      </c>
      <c r="EJ27" s="2">
        <f>5.70294966602395*(1/14151.6638359215)</f>
        <v>4.0298792651843662E-4</v>
      </c>
      <c r="EK27" s="2">
        <f>5.97721587814601*(1/14151.6638359215)</f>
        <v>4.2236841882676039E-4</v>
      </c>
      <c r="EL27" s="2">
        <f>6.19886084549002*(1/14151.6638359215)</f>
        <v>4.3803053247741134E-4</v>
      </c>
      <c r="EM27" s="2">
        <f>6.37867235569792*(1/14151.6638359215)</f>
        <v>4.5073656565433574E-4</v>
      </c>
      <c r="EN27" s="2">
        <f>6.52245067806147*(1/14151.6638359215)</f>
        <v>4.6089638318749354E-4</v>
      </c>
      <c r="EO27" s="2">
        <f>6.63599608187243*(1/14151.6638359215)</f>
        <v>4.689198499068446E-4</v>
      </c>
      <c r="EP27" s="2">
        <f>6.72510883642257*(1/14151.6638359215)</f>
        <v>4.7521683064234954E-4</v>
      </c>
      <c r="EQ27" s="2">
        <f>6.79558921100367*(1/14151.6638359215)</f>
        <v>4.8019719022396979E-4</v>
      </c>
      <c r="ER27" s="2">
        <f>6.85323747490745*(1/14151.6638359215)</f>
        <v>4.8427079348166234E-4</v>
      </c>
      <c r="ES27" s="2">
        <f>6.9038538974257*(1/14151.6638359215)</f>
        <v>4.8784750524538927E-4</v>
      </c>
      <c r="ET27" s="2">
        <f>6.95323874785017*(1/14151.6638359215)</f>
        <v>4.913371903451099E-4</v>
      </c>
      <c r="EU27" s="2">
        <f>7.00694765672667*(1/14151.6638359215)</f>
        <v>4.9513242668616612E-4</v>
      </c>
      <c r="EV27" s="2">
        <f>7.05112129116219*(1/14151.6638359215)</f>
        <v>4.982538712701869E-4</v>
      </c>
      <c r="EW27" s="2">
        <f>7.07718303794825*(1/14151.6638359215)</f>
        <v>5.0009547428508515E-4</v>
      </c>
      <c r="EX27" s="2">
        <f>7.08819406119464*(1/14151.6638359215)</f>
        <v>5.0087354698198183E-4</v>
      </c>
      <c r="EY27" s="2">
        <f>7.08721552501111*(1/14151.6638359215)</f>
        <v>5.0080440061199484E-4</v>
      </c>
      <c r="EZ27" s="2">
        <f>7.07730859350744*(1/14151.6638359215)</f>
        <v>5.0010434642624437E-4</v>
      </c>
      <c r="FA27" s="2">
        <f>7.06153443079338*(1/14151.6638359215)</f>
        <v>4.9898969567584845E-4</v>
      </c>
      <c r="FB27" s="2">
        <f>7.0429542009787*(1/14151.6638359215)</f>
        <v>4.976767596119267E-4</v>
      </c>
      <c r="FC27" s="2">
        <f>7.02462906817317*(1/14151.6638359215)</f>
        <v>4.9638184948559824E-4</v>
      </c>
      <c r="FD27" s="2">
        <f>7.00962019648656*(1/14151.6638359215)</f>
        <v>4.9532127654798282E-4</v>
      </c>
      <c r="FE27" s="2">
        <f>7.00098875002862*(1/14151.6638359215)</f>
        <v>4.9471135205019824E-4</v>
      </c>
      <c r="FF27" s="2">
        <f t="shared" si="9"/>
        <v>4.9464148393856954E-4</v>
      </c>
      <c r="FG27" s="2">
        <f t="shared" si="9"/>
        <v>4.9464148393856954E-4</v>
      </c>
      <c r="FH27" s="2">
        <f t="shared" si="9"/>
        <v>4.9464148393856954E-4</v>
      </c>
      <c r="FI27" s="2">
        <f t="shared" si="9"/>
        <v>4.9464148393856954E-4</v>
      </c>
      <c r="FJ27" s="2">
        <f t="shared" si="9"/>
        <v>4.9464148393856954E-4</v>
      </c>
      <c r="FK27" s="2">
        <f t="shared" si="13"/>
        <v>4.9464148393856954E-4</v>
      </c>
      <c r="FL27" s="2">
        <f t="shared" si="13"/>
        <v>4.9464148393856954E-4</v>
      </c>
      <c r="FM27" s="2">
        <f t="shared" si="13"/>
        <v>4.9464148393856954E-4</v>
      </c>
      <c r="FN27" s="2">
        <f t="shared" si="13"/>
        <v>4.9464148393856954E-4</v>
      </c>
      <c r="FO27" s="2">
        <f t="shared" si="13"/>
        <v>4.9464148393856954E-4</v>
      </c>
      <c r="FP27" s="2">
        <f t="shared" si="13"/>
        <v>4.9464148393856954E-4</v>
      </c>
      <c r="FQ27" s="2"/>
    </row>
    <row r="28" spans="2:173">
      <c r="B28" s="2">
        <v>9.5366863905325445</v>
      </c>
      <c r="C28" s="2">
        <f t="shared" ref="C28:I37" si="14">7*(1/14151.6638359215)</f>
        <v>4.9464148393856954E-4</v>
      </c>
      <c r="D28" s="2">
        <f t="shared" si="14"/>
        <v>4.9464148393856954E-4</v>
      </c>
      <c r="E28" s="2">
        <f t="shared" si="14"/>
        <v>4.9464148393856954E-4</v>
      </c>
      <c r="F28" s="2">
        <f t="shared" si="14"/>
        <v>4.9464148393856954E-4</v>
      </c>
      <c r="G28" s="2">
        <f t="shared" si="14"/>
        <v>4.9464148393856954E-4</v>
      </c>
      <c r="H28" s="2">
        <f t="shared" si="14"/>
        <v>4.9464148393856954E-4</v>
      </c>
      <c r="I28" s="2">
        <f t="shared" si="14"/>
        <v>4.9464148393856954E-4</v>
      </c>
      <c r="J28" s="2">
        <f t="shared" si="11"/>
        <v>4.9464148393856954E-4</v>
      </c>
      <c r="K28" s="2">
        <f t="shared" si="11"/>
        <v>4.9464148393856954E-4</v>
      </c>
      <c r="L28" s="2">
        <f t="shared" si="11"/>
        <v>4.9464148393856954E-4</v>
      </c>
      <c r="M28" s="2">
        <f t="shared" si="11"/>
        <v>4.9464148393856954E-4</v>
      </c>
      <c r="N28" s="2">
        <f>7.00666466102887*(1/14151.6638359215)</f>
        <v>4.9511242934160776E-4</v>
      </c>
      <c r="O28" s="2">
        <f>7.06484485133587*(1/14151.6638359215)</f>
        <v>4.9922362015150537E-4</v>
      </c>
      <c r="P28" s="2">
        <f>7.16601202132016*(1/14151.6638359215)</f>
        <v>5.0637240287820459E-4</v>
      </c>
      <c r="Q28" s="2">
        <f>7.28953242073664*(1/14151.6638359215)</f>
        <v>5.1510073340164063E-4</v>
      </c>
      <c r="R28" s="2">
        <f>7.41477229934023*(1/14151.6638359215)</f>
        <v>5.2395056760175013E-4</v>
      </c>
      <c r="S28" s="2">
        <f>7.52109790688579*(1/14151.6638359215)</f>
        <v>5.3146386135846516E-4</v>
      </c>
      <c r="T28" s="2">
        <f>7.58787549312823*(1/14151.6638359215)</f>
        <v>5.3618257055172182E-4</v>
      </c>
      <c r="U28" s="2">
        <f>7.59447130782247*(1/14151.6638359215)</f>
        <v>5.3664865106145651E-4</v>
      </c>
      <c r="V28" s="2">
        <f>7.52025160072338*(1/14151.6638359215)</f>
        <v>5.314040587676023E-4</v>
      </c>
      <c r="W28" s="2">
        <f>7.34458262158588*(1/14151.6638359215)</f>
        <v>5.1899074955009559E-4</v>
      </c>
      <c r="X28" s="2">
        <f>7.04683062016479*(1/14151.6638359215)</f>
        <v>4.9795067928886598E-4</v>
      </c>
      <c r="Y28" s="2">
        <f>6.50607464165909*(1/14151.6638359215)</f>
        <v>4.5973920219504995E-4</v>
      </c>
      <c r="Z28" s="2">
        <f>5.61594001039145*(1/14151.6638359215)</f>
        <v>3.9683955720714464E-4</v>
      </c>
      <c r="AA28" s="2">
        <f>4.47954040290095*(1/14151.6638359215)</f>
        <v>3.1653807317910053E-4</v>
      </c>
      <c r="AB28" s="2">
        <f>3.20236461750754*(1/14151.6638359215)</f>
        <v>2.2628891235947131E-4</v>
      </c>
      <c r="AC28" s="2">
        <f>1.88990145253114*(1/14151.6638359215)</f>
        <v>1.3354623699680875E-4</v>
      </c>
      <c r="AD28" s="2">
        <f>0.647639706291492*(1/14151.6638359215)</f>
        <v>4.5764209339651853E-5</v>
      </c>
      <c r="AE28" s="2">
        <f>-0.418931822890987*(1/14151.6638359215)</f>
        <v>-2.9603008363412547E-5</v>
      </c>
      <c r="AF28" s="2">
        <f>-1.2043243366966*(1/14151.6638359215)</f>
        <v>-8.5101253863848533E-5</v>
      </c>
      <c r="AG28" s="2">
        <f>-1.60304903680539*(1/14151.6638359215)</f>
        <v>-1.1327636491310182E-4</v>
      </c>
      <c r="AH28" s="2">
        <f>-1.50961712489743*(1/14151.6638359215)</f>
        <v>-1.0667417926262024E-4</v>
      </c>
      <c r="AI28" s="2">
        <f>-0.868390163043708*(1/14151.6638359215)</f>
        <v>-6.1363114126513729E-5</v>
      </c>
      <c r="AJ28" s="2">
        <f>-0.280317778086811*(1/14151.6638359215)</f>
        <v>-1.9808114532460404E-5</v>
      </c>
      <c r="AK28" s="2">
        <f>0.193801188564597*(1/14151.6638359215)</f>
        <v>1.3694586785807255E-5</v>
      </c>
      <c r="AL28" s="2">
        <f>0.740856050149306*(1/14151.6638359215)</f>
        <v>5.2351162290102859E-5</v>
      </c>
      <c r="AM28" s="2">
        <f>1.54773611990614*(1/14151.6638359215)</f>
        <v>1.093677844422424E-4</v>
      </c>
      <c r="AN28" s="2">
        <f>2.80133071107389*(1/14151.6638359215)</f>
        <v>1.9795062570403959E-4</v>
      </c>
      <c r="AO28" s="2">
        <f>4.68852913689138*(1/14151.6638359215)</f>
        <v>3.3130585853731042E-4</v>
      </c>
      <c r="AP28" s="2">
        <f>7.396220710598*(1/14151.6638359215)</f>
        <v>5.2263965540391081E-4</v>
      </c>
      <c r="AQ28" s="2">
        <f>11.1112947454316*(1/14151.6638359215)</f>
        <v>7.8515818876558811E-4</v>
      </c>
      <c r="AR28" s="2">
        <f>16.0206405546313*(1/14151.6638359215)</f>
        <v>1.1320676310841791E-3</v>
      </c>
      <c r="AS28" s="2">
        <f>22.3111474514361*(1/14151.6638359215)</f>
        <v>1.5765741548215122E-3</v>
      </c>
      <c r="AT28" s="2">
        <f>30.1325346479239*(1/14151.6638359215)</f>
        <v>2.1292573790113486E-3</v>
      </c>
      <c r="AU28" s="2">
        <f>39.3960899919084*(1/14151.6638359215)</f>
        <v>2.7838486307107139E-3</v>
      </c>
      <c r="AV28" s="2">
        <f>49.9264010359191*(1/14151.6638359215)</f>
        <v>3.527952728017023E-3</v>
      </c>
      <c r="AW28" s="2">
        <f>61.5484151147891*(1/14151.6638359215)</f>
        <v>4.3491999123494805E-3</v>
      </c>
      <c r="AX28" s="2">
        <f>74.0870795633497*(1/14151.6638359215)</f>
        <v>5.2352204251271666E-3</v>
      </c>
      <c r="AY28" s="2">
        <f>87.3673417164324*(1/14151.6638359215)</f>
        <v>6.1736445077691738E-3</v>
      </c>
      <c r="AZ28" s="2">
        <f>101.214148908868*(1/14151.6638359215)</f>
        <v>7.1521024016945453E-3</v>
      </c>
      <c r="BA28" s="2">
        <f>115.452448475492*(1/14151.6638359215)</f>
        <v>8.1582243483226576E-3</v>
      </c>
      <c r="BB28" s="2">
        <f>129.907187751129*(1/14151.6638359215)</f>
        <v>9.1796405890721151E-3</v>
      </c>
      <c r="BC28" s="2">
        <f>144.403314070614*(1/14151.6638359215)</f>
        <v>1.020398136536226E-2</v>
      </c>
      <c r="BD28" s="2">
        <f>158.796988668621*(1/14151.6638359215)</f>
        <v>1.1221082588574701E-2</v>
      </c>
      <c r="BE28" s="2">
        <f>174.03463528135*(1/14151.6638359215)</f>
        <v>1.2297821464610672E-2</v>
      </c>
      <c r="BF28" s="2">
        <f>190.387576441762*(1/14151.6638359215)</f>
        <v>1.3453370476374429E-2</v>
      </c>
      <c r="BG28" s="2">
        <f>207.523729635214*(1/14151.6638359215)</f>
        <v>1.4664263654175537E-2</v>
      </c>
      <c r="BH28" s="2">
        <f>225.111012347055*(1/14151.6638359215)</f>
        <v>1.5907035028322993E-2</v>
      </c>
      <c r="BI28" s="2">
        <f>242.817342062644*(1/14151.6638359215)</f>
        <v>1.7158218629126497E-2</v>
      </c>
      <c r="BJ28" s="2">
        <f>260.310636267335*(1/14151.6638359215)</f>
        <v>1.83943484868954E-2</v>
      </c>
      <c r="BK28" s="2">
        <f>277.258812446483*(1/14151.6638359215)</f>
        <v>1.9591958631939126E-2</v>
      </c>
      <c r="BL28" s="2">
        <f>293.329788085443*(1/14151.6638359215)</f>
        <v>2.0727583094567095E-2</v>
      </c>
      <c r="BM28" s="2">
        <f>308.191480669573*(1/14151.6638359215)</f>
        <v>2.1777755905088941E-2</v>
      </c>
      <c r="BN28" s="2">
        <f>321.511807684221*(1/14151.6638359215)</f>
        <v>2.2719011093813583E-2</v>
      </c>
      <c r="BO28" s="2">
        <f>333.063967046427*(1/14151.6638359215)</f>
        <v>2.3535322129473069E-2</v>
      </c>
      <c r="BP28" s="2">
        <f>343.150799043023*(1/14151.6638359215)</f>
        <v>2.4248088636192398E-2</v>
      </c>
      <c r="BQ28" s="2">
        <f>352.008599285688*(1/14151.6638359215)</f>
        <v>2.4874007987115712E-2</v>
      </c>
      <c r="BR28" s="2">
        <f>359.848493882798*(1/14151.6638359215)</f>
        <v>2.542799900103521E-2</v>
      </c>
      <c r="BS28" s="2">
        <f>366.881608942728*(1/14151.6638359215)</f>
        <v>2.5924980496742994E-2</v>
      </c>
      <c r="BT28" s="2">
        <f>373.319070573853*(1/14151.6638359215)</f>
        <v>2.6379871293031175E-2</v>
      </c>
      <c r="BU28" s="2">
        <f>379.372004884551*(1/14151.6638359215)</f>
        <v>2.680759020869208E-2</v>
      </c>
      <c r="BV28" s="2">
        <f>385.251537983196*(1/14151.6638359215)</f>
        <v>2.722305606251775E-2</v>
      </c>
      <c r="BW28" s="2">
        <f>391.168795978165*(1/14151.6638359215)</f>
        <v>2.7641187673300441E-2</v>
      </c>
      <c r="BX28" s="2">
        <f>397.334904977834*(1/14151.6638359215)</f>
        <v>2.8076903859832334E-2</v>
      </c>
      <c r="BY28" s="2">
        <f>403.96256543653*(1/14151.6638359215)</f>
        <v>2.8545234689022387E-2</v>
      </c>
      <c r="BZ28" s="2">
        <f>411.58991431196*(1/14151.6638359215)</f>
        <v>2.9084206569916653E-2</v>
      </c>
      <c r="CA28" s="2">
        <f>420.223193118073*(1/14151.6638359215)</f>
        <v>2.9694260547046818E-2</v>
      </c>
      <c r="CB28" s="2">
        <f>429.418458018565*(1/14151.6638359215)</f>
        <v>3.0344026186416476E-2</v>
      </c>
      <c r="CC28" s="2">
        <f>438.731765177133*(1/14151.6638359215)</f>
        <v>3.10021330540293E-2</v>
      </c>
      <c r="CD28" s="2">
        <f>447.719170757477*(1/14151.6638359215)</f>
        <v>3.163721071588918E-2</v>
      </c>
      <c r="CE28" s="2">
        <f>455.93673092329*(1/14151.6638359215)</f>
        <v>3.2217888737999495E-2</v>
      </c>
      <c r="CF28" s="2">
        <f>462.940501838271*(1/14151.6638359215)</f>
        <v>3.2712796686364065E-2</v>
      </c>
      <c r="CG28" s="2">
        <f>468.286539666118*(1/14151.6638359215)</f>
        <v>3.3090564126986632E-2</v>
      </c>
      <c r="CH28" s="2">
        <f>471.530900570528*(1/14151.6638359215)</f>
        <v>3.3319820625870862E-2</v>
      </c>
      <c r="CI28" s="2">
        <f>472.229640715197*(1/14151.6638359215)</f>
        <v>3.3369195749020371E-2</v>
      </c>
      <c r="CJ28" s="2">
        <f>470.054365864568*(1/14151.6638359215)</f>
        <v>3.3215484151864746E-2</v>
      </c>
      <c r="CK28" s="2">
        <f>465.500583443598*(1/14151.6638359215)</f>
        <v>3.2893699909830175E-2</v>
      </c>
      <c r="CL28" s="2">
        <f>458.868958561875*(1/14151.6638359215)</f>
        <v>3.2425088942341689E-2</v>
      </c>
      <c r="CM28" s="2">
        <f>450.371957134554*(1/14151.6638359215)</f>
        <v>3.1824664743050519E-2</v>
      </c>
      <c r="CN28" s="2">
        <f>440.222045076789*(1/14151.6638359215)</f>
        <v>3.1107440805607824E-2</v>
      </c>
      <c r="CO28" s="2">
        <f>428.631688303734*(1/14151.6638359215)</f>
        <v>3.0288430623664771E-2</v>
      </c>
      <c r="CP28" s="2">
        <f>415.813352730543*(1/14151.6638359215)</f>
        <v>2.938264769087252E-2</v>
      </c>
      <c r="CQ28" s="2">
        <f>401.979504272373*(1/14151.6638359215)</f>
        <v>2.8405105500882447E-2</v>
      </c>
      <c r="CR28" s="2">
        <f>387.342608844378*(1/14151.6638359215)</f>
        <v>2.737081754734572E-2</v>
      </c>
      <c r="CS28" s="2">
        <f>372.115132361711*(1/14151.6638359215)</f>
        <v>2.6294797323913422E-2</v>
      </c>
      <c r="CT28" s="2">
        <f>356.509540739527*(1/14151.6638359215)</f>
        <v>2.5192058324236793E-2</v>
      </c>
      <c r="CU28" s="2">
        <f>339.730602646373*(1/14151.6638359215)</f>
        <v>2.4006407061763779E-2</v>
      </c>
      <c r="CV28" s="2">
        <f>320.865301897886*(1/14151.6638359215)</f>
        <v>2.2673327010738209E-2</v>
      </c>
      <c r="CW28" s="2">
        <f>300.369866190062*(1/14151.6638359215)</f>
        <v>2.1225056620383119E-2</v>
      </c>
      <c r="CX28" s="2">
        <f>278.705163593467*(1/14151.6638359215)</f>
        <v>1.9694162243030614E-2</v>
      </c>
      <c r="CY28" s="2">
        <f>256.332062178671*(1/14151.6638359215)</f>
        <v>1.8113210231013071E-2</v>
      </c>
      <c r="CZ28" s="2">
        <f>233.711430016244*(1/14151.6638359215)</f>
        <v>1.6514766936662869E-2</v>
      </c>
      <c r="DA28" s="2">
        <f>211.304135176754*(1/14151.6638359215)</f>
        <v>1.4931398712312241E-2</v>
      </c>
      <c r="DB28" s="2">
        <f>189.571045730778*(1/14151.6638359215)</f>
        <v>1.3395671910294065E-2</v>
      </c>
      <c r="DC28" s="2">
        <f>168.973029748882*(1/14151.6638359215)</f>
        <v>1.1940152882940435E-2</v>
      </c>
      <c r="DD28" s="2">
        <f>149.970955301638*(1/14151.6638359215)</f>
        <v>1.0597407982583873E-2</v>
      </c>
      <c r="DE28" s="2">
        <f>132.877562806325*(1/14151.6638359215)</f>
        <v>9.3895364069515805E-3</v>
      </c>
      <c r="DF28" s="2">
        <f>116.500959313912*(1/14151.6638359215)</f>
        <v>8.2323153421857646E-3</v>
      </c>
      <c r="DG28" s="2">
        <f>100.577089830094*(1/14151.6638359215)</f>
        <v>7.107085851968644E-3</v>
      </c>
      <c r="DH28" s="2">
        <f>85.2315365570884*(1/14151.6638359215)</f>
        <v>6.0227219601375207E-3</v>
      </c>
      <c r="DI28" s="2">
        <f>70.5898816971233*(1/14151.6638359215)</f>
        <v>4.9880976905304492E-3</v>
      </c>
      <c r="DJ28" s="2">
        <f>56.7777074524171*(1/14151.6638359215)</f>
        <v>4.0120870669847963E-3</v>
      </c>
      <c r="DK28" s="2">
        <f>43.920596025191*(1/14151.6638359215)</f>
        <v>3.103564113338131E-3</v>
      </c>
      <c r="DL28" s="2">
        <f>32.1441296176664*(1/14151.6638359215)</f>
        <v>2.2714028534280332E-3</v>
      </c>
      <c r="DM28" s="2">
        <f>21.5738904320628*(1/14151.6638359215)</f>
        <v>1.5244773110919502E-3</v>
      </c>
      <c r="DN28" s="2">
        <f>12.3354606706056*(1/14151.6638359215)</f>
        <v>8.7166151016774521E-4</v>
      </c>
      <c r="DO28" s="2">
        <f>4.55442253551406*(1/14151.6638359215)</f>
        <v>3.2182947449284821E-4</v>
      </c>
      <c r="DP28" s="2">
        <f>-1.48348056902697*(1/14151.6638359215)</f>
        <v>-1.0482729000821913E-4</v>
      </c>
      <c r="DQ28" s="2">
        <f>-5.56685895769825*(1/14151.6638359215)</f>
        <v>-3.9337133938751158E-4</v>
      </c>
      <c r="DR28" s="2">
        <f>-7.98052590882494*(1/14151.6638359215)</f>
        <v>-5.6392845402162422E-4</v>
      </c>
      <c r="DS28" s="2">
        <f>-9.02029310027758*(1/14151.6638359215)</f>
        <v>-6.3740159495459178E-4</v>
      </c>
      <c r="DT28" s="2">
        <f>-8.98197220992655*(1/14151.6638359215)</f>
        <v>-6.3469372323043732E-4</v>
      </c>
      <c r="DU28" s="2">
        <f>-8.16137491564243*(1/14151.6638359215)</f>
        <v>-5.7670779989319853E-4</v>
      </c>
      <c r="DV28" s="2">
        <f>-6.8543128952958*(1/14151.6638359215)</f>
        <v>-4.8434678598691252E-4</v>
      </c>
      <c r="DW28" s="2">
        <f>-5.35659782675713*(1/14151.6638359215)</f>
        <v>-3.7851364255560906E-4</v>
      </c>
      <c r="DX28" s="2">
        <f>-3.96404138789696*(1/14151.6638359215)</f>
        <v>-2.8011133064332271E-4</v>
      </c>
      <c r="DY28" s="2">
        <f>-2.97245525658562*(1/14151.6638359215)</f>
        <v>-2.1004281129407323E-4</v>
      </c>
      <c r="DZ28" s="2">
        <f>-2.63898008588673*(1/14151.6638359215)</f>
        <v>-1.8647843225247796E-4</v>
      </c>
      <c r="EA28" s="2">
        <f>-2.34460936868016*(1/14151.6638359215)</f>
        <v>-1.6567729391146101E-4</v>
      </c>
      <c r="EB28" s="2">
        <f>-1.81420193504989*(1/14151.6638359215)</f>
        <v>-1.2819707675961457E-4</v>
      </c>
      <c r="EC28" s="2">
        <f>-1.09759580822249*(1/14151.6638359215)</f>
        <v>-7.7559488477703715E-5</v>
      </c>
      <c r="ED28" s="2">
        <f>-0.244629011424525*(1/14151.6638359215)</f>
        <v>-1.7286236746493192E-5</v>
      </c>
      <c r="EE28" s="2">
        <f>0.694860432117614*(1/14151.6638359215)</f>
        <v>4.9100970753264605E-5</v>
      </c>
      <c r="EF28" s="2">
        <f>1.671034499177*(1/14151.6638359215)</f>
        <v>1.1808042634077939E-4</v>
      </c>
      <c r="EG28" s="2">
        <f>2.63405516652724*(1/14151.6638359215)</f>
        <v>1.8613042233529855E-4</v>
      </c>
      <c r="EH28" s="2">
        <f>3.53408441094177*(1/14151.6638359215)</f>
        <v>2.4972925105605753E-4</v>
      </c>
      <c r="EI28" s="2">
        <f>4.32128420919402*(1/14151.6638359215)</f>
        <v>3.0535520482229112E-4</v>
      </c>
      <c r="EJ28" s="2">
        <f>4.94581653805752*(1/14151.6638359215)</f>
        <v>3.4948657595324151E-4</v>
      </c>
      <c r="EK28" s="2">
        <f>5.39415098070475*(1/14151.6638359215)</f>
        <v>3.8116726366921257E-4</v>
      </c>
      <c r="EL28" s="2">
        <f>5.75472176992826*(1/14151.6638359215)</f>
        <v>4.0664630227584371E-4</v>
      </c>
      <c r="EM28" s="2">
        <f>6.04415927722617*(1/14151.6638359215)</f>
        <v>4.2709884486403208E-4</v>
      </c>
      <c r="EN28" s="2">
        <f>6.27256792832327*(1/14151.6638359215)</f>
        <v>4.4323890116732879E-4</v>
      </c>
      <c r="EO28" s="2">
        <f>6.45005214894431*(1/14151.6638359215)</f>
        <v>4.557804809192818E-4</v>
      </c>
      <c r="EP28" s="2">
        <f>6.58671636481409*(1/14151.6638359215)</f>
        <v>4.6543759385344311E-4</v>
      </c>
      <c r="EQ28" s="2">
        <f>6.69266500165739*(1/14151.6638359215)</f>
        <v>4.7292424970336291E-4</v>
      </c>
      <c r="ER28" s="2">
        <f>6.77800248519895*(1/14151.6638359215)</f>
        <v>4.7895445820258874E-4</v>
      </c>
      <c r="ES28" s="2">
        <f>6.85283324116356*(1/14151.6638359215)</f>
        <v>4.842422290846715E-4</v>
      </c>
      <c r="ET28" s="2">
        <f>6.92726169527601*(1/14151.6638359215)</f>
        <v>4.8950157208316235E-4</v>
      </c>
      <c r="EU28" s="2">
        <f>7.01097955489316*(1/14151.6638359215)</f>
        <v>4.9541733298504639E-4</v>
      </c>
      <c r="EV28" s="2">
        <f>7.08078824913296*(1/14151.6638359215)</f>
        <v>5.0035022957227329E-4</v>
      </c>
      <c r="EW28" s="2">
        <f>7.12197427640901*(1/14151.6638359215)</f>
        <v>5.0326056066503898E-4</v>
      </c>
      <c r="EX28" s="2">
        <f>7.13937527057435*(1/14151.6638359215)</f>
        <v>5.0449016831874611E-4</v>
      </c>
      <c r="EY28" s="2">
        <f>7.13782886548201*(1/14151.6638359215)</f>
        <v>5.0438089458879683E-4</v>
      </c>
      <c r="EZ28" s="2">
        <f>7.12217269498501*(1/14151.6638359215)</f>
        <v>5.032745815305923E-4</v>
      </c>
      <c r="FA28" s="2">
        <f>7.09724439293638*(1/14151.6638359215)</f>
        <v>5.0151307119953475E-4</v>
      </c>
      <c r="FB28" s="2">
        <f>7.06788159318913*(1/14151.6638359215)</f>
        <v>4.9943820565102458E-4</v>
      </c>
      <c r="FC28" s="2">
        <f>7.03892192959631*(1/14151.6638359215)</f>
        <v>4.9739182694046545E-4</v>
      </c>
      <c r="FD28" s="2">
        <f>7.01520303601093*(1/14151.6638359215)</f>
        <v>4.9571577712325787E-4</v>
      </c>
      <c r="FE28" s="2">
        <f>7.00156254628602*(1/14151.6638359215)</f>
        <v>4.9475189825480374E-4</v>
      </c>
      <c r="FF28" s="2">
        <f t="shared" si="9"/>
        <v>4.9464148393856954E-4</v>
      </c>
      <c r="FG28" s="2">
        <f t="shared" si="9"/>
        <v>4.9464148393856954E-4</v>
      </c>
      <c r="FH28" s="2">
        <f t="shared" si="9"/>
        <v>4.9464148393856954E-4</v>
      </c>
      <c r="FI28" s="2">
        <f t="shared" si="9"/>
        <v>4.9464148393856954E-4</v>
      </c>
      <c r="FJ28" s="2">
        <f t="shared" si="9"/>
        <v>4.9464148393856954E-4</v>
      </c>
      <c r="FK28" s="2">
        <f t="shared" si="13"/>
        <v>4.9464148393856954E-4</v>
      </c>
      <c r="FL28" s="2">
        <f t="shared" si="13"/>
        <v>4.9464148393856954E-4</v>
      </c>
      <c r="FM28" s="2">
        <f t="shared" si="13"/>
        <v>4.9464148393856954E-4</v>
      </c>
      <c r="FN28" s="2">
        <f t="shared" si="13"/>
        <v>4.9464148393856954E-4</v>
      </c>
      <c r="FO28" s="2">
        <f t="shared" si="13"/>
        <v>4.9464148393856954E-4</v>
      </c>
      <c r="FP28" s="2">
        <f t="shared" si="13"/>
        <v>4.9464148393856954E-4</v>
      </c>
      <c r="FQ28" s="2"/>
    </row>
    <row r="29" spans="2:173">
      <c r="B29" s="2">
        <v>9.546153846153846</v>
      </c>
      <c r="C29" s="2">
        <f t="shared" si="14"/>
        <v>4.9464148393856954E-4</v>
      </c>
      <c r="D29" s="2">
        <f t="shared" si="14"/>
        <v>4.9464148393856954E-4</v>
      </c>
      <c r="E29" s="2">
        <f t="shared" si="14"/>
        <v>4.9464148393856954E-4</v>
      </c>
      <c r="F29" s="2">
        <f t="shared" si="14"/>
        <v>4.9464148393856954E-4</v>
      </c>
      <c r="G29" s="2">
        <f t="shared" si="14"/>
        <v>4.9464148393856954E-4</v>
      </c>
      <c r="H29" s="2">
        <f t="shared" si="14"/>
        <v>4.9464148393856954E-4</v>
      </c>
      <c r="I29" s="2">
        <f t="shared" si="14"/>
        <v>4.9464148393856954E-4</v>
      </c>
      <c r="J29" s="2">
        <f t="shared" si="11"/>
        <v>4.9464148393856954E-4</v>
      </c>
      <c r="K29" s="2">
        <f t="shared" si="11"/>
        <v>4.9464148393856954E-4</v>
      </c>
      <c r="L29" s="2">
        <f t="shared" si="11"/>
        <v>4.9464148393856954E-4</v>
      </c>
      <c r="M29" s="2">
        <f t="shared" si="11"/>
        <v>4.9464148393856954E-4</v>
      </c>
      <c r="N29" s="2">
        <f>7.00897182313408*(1/14151.6638359215)</f>
        <v>4.9527546049695176E-4</v>
      </c>
      <c r="O29" s="2">
        <f>7.08729274224457*(1/14151.6638359215)</f>
        <v>5.0080985701870119E-4</v>
      </c>
      <c r="P29" s="2">
        <f>7.22348180754615*(1/14151.6638359215)</f>
        <v>5.1043339435541261E-4</v>
      </c>
      <c r="Q29" s="2">
        <f>7.38976230886708*(1/14151.6638359215)</f>
        <v>5.2218328491590322E-4</v>
      </c>
      <c r="R29" s="2">
        <f>7.55835753603569*(1/14151.6638359215)</f>
        <v>5.3409674110899477E-4</v>
      </c>
      <c r="S29" s="2">
        <f>7.70149077888019*(1/14151.6638359215)</f>
        <v>5.44210975343501E-4</v>
      </c>
      <c r="T29" s="2">
        <f>7.79138532722889*(1/14151.6638359215)</f>
        <v>5.5056320002824224E-4</v>
      </c>
      <c r="U29" s="2">
        <f>7.80026447091008*(1/14151.6638359215)</f>
        <v>5.5119062757203754E-4</v>
      </c>
      <c r="V29" s="2">
        <f>7.70035149975203*(1/14151.6638359215)</f>
        <v>5.4413047038370484E-4</v>
      </c>
      <c r="W29" s="2">
        <f>7.46386970358305*(1/14151.6638359215)</f>
        <v>5.274199408720645E-4</v>
      </c>
      <c r="X29" s="2">
        <f>7.0630423722313*(1/14151.6638359215)</f>
        <v>4.9909625144592645E-4</v>
      </c>
      <c r="Y29" s="2">
        <f>6.33517227152169*(1/14151.6638359215)</f>
        <v>4.4766271619885243E-4</v>
      </c>
      <c r="Z29" s="2">
        <f>5.13715394775746*(1/14151.6638359215)</f>
        <v>3.6300706456280436E-4</v>
      </c>
      <c r="AA29" s="2">
        <f>3.60773078931074*(1/14151.6638359215)</f>
        <v>2.5493333018221874E-4</v>
      </c>
      <c r="AB29" s="2">
        <f>1.88884163220355*(1/14151.6638359215)</f>
        <v>1.3347134683973054E-4</v>
      </c>
      <c r="AC29" s="2">
        <f>0.122425312457897*(1/14151.6638359215)</f>
        <v>8.6509483179738883E-6</v>
      </c>
      <c r="AD29" s="2">
        <f>-1.54957933390447*(1/14151.6638359215)</f>
        <v>-1.0949803160043531E-4</v>
      </c>
      <c r="AE29" s="2">
        <f>-2.9852334708609*(1/14151.6638359215)</f>
        <v>-2.1094575913281746E-4</v>
      </c>
      <c r="AF29" s="2">
        <f>-4.04259826238968*(1/14151.6638359215)</f>
        <v>-2.8566240049655915E-4</v>
      </c>
      <c r="AG29" s="2">
        <f>-4.5797348724688*(1/14151.6638359215)</f>
        <v>-3.2361812190902608E-4</v>
      </c>
      <c r="AH29" s="2">
        <f>-4.45470446507623*(1/14151.6638359215)</f>
        <v>-3.1478308958758259E-4</v>
      </c>
      <c r="AI29" s="2">
        <f>-3.59206005662887*(1/14151.6638359215)</f>
        <v>-2.5382598811533809E-4</v>
      </c>
      <c r="AJ29" s="2">
        <f>-2.7928614917652*(1/14151.6638359215)</f>
        <v>-1.9735216467451792E-4</v>
      </c>
      <c r="AK29" s="2">
        <f>-2.13931366295909*(1/14151.6638359215)</f>
        <v>-1.51170469265163E-4</v>
      </c>
      <c r="AL29" s="2">
        <f>-1.38344831927219*(1/14151.6638359215)</f>
        <v>-9.7758704228159438E-5</v>
      </c>
      <c r="AM29" s="2">
        <f>-0.277297209766118*(1/14151.6638359215)</f>
        <v>-1.9594671904391059E-5</v>
      </c>
      <c r="AN29" s="2">
        <f>1.42710791649748*(1/14151.6638359215)</f>
        <v>1.0084382536525625E-4</v>
      </c>
      <c r="AO29" s="2">
        <f>3.97773531045697*(1/14151.6638359215)</f>
        <v>2.8107898523989746E-4</v>
      </c>
      <c r="AP29" s="2">
        <f>7.62255322305152*(1/14151.6638359215)</f>
        <v>5.3863300537870427E-4</v>
      </c>
      <c r="AQ29" s="2">
        <f>12.6095299052182*(1/14151.6638359215)</f>
        <v>8.9102808344070008E-4</v>
      </c>
      <c r="AR29" s="2">
        <f>19.1866336078959*(1/14151.6638359215)</f>
        <v>1.355786417085037E-3</v>
      </c>
      <c r="AS29" s="2">
        <f>27.601832582023*(1/14151.6638359215)</f>
        <v>1.9504302039708309E-3</v>
      </c>
      <c r="AT29" s="2">
        <f>38.0739874569948*(1/14151.6638359215)</f>
        <v>2.6904248078837702E-3</v>
      </c>
      <c r="AU29" s="2">
        <f>50.5235827235627*(1/14151.6638359215)</f>
        <v>3.5701514188965899E-3</v>
      </c>
      <c r="AV29" s="2">
        <f>64.6983826431061*(1/14151.6638359215)</f>
        <v>4.5717862855730561E-3</v>
      </c>
      <c r="AW29" s="2">
        <f>80.3441543960313*(1/14151.6638359215)</f>
        <v>5.6773645366060667E-3</v>
      </c>
      <c r="AX29" s="2">
        <f>97.2066651627426*(1/14151.6638359215)</f>
        <v>6.8689213006883788E-3</v>
      </c>
      <c r="AY29" s="2">
        <f>115.031682123644*(1/14151.6638359215)</f>
        <v>8.1284917065127284E-3</v>
      </c>
      <c r="AZ29" s="2">
        <f>133.56497245914*(1/14151.6638359215)</f>
        <v>9.4381108827718829E-3</v>
      </c>
      <c r="BA29" s="2">
        <f>152.552303349638*(1/14151.6638359215)</f>
        <v>1.0779813958158822E-2</v>
      </c>
      <c r="BB29" s="2">
        <f>171.739441975535*(1/14151.6638359215)</f>
        <v>1.2135636061365784E-2</v>
      </c>
      <c r="BC29" s="2">
        <f>190.87215551724*(1/14151.6638359215)</f>
        <v>1.3487612321085861E-2</v>
      </c>
      <c r="BD29" s="2">
        <f>209.741191511005*(1/14151.6638359215)</f>
        <v>1.4820956316006747E-2</v>
      </c>
      <c r="BE29" s="2">
        <f>229.709350517467*(1/14151.6638359215)</f>
        <v>1.62319677163607E-2</v>
      </c>
      <c r="BF29" s="2">
        <f>251.169222522233*(1/14151.6638359215)</f>
        <v>1.7748388135442019E-2</v>
      </c>
      <c r="BG29" s="2">
        <f>273.64431166144*(1/14151.6638359215)</f>
        <v>1.9336546913080441E-2</v>
      </c>
      <c r="BH29" s="2">
        <f>296.658122071214*(1/14151.6638359215)</f>
        <v>2.0962773389104943E-2</v>
      </c>
      <c r="BI29" s="2">
        <f>319.734157887695*(1/14151.6638359215)</f>
        <v>2.259339690334548E-2</v>
      </c>
      <c r="BJ29" s="2">
        <f>342.395923247017*(1/14151.6638359215)</f>
        <v>2.4194746795631578E-2</v>
      </c>
      <c r="BK29" s="2">
        <f>364.166922285313*(1/14151.6638359215)</f>
        <v>2.5733152405792707E-2</v>
      </c>
      <c r="BL29" s="2">
        <f>384.570659138718*(1/14151.6638359215)</f>
        <v>2.7174943073658468E-2</v>
      </c>
      <c r="BM29" s="2">
        <f>403.130637943371*(1/14151.6638359215)</f>
        <v>2.8486448139058752E-2</v>
      </c>
      <c r="BN29" s="2">
        <f>419.370362835398*(1/14151.6638359215)</f>
        <v>2.9633996941822515E-2</v>
      </c>
      <c r="BO29" s="2">
        <f>432.904650658963*(1/14151.6638359215)</f>
        <v>3.0590371257979646E-2</v>
      </c>
      <c r="BP29" s="2">
        <f>443.984019690861*(1/14151.6638359215)</f>
        <v>3.1373273477842654E-2</v>
      </c>
      <c r="BQ29" s="2">
        <f>453.016203946449*(1/14151.6638359215)</f>
        <v>3.201151533832703E-2</v>
      </c>
      <c r="BR29" s="2">
        <f>460.396497441498*(1/14151.6638359215)</f>
        <v>3.2533029527797491E-2</v>
      </c>
      <c r="BS29" s="2">
        <f>466.520194191779*(1/14151.6638359215)</f>
        <v>3.2965748734618744E-2</v>
      </c>
      <c r="BT29" s="2">
        <f>471.782588213065*(1/14151.6638359215)</f>
        <v>3.3337605647155655E-2</v>
      </c>
      <c r="BU29" s="2">
        <f>476.578973521125*(1/14151.6638359215)</f>
        <v>3.3676532953772792E-2</v>
      </c>
      <c r="BV29" s="2">
        <f>481.304644131733*(1/14151.6638359215)</f>
        <v>3.4010463342835077E-2</v>
      </c>
      <c r="BW29" s="2">
        <f>486.35489406066*(1/14151.6638359215)</f>
        <v>3.4367329502707239E-2</v>
      </c>
      <c r="BX29" s="2">
        <f>492.125017323677*(1/14151.6638359215)</f>
        <v>3.4775064121753976E-2</v>
      </c>
      <c r="BY29" s="2">
        <f>499.011566390751*(1/14151.6638359215)</f>
        <v>3.5261688814575871E-2</v>
      </c>
      <c r="BZ29" s="2">
        <f>507.585480345227*(1/14151.6638359215)</f>
        <v>3.5867547889090669E-2</v>
      </c>
      <c r="CA29" s="2">
        <f>517.689282620401*(1/14151.6638359215)</f>
        <v>3.6581513567778376E-2</v>
      </c>
      <c r="CB29" s="2">
        <f>528.738879448851*(1/14151.6638359215)</f>
        <v>3.7362311992370868E-2</v>
      </c>
      <c r="CC29" s="2">
        <f>540.150177063154*(1/14151.6638359215)</f>
        <v>3.8168669304599945E-2</v>
      </c>
      <c r="CD29" s="2">
        <f>551.339081695891*(1/14151.6638359215)</f>
        <v>3.8959311646197675E-2</v>
      </c>
      <c r="CE29" s="2">
        <f>561.721499579636*(1/14151.6638359215)</f>
        <v>3.9692965158895671E-2</v>
      </c>
      <c r="CF29" s="2">
        <f>570.713336946969*(1/14151.6638359215)</f>
        <v>4.032835598442594E-2</v>
      </c>
      <c r="CG29" s="2">
        <f>577.730500030467*(1/14151.6638359215)</f>
        <v>4.0824210264520287E-2</v>
      </c>
      <c r="CH29" s="2">
        <f>582.188895062709*(1/14151.6638359215)</f>
        <v>4.1139254140910644E-2</v>
      </c>
      <c r="CI29" s="2">
        <f>583.504428276273*(1/14151.6638359215)</f>
        <v>4.12322137553289E-2</v>
      </c>
      <c r="CJ29" s="2">
        <f>581.272996662759*(1/14151.6638359215)</f>
        <v>4.1074533948955189E-2</v>
      </c>
      <c r="CK29" s="2">
        <f>576.289303280442*(1/14151.6638359215)</f>
        <v>4.0722370878937458E-2</v>
      </c>
      <c r="CL29" s="2">
        <f>568.912978703804*(1/14151.6638359215)</f>
        <v>4.020113714542306E-2</v>
      </c>
      <c r="CM29" s="2">
        <f>559.356868556255*(1/14151.6638359215)</f>
        <v>3.952587307341391E-2</v>
      </c>
      <c r="CN29" s="2">
        <f>547.833818461206*(1/14151.6638359215)</f>
        <v>3.8711618987911978E-2</v>
      </c>
      <c r="CO29" s="2">
        <f>534.556674042066*(1/14151.6638359215)</f>
        <v>3.7773415213919109E-2</v>
      </c>
      <c r="CP29" s="2">
        <f>519.738280922243*(1/14151.6638359215)</f>
        <v>3.672630207643706E-2</v>
      </c>
      <c r="CQ29" s="2">
        <f>503.591484725153*(1/14151.6638359215)</f>
        <v>3.5585319900468169E-2</v>
      </c>
      <c r="CR29" s="2">
        <f>486.329131074204*(1/14151.6638359215)</f>
        <v>3.4365509011014192E-2</v>
      </c>
      <c r="CS29" s="2">
        <f>468.164065592805*(1/14151.6638359215)</f>
        <v>3.3081909733076981E-2</v>
      </c>
      <c r="CT29" s="2">
        <f>449.309133904367*(1/14151.6638359215)</f>
        <v>3.1749562391658506E-2</v>
      </c>
      <c r="CU29" s="2">
        <f>428.797043484114*(1/14151.6638359215)</f>
        <v>3.0300115128207641E-2</v>
      </c>
      <c r="CV29" s="2">
        <f>405.571965862448*(1/14151.6638359215)</f>
        <v>2.865895986258345E-2</v>
      </c>
      <c r="CW29" s="2">
        <f>380.2111357057*(1/14151.6638359215)</f>
        <v>2.6866885767919468E-2</v>
      </c>
      <c r="CX29" s="2">
        <f>353.297273542601*(1/14151.6638359215)</f>
        <v>2.4965069665223268E-2</v>
      </c>
      <c r="CY29" s="2">
        <f>325.413099901886*(1/14151.6638359215)</f>
        <v>2.2994688375502698E-2</v>
      </c>
      <c r="CZ29" s="2">
        <f>297.141335312288*(1/14151.6638359215)</f>
        <v>2.0996918719765459E-2</v>
      </c>
      <c r="DA29" s="2">
        <f>269.064700302538*(1/14151.6638359215)</f>
        <v>1.9012937519019123E-2</v>
      </c>
      <c r="DB29" s="2">
        <f>241.76591540138*(1/14151.6638359215)</f>
        <v>1.7083921594272182E-2</v>
      </c>
      <c r="DC29" s="2">
        <f>215.827701137544*(1/14151.6638359215)</f>
        <v>1.5251047766532124E-2</v>
      </c>
      <c r="DD29" s="2">
        <f>191.832778039764*(1/14151.6638359215)</f>
        <v>1.355549285680673E-2</v>
      </c>
      <c r="DE29" s="2">
        <f>170.168717026274*(1/14151.6638359215)</f>
        <v>1.2024643815685529E-2</v>
      </c>
      <c r="DF29" s="2">
        <f>149.256795116616*(1/14151.6638359215)</f>
        <v>1.0546943232056854E-2</v>
      </c>
      <c r="DG29" s="2">
        <f>128.772081054405*(1/14151.6638359215)</f>
        <v>9.0994304660869489E-3</v>
      </c>
      <c r="DH29" s="2">
        <f>108.906268346224*(1/14151.6638359215)</f>
        <v>7.6956511692840429E-3</v>
      </c>
      <c r="DI29" s="2">
        <f>89.8510504986673*(1/14151.6638359215)</f>
        <v>6.3491509931571637E-3</v>
      </c>
      <c r="DJ29" s="2">
        <f>71.7981210183162*(1/14151.6638359215)</f>
        <v>5.0734755892144177E-3</v>
      </c>
      <c r="DK29" s="2">
        <f>54.9391734117569*(1/14151.6638359215)</f>
        <v>3.8821706089642626E-3</v>
      </c>
      <c r="DL29" s="2">
        <f>39.4659011855756*(1/14151.6638359215)</f>
        <v>2.7887817039151525E-3</v>
      </c>
      <c r="DM29" s="2">
        <f>25.5699978463558*(1/14151.6638359215)</f>
        <v>1.8068545255753516E-3</v>
      </c>
      <c r="DN29" s="2">
        <f>13.4431569006888*(1/14151.6638359215)</f>
        <v>9.4993472545367569E-4</v>
      </c>
      <c r="DO29" s="2">
        <f>3.27707185515784*(1/14151.6638359215)</f>
        <v>2.3156795505837073E-4</v>
      </c>
      <c r="DP29" s="2">
        <f>-4.56473461038136*(1/14151.6638359215)</f>
        <v>-3.22558157352112E-4</v>
      </c>
      <c r="DQ29" s="2">
        <f>-9.86608524408842*(1/14151.6638359215)</f>
        <v>-6.9716786368576012E-4</v>
      </c>
      <c r="DR29" s="2">
        <f>-12.998275426434*(1/14151.6638359215)</f>
        <v>-9.1849803508193672E-4</v>
      </c>
      <c r="DS29" s="2">
        <f>-14.3451233427407*(1/14151.6638359215)</f>
        <v>-1.0136704425050104E-3</v>
      </c>
      <c r="DT29" s="2">
        <f>-14.2904471783311*(1/14151.6638359215)</f>
        <v>-1.0098068569193484E-3</v>
      </c>
      <c r="DU29" s="2">
        <f>-13.2180651185278*(1/14151.6638359215)</f>
        <v>-9.3402904928931933E-4</v>
      </c>
      <c r="DV29" s="2">
        <f>-11.5117953486536*(1/14151.6638359215)</f>
        <v>-8.1345879057930556E-4</v>
      </c>
      <c r="DW29" s="2">
        <f>-9.55545605403112*(1/14151.6638359215)</f>
        <v>-6.7521785175367734E-4</v>
      </c>
      <c r="DX29" s="2">
        <f>-7.73286541998295*(1/14151.6638359215)</f>
        <v>-5.4642800377680228E-4</v>
      </c>
      <c r="DY29" s="2">
        <f>-6.4278416318315*(1/14151.6638359215)</f>
        <v>-4.5421101761303564E-4</v>
      </c>
      <c r="DZ29" s="2">
        <f>-5.97386577872744*(1/14151.6638359215)</f>
        <v>-4.2213169051993991E-4</v>
      </c>
      <c r="EA29" s="2">
        <f>-5.56461776018826*(1/14151.6638359215)</f>
        <v>-3.9321296949292001E-4</v>
      </c>
      <c r="EB29" s="2">
        <f>-4.84300874435076*(1/14151.6638359215)</f>
        <v>-3.4222186171901833E-4</v>
      </c>
      <c r="EC29" s="2">
        <f>-3.8752037837007*(1/14151.6638359215)</f>
        <v>-2.7383379287629621E-4</v>
      </c>
      <c r="ED29" s="2">
        <f>-2.72736793072387*(1/14151.6638359215)</f>
        <v>-1.9272418864281726E-4</v>
      </c>
      <c r="EE29" s="2">
        <f>-1.46566623790579*(1/14151.6638359215)</f>
        <v>-1.0356847469662579E-4</v>
      </c>
      <c r="EF29" s="2">
        <f>-0.156263757732741*(1/14151.6638359215)</f>
        <v>-1.104207671582002E-5</v>
      </c>
      <c r="EG29" s="2">
        <f>1.13467445730974*(1/14151.6638359215)</f>
        <v>8.0179579621554413E-5</v>
      </c>
      <c r="EH29" s="2">
        <f>2.34098335473587*(1/14151.6638359215)</f>
        <v>1.6542106863743451E-4</v>
      </c>
      <c r="EI29" s="2">
        <f>3.39649788205987*(1/14151.6638359215)</f>
        <v>2.4000696465375753E-4</v>
      </c>
      <c r="EJ29" s="2">
        <f>4.23505298679609*(1/14151.6638359215)</f>
        <v>2.9926184199246988E-4</v>
      </c>
      <c r="EK29" s="2">
        <f>4.83853377303609*(1/14151.6638359215)</f>
        <v>3.419056465116368E-4</v>
      </c>
      <c r="EL29" s="2">
        <f>5.32397892771324*(1/14151.6638359215)</f>
        <v>3.7620869103739305E-4</v>
      </c>
      <c r="EM29" s="2">
        <f>5.71362765520719*(1/14151.6638359215)</f>
        <v>4.0374246600630485E-4</v>
      </c>
      <c r="EN29" s="2">
        <f>6.02108986215506*(1/14151.6638359215)</f>
        <v>4.2546868919197945E-4</v>
      </c>
      <c r="EO29" s="2">
        <f>6.25997545519398*(1/14151.6638359215)</f>
        <v>4.4234907836802466E-4</v>
      </c>
      <c r="EP29" s="2">
        <f>6.44389434096107*(1/14151.6638359215)</f>
        <v>4.5534535130804777E-4</v>
      </c>
      <c r="EQ29" s="2">
        <f>6.58645642609348*(1/14151.6638359215)</f>
        <v>4.6541922578565803E-4</v>
      </c>
      <c r="ER29" s="2">
        <f>6.70127161722829*(1/14151.6638359215)</f>
        <v>4.735324195744599E-4</v>
      </c>
      <c r="ES29" s="2">
        <f>6.80194982100265*(1/14151.6638359215)</f>
        <v>4.8064665044806265E-4</v>
      </c>
      <c r="ET29" s="2">
        <f>6.90210094405369*(1/14151.6638359215)</f>
        <v>4.8772363618007419E-4</v>
      </c>
      <c r="EU29" s="2">
        <f>7.01477910638564*(1/14151.6638359215)</f>
        <v>4.956858209548379E-4</v>
      </c>
      <c r="EV29" s="2">
        <f>7.10874558579694*(1/14151.6638359215)</f>
        <v>5.023257807857649E-4</v>
      </c>
      <c r="EW29" s="2">
        <f>7.16418432485677*(1/14151.6638359215)</f>
        <v>5.062432522366559E-4</v>
      </c>
      <c r="EX29" s="2">
        <f>7.18760705432879*(1/14151.6638359215)</f>
        <v>5.0789837418864622E-4</v>
      </c>
      <c r="EY29" s="2">
        <f>7.18552550497661*(1/14151.6638359215)</f>
        <v>5.0775128552286715E-4</v>
      </c>
      <c r="EZ29" s="2">
        <f>7.16445140756387*(1/14151.6638359215)</f>
        <v>5.0626212512045236E-4</v>
      </c>
      <c r="FA29" s="2">
        <f>7.13089649285418*(1/14151.6638359215)</f>
        <v>5.0389103186253325E-4</v>
      </c>
      <c r="FB29" s="2">
        <f>7.09137249161116*(1/14151.6638359215)</f>
        <v>5.010981446302422E-4</v>
      </c>
      <c r="FC29" s="2">
        <f>7.05239113459845*(1/14151.6638359215)</f>
        <v>4.9834360230471277E-4</v>
      </c>
      <c r="FD29" s="2">
        <f>7.02046415257966*(1/14151.6638359215)</f>
        <v>4.9608754376707638E-4</v>
      </c>
      <c r="FE29" s="2">
        <f>7.00210327631843*(1/14151.6638359215)</f>
        <v>4.9479010789846691E-4</v>
      </c>
      <c r="FF29" s="2">
        <f t="shared" si="9"/>
        <v>4.9464148393856954E-4</v>
      </c>
      <c r="FG29" s="2">
        <f t="shared" si="9"/>
        <v>4.9464148393856954E-4</v>
      </c>
      <c r="FH29" s="2">
        <f t="shared" si="9"/>
        <v>4.9464148393856954E-4</v>
      </c>
      <c r="FI29" s="2">
        <f t="shared" si="9"/>
        <v>4.9464148393856954E-4</v>
      </c>
      <c r="FJ29" s="2">
        <f t="shared" si="9"/>
        <v>4.9464148393856954E-4</v>
      </c>
      <c r="FK29" s="2">
        <f t="shared" si="13"/>
        <v>4.9464148393856954E-4</v>
      </c>
      <c r="FL29" s="2">
        <f t="shared" si="13"/>
        <v>4.9464148393856954E-4</v>
      </c>
      <c r="FM29" s="2">
        <f t="shared" si="13"/>
        <v>4.9464148393856954E-4</v>
      </c>
      <c r="FN29" s="2">
        <f t="shared" si="13"/>
        <v>4.9464148393856954E-4</v>
      </c>
      <c r="FO29" s="2">
        <f t="shared" si="13"/>
        <v>4.9464148393856954E-4</v>
      </c>
      <c r="FP29" s="2">
        <f t="shared" si="13"/>
        <v>4.9464148393856954E-4</v>
      </c>
      <c r="FQ29" s="2"/>
    </row>
    <row r="30" spans="2:173">
      <c r="B30" s="2">
        <v>9.5556213017751492</v>
      </c>
      <c r="C30" s="2">
        <f t="shared" si="14"/>
        <v>4.9464148393856954E-4</v>
      </c>
      <c r="D30" s="2">
        <f t="shared" si="14"/>
        <v>4.9464148393856954E-4</v>
      </c>
      <c r="E30" s="2">
        <f t="shared" si="14"/>
        <v>4.9464148393856954E-4</v>
      </c>
      <c r="F30" s="2">
        <f t="shared" si="14"/>
        <v>4.9464148393856954E-4</v>
      </c>
      <c r="G30" s="2">
        <f t="shared" si="14"/>
        <v>4.9464148393856954E-4</v>
      </c>
      <c r="H30" s="2">
        <f t="shared" si="14"/>
        <v>4.9464148393856954E-4</v>
      </c>
      <c r="I30" s="2">
        <f t="shared" si="14"/>
        <v>4.9464148393856954E-4</v>
      </c>
      <c r="J30" s="2">
        <f t="shared" si="11"/>
        <v>4.9464148393856954E-4</v>
      </c>
      <c r="K30" s="2">
        <f t="shared" si="11"/>
        <v>4.9464148393856954E-4</v>
      </c>
      <c r="L30" s="2">
        <f t="shared" si="11"/>
        <v>4.9464148393856954E-4</v>
      </c>
      <c r="M30" s="2">
        <f t="shared" si="11"/>
        <v>4.9464148393856954E-4</v>
      </c>
      <c r="N30" s="2">
        <f>7.01062909130843*(1/14151.6638359215)</f>
        <v>4.9539256815252957E-4</v>
      </c>
      <c r="O30" s="2">
        <f>7.10341738953329*(1/14151.6638359215)</f>
        <v>5.0194927408482668E-4</v>
      </c>
      <c r="P30" s="2">
        <f>7.26476319279613*(1/14151.6638359215)</f>
        <v>5.1335046373528258E-4</v>
      </c>
      <c r="Q30" s="2">
        <f>7.46175889867872*(1/14151.6638359215)</f>
        <v>5.2727078491918123E-4</v>
      </c>
      <c r="R30" s="2">
        <f>7.66149690476287*(1/14151.6638359215)</f>
        <v>5.4138488545180899E-4</v>
      </c>
      <c r="S30" s="2">
        <f>7.83106960863026*(1/14151.6638359215)</f>
        <v>5.5336741314844355E-4</v>
      </c>
      <c r="T30" s="2">
        <f>7.9375694078627*(1/14151.6638359215)</f>
        <v>5.6089301582437124E-4</v>
      </c>
      <c r="U30" s="2">
        <f>7.94808870004196*(1/14151.6638359215)</f>
        <v>5.6163634129487584E-4</v>
      </c>
      <c r="V30" s="2">
        <f>7.82971988274981*(1/14151.6638359215)</f>
        <v>5.532720373752413E-4</v>
      </c>
      <c r="W30" s="2">
        <f>7.54955535356801*(1/14151.6638359215)</f>
        <v>5.334747518807504E-4</v>
      </c>
      <c r="X30" s="2">
        <f>7.07468751007822*(1/14151.6638359215)</f>
        <v>4.9991913262667921E-4</v>
      </c>
      <c r="Y30" s="2">
        <f>6.20096316623157*(1/14151.6638359215)</f>
        <v>4.3817908891331347E-4</v>
      </c>
      <c r="Z30" s="2">
        <f>4.74609619930513*(1/14151.6638359215)</f>
        <v>3.3537372384849924E-4</v>
      </c>
      <c r="AA30" s="2">
        <f>2.88342604710836*(1/14151.6638359215)</f>
        <v>2.0375173410982898E-4</v>
      </c>
      <c r="AB30" s="2">
        <f>0.790334584126006*(1/14151.6638359215)</f>
        <v>5.5847467357151408E-5</v>
      </c>
      <c r="AC30" s="2">
        <f>-1.35579631515719*(1/14151.6638359215)</f>
        <v>-9.5804728749685278E-5</v>
      </c>
      <c r="AD30" s="2">
        <f>-3.37758477625684*(1/14151.6638359215)</f>
        <v>-2.3867050655085781E-4</v>
      </c>
      <c r="AE30" s="2">
        <f>-5.09764892468741*(1/14151.6638359215)</f>
        <v>-3.6021551838646195E-4</v>
      </c>
      <c r="AF30" s="2">
        <f>-6.33860688596455*(1/14151.6638359215)</f>
        <v>-4.479054165966772E-4</v>
      </c>
      <c r="AG30" s="2">
        <f>-6.92307678560352*(1/14151.6638359215)</f>
        <v>-4.8920585352165531E-4</v>
      </c>
      <c r="AH30" s="2">
        <f>-6.67367674911956*(1/14151.6638359215)</f>
        <v>-4.7158248150154682E-4</v>
      </c>
      <c r="AI30" s="2">
        <f>-5.49654449587191*(1/14151.6638359215)</f>
        <v>-3.8840270371035115E-4</v>
      </c>
      <c r="AJ30" s="2">
        <f>-4.39825118535225*(1/14151.6638359215)</f>
        <v>-3.1079392757960136E-4</v>
      </c>
      <c r="AK30" s="2">
        <f>-3.48123944811304*(1/14151.6638359215)</f>
        <v>-2.45995063794303E-4</v>
      </c>
      <c r="AL30" s="2">
        <f>-2.43307845871371*(1/14151.6638359215)</f>
        <v>-1.7192879133673104E-4</v>
      </c>
      <c r="AM30" s="2">
        <f>-0.941337391713589*(1/14151.6638359215)</f>
        <v>-6.6517789189153169E-5</v>
      </c>
      <c r="AN30" s="2">
        <f>1.30641457832792*(1/14151.6638359215)</f>
        <v>9.2315263666157565E-5</v>
      </c>
      <c r="AO30" s="2">
        <f>4.62260827685145*(1/14151.6638359215)</f>
        <v>3.2664768824693075E-4</v>
      </c>
      <c r="AP30" s="2">
        <f>9.31967452929862*(1/14151.6638359215)</f>
        <v>6.5855680557096554E-4</v>
      </c>
      <c r="AQ30" s="2">
        <f>15.7100441611084*(1/14151.6638359215)</f>
        <v>1.1101199366558741E-3</v>
      </c>
      <c r="AR30" s="2">
        <f>24.1061479977221*(1/14151.6638359215)</f>
        <v>1.7034144025194339E-3</v>
      </c>
      <c r="AS30" s="2">
        <f>34.8204168645803*(1/14151.6638359215)</f>
        <v>2.4605175241793707E-3</v>
      </c>
      <c r="AT30" s="2">
        <f>48.1451662286063*(1/14151.6638359215)</f>
        <v>3.4020852096838462E-3</v>
      </c>
      <c r="AU30" s="2">
        <f>64.0114996367463*(1/14151.6638359215)</f>
        <v>4.5232490242076272E-3</v>
      </c>
      <c r="AV30" s="2">
        <f>82.0856361766074*(1/14151.6638359215)</f>
        <v>5.800422984062659E-3</v>
      </c>
      <c r="AW30" s="2">
        <f>102.029251273557*(1/14151.6638359215)</f>
        <v>7.2097000364419166E-3</v>
      </c>
      <c r="AX30" s="2">
        <f>123.504020352958*(1/14151.6638359215)</f>
        <v>8.7271731285380634E-3</v>
      </c>
      <c r="AY30" s="2">
        <f>146.171618840176*(1/14151.6638359215)</f>
        <v>1.0328935207543946E-2</v>
      </c>
      <c r="AZ30" s="2">
        <f>169.693722160575*(1/14151.6638359215)</f>
        <v>1.1991079220652305E-2</v>
      </c>
      <c r="BA30" s="2">
        <f>193.732005739523*(1/14151.6638359215)</f>
        <v>1.3689698115056161E-2</v>
      </c>
      <c r="BB30" s="2">
        <f>217.948145002376*(1/14151.6638359215)</f>
        <v>1.5400884837947685E-2</v>
      </c>
      <c r="BC30" s="2">
        <f>242.003815374502*(1/14151.6638359215)</f>
        <v>1.7100732336519899E-2</v>
      </c>
      <c r="BD30" s="2">
        <f>265.619811966389*(1/14151.6638359215)</f>
        <v>1.8769511136362639E-2</v>
      </c>
      <c r="BE30" s="2">
        <f>290.585147158567*(1/14151.6638359215)</f>
        <v>2.0533638343003025E-2</v>
      </c>
      <c r="BF30" s="2">
        <f>317.41921008367*(1/14151.6638359215)</f>
        <v>2.242981558662787E-2</v>
      </c>
      <c r="BG30" s="2">
        <f>345.500046966567*(1/14151.6638359215)</f>
        <v>2.4414093704626886E-2</v>
      </c>
      <c r="BH30" s="2">
        <f>374.205704032113*(1/14151.6638359215)</f>
        <v>2.6442523534388789E-2</v>
      </c>
      <c r="BI30" s="2">
        <f>402.914227505179*(1/14151.6638359215)</f>
        <v>2.8471155913303448E-2</v>
      </c>
      <c r="BJ30" s="2">
        <f>431.00366361063*(1/14151.6638359215)</f>
        <v>3.0456041678760294E-2</v>
      </c>
      <c r="BK30" s="2">
        <f>457.852058573331*(1/14151.6638359215)</f>
        <v>3.2353231668148762E-2</v>
      </c>
      <c r="BL30" s="2">
        <f>482.837458618147*(1/14151.6638359215)</f>
        <v>3.4118776718858275E-2</v>
      </c>
      <c r="BM30" s="2">
        <f>505.337909969947*(1/14151.6638359215)</f>
        <v>3.5708727668278553E-2</v>
      </c>
      <c r="BN30" s="2">
        <f>524.731458853588*(1/14151.6638359215)</f>
        <v>3.7079135353798462E-2</v>
      </c>
      <c r="BO30" s="2">
        <f>540.477026252375*(1/14151.6638359215)</f>
        <v>3.8191765471454288E-2</v>
      </c>
      <c r="BP30" s="2">
        <f>552.783611945291*(1/14151.6638359215)</f>
        <v>3.90613865870773E-2</v>
      </c>
      <c r="BQ30" s="2">
        <f>562.227455019349*(1/14151.6638359215)</f>
        <v>3.9728717523110878E-2</v>
      </c>
      <c r="BR30" s="2">
        <f>569.383737519304*(1/14151.6638359215)</f>
        <v>4.0234402408148212E-2</v>
      </c>
      <c r="BS30" s="2">
        <f>574.827641489908*(1/14151.6638359215)</f>
        <v>4.0619085370782307E-2</v>
      </c>
      <c r="BT30" s="2">
        <f>579.134348975918*(1/14151.6638359215)</f>
        <v>4.0923410539606499E-2</v>
      </c>
      <c r="BU30" s="2">
        <f>582.879042022088*(1/14151.6638359215)</f>
        <v>4.1188022043213923E-2</v>
      </c>
      <c r="BV30" s="2">
        <f>586.636902673172*(1/14151.6638359215)</f>
        <v>4.1453564010197716E-2</v>
      </c>
      <c r="BW30" s="2">
        <f>590.983112973926*(1/14151.6638359215)</f>
        <v>4.1760680569151151E-2</v>
      </c>
      <c r="BX30" s="2">
        <f>596.492854969104*(1/14151.6638359215)</f>
        <v>4.2150015848667365E-2</v>
      </c>
      <c r="BY30" s="2">
        <f>603.74223970144*(1/14151.6638359215)</f>
        <v>4.2662279623187978E-2</v>
      </c>
      <c r="BZ30" s="2">
        <f>613.328842525883*(1/14151.6638359215)</f>
        <v>4.3339698401332574E-2</v>
      </c>
      <c r="CA30" s="2">
        <f>624.933179906766*(1/14151.6638359215)</f>
        <v>4.4159696495933112E-2</v>
      </c>
      <c r="CB30" s="2">
        <f>637.837323261223*(1/14151.6638359215)</f>
        <v>4.5071542869905203E-2</v>
      </c>
      <c r="CC30" s="2">
        <f>651.323344006389*(1/14151.6638359215)</f>
        <v>4.6024506486164525E-2</v>
      </c>
      <c r="CD30" s="2">
        <f>664.673313559401*(1/14151.6638359215)</f>
        <v>4.6967856307626892E-2</v>
      </c>
      <c r="CE30" s="2">
        <f>677.169303337389*(1/14151.6638359215)</f>
        <v>4.7850861297207635E-2</v>
      </c>
      <c r="CF30" s="2">
        <f>688.09338475749*(1/14151.6638359215)</f>
        <v>4.862279041782256E-2</v>
      </c>
      <c r="CG30" s="2">
        <f>696.72762923684*(1/14151.6638359215)</f>
        <v>4.9232912632387438E-2</v>
      </c>
      <c r="CH30" s="2">
        <f>702.354108192572*(1/14151.6638359215)</f>
        <v>4.9630496903817774E-2</v>
      </c>
      <c r="CI30" s="2">
        <f>704.254893041822*(1/14151.6638359215)</f>
        <v>4.9764812195029345E-2</v>
      </c>
      <c r="CJ30" s="2">
        <f>701.95496568903*(1/14151.6638359215)</f>
        <v>4.960229226949564E-2</v>
      </c>
      <c r="CK30" s="2">
        <f>696.541800460921*(1/14151.6638359215)</f>
        <v>4.9219781400747564E-2</v>
      </c>
      <c r="CL30" s="2">
        <f>688.429559225522*(1/14151.6638359215)</f>
        <v>4.8646545537498219E-2</v>
      </c>
      <c r="CM30" s="2">
        <f>677.828153361976*(1/14151.6638359215)</f>
        <v>4.7897417662044015E-2</v>
      </c>
      <c r="CN30" s="2">
        <f>664.947494249423*(1/14151.6638359215)</f>
        <v>4.6987230756681146E-2</v>
      </c>
      <c r="CO30" s="2">
        <f>649.997493267002*(1/14151.6638359215)</f>
        <v>4.5930817803705754E-2</v>
      </c>
      <c r="CP30" s="2">
        <f>633.188061793851*(1/14151.6638359215)</f>
        <v>4.4743011785413879E-2</v>
      </c>
      <c r="CQ30" s="2">
        <f>614.729111209117*(1/14151.6638359215)</f>
        <v>4.3438645684102231E-2</v>
      </c>
      <c r="CR30" s="2">
        <f>594.830552891938*(1/14151.6638359215)</f>
        <v>4.2032552482066859E-2</v>
      </c>
      <c r="CS30" s="2">
        <f>573.702298221453*(1/14151.6638359215)</f>
        <v>4.0539565161603897E-2</v>
      </c>
      <c r="CT30" s="2">
        <f>551.554258576804*(1/14151.6638359215)</f>
        <v>3.8974516705009697E-2</v>
      </c>
      <c r="CU30" s="2">
        <f>527.254314021499*(1/14151.6638359215)</f>
        <v>3.7257408042943828E-2</v>
      </c>
      <c r="CV30" s="2">
        <f>499.613787274659*(1/14151.6638359215)</f>
        <v>3.5304243590529451E-2</v>
      </c>
      <c r="CW30" s="2">
        <f>469.327445385821*(1/14151.6638359215)</f>
        <v>3.3164117719820065E-2</v>
      </c>
      <c r="CX30" s="2">
        <f>437.096339740739*(1/14151.6638359215)</f>
        <v>3.0886568873353754E-2</v>
      </c>
      <c r="CY30" s="2">
        <f>403.621521725172*(1/14151.6638359215)</f>
        <v>2.8521135493668952E-2</v>
      </c>
      <c r="CZ30" s="2">
        <f>369.604042724878*(1/14151.6638359215)</f>
        <v>2.6117356023304016E-2</v>
      </c>
      <c r="DA30" s="2">
        <f>335.74495412561*(1/14151.6638359215)</f>
        <v>2.3724768904796953E-2</v>
      </c>
      <c r="DB30" s="2">
        <f>302.745307313139*(1/14151.6638359215)</f>
        <v>2.1392912580687051E-2</v>
      </c>
      <c r="DC30" s="2">
        <f>271.30615367322*(1/14151.6638359215)</f>
        <v>1.9171325493512449E-2</v>
      </c>
      <c r="DD30" s="2">
        <f>242.128544591609*(1/14151.6638359215)</f>
        <v>1.7109546085811368E-2</v>
      </c>
      <c r="DE30" s="2">
        <f>215.670594307905*(1/14151.6638359215)</f>
        <v>1.5239946115767905E-2</v>
      </c>
      <c r="DF30" s="2">
        <f>189.95854353742*(1/14151.6638359215)</f>
        <v>1.3423053694594116E-2</v>
      </c>
      <c r="DG30" s="2">
        <f>164.610761196674*(1/14151.6638359215)</f>
        <v>1.1631901598654333E-2</v>
      </c>
      <c r="DH30" s="2">
        <f>139.892039305733*(1/14151.6638359215)</f>
        <v>9.885200844768639E-3</v>
      </c>
      <c r="DI30" s="2">
        <f>116.067169884679*(1/14151.6638359215)</f>
        <v>8.2016624497582395E-3</v>
      </c>
      <c r="DJ30" s="2">
        <f>93.400944953576*(1/14151.6638359215)</f>
        <v>6.599997430443069E-3</v>
      </c>
      <c r="DK30" s="2">
        <f>72.1581565324951*(1/14151.6638359215)</f>
        <v>5.098916803643566E-3</v>
      </c>
      <c r="DL30" s="2">
        <f>52.6035966415073*(1/14151.6638359215)</f>
        <v>3.7171315861801607E-3</v>
      </c>
      <c r="DM30" s="2">
        <f>35.0020573006799*(1/14151.6638359215)</f>
        <v>2.4733527948730214E-3</v>
      </c>
      <c r="DN30" s="2">
        <f>19.61833053009*(1/14151.6638359215)</f>
        <v>1.3862914465430087E-3</v>
      </c>
      <c r="DO30" s="2">
        <f>6.71720834980511*(1/14151.6638359215)</f>
        <v>4.7465855801030705E-4</v>
      </c>
      <c r="DP30" s="2">
        <f>-3.26738594565991*(1/14151.6638359215)</f>
        <v>-2.3088351896589202E-4</v>
      </c>
      <c r="DQ30" s="2">
        <f>-10.1368487805726*(1/14151.6638359215)</f>
        <v>-7.1630084618333012E-4</v>
      </c>
      <c r="DR30" s="2">
        <f>-14.3444726089987*(1/14151.6638359215)</f>
        <v>-1.0136244596616116E-3</v>
      </c>
      <c r="DS30" s="2">
        <f>-16.3568422873362*(1/14151.6638359215)</f>
        <v>-1.1558246773653033E-3</v>
      </c>
      <c r="DT30" s="2">
        <f>-16.640542671983*(1/14151.6638359215)</f>
        <v>-1.1758718172589658E-3</v>
      </c>
      <c r="DU30" s="2">
        <f>-15.6621586193371*(1/14151.6638359215)</f>
        <v>-1.1067361973071659E-3</v>
      </c>
      <c r="DV30" s="2">
        <f>-13.8882749857967*(1/14151.6638359215)</f>
        <v>-9.8138813547448507E-4</v>
      </c>
      <c r="DW30" s="2">
        <f>-11.7854766277598*(1/14151.6638359215)</f>
        <v>-8.3279794972549088E-4</v>
      </c>
      <c r="DX30" s="2">
        <f>-9.8203484016245*(1/14151.6638359215)</f>
        <v>-6.9393595802475741E-4</v>
      </c>
      <c r="DY30" s="2">
        <f>-8.45947516378854*(1/14151.6638359215)</f>
        <v>-5.9777247833683379E-4</v>
      </c>
      <c r="DZ30" s="2">
        <f>-8.10765801216017*(1/14151.6638359215)</f>
        <v>-5.7291199862876286E-4</v>
      </c>
      <c r="EA30" s="2">
        <f>-7.77311375583563*(1/14151.6638359215)</f>
        <v>-5.4927207471569203E-4</v>
      </c>
      <c r="EB30" s="2">
        <f>-7.02141717021294*(1/14151.6638359215)</f>
        <v>-4.9615488691798291E-4</v>
      </c>
      <c r="EC30" s="2">
        <f>-5.93851172731831*(1/14151.6638359215)</f>
        <v>-4.1963346474104668E-4</v>
      </c>
      <c r="ED30" s="2">
        <f>-4.61034089917799*(1/14151.6638359215)</f>
        <v>-3.2578083769029713E-4</v>
      </c>
      <c r="EE30" s="2">
        <f>-3.12284815781789*(1/14151.6638359215)</f>
        <v>-2.206700352711242E-4</v>
      </c>
      <c r="EF30" s="2">
        <f>-1.56197697526483*(1/14151.6638359215)</f>
        <v>-1.1037408698898199E-4</v>
      </c>
      <c r="EG30" s="2">
        <f>-0.0136708235447767*(1/14151.6638359215)</f>
        <v>-9.6602234926438314E-7</v>
      </c>
      <c r="EH30" s="2">
        <f>1.43612682531606*(1/14151.6638359215)</f>
        <v>1.0148112914261754E-4</v>
      </c>
      <c r="EI30" s="2">
        <f>2.70147249929143*(1/14151.6638359215)</f>
        <v>1.9089433798124989E-4</v>
      </c>
      <c r="EJ30" s="2">
        <f>3.69642272635529*(1/14151.6638359215)</f>
        <v>2.6120057466123337E-4</v>
      </c>
      <c r="EK30" s="2">
        <f>4.39945409651993*(1/14151.6638359215)</f>
        <v>3.108789289746053E-4</v>
      </c>
      <c r="EL30" s="2">
        <f>4.96743618757349*(1/14151.6638359215)</f>
        <v>3.510142867416431E-4</v>
      </c>
      <c r="EM30" s="2">
        <f>5.42713329100698*(1/14151.6638359215)</f>
        <v>3.8349789494230072E-4</v>
      </c>
      <c r="EN30" s="2">
        <f>5.79364433851113*(1/14151.6638359215)</f>
        <v>4.0939669043049107E-4</v>
      </c>
      <c r="EO30" s="2">
        <f>6.08206826177663*(1/14151.6638359215)</f>
        <v>4.2977761006012411E-4</v>
      </c>
      <c r="EP30" s="2">
        <f>6.30750399249422*(1/14151.6638359215)</f>
        <v>4.4570759068511328E-4</v>
      </c>
      <c r="EQ30" s="2">
        <f>6.48505046235463*(1/14151.6638359215)</f>
        <v>4.5825356915937159E-4</v>
      </c>
      <c r="ER30" s="2">
        <f>6.62980660304851*(1/14151.6638359215)</f>
        <v>4.6848248233680601E-4</v>
      </c>
      <c r="ES30" s="2">
        <f>6.75687134626661*(1/14151.6638359215)</f>
        <v>4.7746126707133091E-4</v>
      </c>
      <c r="ET30" s="2">
        <f>6.88134362369965*(1/14151.6638359215)</f>
        <v>4.8625686021685837E-4</v>
      </c>
      <c r="EU30" s="2">
        <f>7.01769027353636*(1/14151.6638359215)</f>
        <v>4.9589153296047018E-4</v>
      </c>
      <c r="EV30" s="2">
        <f>7.13016613511143*(1/14151.6638359215)</f>
        <v>5.038394225428647E-4</v>
      </c>
      <c r="EW30" s="2">
        <f>7.1965251173725*(1/14151.6638359215)</f>
        <v>5.0852855189404593E-4</v>
      </c>
      <c r="EX30" s="2">
        <f>7.22456162245719*(1/14151.6638359215)</f>
        <v>5.105096973911235E-4</v>
      </c>
      <c r="EY30" s="2">
        <f>7.22207005250305*(1/14151.6638359215)</f>
        <v>5.103336354112017E-4</v>
      </c>
      <c r="EZ30" s="2">
        <f>7.19684480964767*(1/14151.6638359215)</f>
        <v>5.0855114233138799E-4</v>
      </c>
      <c r="FA30" s="2">
        <f>7.15668029602861*(1/14151.6638359215)</f>
        <v>5.0571299452878762E-4</v>
      </c>
      <c r="FB30" s="2">
        <f>7.10937091378343*(1/14151.6638359215)</f>
        <v>5.0236996838050568E-4</v>
      </c>
      <c r="FC30" s="2">
        <f>7.06271106504973*(1/14151.6638359215)</f>
        <v>4.9907284026365047E-4</v>
      </c>
      <c r="FD30" s="2">
        <f>7.02449515196506*(1/14151.6638359215)</f>
        <v>4.963723865553264E-4</v>
      </c>
      <c r="FE30" s="2">
        <f>7.00251757666699*(1/14151.6638359215)</f>
        <v>4.948193836326394E-4</v>
      </c>
      <c r="FF30" s="2">
        <f t="shared" si="9"/>
        <v>4.9464148393856954E-4</v>
      </c>
      <c r="FG30" s="2">
        <f t="shared" si="9"/>
        <v>4.9464148393856954E-4</v>
      </c>
      <c r="FH30" s="2">
        <f t="shared" si="9"/>
        <v>4.9464148393856954E-4</v>
      </c>
      <c r="FI30" s="2">
        <f t="shared" si="9"/>
        <v>4.9464148393856954E-4</v>
      </c>
      <c r="FJ30" s="2">
        <f t="shared" si="9"/>
        <v>4.9464148393856954E-4</v>
      </c>
      <c r="FK30" s="2">
        <f t="shared" si="13"/>
        <v>4.9464148393856954E-4</v>
      </c>
      <c r="FL30" s="2">
        <f t="shared" si="13"/>
        <v>4.9464148393856954E-4</v>
      </c>
      <c r="FM30" s="2">
        <f t="shared" si="13"/>
        <v>4.9464148393856954E-4</v>
      </c>
      <c r="FN30" s="2">
        <f t="shared" si="13"/>
        <v>4.9464148393856954E-4</v>
      </c>
      <c r="FO30" s="2">
        <f t="shared" si="13"/>
        <v>4.9464148393856954E-4</v>
      </c>
      <c r="FP30" s="2">
        <f t="shared" si="13"/>
        <v>4.9464148393856954E-4</v>
      </c>
      <c r="FQ30" s="2"/>
    </row>
    <row r="31" spans="2:173">
      <c r="B31" s="2">
        <v>9.5650887573964507</v>
      </c>
      <c r="C31" s="2">
        <f t="shared" si="14"/>
        <v>4.9464148393856954E-4</v>
      </c>
      <c r="D31" s="2">
        <f t="shared" si="14"/>
        <v>4.9464148393856954E-4</v>
      </c>
      <c r="E31" s="2">
        <f t="shared" si="14"/>
        <v>4.9464148393856954E-4</v>
      </c>
      <c r="F31" s="2">
        <f>7*(1/14151.6638359215)</f>
        <v>4.9464148393856954E-4</v>
      </c>
      <c r="G31" s="2">
        <f t="shared" si="14"/>
        <v>4.9464148393856954E-4</v>
      </c>
      <c r="H31" s="2">
        <f t="shared" si="14"/>
        <v>4.9464148393856954E-4</v>
      </c>
      <c r="I31" s="2">
        <f t="shared" si="14"/>
        <v>4.9464148393856954E-4</v>
      </c>
      <c r="J31" s="2">
        <f t="shared" si="11"/>
        <v>4.9464148393856954E-4</v>
      </c>
      <c r="K31" s="2">
        <f t="shared" si="11"/>
        <v>4.9464148393856954E-4</v>
      </c>
      <c r="L31" s="2">
        <f t="shared" si="11"/>
        <v>4.9464148393856954E-4</v>
      </c>
      <c r="M31" s="2">
        <f t="shared" si="11"/>
        <v>4.9464148393856954E-4</v>
      </c>
      <c r="N31" s="2">
        <f>7.01118158035901*(1/14151.6638359215)</f>
        <v>4.9543160872450663E-4</v>
      </c>
      <c r="O31" s="2">
        <f>7.10879291728994*(1/14151.6638359215)</f>
        <v>5.0232912537432695E-4</v>
      </c>
      <c r="P31" s="2">
        <f>7.27852530667503*(1/14151.6638359215)</f>
        <v>5.1432293693973847E-4</v>
      </c>
      <c r="Q31" s="2">
        <f>7.48576064333628*(1/14151.6638359215)</f>
        <v>5.2896682186125696E-4</v>
      </c>
      <c r="R31" s="2">
        <f>7.69588082209574*(1/14151.6638359215)</f>
        <v>5.4381455857940224E-4</v>
      </c>
      <c r="S31" s="2">
        <f>7.87426773777532*(1/14151.6638359215)</f>
        <v>5.5641992553468389E-4</v>
      </c>
      <c r="T31" s="2">
        <f>7.98630328519708*(1/14151.6638359215)</f>
        <v>5.6433670116762236E-4</v>
      </c>
      <c r="U31" s="2">
        <f>7.997369359183*(1/14151.6638359215)</f>
        <v>5.6511866391873225E-4</v>
      </c>
      <c r="V31" s="2">
        <f>7.87284785455511*(1/14151.6638359215)</f>
        <v>5.5631959222853195E-4</v>
      </c>
      <c r="W31" s="2">
        <f>7.57812066613541*(1/14151.6638359215)</f>
        <v>5.3549326453753722E-4</v>
      </c>
      <c r="X31" s="2">
        <f>7.07856968874577*(1/14151.6638359215)</f>
        <v>5.0019345928625509E-4</v>
      </c>
      <c r="Y31" s="2">
        <f>6.1312842032169*(1/14151.6638359215)</f>
        <v>4.332553595326168E-4</v>
      </c>
      <c r="Z31" s="2">
        <f>4.51304045290402*(1/14151.6638359215)</f>
        <v>3.1890528952846264E-4</v>
      </c>
      <c r="AA31" s="2">
        <f>2.42832286788134*(1/14151.6638359215)</f>
        <v>1.7159274669296986E-4</v>
      </c>
      <c r="AB31" s="2">
        <f>0.0865021353765698*(1/14151.6638359215)</f>
        <v>6.112506372360217E-6</v>
      </c>
      <c r="AC31" s="2">
        <f>-2.30305105738257*(1/14151.6638359215)</f>
        <v>-1.6274065608714374E-4</v>
      </c>
      <c r="AD31" s="2">
        <f>-4.53096602316875*(1/14151.6638359215)</f>
        <v>-3.201719653393471E-4</v>
      </c>
      <c r="AE31" s="2">
        <f>-6.3878720747534*(1/14151.6638359215)</f>
        <v>-4.5138664603796723E-4</v>
      </c>
      <c r="AF31" s="2">
        <f>-7.66439852490924*(1/14151.6638359215)</f>
        <v>-5.4158992283681281E-4</v>
      </c>
      <c r="AG31" s="2">
        <f>-8.15117468640856*(1/14151.6638359215)</f>
        <v>-5.7598702038966199E-4</v>
      </c>
      <c r="AH31" s="2">
        <f>-7.63882987202363*(1/14151.6638359215)</f>
        <v>-5.3978316335029169E-4</v>
      </c>
      <c r="AI31" s="2">
        <f>-6.01825032409288*(1/14151.6638359215)</f>
        <v>-4.2526803871758276E-4</v>
      </c>
      <c r="AJ31" s="2">
        <f>-4.49917703141862*(1/14151.6638359215)</f>
        <v>-3.1792565761760489E-4</v>
      </c>
      <c r="AK31" s="2">
        <f>-3.20138436844787*(1/14151.6638359215)</f>
        <v>-2.2621964495239924E-4</v>
      </c>
      <c r="AL31" s="2">
        <f>-1.74605482016014*(1/14151.6638359215)</f>
        <v>-1.2338159246887197E-4</v>
      </c>
      <c r="AM31" s="2">
        <f>0.245629128465112*(1/14151.6638359215)</f>
        <v>1.7356908086074362E-5</v>
      </c>
      <c r="AN31" s="2">
        <f>3.15248499244838*(1/14151.6638359215)</f>
        <v>2.2276426496553386E-4</v>
      </c>
      <c r="AO31" s="2">
        <f>7.35333028681017*(1/14151.6638359215)</f>
        <v>5.1960888642260141E-4</v>
      </c>
      <c r="AP31" s="2">
        <f>13.2269825265723*(1/14151.6638359215)</f>
        <v>9.3465918071046462E-4</v>
      </c>
      <c r="AQ31" s="2">
        <f>21.152259226753*(1/14151.6638359215)</f>
        <v>1.4946835560820577E-3</v>
      </c>
      <c r="AR31" s="2">
        <f>31.5079779023739*(1/14151.6638359215)</f>
        <v>2.2264504207905548E-3</v>
      </c>
      <c r="AS31" s="2">
        <f>44.6729560684555*(1/14151.6638359215)</f>
        <v>3.1567281830890506E-3</v>
      </c>
      <c r="AT31" s="2">
        <f>61.0155885422236*(1/14151.6638359215)</f>
        <v>4.311548751415809E-3</v>
      </c>
      <c r="AU31" s="2">
        <f>80.4787311802003*(1/14151.6638359215)</f>
        <v>5.6868741452096435E-3</v>
      </c>
      <c r="AV31" s="2">
        <f>102.644207184878*(1/14151.6638359215)</f>
        <v>7.2531547085180051E-3</v>
      </c>
      <c r="AW31" s="2">
        <f>127.086620612767*(1/14151.6638359215)</f>
        <v>8.9803306583767246E-3</v>
      </c>
      <c r="AX31" s="2">
        <f>153.380575520373*(1/14151.6638359215)</f>
        <v>1.0838342211821304E-2</v>
      </c>
      <c r="AY31" s="2">
        <f>181.100675964203*(1/14151.6638359215)</f>
        <v>1.2797129585887343E-2</v>
      </c>
      <c r="AZ31" s="2">
        <f>209.821526000764*(1/14151.6638359215)</f>
        <v>1.4826632997610438E-2</v>
      </c>
      <c r="BA31" s="2">
        <f>239.117729686566*(1/14151.6638359215)</f>
        <v>1.6896792664026394E-2</v>
      </c>
      <c r="BB31" s="2">
        <f>268.563891078107*(1/14151.6638359215)</f>
        <v>1.8977548802170174E-2</v>
      </c>
      <c r="BC31" s="2">
        <f>297.734614231897*(1/14151.6638359215)</f>
        <v>2.1038841629077584E-2</v>
      </c>
      <c r="BD31" s="2">
        <f>326.277556611385*(1/14151.6638359215)</f>
        <v>2.3055773539729447E-2</v>
      </c>
      <c r="BE31" s="2">
        <f>356.399553272713*(1/14151.6638359215)</f>
        <v>2.5184286272265433E-2</v>
      </c>
      <c r="BF31" s="2">
        <f>388.748361506575*(1/14151.6638359215)</f>
        <v>2.7470152344899964E-2</v>
      </c>
      <c r="BG31" s="2">
        <f>422.563039138627*(1/14151.6638359215)</f>
        <v>2.9859601248160329E-2</v>
      </c>
      <c r="BH31" s="2">
        <f>457.082643994507*(1/14151.6638359215)</f>
        <v>3.2298862472572548E-2</v>
      </c>
      <c r="BI31" s="2">
        <f>491.546233899872*(1/14151.6638359215)</f>
        <v>3.4734165508663983E-2</v>
      </c>
      <c r="BJ31" s="2">
        <f>525.192866680373*(1/14151.6638359215)</f>
        <v>3.7111739846961575E-2</v>
      </c>
      <c r="BK31" s="2">
        <f>557.261600161658*(1/14151.6638359215)</f>
        <v>3.9377814977992046E-2</v>
      </c>
      <c r="BL31" s="2">
        <f>586.99149216938*(1/14151.6638359215)</f>
        <v>4.1478620392282478E-2</v>
      </c>
      <c r="BM31" s="2">
        <f>613.621600529193*(1/14151.6638359215)</f>
        <v>4.3360385580360018E-2</v>
      </c>
      <c r="BN31" s="2">
        <f>636.390983066738*(1/14151.6638359215)</f>
        <v>4.4969340032750917E-2</v>
      </c>
      <c r="BO31" s="2">
        <f>654.615879673327*(1/14151.6638359215)</f>
        <v>4.6257167161623793E-2</v>
      </c>
      <c r="BP31" s="2">
        <f>668.484962172008*(1/14151.6638359215)</f>
        <v>4.7237199097054365E-2</v>
      </c>
      <c r="BQ31" s="2">
        <f>678.728260538263*(1/14151.6638359215)</f>
        <v>4.7961021997670071E-2</v>
      </c>
      <c r="BR31" s="2">
        <f>686.083135682486*(1/14151.6638359215)</f>
        <v>4.8480740048458836E-2</v>
      </c>
      <c r="BS31" s="2">
        <f>691.28694851507*(1/14151.6638359215)</f>
        <v>4.8848457434408535E-2</v>
      </c>
      <c r="BT31" s="2">
        <f>695.077059946409*(1/14151.6638359215)</f>
        <v>4.9116278340507115E-2</v>
      </c>
      <c r="BU31" s="2">
        <f>698.190830886896*(1/14151.6638359215)</f>
        <v>4.9336306951742445E-2</v>
      </c>
      <c r="BV31" s="2">
        <f>701.365622246926*(1/14151.6638359215)</f>
        <v>4.9560647453102527E-2</v>
      </c>
      <c r="BW31" s="2">
        <f>705.338794936894*(1/14151.6638359215)</f>
        <v>4.9841404029575383E-2</v>
      </c>
      <c r="BX31" s="2">
        <f>710.847709867191*(1/14151.6638359215)</f>
        <v>5.0230680866148736E-2</v>
      </c>
      <c r="BY31" s="2">
        <f>718.630335154442*(1/14151.6638359215)</f>
        <v>5.0780625054866399E-2</v>
      </c>
      <c r="BZ31" s="2">
        <f>729.30185800515*(1/14151.6638359215)</f>
        <v>5.1534707611831911E-2</v>
      </c>
      <c r="CA31" s="2">
        <f>742.394256328996*(1/14151.6638359215)</f>
        <v>5.2459856659720763E-2</v>
      </c>
      <c r="CB31" s="2">
        <f>757.072565512722*(1/14151.6638359215)</f>
        <v>5.3497071036341819E-2</v>
      </c>
      <c r="CC31" s="2">
        <f>772.501820943065*(1/14151.6638359215)</f>
        <v>5.458734957950355E-2</v>
      </c>
      <c r="CD31" s="2">
        <f>787.847058006769*(1/14151.6638359215)</f>
        <v>5.5671691127014929E-2</v>
      </c>
      <c r="CE31" s="2">
        <f>802.273312090565*(1/14151.6638359215)</f>
        <v>5.6691094516684033E-2</v>
      </c>
      <c r="CF31" s="2">
        <f>814.945618581198*(1/14151.6638359215)</f>
        <v>5.7586558586319898E-2</v>
      </c>
      <c r="CG31" s="2">
        <f>825.029012865406*(1/14151.6638359215)</f>
        <v>5.8299082173731087E-2</v>
      </c>
      <c r="CH31" s="2">
        <f>831.688530329928*(1/14151.6638359215)</f>
        <v>5.8769664116726225E-2</v>
      </c>
      <c r="CI31" s="2">
        <f>834.089206361503*(1/14151.6638359215)</f>
        <v>5.8939303253113945E-2</v>
      </c>
      <c r="CJ31" s="2">
        <f>831.695865305067*(1/14151.6638359215)</f>
        <v>5.877018242858157E-2</v>
      </c>
      <c r="CK31" s="2">
        <f>825.861482226671*(1/14151.6638359215)</f>
        <v>5.8357907013758162E-2</v>
      </c>
      <c r="CL31" s="2">
        <f>817.045518848242*(1/14151.6638359215)</f>
        <v>5.7734943984064702E-2</v>
      </c>
      <c r="CM31" s="2">
        <f>805.450893036857*(1/14151.6638359215)</f>
        <v>5.6915632138771002E-2</v>
      </c>
      <c r="CN31" s="2">
        <f>791.280522659591*(1/14151.6638359215)</f>
        <v>5.5914310277146717E-2</v>
      </c>
      <c r="CO31" s="2">
        <f>774.737325583523*(1/14151.6638359215)</f>
        <v>5.474531719846179E-2</v>
      </c>
      <c r="CP31" s="2">
        <f>756.024219675726*(1/14151.6638359215)</f>
        <v>5.3422991701985743E-2</v>
      </c>
      <c r="CQ31" s="2">
        <f>735.344122803284*(1/14151.6638359215)</f>
        <v>5.1961672586988875E-2</v>
      </c>
      <c r="CR31" s="2">
        <f>712.89995283327*(1/14151.6638359215)</f>
        <v>5.0375698652740705E-2</v>
      </c>
      <c r="CS31" s="2">
        <f>688.894627632762*(1/14151.6638359215)</f>
        <v>4.8679408698511097E-2</v>
      </c>
      <c r="CT31" s="2">
        <f>663.531065068836*(1/14151.6638359215)</f>
        <v>4.6887141523569799E-2</v>
      </c>
      <c r="CU31" s="2">
        <f>635.53100777895*(1/14151.6638359215)</f>
        <v>4.4908571539536341E-2</v>
      </c>
      <c r="CV31" s="2">
        <f>603.593266323837*(1/14151.6638359215)</f>
        <v>4.2651752707107284E-2</v>
      </c>
      <c r="CW31" s="2">
        <f>568.518960754577*(1/14151.6638359215)</f>
        <v>4.0173294627836767E-2</v>
      </c>
      <c r="CX31" s="2">
        <f>531.116188120114*(1/14151.6638359215)</f>
        <v>3.7530299919361375E-2</v>
      </c>
      <c r="CY31" s="2">
        <f>492.193045469399*(1/14151.6638359215)</f>
        <v>3.4779871199318198E-2</v>
      </c>
      <c r="CZ31" s="2">
        <f>452.557629851382*(1/14151.6638359215)</f>
        <v>3.1979111085344208E-2</v>
      </c>
      <c r="DA31" s="2">
        <f>413.018038315006*(1/14151.6638359215)</f>
        <v>2.9185122195075932E-2</v>
      </c>
      <c r="DB31" s="2">
        <f>374.382367909237*(1/14151.6638359215)</f>
        <v>2.64550071461515E-2</v>
      </c>
      <c r="DC31" s="2">
        <f>337.458715683017*(1/14151.6638359215)</f>
        <v>2.3845868556207336E-2</v>
      </c>
      <c r="DD31" s="2">
        <f>303.055178685298*(1/14151.6638359215)</f>
        <v>2.1414809042880595E-2</v>
      </c>
      <c r="DE31" s="2">
        <f>271.690408973337*(1/14151.6638359215)</f>
        <v>1.9198478152349752E-2</v>
      </c>
      <c r="DF31" s="2">
        <f>241.003376425148*(1/14151.6638359215)</f>
        <v>1.7030038249877269E-2</v>
      </c>
      <c r="DG31" s="2">
        <f>210.564886721903*(1/14151.6638359215)</f>
        <v>1.4879161147639843E-2</v>
      </c>
      <c r="DH31" s="2">
        <f>180.719586882589*(1/14151.6638359215)</f>
        <v>1.277020066176701E-2</v>
      </c>
      <c r="DI31" s="2">
        <f>151.812123926209*(1/14151.6638359215)</f>
        <v>1.0727510608389435E-2</v>
      </c>
      <c r="DJ31" s="2">
        <f>124.18714487175*(1/14151.6638359215)</f>
        <v>8.7754448036366471E-3</v>
      </c>
      <c r="DK31" s="2">
        <f>98.1892967382032*(1/14151.6638359215)</f>
        <v>6.9383570636384825E-3</v>
      </c>
      <c r="DL31" s="2">
        <f>74.1632265445618*(1/14151.6638359215)</f>
        <v>5.2406012045249084E-3</v>
      </c>
      <c r="DM31" s="2">
        <f>52.453581309814*(1/14151.6638359215)</f>
        <v>3.7065310424255447E-3</v>
      </c>
      <c r="DN31" s="2">
        <f>33.4050080529598*(1/14151.6638359215)</f>
        <v>2.3605003934708429E-3</v>
      </c>
      <c r="DO31" s="2">
        <f>17.3621537929872*(1/14151.6638359215)</f>
        <v>1.2268630737904075E-3</v>
      </c>
      <c r="DP31" s="2">
        <f>4.81434414726793*(1/14151.6638359215)</f>
        <v>3.4019633331365372E-4</v>
      </c>
      <c r="DQ31" s="2">
        <f>-4.09054092456965*(1/14151.6638359215)</f>
        <v>-2.8905017614865426E-4</v>
      </c>
      <c r="DR31" s="2">
        <f>-9.87658573012817*(1/14151.6638359215)</f>
        <v>-6.9790986025672829E-4</v>
      </c>
      <c r="DS31" s="2">
        <f>-13.0807449896296*(1/14151.6638359215)</f>
        <v>-9.2432558752748493E-4</v>
      </c>
      <c r="DT31" s="2">
        <f>-14.2399734232959*(1/14151.6638359215)</f>
        <v>-1.0062402264778396E-3</v>
      </c>
      <c r="DU31" s="2">
        <f>-13.8912257513487*(1/14151.6638359215)</f>
        <v>-9.8159664562468452E-4</v>
      </c>
      <c r="DV31" s="2">
        <f>-12.5714566940102*(1/14151.6638359215)</f>
        <v>-8.8833771348495276E-4</v>
      </c>
      <c r="DW31" s="2">
        <f>-10.8176209715025*(1/14151.6638359215)</f>
        <v>-7.6440629857556957E-4</v>
      </c>
      <c r="DX31" s="2">
        <f>-9.16667330404755*(1/14151.6638359215)</f>
        <v>-6.4774526941345002E-4</v>
      </c>
      <c r="DY31" s="2">
        <f>-8.15556841186701*(1/14151.6638359215)</f>
        <v>-5.762974945154887E-4</v>
      </c>
      <c r="DZ31" s="2">
        <f>-8.2489580693829*(1/14151.6638359215)</f>
        <v>-5.8289669434094212E-4</v>
      </c>
      <c r="EA31" s="2">
        <f>-8.28196840971605*(1/14151.6638359215)</f>
        <v>-5.8522930630204313E-4</v>
      </c>
      <c r="EB31" s="2">
        <f>-7.75397768825566*(1/14151.6638359215)</f>
        <v>-5.4791986144933408E-4</v>
      </c>
      <c r="EC31" s="2">
        <f>-6.77507171197793*(1/14151.6638359215)</f>
        <v>-4.7874736077185544E-4</v>
      </c>
      <c r="ED31" s="2">
        <f>-5.45533628785907*(1/14151.6638359215)</f>
        <v>-3.8549080525864822E-4</v>
      </c>
      <c r="EE31" s="2">
        <f>-3.90485722287498*(1/14151.6638359215)</f>
        <v>-2.7592919589873171E-4</v>
      </c>
      <c r="EF31" s="2">
        <f>-2.23372032400244*(1/14151.6638359215)</f>
        <v>-1.5784153368118703E-4</v>
      </c>
      <c r="EG31" s="2">
        <f>-0.552011398217417*(1/14151.6638359215)</f>
        <v>-3.9006819595038253E-5</v>
      </c>
      <c r="EH31" s="2">
        <f>1.03018374750391*(1/14151.6638359215)</f>
        <v>7.2795945370675809E-5</v>
      </c>
      <c r="EI31" s="2">
        <f>2.40277930618532*(1/14151.6638359215)</f>
        <v>1.6978776022691331E-4</v>
      </c>
      <c r="EJ31" s="2">
        <f>3.45568947085078*(1/14151.6638359215)</f>
        <v>2.4418962398464571E-4</v>
      </c>
      <c r="EK31" s="2">
        <f>4.16600179253625*(1/14151.6638359215)</f>
        <v>2.9438247267869587E-4</v>
      </c>
      <c r="EL31" s="2">
        <f>4.74589741823755*(1/14151.6638359215)</f>
        <v>3.3535967736817823E-4</v>
      </c>
      <c r="EM31" s="2">
        <f>5.22473198599156*(1/14151.6638359215)</f>
        <v>3.6919559753316781E-4</v>
      </c>
      <c r="EN31" s="2">
        <f>5.61585921634573*(1/14151.6638359215)</f>
        <v>3.9683384805190634E-4</v>
      </c>
      <c r="EO31" s="2">
        <f>5.93263282984748*(1/14151.6638359215)</f>
        <v>4.192180438026333E-4</v>
      </c>
      <c r="EP31" s="2">
        <f>6.18840654704426*(1/14151.6638359215)</f>
        <v>4.3729179966359031E-4</v>
      </c>
      <c r="EQ31" s="2">
        <f>6.39653408848352*(1/14151.6638359215)</f>
        <v>4.5199873051301911E-4</v>
      </c>
      <c r="ER31" s="2">
        <f>6.57036917471264*(1/14151.6638359215)</f>
        <v>4.6428245122915641E-4</v>
      </c>
      <c r="ES31" s="2">
        <f>6.72326552627909*(1/14151.6638359215)</f>
        <v>4.7508657669024525E-4</v>
      </c>
      <c r="ET31" s="2">
        <f>6.86857686373031*(1/14151.6638359215)</f>
        <v>4.8535472177452666E-4</v>
      </c>
      <c r="EU31" s="2">
        <f>7.01905701867754*(1/14151.6638359215)</f>
        <v>4.9598811136686999E-4</v>
      </c>
      <c r="EV31" s="2">
        <f>7.14022273103372*(1/14151.6638359215)</f>
        <v>5.0455005247577501E-4</v>
      </c>
      <c r="EW31" s="2">
        <f>7.21170858803717*(1/14151.6638359215)</f>
        <v>5.0960146253131884E-4</v>
      </c>
      <c r="EX31" s="2">
        <f>7.24191118495879*(1/14151.6638359215)</f>
        <v>5.1173567072562004E-4</v>
      </c>
      <c r="EY31" s="2">
        <f>7.23922711706946*(1/14151.6638359215)</f>
        <v>5.1154600625079576E-4</v>
      </c>
      <c r="EZ31" s="2">
        <f>7.21205297964007*(1/14151.6638359215)</f>
        <v>5.0962579829896381E-4</v>
      </c>
      <c r="FA31" s="2">
        <f>7.16878536794149*(1/14151.6638359215)</f>
        <v>5.0656837606224048E-4</v>
      </c>
      <c r="FB31" s="2">
        <f>7.11782087724459*(1/14151.6638359215)</f>
        <v>5.0296706873274215E-4</v>
      </c>
      <c r="FC31" s="2">
        <f>7.06755610282028*(1/14151.6638359215)</f>
        <v>4.9941520550258816E-4</v>
      </c>
      <c r="FD31" s="2">
        <f>7.02638763993942*(1/14151.6638359215)</f>
        <v>4.9650611556389403E-4</v>
      </c>
      <c r="FE31" s="2">
        <f>7.0027120838729*(1/14151.6638359215)</f>
        <v>4.9483312810877768E-4</v>
      </c>
      <c r="FF31" s="2">
        <f t="shared" ref="FF31:FO34" si="15">7*(1/14151.6638359215)</f>
        <v>4.9464148393856954E-4</v>
      </c>
      <c r="FG31" s="2">
        <f t="shared" si="15"/>
        <v>4.9464148393856954E-4</v>
      </c>
      <c r="FH31" s="2">
        <f t="shared" si="15"/>
        <v>4.9464148393856954E-4</v>
      </c>
      <c r="FI31" s="2">
        <f t="shared" si="15"/>
        <v>4.9464148393856954E-4</v>
      </c>
      <c r="FJ31" s="2">
        <f t="shared" si="15"/>
        <v>4.9464148393856954E-4</v>
      </c>
      <c r="FK31" s="2">
        <f t="shared" si="15"/>
        <v>4.9464148393856954E-4</v>
      </c>
      <c r="FL31" s="2">
        <f t="shared" si="15"/>
        <v>4.9464148393856954E-4</v>
      </c>
      <c r="FM31" s="2">
        <f t="shared" si="15"/>
        <v>4.9464148393856954E-4</v>
      </c>
      <c r="FN31" s="2">
        <f t="shared" si="15"/>
        <v>4.9464148393856954E-4</v>
      </c>
      <c r="FO31" s="2">
        <f t="shared" si="15"/>
        <v>4.9464148393856954E-4</v>
      </c>
      <c r="FP31" s="2">
        <f t="shared" si="13"/>
        <v>4.9464148393856954E-4</v>
      </c>
      <c r="FQ31" s="2"/>
    </row>
    <row r="32" spans="2:173">
      <c r="B32" s="2">
        <v>9.5745562130177522</v>
      </c>
      <c r="C32" s="2">
        <f t="shared" si="14"/>
        <v>4.9464148393856954E-4</v>
      </c>
      <c r="D32" s="2">
        <f t="shared" si="14"/>
        <v>4.9464148393856954E-4</v>
      </c>
      <c r="E32" s="2">
        <f t="shared" si="14"/>
        <v>4.9464148393856954E-4</v>
      </c>
      <c r="F32" s="2">
        <f>7*(1/14151.6638359215)</f>
        <v>4.9464148393856954E-4</v>
      </c>
      <c r="G32" s="2">
        <f t="shared" si="14"/>
        <v>4.9464148393856954E-4</v>
      </c>
      <c r="H32" s="2">
        <f t="shared" si="14"/>
        <v>4.9464148393856954E-4</v>
      </c>
      <c r="I32" s="2">
        <f t="shared" si="14"/>
        <v>4.9464148393856954E-4</v>
      </c>
      <c r="J32" s="2">
        <f t="shared" si="11"/>
        <v>4.9464148393856954E-4</v>
      </c>
      <c r="K32" s="2">
        <f t="shared" si="11"/>
        <v>4.9464148393856954E-4</v>
      </c>
      <c r="L32" s="2">
        <f t="shared" si="11"/>
        <v>4.9464148393856954E-4</v>
      </c>
      <c r="M32" s="2">
        <f t="shared" si="11"/>
        <v>4.9464148393856954E-4</v>
      </c>
      <c r="N32" s="2">
        <f>7.01017440509289*(1/14151.6638359215)</f>
        <v>4.9536043862904663E-4</v>
      </c>
      <c r="O32" s="2">
        <f>7.09899344960247*(1/14151.6638359215)</f>
        <v>5.0163666491165012E-4</v>
      </c>
      <c r="P32" s="2">
        <f>7.25343727878779*(1/14151.6638359215)</f>
        <v>5.1255013989070467E-4</v>
      </c>
      <c r="Q32" s="2">
        <f>7.4420059960045*(1/14151.6638359215)</f>
        <v>5.2587498419191402E-4</v>
      </c>
      <c r="R32" s="2">
        <f>7.63319970460827*(1/14151.6638359215)</f>
        <v>5.3938531844098362E-4</v>
      </c>
      <c r="S32" s="2">
        <f>7.79551850795467*(1/14151.6638359215)</f>
        <v>5.5085526326361159E-4</v>
      </c>
      <c r="T32" s="2">
        <f>7.89746250939939*(1/14151.6638359215)</f>
        <v>5.5805893928550479E-4</v>
      </c>
      <c r="U32" s="2">
        <f>7.90753181229807*(1/14151.6638359215)</f>
        <v>5.587704671323662E-4</v>
      </c>
      <c r="V32" s="2">
        <f>7.79422652000635*(1/14151.6638359215)</f>
        <v>5.5076396742989911E-4</v>
      </c>
      <c r="W32" s="2">
        <f>7.52604673587989*(1/14151.6638359215)</f>
        <v>5.3181356080380813E-4</v>
      </c>
      <c r="X32" s="2">
        <f>7.07149256327421*(1/14151.6638359215)</f>
        <v>4.9969336787978767E-4</v>
      </c>
      <c r="Y32" s="2">
        <f>6.15397225990587*(1/14151.6638359215)</f>
        <v>4.3485856725094743E-4</v>
      </c>
      <c r="Z32" s="2">
        <f>4.50826039642374*(1/14151.6638359215)</f>
        <v>3.1856751606693182E-4</v>
      </c>
      <c r="AA32" s="2">
        <f>2.3641179432173*(1/14151.6638359215)</f>
        <v>1.6705582966268631E-4</v>
      </c>
      <c r="AB32" s="2">
        <f>-0.0429970519429199*(1/14151.6638359215)</f>
        <v>-3.0383036540042365E-6</v>
      </c>
      <c r="AC32" s="2">
        <f>-2.47762654128641*(1/14151.6638359215)</f>
        <v>-1.7507669557535648E-4</v>
      </c>
      <c r="AD32" s="2">
        <f>-4.70431247704303*(1/14151.6638359215)</f>
        <v>-3.3242115779361314E-4</v>
      </c>
      <c r="AE32" s="2">
        <f>-6.4875968114414*(1/14151.6638359215)</f>
        <v>-4.5843350200092949E-4</v>
      </c>
      <c r="AF32" s="2">
        <f>-7.59202149671143*(1/14151.6638359215)</f>
        <v>-5.364755398895517E-4</v>
      </c>
      <c r="AG32" s="2">
        <f>-7.78212848508262*(1/14151.6638359215)</f>
        <v>-5.4990908315169702E-4</v>
      </c>
      <c r="AH32" s="2">
        <f>-6.82245972878443*(1/14151.6638359215)</f>
        <v>-4.820959434795802E-4</v>
      </c>
      <c r="AI32" s="2">
        <f>-4.59358438461172*(1/14151.6638359215)</f>
        <v>-3.2459677094305459E-4</v>
      </c>
      <c r="AJ32" s="2">
        <f>-2.49832920253501*(1/14151.6638359215)</f>
        <v>-1.7653960915842579E-4</v>
      </c>
      <c r="AK32" s="2">
        <f>-0.669156625514287*(1/14151.6638359215)</f>
        <v>-4.7284660890244654E-5</v>
      </c>
      <c r="AL32" s="2">
        <f>1.33960214440338*(1/14151.6638359215)</f>
        <v>9.4660398942139691E-5</v>
      </c>
      <c r="AM32" s="2">
        <f>3.97361590517097*(1/14151.6638359215)</f>
        <v>2.8078789541938155E-4</v>
      </c>
      <c r="AN32" s="2">
        <f>7.67855345474142*(1/14151.6638359215)</f>
        <v>5.4259015362213229E-4</v>
      </c>
      <c r="AO32" s="2">
        <f>12.9000835910677*(1/14151.6638359215)</f>
        <v>9.1155949863104546E-4</v>
      </c>
      <c r="AP32" s="2">
        <f>20.0838751121042*(1/14151.6638359215)</f>
        <v>1.4191882555268751E-3</v>
      </c>
      <c r="AQ32" s="2">
        <f>29.6755968158014*(1/14151.6638359215)</f>
        <v>2.0969687493900989E-3</v>
      </c>
      <c r="AR32" s="2">
        <f>42.1209175001133*(1/14151.6638359215)</f>
        <v>2.9763933053014438E-3</v>
      </c>
      <c r="AS32" s="2">
        <f>57.8655059629929*(1/14151.6638359215)</f>
        <v>4.0889542483415649E-3</v>
      </c>
      <c r="AT32" s="2">
        <f>77.3547719773083*(1/14151.6638359215)</f>
        <v>5.4661256000836361E-3</v>
      </c>
      <c r="AU32" s="2">
        <f>100.544167802661*(1/14151.6638359215)</f>
        <v>7.104759480468111E-3</v>
      </c>
      <c r="AV32" s="2">
        <f>126.930141216367*(1/14151.6638359215)</f>
        <v>8.9692733439708516E-3</v>
      </c>
      <c r="AW32" s="2">
        <f>155.999177279057*(1/14151.6638359215)</f>
        <v>1.1023380648929819E-2</v>
      </c>
      <c r="AX32" s="2">
        <f>187.237761051356*(1/14151.6638359215)</f>
        <v>1.3230794853682575E-2</v>
      </c>
      <c r="AY32" s="2">
        <f>220.13237759389*(1/14151.6638359215)</f>
        <v>1.5555229416566752E-2</v>
      </c>
      <c r="AZ32" s="2">
        <f>254.169511967286*(1/14151.6638359215)</f>
        <v>1.7960397795920052E-2</v>
      </c>
      <c r="BA32" s="2">
        <f>288.835649232175*(1/14151.6638359215)</f>
        <v>2.0410013450080457E-2</v>
      </c>
      <c r="BB32" s="2">
        <f>323.617274449172*(1/14151.6638359215)</f>
        <v>2.2867789837384824E-2</v>
      </c>
      <c r="BC32" s="2">
        <f>358.000872678907*(1/14151.6638359215)</f>
        <v>2.5297440416171067E-2</v>
      </c>
      <c r="BD32" s="2">
        <f>391.55913202259*(1/14151.6638359215)</f>
        <v>2.7668770016193171E-2</v>
      </c>
      <c r="BE32" s="2">
        <f>426.890096927951*(1/14151.6638359215)</f>
        <v>3.0165364431874495E-2</v>
      </c>
      <c r="BF32" s="2">
        <f>464.767499171431*(1/14151.6638359215)</f>
        <v>3.2841897925224933E-2</v>
      </c>
      <c r="BG32" s="2">
        <f>504.30539176563*(1/14151.6638359215)</f>
        <v>3.5635766763024698E-2</v>
      </c>
      <c r="BH32" s="2">
        <f>544.617827723127*(1/14151.6638359215)</f>
        <v>3.8484367212052534E-2</v>
      </c>
      <c r="BI32" s="2">
        <f>584.818860056523*(1/14151.6638359215)</f>
        <v>4.1325095539088738E-2</v>
      </c>
      <c r="BJ32" s="2">
        <f>624.022541778412*(1/14151.6638359215)</f>
        <v>4.4095348010913103E-2</v>
      </c>
      <c r="BK32" s="2">
        <f>661.342925901386*(1/14151.6638359215)</f>
        <v>4.6732520894305289E-2</v>
      </c>
      <c r="BL32" s="2">
        <f>695.89406543804*(1/14151.6638359215)</f>
        <v>4.9174010456045164E-2</v>
      </c>
      <c r="BM32" s="2">
        <f>726.790013400971*(1/14151.6638359215)</f>
        <v>5.1357212962912735E-2</v>
      </c>
      <c r="BN32" s="2">
        <f>753.144822802762*(1/14151.6638359215)</f>
        <v>5.3219524681687023E-2</v>
      </c>
      <c r="BO32" s="2">
        <f>774.155996768449*(1/14151.6638359215)</f>
        <v>5.4704238720212579E-2</v>
      </c>
      <c r="BP32" s="2">
        <f>790.023456736673*(1/14151.6638359215)</f>
        <v>5.5825482140929458E-2</v>
      </c>
      <c r="BQ32" s="2">
        <f>801.604528537032*(1/14151.6638359215)</f>
        <v>5.6643836218204992E-2</v>
      </c>
      <c r="BR32" s="2">
        <f>809.767613497285*(1/14151.6638359215)</f>
        <v>5.7220664855098725E-2</v>
      </c>
      <c r="BS32" s="2">
        <f>815.381112945187*(1/14151.6638359215)</f>
        <v>5.7617331954669955E-2</v>
      </c>
      <c r="BT32" s="2">
        <f>819.313428208498*(1/14151.6638359215)</f>
        <v>5.7895201419978302E-2</v>
      </c>
      <c r="BU32" s="2">
        <f>822.432960614975*(1/14151.6638359215)</f>
        <v>5.8115637154083188E-2</v>
      </c>
      <c r="BV32" s="2">
        <f>825.608111492376*(1/14151.6638359215)</f>
        <v>5.8340003060044117E-2</v>
      </c>
      <c r="BW32" s="2">
        <f>829.70728216846*(1/14151.6638359215)</f>
        <v>5.862966304092064E-2</v>
      </c>
      <c r="BX32" s="2">
        <f>835.598873970984*(1/14151.6638359215)</f>
        <v>5.904598099977218E-2</v>
      </c>
      <c r="BY32" s="2">
        <f>844.151602535572*(1/14151.6638359215)</f>
        <v>5.9650343049616701E-2</v>
      </c>
      <c r="BZ32" s="2">
        <f>855.986383934213*(1/14151.6638359215)</f>
        <v>6.0486625025775606E-2</v>
      </c>
      <c r="CA32" s="2">
        <f>870.511883238885*(1/14151.6638359215)</f>
        <v>6.1513041387348699E-2</v>
      </c>
      <c r="CB32" s="2">
        <f>886.803382260352*(1/14151.6638359215)</f>
        <v>6.2664248709000434E-2</v>
      </c>
      <c r="CC32" s="2">
        <f>903.936162809375*(1/14151.6638359215)</f>
        <v>6.3874903565395089E-2</v>
      </c>
      <c r="CD32" s="2">
        <f>920.985506696722*(1/14151.6638359215)</f>
        <v>6.507966253119743E-2</v>
      </c>
      <c r="CE32" s="2">
        <f>937.026695733148*(1/14151.6638359215)</f>
        <v>6.6213182181071265E-2</v>
      </c>
      <c r="CF32" s="2">
        <f>951.13501172942*(1/14151.6638359215)</f>
        <v>6.7210119089681289E-2</v>
      </c>
      <c r="CG32" s="2">
        <f>962.3857364963*(1/14151.6638359215)</f>
        <v>6.8005129831691852E-2</v>
      </c>
      <c r="CH32" s="2">
        <f>969.854151844551*(1/14151.6638359215)</f>
        <v>6.8532870981767358E-2</v>
      </c>
      <c r="CI32" s="2">
        <f>972.615539584936*(1/14151.6638359215)</f>
        <v>6.8727999114572183E-2</v>
      </c>
      <c r="CJ32" s="2">
        <f>970.091287872517*(1/14151.6638359215)</f>
        <v>6.8549627741305699E-2</v>
      </c>
      <c r="CK32" s="2">
        <f>963.851755819295*(1/14151.6638359215)</f>
        <v>6.8108723256464554E-2</v>
      </c>
      <c r="CL32" s="2">
        <f>954.387676293138*(1/14151.6638359215)</f>
        <v>6.7439962350617277E-2</v>
      </c>
      <c r="CM32" s="2">
        <f>941.890169065998*(1/14151.6638359215)</f>
        <v>6.6556850133422205E-2</v>
      </c>
      <c r="CN32" s="2">
        <f>926.550353909827*(1/14151.6638359215)</f>
        <v>6.5472891714537657E-2</v>
      </c>
      <c r="CO32" s="2">
        <f>908.559350596576*(1/14151.6638359215)</f>
        <v>6.4201592203621913E-2</v>
      </c>
      <c r="CP32" s="2">
        <f>888.108278898193*(1/14151.6638359215)</f>
        <v>6.2756456710333031E-2</v>
      </c>
      <c r="CQ32" s="2">
        <f>865.388258586638*(1/14151.6638359215)</f>
        <v>6.1150990344329886E-2</v>
      </c>
      <c r="CR32" s="2">
        <f>840.590409433858*(1/14151.6638359215)</f>
        <v>5.9398698215270468E-2</v>
      </c>
      <c r="CS32" s="2">
        <f>813.905851211804*(1/14151.6638359215)</f>
        <v>5.7513085432813048E-2</v>
      </c>
      <c r="CT32" s="2">
        <f>785.52570369243*(1/14151.6638359215)</f>
        <v>5.55076571066161E-2</v>
      </c>
      <c r="CU32" s="2">
        <f>754.055718276862*(1/14151.6638359215)</f>
        <v>5.3283891351547277E-2</v>
      </c>
      <c r="CV32" s="2">
        <f>718.11290319927*(1/14151.6638359215)</f>
        <v>5.0744061724845899E-2</v>
      </c>
      <c r="CW32" s="2">
        <f>678.585847336091*(1/14151.6638359215)</f>
        <v>4.7950958643719378E-2</v>
      </c>
      <c r="CX32" s="2">
        <f>636.370644612933*(1/14151.6638359215)</f>
        <v>4.4967902855183609E-2</v>
      </c>
      <c r="CY32" s="2">
        <f>592.363388955413*(1/14151.6638359215)</f>
        <v>4.1858215106255078E-2</v>
      </c>
      <c r="CZ32" s="2">
        <f>547.460174289146*(1/14151.6638359215)</f>
        <v>3.8685216143950159E-2</v>
      </c>
      <c r="DA32" s="2">
        <f>502.557094539742*(1/14151.6638359215)</f>
        <v>3.5512226715284853E-2</v>
      </c>
      <c r="DB32" s="2">
        <f>458.550243632833*(1/14151.6638359215)</f>
        <v>3.2402567567276733E-2</v>
      </c>
      <c r="DC32" s="2">
        <f>416.335715494027*(1/14151.6638359215)</f>
        <v>2.9419559446941659E-2</v>
      </c>
      <c r="DD32" s="2">
        <f>376.80960404894*(1/14151.6638359215)</f>
        <v>2.6626523101296071E-2</v>
      </c>
      <c r="DE32" s="2">
        <f>340.53537534467*(1/14151.6638359215)</f>
        <v>2.4063274770580761E-2</v>
      </c>
      <c r="DF32" s="2">
        <f>304.788465628609*(1/14151.6638359215)</f>
        <v>2.1537288417984978E-2</v>
      </c>
      <c r="DG32" s="2">
        <f>269.106214095082*(1/14151.6638359215)</f>
        <v>1.9015871011011681E-2</v>
      </c>
      <c r="DH32" s="2">
        <f>233.919648523751*(1/14151.6638359215)</f>
        <v>1.6529480295453831E-2</v>
      </c>
      <c r="DI32" s="2">
        <f>199.659796694297*(1/14151.6638359215)</f>
        <v>1.4108574017105739E-2</v>
      </c>
      <c r="DJ32" s="2">
        <f>166.757686386382*(1/14151.6638359215)</f>
        <v>1.178360992176037E-2</v>
      </c>
      <c r="DK32" s="2">
        <f>135.644345379671*(1/14151.6638359215)</f>
        <v>9.5850457552109011E-3</v>
      </c>
      <c r="DL32" s="2">
        <f>106.750801453833*(1/14151.6638359215)</f>
        <v>7.5433392632507949E-3</v>
      </c>
      <c r="DM32" s="2">
        <f>80.508082388532*(1/14151.6638359215)</f>
        <v>5.6889481916731549E-3</v>
      </c>
      <c r="DN32" s="2">
        <f>57.3472159634442*(1/14151.6638359215)</f>
        <v>4.0523302862719521E-3</v>
      </c>
      <c r="DO32" s="2">
        <f>37.6992299582323*(1/14151.6638359215)</f>
        <v>2.6639432928402002E-3</v>
      </c>
      <c r="DP32" s="2">
        <f>22.0862343905301*(1/14151.6638359215)</f>
        <v>1.5606811076495539E-3</v>
      </c>
      <c r="DQ32" s="2">
        <f>10.5614469664998*(1/14151.6638359215)</f>
        <v>7.4630425714970923E-4</v>
      </c>
      <c r="DR32" s="2">
        <f>2.54791693656706*(1/14151.6638359215)</f>
        <v>1.8004363063653497E-4</v>
      </c>
      <c r="DS32" s="2">
        <f>-2.54212650518768*(1/14151.6638359215)</f>
        <v>-1.7963446098365765E-4</v>
      </c>
      <c r="DT32" s="2">
        <f>-5.29645416468437*(1/14151.6638359215)</f>
        <v>-3.7426370680458481E-4</v>
      </c>
      <c r="DU32" s="2">
        <f>-6.30283684784177*(1/14151.6638359215)</f>
        <v>-4.4537779591987845E-4</v>
      </c>
      <c r="DV32" s="2">
        <f>-6.14904536058012*(1/14151.6638359215)</f>
        <v>-4.3451041742327529E-4</v>
      </c>
      <c r="DW32" s="2">
        <f>-5.42285050881908*(1/14151.6638359215)</f>
        <v>-3.8319526040847096E-4</v>
      </c>
      <c r="DX32" s="2">
        <f>-4.71202309847829*(1/14151.6638359215)</f>
        <v>-3.3296601396915967E-4</v>
      </c>
      <c r="DY32" s="2">
        <f>-4.60433393547735*(1/14151.6638359215)</f>
        <v>-3.2535636719903291E-4</v>
      </c>
      <c r="DZ32" s="2">
        <f>-5.60636723359366*(1/14151.6638359215)</f>
        <v>-3.9616311541847723E-4</v>
      </c>
      <c r="EA32" s="2">
        <f>-6.40305277592324*(1/14151.6638359215)</f>
        <v>-4.5245936097423553E-4</v>
      </c>
      <c r="EB32" s="2">
        <f>-6.44524077409801*(1/14151.6638359215)</f>
        <v>-4.5544049440588775E-4</v>
      </c>
      <c r="EC32" s="2">
        <f>-5.87243581058198*(1/14151.6638359215)</f>
        <v>-4.1496433766860958E-4</v>
      </c>
      <c r="ED32" s="2">
        <f>-4.82414246783912*(1/14151.6638359215)</f>
        <v>-3.4088871271757362E-4</v>
      </c>
      <c r="EE32" s="2">
        <f>-3.43986532833314*(1/14151.6638359215)</f>
        <v>-2.4307144150793417E-4</v>
      </c>
      <c r="EF32" s="2">
        <f>-1.85910897452858*(1/14151.6638359215)</f>
        <v>-1.3137034599490415E-4</v>
      </c>
      <c r="EG32" s="2">
        <f>-0.221377988889171*(1/14151.6638359215)</f>
        <v>-1.5643248133639387E-5</v>
      </c>
      <c r="EH32" s="2">
        <f>1.33382304612108*(1/14151.6638359215)</f>
        <v>9.4252030120684882E-5</v>
      </c>
      <c r="EI32" s="2">
        <f>2.6669895480382*(1/14151.6638359215)</f>
        <v>1.8845766681289575E-4</v>
      </c>
      <c r="EJ32" s="2">
        <f>3.63861693439833*(1/14151.6638359215)</f>
        <v>2.5711583998782841E-4</v>
      </c>
      <c r="EK32" s="2">
        <f>4.22726670246505*(1/14151.6638359215)</f>
        <v>2.9871163924448797E-4</v>
      </c>
      <c r="EL32" s="2">
        <f>4.72016648843402*(1/14151.6638359215)</f>
        <v>3.3354145089658724E-4</v>
      </c>
      <c r="EM32" s="2">
        <f>5.14647954152701*(1/14151.6638359215)</f>
        <v>3.636660396400585E-4</v>
      </c>
      <c r="EN32" s="2">
        <f>5.51336235461319*(1/14151.6638359215)</f>
        <v>3.8959110522527349E-4</v>
      </c>
      <c r="EO32" s="2">
        <f>5.82797142056176*(1/14151.6638359215)</f>
        <v>4.1182234740260603E-4</v>
      </c>
      <c r="EP32" s="2">
        <f>6.09746323224192*(1/14151.6638359215)</f>
        <v>4.3086546592243003E-4</v>
      </c>
      <c r="EQ32" s="2">
        <f>6.32899428252288*(1/14151.6638359215)</f>
        <v>4.4722616053511998E-4</v>
      </c>
      <c r="ER32" s="2">
        <f>6.52972106427375*(1/14151.6638359215)</f>
        <v>4.6141013099104336E-4</v>
      </c>
      <c r="ES32" s="2">
        <f>6.70680007036376*(1/14151.6638359215)</f>
        <v>4.7392307704057613E-4</v>
      </c>
      <c r="ET32" s="2">
        <f>6.8673877936621*(1/14151.6638359215)</f>
        <v>4.8527069843409148E-4</v>
      </c>
      <c r="EU32" s="2">
        <f>7.01822330414142*(1/14151.6638359215)</f>
        <v>4.9592919853896618E-4</v>
      </c>
      <c r="EV32" s="2">
        <f>7.13408820752112*(1/14151.6638359215)</f>
        <v>5.0411656821669948E-4</v>
      </c>
      <c r="EW32" s="2">
        <f>7.20244667093172*(1/14151.6638359215)</f>
        <v>5.0894698704258235E-4</v>
      </c>
      <c r="EX32" s="2">
        <f>7.23132795183281*(1/14151.6638359215)</f>
        <v>5.1098782699157685E-4</v>
      </c>
      <c r="EY32" s="2">
        <f>7.22876130768395*(1/14151.6638359215)</f>
        <v>5.108064600386434E-4</v>
      </c>
      <c r="EZ32" s="2">
        <f>7.2027759959447*(1/14151.6638359215)</f>
        <v>5.0897025815874208E-4</v>
      </c>
      <c r="FA32" s="2">
        <f>7.16140127407463*(1/14151.6638359215)</f>
        <v>5.0604659332683397E-4</v>
      </c>
      <c r="FB32" s="2">
        <f>7.11266639953328*(1/14151.6638359215)</f>
        <v>5.0260283751787775E-4</v>
      </c>
      <c r="FC32" s="2">
        <f>7.06460062978024*(1/14151.6638359215)</f>
        <v>4.992063627068359E-4</v>
      </c>
      <c r="FD32" s="2">
        <f>7.02523322227506*(1/14151.6638359215)</f>
        <v>4.9642454086866775E-4</v>
      </c>
      <c r="FE32" s="2">
        <f>7.0025934344773*(1/14151.6638359215)</f>
        <v>4.9482474397833374E-4</v>
      </c>
      <c r="FF32" s="2">
        <f t="shared" si="15"/>
        <v>4.9464148393856954E-4</v>
      </c>
      <c r="FG32" s="2">
        <f t="shared" si="15"/>
        <v>4.9464148393856954E-4</v>
      </c>
      <c r="FH32" s="2">
        <f t="shared" si="15"/>
        <v>4.9464148393856954E-4</v>
      </c>
      <c r="FI32" s="2">
        <f t="shared" si="15"/>
        <v>4.9464148393856954E-4</v>
      </c>
      <c r="FJ32" s="2">
        <f t="shared" si="15"/>
        <v>4.9464148393856954E-4</v>
      </c>
      <c r="FK32" s="2">
        <f t="shared" si="15"/>
        <v>4.9464148393856954E-4</v>
      </c>
      <c r="FL32" s="2">
        <f t="shared" si="15"/>
        <v>4.9464148393856954E-4</v>
      </c>
      <c r="FM32" s="2">
        <f t="shared" si="15"/>
        <v>4.9464148393856954E-4</v>
      </c>
      <c r="FN32" s="2">
        <f t="shared" si="15"/>
        <v>4.9464148393856954E-4</v>
      </c>
      <c r="FO32" s="2">
        <f t="shared" si="15"/>
        <v>4.9464148393856954E-4</v>
      </c>
      <c r="FP32" s="2">
        <f t="shared" si="13"/>
        <v>4.9464148393856954E-4</v>
      </c>
      <c r="FQ32" s="2"/>
    </row>
    <row r="33" spans="2:173">
      <c r="B33" s="2">
        <v>9.5840236686390536</v>
      </c>
      <c r="C33" s="2">
        <f t="shared" si="14"/>
        <v>4.9464148393856954E-4</v>
      </c>
      <c r="D33" s="2">
        <f t="shared" si="14"/>
        <v>4.9464148393856954E-4</v>
      </c>
      <c r="E33" s="2">
        <f t="shared" si="14"/>
        <v>4.9464148393856954E-4</v>
      </c>
      <c r="F33" s="2">
        <f t="shared" si="14"/>
        <v>4.9464148393856954E-4</v>
      </c>
      <c r="G33" s="2">
        <f t="shared" si="14"/>
        <v>4.9464148393856954E-4</v>
      </c>
      <c r="H33" s="2">
        <f t="shared" si="14"/>
        <v>4.9464148393856954E-4</v>
      </c>
      <c r="I33" s="2">
        <f t="shared" si="14"/>
        <v>4.9464148393856954E-4</v>
      </c>
      <c r="J33" s="2">
        <f t="shared" si="11"/>
        <v>4.9464148393856954E-4</v>
      </c>
      <c r="K33" s="2">
        <f t="shared" si="11"/>
        <v>4.9464148393856954E-4</v>
      </c>
      <c r="L33" s="2">
        <f t="shared" si="11"/>
        <v>4.9464148393856954E-4</v>
      </c>
      <c r="M33" s="2">
        <f t="shared" si="11"/>
        <v>4.9464148393856954E-4</v>
      </c>
      <c r="N33" s="2">
        <f>7.00715268031717*(1/14151.6638359215)</f>
        <v>4.9514691428231578E-4</v>
      </c>
      <c r="O33" s="2">
        <f>7.06959311055882*(1/14151.6638359215)</f>
        <v>4.9955914672124323E-4</v>
      </c>
      <c r="P33" s="2">
        <f>7.17816823873935*(1/14151.6638359215)</f>
        <v>5.072313985101058E-4</v>
      </c>
      <c r="Q33" s="2">
        <f>7.3107334098481*(1/14151.6638359215)</f>
        <v>5.1659886036093468E-4</v>
      </c>
      <c r="R33" s="2">
        <f>7.44514396887444*(1/14151.6638359215)</f>
        <v>5.2609672298576347E-4</v>
      </c>
      <c r="S33" s="2">
        <f>7.55925526080763*(1/14151.6638359215)</f>
        <v>5.3416017709661786E-4</v>
      </c>
      <c r="T33" s="2">
        <f>7.63092263063705*(1/14151.6638359215)</f>
        <v>5.3922441340553185E-4</v>
      </c>
      <c r="U33" s="2">
        <f>7.63800142335205*(1/14151.6638359215)</f>
        <v>5.3972462262453775E-4</v>
      </c>
      <c r="V33" s="2">
        <f>7.55834698394195*(1/14151.6638359215)</f>
        <v>5.3409599546566536E-4</v>
      </c>
      <c r="W33" s="2">
        <f>7.36981465739609*(1/14151.6638359215)</f>
        <v>5.2077372264094609E-4</v>
      </c>
      <c r="X33" s="2">
        <f>7.05025978870375*(1/14151.6638359215)</f>
        <v>4.9819299486240692E-4</v>
      </c>
      <c r="Y33" s="2">
        <f>6.29686421372664*(1/14151.6638359215)</f>
        <v>4.449557512624885E-4</v>
      </c>
      <c r="Z33" s="2">
        <f>4.80202971773384*(1/14151.6638359215)</f>
        <v>3.3932615792813952E-4</v>
      </c>
      <c r="AA33" s="2">
        <f>2.81250796470375*(1/14151.6638359215)</f>
        <v>1.9874044475001555E-4</v>
      </c>
      <c r="AB33" s="2">
        <f>0.581495684269148*(1/14151.6638359215)</f>
        <v>4.1090269738680754E-5</v>
      </c>
      <c r="AC33" s="2">
        <f>-1.63781039393722*(1/14151.6638359215)</f>
        <v>-1.157327090953028E-4</v>
      </c>
      <c r="AD33" s="2">
        <f>-3.5922135402829*(1/14151.6638359215)</f>
        <v>-2.538368337413937E-4</v>
      </c>
      <c r="AE33" s="2">
        <f>-5.02851702513438*(1/14151.6638359215)</f>
        <v>-3.5533044618897585E-4</v>
      </c>
      <c r="AF33" s="2">
        <f>-5.69352411885928*(1/14151.6638359215)</f>
        <v>-4.0232188842751295E-4</v>
      </c>
      <c r="AG33" s="2">
        <f>-5.33403809182484*(1/14151.6638359215)</f>
        <v>-3.7691950244644212E-4</v>
      </c>
      <c r="AH33" s="2">
        <f>-3.69686221439831*(1/14151.6638359215)</f>
        <v>-2.6123163023520089E-4</v>
      </c>
      <c r="AI33" s="2">
        <f>-0.658953520748648*(1/14151.6638359215)</f>
        <v>-4.6563678192808032E-5</v>
      </c>
      <c r="AJ33" s="2">
        <f>2.20160212872773*(1/14151.6638359215)</f>
        <v>1.5557196342802829E-4</v>
      </c>
      <c r="AK33" s="2">
        <f>4.74603557913692*(1/14151.6638359215)</f>
        <v>3.3536944024136205E-4</v>
      </c>
      <c r="AL33" s="2">
        <f>7.48587198299176*(1/14151.6638359215)</f>
        <v>5.2897468946302951E-4</v>
      </c>
      <c r="AM33" s="2">
        <f>10.9326364928052*(1/14151.6638359215)</f>
        <v>7.7253364830887463E-4</v>
      </c>
      <c r="AN33" s="2">
        <f>15.59785426109*(1/14151.6638359215)</f>
        <v>1.1021922539947281E-3</v>
      </c>
      <c r="AO33" s="2">
        <f>21.9930504403591*(1/14151.6638359215)</f>
        <v>1.5540964437364337E-3</v>
      </c>
      <c r="AP33" s="2">
        <f>30.6297501831272*(1/14151.6638359215)</f>
        <v>2.1643921547499587E-3</v>
      </c>
      <c r="AQ33" s="2">
        <f>42.019478641904*(1/14151.6638359215)</f>
        <v>2.9692253242509176E-3</v>
      </c>
      <c r="AR33" s="2">
        <f>56.6737609692039*(1/14151.6638359215)</f>
        <v>4.0047418894552569E-3</v>
      </c>
      <c r="AS33" s="2">
        <f>75.1041223175396*(1/14151.6638359215)</f>
        <v>5.3070877875788045E-3</v>
      </c>
      <c r="AT33" s="2">
        <f>97.8322341133253*(1/14151.6638359215)</f>
        <v>6.9131259226915386E-3</v>
      </c>
      <c r="AU33" s="2">
        <f>124.826699952869*(1/14151.6638359215)</f>
        <v>8.8206377285488143E-3</v>
      </c>
      <c r="AV33" s="2">
        <f>155.499483819529*(1/14151.6638359215)</f>
        <v>1.0988070775453343E-2</v>
      </c>
      <c r="AW33" s="2">
        <f>189.249836137827*(1/14151.6638359215)</f>
        <v>1.3372974254620839E-2</v>
      </c>
      <c r="AX33" s="2">
        <f>225.477007332282*(1/14151.6638359215)</f>
        <v>1.5932897357266815E-2</v>
      </c>
      <c r="AY33" s="2">
        <f>263.580247827411*(1/14151.6638359215)</f>
        <v>1.8625389274606642E-2</v>
      </c>
      <c r="AZ33" s="2">
        <f>302.958808047732*(1/14151.6638359215)</f>
        <v>2.1407999197855774E-2</v>
      </c>
      <c r="BA33" s="2">
        <f>343.011938417769*(1/14151.6638359215)</f>
        <v>2.423827631823007E-2</v>
      </c>
      <c r="BB33" s="2">
        <f>383.138889362027*(1/14151.6638359215)</f>
        <v>2.7073769826944063E-2</v>
      </c>
      <c r="BC33" s="2">
        <f>422.738911305031*(1/14151.6638359215)</f>
        <v>2.9872028915213698E-2</v>
      </c>
      <c r="BD33" s="2">
        <f>461.309244776616*(1/14151.6638359215)</f>
        <v>3.2597527055840882E-2</v>
      </c>
      <c r="BE33" s="2">
        <f>501.794306192344*(1/14151.6638359215)</f>
        <v>3.5458325749557998E-2</v>
      </c>
      <c r="BF33" s="2">
        <f>545.087445458739*(1/14151.6638359215)</f>
        <v>3.8517551842570677E-2</v>
      </c>
      <c r="BG33" s="2">
        <f>590.199208435606*(1/14151.6638359215)</f>
        <v>4.1705287468565326E-2</v>
      </c>
      <c r="BH33" s="2">
        <f>636.140140982727*(1/14151.6638359215)</f>
        <v>4.4951614761226701E-2</v>
      </c>
      <c r="BI33" s="2">
        <f>681.920788959907*(1/14151.6638359215)</f>
        <v>4.8186615854241215E-2</v>
      </c>
      <c r="BJ33" s="2">
        <f>726.551698226943*(1/14151.6638359215)</f>
        <v>5.1340372881294692E-2</v>
      </c>
      <c r="BK33" s="2">
        <f>769.043414643634*(1/14151.6638359215)</f>
        <v>5.434296797607311E-2</v>
      </c>
      <c r="BL33" s="2">
        <f>808.406484069776*(1/14151.6638359215)</f>
        <v>5.7124483272262223E-2</v>
      </c>
      <c r="BM33" s="2">
        <f>843.651452365173*(1/14151.6638359215)</f>
        <v>5.9615000903548369E-2</v>
      </c>
      <c r="BN33" s="2">
        <f>873.788865389608*(1/14151.6638359215)</f>
        <v>6.174460300361638E-2</v>
      </c>
      <c r="BO33" s="2">
        <f>897.932163384405*(1/14151.6638359215)</f>
        <v>6.3450642538947458E-2</v>
      </c>
      <c r="BP33" s="2">
        <f>916.33448200498*(1/14151.6638359215)</f>
        <v>6.475100685186054E-2</v>
      </c>
      <c r="BQ33" s="2">
        <f>929.942167049529*(1/14151.6638359215)</f>
        <v>6.5712567640918304E-2</v>
      </c>
      <c r="BR33" s="2">
        <f>939.71009252997*(1/14151.6638359215)</f>
        <v>6.6402799234439272E-2</v>
      </c>
      <c r="BS33" s="2">
        <f>946.593132458214*(1/14151.6638359215)</f>
        <v>6.6889175960741412E-2</v>
      </c>
      <c r="BT33" s="2">
        <f>951.546160846179*(1/14151.6638359215)</f>
        <v>6.7239172148143247E-2</v>
      </c>
      <c r="BU33" s="2">
        <f>955.524051705781*(1/14151.6638359215)</f>
        <v>6.7520262124963135E-2</v>
      </c>
      <c r="BV33" s="2">
        <f>959.481679048935*(1/14151.6638359215)</f>
        <v>6.7799920219519361E-2</v>
      </c>
      <c r="BW33" s="2">
        <f>964.373916887556*(1/14151.6638359215)</f>
        <v>6.8145620760130199E-2</v>
      </c>
      <c r="BX33" s="2">
        <f>971.155639233561*(1/14151.6638359215)</f>
        <v>6.8624838075114103E-2</v>
      </c>
      <c r="BY33" s="2">
        <f>980.781791630675*(1/14151.6638359215)</f>
        <v>6.9305051547446567E-2</v>
      </c>
      <c r="BZ33" s="2">
        <f>993.864277464293*(1/14151.6638359215)</f>
        <v>7.0229500148353163E-2</v>
      </c>
      <c r="CA33" s="2">
        <f>1009.72543198826*(1/14151.6638359215)</f>
        <v>7.135029800702658E-2</v>
      </c>
      <c r="CB33" s="2">
        <f>1027.38854956115*(1/14151.6638359215)</f>
        <v>7.2598428105203131E-2</v>
      </c>
      <c r="CC33" s="2">
        <f>1045.87692454155*(1/14151.6638359215)</f>
        <v>7.3904873424619932E-2</v>
      </c>
      <c r="CD33" s="2">
        <f>1064.21385128802*(1/14151.6638359215)</f>
        <v>7.5200616947012328E-2</v>
      </c>
      <c r="CE33" s="2">
        <f>1081.42262415915*(1/14151.6638359215)</f>
        <v>7.6416641654117712E-2</v>
      </c>
      <c r="CF33" s="2">
        <f>1096.52653751352*(1/14151.6638359215)</f>
        <v>7.7483930527672731E-2</v>
      </c>
      <c r="CG33" s="2">
        <f>1108.54888570969*(1/14151.6638359215)</f>
        <v>7.8333466549412686E-2</v>
      </c>
      <c r="CH33" s="2">
        <f>1116.51296310625*(1/14151.6638359215)</f>
        <v>7.8896232701074986E-2</v>
      </c>
      <c r="CI33" s="2">
        <f>1119.44206406178*(1/14151.6638359215)</f>
        <v>7.9103211964396306E-2</v>
      </c>
      <c r="CJ33" s="2">
        <f>1116.73682575306*(1/14151.6638359215)</f>
        <v>7.8912051522763052E-2</v>
      </c>
      <c r="CK33" s="2">
        <f>1110.11602848043*(1/14151.6638359215)</f>
        <v>7.8444205667364458E-2</v>
      </c>
      <c r="CL33" s="2">
        <f>1100.08285028142*(1/14151.6638359215)</f>
        <v>7.7735230502653255E-2</v>
      </c>
      <c r="CM33" s="2">
        <f>1086.81106293454*(1/14151.6638359215)</f>
        <v>7.6797405275827846E-2</v>
      </c>
      <c r="CN33" s="2">
        <f>1070.47443821828*(1/14151.6638359215)</f>
        <v>7.5643009234085234E-2</v>
      </c>
      <c r="CO33" s="2">
        <f>1051.24674791114*(1/14151.6638359215)</f>
        <v>7.4284321624623076E-2</v>
      </c>
      <c r="CP33" s="2">
        <f>1029.30176379161*(1/14151.6638359215)</f>
        <v>7.2733621694638428E-2</v>
      </c>
      <c r="CQ33" s="2">
        <f>1004.8132576382*(1/14151.6638359215)</f>
        <v>7.1003188691329627E-2</v>
      </c>
      <c r="CR33" s="2">
        <f>977.955001229391*(1/14151.6638359215)</f>
        <v>6.9105301861893079E-2</v>
      </c>
      <c r="CS33" s="2">
        <f>948.900766343688*(1/14151.6638359215)</f>
        <v>6.7052240453526812E-2</v>
      </c>
      <c r="CT33" s="2">
        <f>917.824324759586*(1/14151.6638359215)</f>
        <v>6.4856283713428178E-2</v>
      </c>
      <c r="CU33" s="2">
        <f>883.257039035657*(1/14151.6638359215)</f>
        <v>6.2413653212540637E-2</v>
      </c>
      <c r="CV33" s="2">
        <f>843.775198090273*(1/14151.6638359215)</f>
        <v>5.9623745156276158E-2</v>
      </c>
      <c r="CW33" s="2">
        <f>800.328270654511*(1/14151.6638359215)</f>
        <v>5.6553651919219496E-2</v>
      </c>
      <c r="CX33" s="2">
        <f>753.873535151426*(1/14151.6638359215)</f>
        <v>5.3271017732759537E-2</v>
      </c>
      <c r="CY33" s="2">
        <f>705.368270004081*(1/14151.6638359215)</f>
        <v>4.9843486828285745E-2</v>
      </c>
      <c r="CZ33" s="2">
        <f>655.769753635539*(1/14151.6638359215)</f>
        <v>4.6338703437187601E-2</v>
      </c>
      <c r="DA33" s="2">
        <f>606.035264468854*(1/14151.6638359215)</f>
        <v>4.2824311790853921E-2</v>
      </c>
      <c r="DB33" s="2">
        <f>557.122080927109*(1/14151.6638359215)</f>
        <v>3.9367956120675576E-2</v>
      </c>
      <c r="DC33" s="2">
        <f>509.987481433356*(1/14151.6638359215)</f>
        <v>3.6037280658041272E-2</v>
      </c>
      <c r="DD33" s="2">
        <f>465.588744410661*(1/14151.6638359215)</f>
        <v>3.2899929634340679E-2</v>
      </c>
      <c r="DE33" s="2">
        <f>424.512707744022*(1/14151.6638359215)</f>
        <v>2.9997370815611903E-2</v>
      </c>
      <c r="DF33" s="2">
        <f>383.710982996625*(1/14151.6638359215)</f>
        <v>2.7114195718996831E-2</v>
      </c>
      <c r="DG33" s="2">
        <f>342.706499781213*(1/14151.6638359215)</f>
        <v>2.4216693086738895E-2</v>
      </c>
      <c r="DH33" s="2">
        <f>302.022961676193*(1/14151.6638359215)</f>
        <v>2.1341869421004835E-2</v>
      </c>
      <c r="DI33" s="2">
        <f>262.184072259995*(1/14151.6638359215)</f>
        <v>1.8526731223963009E-2</v>
      </c>
      <c r="DJ33" s="2">
        <f>223.713535111024*(1/14151.6638359215)</f>
        <v>1.5808284997780028E-2</v>
      </c>
      <c r="DK33" s="2">
        <f>187.135053807695*(1/14151.6638359215)</f>
        <v>1.3223537244623187E-2</v>
      </c>
      <c r="DL33" s="2">
        <f>152.972331928422*(1/14151.6638359215)</f>
        <v>1.0809494466659726E-2</v>
      </c>
      <c r="DM33" s="2">
        <f>121.749073051612*(1/14151.6638359215)</f>
        <v>8.6031631660563809E-3</v>
      </c>
      <c r="DN33" s="2">
        <f>93.9889807556927*(1/14151.6638359215)</f>
        <v>6.6415498449813558E-3</v>
      </c>
      <c r="DO33" s="2">
        <f>70.2157586190709*(1/14151.6638359215)</f>
        <v>4.9616610056013762E-3</v>
      </c>
      <c r="DP33" s="2">
        <f>50.9540635062563*(1/14151.6638359215)</f>
        <v>3.6005705122049612E-3</v>
      </c>
      <c r="DQ33" s="2">
        <f>36.1077235352162*(1/14151.6638359215)</f>
        <v>2.5514825644432793E-3</v>
      </c>
      <c r="DR33" s="2">
        <f>25.0715671174773*(1/14151.6638359215)</f>
        <v>1.7716338805220595E-3</v>
      </c>
      <c r="DS33" s="2">
        <f>17.2337181104234*(1/14151.6638359215)</f>
        <v>1.2177874142741188E-3</v>
      </c>
      <c r="DT33" s="2">
        <f>11.9823003714373*(1/14151.6638359215)</f>
        <v>8.4670611953220284E-4</v>
      </c>
      <c r="DU33" s="2">
        <f>8.70543775790465*(1/14151.6638359215)</f>
        <v>6.1515295012925847E-4</v>
      </c>
      <c r="DV33" s="2">
        <f>6.79125412720794*(1/14151.6638359215)</f>
        <v>4.7989085989801002E-4</v>
      </c>
      <c r="DW33" s="2">
        <f>5.62787333673084*(1/14151.6638359215)</f>
        <v>3.9768280267126453E-4</v>
      </c>
      <c r="DX33" s="2">
        <f>4.60341924385701*(1/14151.6638359215)</f>
        <v>3.2529173228182845E-4</v>
      </c>
      <c r="DY33" s="2">
        <f>3.10601570596989*(1/14151.6638359215)</f>
        <v>2.1948060256249285E-4</v>
      </c>
      <c r="DZ33" s="2">
        <f>0.611513212009342*(1/14151.6638359215)</f>
        <v>4.3211400376620296E-5</v>
      </c>
      <c r="EA33" s="2">
        <f>-1.44823790855117*(1/14151.6638359215)</f>
        <v>-1.0233693545454873E-4</v>
      </c>
      <c r="EB33" s="2">
        <f>-2.4997569033594*(1/14151.6638359215)</f>
        <v>-1.7664049488048242E-4</v>
      </c>
      <c r="EC33" s="2">
        <f>-2.71815609603321*(1/14151.6638359215)</f>
        <v>-1.920732521312194E-4</v>
      </c>
      <c r="ED33" s="2">
        <f>-2.27854781019046*(1/14151.6638359215)</f>
        <v>-1.6100918143679819E-4</v>
      </c>
      <c r="EE33" s="2">
        <f>-1.3560443694488*(1/14151.6638359215)</f>
        <v>-9.5822257027242323E-5</v>
      </c>
      <c r="EF33" s="2">
        <f>-0.125758097426477*(1/14151.6638359215)</f>
        <v>-8.8864531326176837E-6</v>
      </c>
      <c r="EG33" s="2">
        <f>1.23719868225878*(1/14151.6638359215)</f>
        <v>8.7424256017046533E-5</v>
      </c>
      <c r="EH33" s="2">
        <f>2.5577136459891*(1/14151.6638359215)</f>
        <v>1.807358961917111E-4</v>
      </c>
      <c r="EI33" s="2">
        <f>3.66067447014663*(1/14151.6638359215)</f>
        <v>2.5867449316133796E-4</v>
      </c>
      <c r="EJ33" s="2">
        <f>4.37096883111358*(1/14151.6638359215)</f>
        <v>3.0886607269589372E-4</v>
      </c>
      <c r="EK33" s="2">
        <f>4.67233866768628*(1/14151.6638359215)</f>
        <v>3.3016179029255724E-4</v>
      </c>
      <c r="EL33" s="2">
        <f>4.95104726689145*(1/14151.6638359215)</f>
        <v>3.4985619530645515E-4</v>
      </c>
      <c r="EM33" s="2">
        <f>5.23243175897933*(1/14151.6638359215)</f>
        <v>3.6973968712411938E-4</v>
      </c>
      <c r="EN33" s="2">
        <f>5.51178161226778*(1/14151.6638359215)</f>
        <v>3.8947940511963654E-4</v>
      </c>
      <c r="EO33" s="2">
        <f>5.78438629507469*(1/14151.6638359215)</f>
        <v>4.0874248866709558E-4</v>
      </c>
      <c r="EP33" s="2">
        <f>6.04553527571791*(1/14151.6638359215)</f>
        <v>4.271960771405823E-4</v>
      </c>
      <c r="EQ33" s="2">
        <f>6.29051802251537*(1/14151.6638359215)</f>
        <v>4.4450730991418835E-4</v>
      </c>
      <c r="ER33" s="2">
        <f>6.51462400378485*(1/14151.6638359215)</f>
        <v>4.6034332636199482E-4</v>
      </c>
      <c r="ES33" s="2">
        <f>6.71314268784426*(1/14151.6638359215)</f>
        <v>4.7437126585809174E-4</v>
      </c>
      <c r="ET33" s="2">
        <f>6.88136354301147*(1/14151.6638359215)</f>
        <v>4.8625826777656659E-4</v>
      </c>
      <c r="EU33" s="2">
        <f>7.01453309226023*(1/14151.6638359215)</f>
        <v>4.956684368416862E-4</v>
      </c>
      <c r="EV33" s="2">
        <f>7.10693539853092*(1/14151.6638359215)</f>
        <v>5.0219786739784053E-4</v>
      </c>
      <c r="EW33" s="2">
        <f>7.16145130013713*(1/14151.6638359215)</f>
        <v>5.0605012832194689E-4</v>
      </c>
      <c r="EX33" s="2">
        <f>7.1844841330785*(1/14151.6638359215)</f>
        <v>5.0767769898843668E-4</v>
      </c>
      <c r="EY33" s="2">
        <f>7.18243723335466*(1/14151.6638359215)</f>
        <v>5.0753305877174041E-4</v>
      </c>
      <c r="EZ33" s="2">
        <f>7.16171393696524*(1/14151.6638359215)</f>
        <v>5.0606868704628882E-4</v>
      </c>
      <c r="FA33" s="2">
        <f>7.12871757990986*(1/14151.6638359215)</f>
        <v>5.0373706318651156E-4</v>
      </c>
      <c r="FB33" s="2">
        <f>7.08985149818815*(1/14151.6638359215)</f>
        <v>5.0099066656683958E-4</v>
      </c>
      <c r="FC33" s="2">
        <f>7.05151902779975*(1/14151.6638359215)</f>
        <v>4.9828197656170395E-4</v>
      </c>
      <c r="FD33" s="2">
        <f>7.02012350474428*(1/14151.6638359215)</f>
        <v>4.9606347254553464E-4</v>
      </c>
      <c r="FE33" s="2">
        <f>7.00206826502136*(1/14151.6638359215)</f>
        <v>4.9478763389276153E-4</v>
      </c>
      <c r="FF33" s="2">
        <f t="shared" si="15"/>
        <v>4.9464148393856954E-4</v>
      </c>
      <c r="FG33" s="2">
        <f t="shared" si="15"/>
        <v>4.9464148393856954E-4</v>
      </c>
      <c r="FH33" s="2">
        <f t="shared" si="15"/>
        <v>4.9464148393856954E-4</v>
      </c>
      <c r="FI33" s="2">
        <f t="shared" si="15"/>
        <v>4.9464148393856954E-4</v>
      </c>
      <c r="FJ33" s="2">
        <f t="shared" si="15"/>
        <v>4.9464148393856954E-4</v>
      </c>
      <c r="FK33" s="2">
        <f t="shared" si="15"/>
        <v>4.9464148393856954E-4</v>
      </c>
      <c r="FL33" s="2">
        <f t="shared" si="15"/>
        <v>4.9464148393856954E-4</v>
      </c>
      <c r="FM33" s="2">
        <f t="shared" si="15"/>
        <v>4.9464148393856954E-4</v>
      </c>
      <c r="FN33" s="2">
        <f t="shared" si="15"/>
        <v>4.9464148393856954E-4</v>
      </c>
      <c r="FO33" s="2">
        <f t="shared" si="15"/>
        <v>4.9464148393856954E-4</v>
      </c>
      <c r="FP33" s="2">
        <f t="shared" si="13"/>
        <v>4.9464148393856954E-4</v>
      </c>
      <c r="FQ33" s="2"/>
    </row>
    <row r="34" spans="2:173">
      <c r="B34" s="2">
        <v>9.5934911242603551</v>
      </c>
      <c r="C34" s="2">
        <f t="shared" si="14"/>
        <v>4.9464148393856954E-4</v>
      </c>
      <c r="D34" s="2">
        <f t="shared" si="14"/>
        <v>4.9464148393856954E-4</v>
      </c>
      <c r="E34" s="2">
        <f t="shared" si="14"/>
        <v>4.9464148393856954E-4</v>
      </c>
      <c r="F34" s="2">
        <f>7*(1/14151.6638359215)</f>
        <v>4.9464148393856954E-4</v>
      </c>
      <c r="G34" s="2">
        <f t="shared" si="14"/>
        <v>4.9464148393856954E-4</v>
      </c>
      <c r="H34" s="2">
        <f t="shared" si="14"/>
        <v>4.9464148393856954E-4</v>
      </c>
      <c r="I34" s="2">
        <f t="shared" si="14"/>
        <v>4.9464148393856954E-4</v>
      </c>
      <c r="J34" s="2">
        <f t="shared" si="11"/>
        <v>4.9464148393856954E-4</v>
      </c>
      <c r="K34" s="2">
        <f t="shared" si="11"/>
        <v>4.9464148393856954E-4</v>
      </c>
      <c r="L34" s="2">
        <f t="shared" si="11"/>
        <v>4.9464148393856954E-4</v>
      </c>
      <c r="M34" s="2">
        <f t="shared" si="11"/>
        <v>4.9464148393856954E-4</v>
      </c>
      <c r="N34" s="2">
        <f>7.00166152083891*(1/14151.6638359215)</f>
        <v>4.9475889210047713E-4</v>
      </c>
      <c r="O34" s="2">
        <f>7.01616602424691*(1/14151.6638359215)</f>
        <v>4.9578382482755225E-4</v>
      </c>
      <c r="P34" s="2">
        <f>7.04138731613464*(1/14151.6638359215)</f>
        <v>4.9756603871986571E-4</v>
      </c>
      <c r="Q34" s="2">
        <f>7.07218133803181*(1/14151.6638359215)</f>
        <v>4.997420388181018E-4</v>
      </c>
      <c r="R34" s="2">
        <f>7.10340403146818*(1/14151.6638359215)</f>
        <v>5.019483301629483E-4</v>
      </c>
      <c r="S34" s="2">
        <f>7.12991133797346*(1/14151.6638359215)</f>
        <v>5.0382141779508911E-4</v>
      </c>
      <c r="T34" s="2">
        <f>7.14655919907741*(1/14151.6638359215)</f>
        <v>5.049978067552122E-4</v>
      </c>
      <c r="U34" s="2">
        <f>7.14820355630977*(1/14151.6638359215)</f>
        <v>5.0511400208400363E-4</v>
      </c>
      <c r="V34" s="2">
        <f>7.12970035120026*(1/14151.6638359215)</f>
        <v>5.0380650882214813E-4</v>
      </c>
      <c r="W34" s="2">
        <f>7.08590552527864*(1/14151.6638359215)</f>
        <v>5.0071183201033361E-4</v>
      </c>
      <c r="X34" s="2">
        <f>7.01167502007462*(1/14151.6638359215)</f>
        <v>4.9546647668924414E-4</v>
      </c>
      <c r="Y34" s="2">
        <f>6.58779694210742*(1/14151.6638359215)</f>
        <v>4.6551395076142638E-4</v>
      </c>
      <c r="Z34" s="2">
        <f>5.46462210470396*(1/14151.6638359215)</f>
        <v>3.8614696957632512E-4</v>
      </c>
      <c r="AA34" s="2">
        <f>3.89518962392836*(1/14151.6638359215)</f>
        <v>2.7524605368600609E-4</v>
      </c>
      <c r="AB34" s="2">
        <f>2.13963900611466*(1/14151.6638359215)</f>
        <v>1.5119345901105737E-4</v>
      </c>
      <c r="AC34" s="2">
        <f>0.458109757596894*(1/14151.6638359215)</f>
        <v>3.2371441472066578E-5</v>
      </c>
      <c r="AD34" s="2">
        <f>-0.889258615291095*(1/14151.6638359215)</f>
        <v>-6.2837743010392112E-5</v>
      </c>
      <c r="AE34" s="2">
        <f>-1.64232660621472*(1/14151.6638359215)</f>
        <v>-1.1605183851569197E-4</v>
      </c>
      <c r="AF34" s="2">
        <f>-1.54095470884025*(1/14151.6638359215)</f>
        <v>-1.088885891232668E-4</v>
      </c>
      <c r="AG34" s="2">
        <f>-0.32500341683361*(1/14151.6638359215)</f>
        <v>-2.2965738912526046E-5</v>
      </c>
      <c r="AH34" s="2">
        <f>2.26566677613921*(1/14151.6638359215)</f>
        <v>1.6009896803711624E-4</v>
      </c>
      <c r="AI34" s="2">
        <f>6.34923542417706*(1/14151.6638359215)</f>
        <v>4.4865646172718201E-4</v>
      </c>
      <c r="AJ34" s="2">
        <f>10.1979267897998*(1/14151.6638359215)</f>
        <v>7.2061680577192367E-4</v>
      </c>
      <c r="AK34" s="2">
        <f>13.674784043956*(1/14151.6638359215)</f>
        <v>9.6630221029169556E-4</v>
      </c>
      <c r="AL34" s="2">
        <f>17.3547342436211*(1/14151.6638359215)</f>
        <v>1.2263387856606069E-3</v>
      </c>
      <c r="AM34" s="2">
        <f>21.8127044457701*(1/14151.6638359215)</f>
        <v>1.5413526422527364E-3</v>
      </c>
      <c r="AN34" s="2">
        <f>27.6236217073783*(1/14151.6638359215)</f>
        <v>1.9519698904421835E-3</v>
      </c>
      <c r="AO34" s="2">
        <f>35.3624130854209*(1/14151.6638359215)</f>
        <v>2.4988166406030403E-3</v>
      </c>
      <c r="AP34" s="2">
        <f>45.6040056368753*(1/14151.6638359215)</f>
        <v>3.2225190031095557E-3</v>
      </c>
      <c r="AQ34" s="2">
        <f>58.923326418713*(1/14151.6638359215)</f>
        <v>4.1637030883355597E-3</v>
      </c>
      <c r="AR34" s="2">
        <f>75.8953024879109*(1/14151.6638359215)</f>
        <v>5.3629950066552655E-3</v>
      </c>
      <c r="AS34" s="2">
        <f>97.0948609014442*(1/14151.6638359215)</f>
        <v>6.8610208684427654E-3</v>
      </c>
      <c r="AT34" s="2">
        <f>123.117492529741*(1/14151.6638359215)</f>
        <v>8.6998598862438343E-3</v>
      </c>
      <c r="AU34" s="2">
        <f>153.945218079568*(1/14151.6638359215)</f>
        <v>1.0878241588017746E-2</v>
      </c>
      <c r="AV34" s="2">
        <f>188.90828054282*(1/14151.6638359215)</f>
        <v>1.3348838887997727E-2</v>
      </c>
      <c r="AW34" s="2">
        <f>227.321512054482*(1/14151.6638359215)</f>
        <v>1.6063235721969774E-2</v>
      </c>
      <c r="AX34" s="2">
        <f>268.49974474953*(1/14151.6638359215)</f>
        <v>1.8973016025719238E-2</v>
      </c>
      <c r="AY34" s="2">
        <f>311.757810762942*(1/14151.6638359215)</f>
        <v>2.2029763735031623E-2</v>
      </c>
      <c r="AZ34" s="2">
        <f>356.410542229693*(1/14151.6638359215)</f>
        <v>2.5185062785692224E-2</v>
      </c>
      <c r="BA34" s="2">
        <f>401.77277128477*(1/14151.6638359215)</f>
        <v>2.8390497113487161E-2</v>
      </c>
      <c r="BB34" s="2">
        <f>447.159330063133*(1/14151.6638359215)</f>
        <v>3.1597650654200671E-2</v>
      </c>
      <c r="BC34" s="2">
        <f>491.885050699766*(1/14151.6638359215)</f>
        <v>3.4758107343618679E-2</v>
      </c>
      <c r="BD34" s="2">
        <f>535.372601450077*(1/14151.6638359215)</f>
        <v>3.7831071148759783E-2</v>
      </c>
      <c r="BE34" s="2">
        <f>580.849709133957*(1/14151.6638359215)</f>
        <v>4.1044623153043858E-2</v>
      </c>
      <c r="BF34" s="2">
        <f>629.319022749002*(1/14151.6638359215)</f>
        <v>4.4469613611905254E-2</v>
      </c>
      <c r="BG34" s="2">
        <f>679.716592736589*(1/14151.6638359215)</f>
        <v>4.803086058412781E-2</v>
      </c>
      <c r="BH34" s="2">
        <f>730.978469538063*(1/14151.6638359215)</f>
        <v>5.1653182128493132E-2</v>
      </c>
      <c r="BI34" s="2">
        <f>782.0407035948*(1/14151.6638359215)</f>
        <v>5.5261396303784988E-2</v>
      </c>
      <c r="BJ34" s="2">
        <f>831.839345348165*(1/14151.6638359215)</f>
        <v>5.878032116878637E-2</v>
      </c>
      <c r="BK34" s="2">
        <f>879.310445239523*(1/14151.6638359215)</f>
        <v>6.2134774782280279E-2</v>
      </c>
      <c r="BL34" s="2">
        <f>923.390053710241*(1/14151.6638359215)</f>
        <v>6.5249575203049859E-2</v>
      </c>
      <c r="BM34" s="2">
        <f>963.014221201691*(1/14151.6638359215)</f>
        <v>6.8049540489878615E-2</v>
      </c>
      <c r="BN34" s="2">
        <f>997.118998155224*(1/14151.6638359215)</f>
        <v>7.0459488701548542E-2</v>
      </c>
      <c r="BO34" s="2">
        <f>1024.77916536786*(1/14151.6638359215)</f>
        <v>7.2414041009555299E-2</v>
      </c>
      <c r="BP34" s="2">
        <f>1046.35342434263*(1/14151.6638359215)</f>
        <v>7.3938544363006037E-2</v>
      </c>
      <c r="BQ34" s="2">
        <f>1062.82708410963*(1/14151.6638359215)</f>
        <v>7.5102623722012901E-2</v>
      </c>
      <c r="BR34" s="2">
        <f>1075.18349434682*(1/14151.6638359215)</f>
        <v>7.5975765592852518E-2</v>
      </c>
      <c r="BS34" s="2">
        <f>1084.40600473211*(1/14151.6638359215)</f>
        <v>7.6627456481798056E-2</v>
      </c>
      <c r="BT34" s="2">
        <f>1091.47796494345*(1/14151.6638359215)</f>
        <v>7.7127182895125435E-2</v>
      </c>
      <c r="BU34" s="2">
        <f>1097.38272465877*(1/14151.6638359215)</f>
        <v>7.7544431339109238E-2</v>
      </c>
      <c r="BV34" s="2">
        <f>1103.10363355602*(1/14151.6638359215)</f>
        <v>7.7948688320025397E-2</v>
      </c>
      <c r="BW34" s="2">
        <f>1109.62404131311*(1/14151.6638359215)</f>
        <v>7.8409440344147041E-2</v>
      </c>
      <c r="BX34" s="2">
        <f>1117.927297608*(1/14151.6638359215)</f>
        <v>7.899617391775085E-2</v>
      </c>
      <c r="BY34" s="2">
        <f>1128.9966522256*(1/14151.6638359215)</f>
        <v>7.977836848836399E-2</v>
      </c>
      <c r="BZ34" s="2">
        <f>1143.41739574661*(1/14151.6638359215)</f>
        <v>8.0797382484753974E-2</v>
      </c>
      <c r="CA34" s="2">
        <f>1160.47427392895*(1/14151.6638359215)</f>
        <v>8.2002673846964261E-2</v>
      </c>
      <c r="CB34" s="2">
        <f>1179.18684347216*(1/14151.6638359215)</f>
        <v>8.332496144227243E-2</v>
      </c>
      <c r="CC34" s="2">
        <f>1198.57466107581*(1/14151.6638359215)</f>
        <v>8.4694964137958101E-2</v>
      </c>
      <c r="CD34" s="2">
        <f>1217.65728343944*(1/14151.6638359215)</f>
        <v>8.6043400801298867E-2</v>
      </c>
      <c r="CE34" s="2">
        <f>1235.4542672626*(1/14151.6638359215)</f>
        <v>8.7300990299572945E-2</v>
      </c>
      <c r="CF34" s="2">
        <f>1250.98516924485*(1/14151.6638359215)</f>
        <v>8.8398451500059316E-2</v>
      </c>
      <c r="CG34" s="2">
        <f>1263.26954608575*(1/14151.6638359215)</f>
        <v>8.9266503270036948E-2</v>
      </c>
      <c r="CH34" s="2">
        <f>1271.32695448485*(1/14151.6638359215)</f>
        <v>8.9835864476784058E-2</v>
      </c>
      <c r="CI34" s="2">
        <f>1274.1769511417*(1/14151.6638359215)</f>
        <v>9.0037253987578961E-2</v>
      </c>
      <c r="CJ34" s="2">
        <f>1271.22807130839*(1/14151.6638359215)</f>
        <v>8.982887708804968E-2</v>
      </c>
      <c r="CK34" s="2">
        <f>1264.25770745171*(1/14151.6638359215)</f>
        <v>8.9336329784955398E-2</v>
      </c>
      <c r="CL34" s="2">
        <f>1253.75785953431*(1/14151.6638359215)</f>
        <v>8.8594378305670823E-2</v>
      </c>
      <c r="CM34" s="2">
        <f>1239.87865612763*(1/14151.6638359215)</f>
        <v>8.7613631195818609E-2</v>
      </c>
      <c r="CN34" s="2">
        <f>1222.77022580311*(1/14151.6638359215)</f>
        <v>8.6404697001021435E-2</v>
      </c>
      <c r="CO34" s="2">
        <f>1202.5826971322*(1/14151.6638359215)</f>
        <v>8.4978184266902693E-2</v>
      </c>
      <c r="CP34" s="2">
        <f>1179.46619868634*(1/14151.6638359215)</f>
        <v>8.3344701539084992E-2</v>
      </c>
      <c r="CQ34" s="2">
        <f>1153.57085903698*(1/14151.6638359215)</f>
        <v>8.1514857363191751E-2</v>
      </c>
      <c r="CR34" s="2">
        <f>1125.04680675556*(1/14151.6638359215)</f>
        <v>7.9499260284845621E-2</v>
      </c>
      <c r="CS34" s="2">
        <f>1094.04417041352*(1/14151.6638359215)</f>
        <v>7.7308518849669258E-2</v>
      </c>
      <c r="CT34" s="2">
        <f>1060.71307858231*(1/14151.6638359215)</f>
        <v>7.495324160328605E-2</v>
      </c>
      <c r="CU34" s="2">
        <f>1023.56356357576*(1/14151.6638359215)</f>
        <v>7.2328142856080607E-2</v>
      </c>
      <c r="CV34" s="2">
        <f>981.182651186168*(1/14151.6638359215)</f>
        <v>6.9333377513929428E-2</v>
      </c>
      <c r="CW34" s="2">
        <f>934.546396233993*(1/14151.6638359215)</f>
        <v>6.603791660608925E-2</v>
      </c>
      <c r="CX34" s="2">
        <f>884.638685667831*(1/14151.6638359215)</f>
        <v>6.2511284604028813E-2</v>
      </c>
      <c r="CY34" s="2">
        <f>832.443406436277*(1/14151.6638359215)</f>
        <v>5.882300597921683E-2</v>
      </c>
      <c r="CZ34" s="2">
        <f>778.944445487932*(1/14151.6638359215)</f>
        <v>5.5042605203122409E-2</v>
      </c>
      <c r="DA34" s="2">
        <f>725.125689771383*(1/14151.6638359215)</f>
        <v>5.1239606747213673E-2</v>
      </c>
      <c r="DB34" s="2">
        <f>671.971026235249*(1/14151.6638359215)</f>
        <v>4.7483535082961006E-2</v>
      </c>
      <c r="DC34" s="2">
        <f>620.464341828119*(1/14151.6638359215)</f>
        <v>4.3843914681832664E-2</v>
      </c>
      <c r="DD34" s="2">
        <f>571.589523498591*(1/14151.6638359215)</f>
        <v>4.0390270015297561E-2</v>
      </c>
      <c r="DE34" s="2">
        <f>525.929620493514*(1/14151.6638359215)</f>
        <v>3.7163801132594355E-2</v>
      </c>
      <c r="DF34" s="2">
        <f>480.168100378024*(1/14151.6638359215)</f>
        <v>3.3930151672992834E-2</v>
      </c>
      <c r="DG34" s="2">
        <f>433.837500245303*(1/14151.6638359215)</f>
        <v>3.0656289272790887E-2</v>
      </c>
      <c r="DH34" s="2">
        <f>387.560263786892*(1/14151.6638359215)</f>
        <v>2.7386197713595958E-2</v>
      </c>
      <c r="DI34" s="2">
        <f>341.958834694356*(1/14151.6638359215)</f>
        <v>2.4163860777017182E-2</v>
      </c>
      <c r="DJ34" s="2">
        <f>297.655656659235*(1/14151.6638359215)</f>
        <v>2.1033262244661906E-2</v>
      </c>
      <c r="DK34" s="2">
        <f>255.273173373077*(1/14151.6638359215)</f>
        <v>1.8038385898138078E-2</v>
      </c>
      <c r="DL34" s="2">
        <f>215.433828527431*(1/14151.6638359215)</f>
        <v>1.5223215519053685E-2</v>
      </c>
      <c r="DM34" s="2">
        <f>178.760065813838*(1/14151.6638359215)</f>
        <v>1.2631734889016168E-2</v>
      </c>
      <c r="DN34" s="2">
        <f>145.87432892386*(1/14151.6638359215)</f>
        <v>1.0307927789634443E-2</v>
      </c>
      <c r="DO34" s="2">
        <f>117.399061549038*(1/14151.6638359215)</f>
        <v>8.295778002515946E-3</v>
      </c>
      <c r="DP34" s="2">
        <f>93.8236102165807*(1/14151.6638359215)</f>
        <v>6.6298642551433449E-3</v>
      </c>
      <c r="DQ34" s="2">
        <f>74.8368974241641*(1/14151.6638359215)</f>
        <v>5.2882048564638637E-3</v>
      </c>
      <c r="DR34" s="2">
        <f>59.8368965389966*(1/14151.6638359215)</f>
        <v>4.2282587569039904E-3</v>
      </c>
      <c r="DS34" s="2">
        <f>48.2214938016408*(1/14151.6638359215)</f>
        <v>3.4074787502540197E-3</v>
      </c>
      <c r="DT34" s="2">
        <f>39.3885754526581*(1/14151.6638359215)</f>
        <v>2.7833176303041596E-3</v>
      </c>
      <c r="DU34" s="2">
        <f>32.7360277326144*(1/14151.6638359215)</f>
        <v>2.3132281908449363E-3</v>
      </c>
      <c r="DV34" s="2">
        <f>27.6617368820707*(1/14151.6638359215)</f>
        <v>1.9546632256665299E-3</v>
      </c>
      <c r="DW34" s="2">
        <f>23.5635891415896*(1/14151.6638359215)</f>
        <v>1.6650755285592348E-3</v>
      </c>
      <c r="DX34" s="2">
        <f>19.8394707517339*(1/14151.6638359215)</f>
        <v>1.4019178933133577E-3</v>
      </c>
      <c r="DY34" s="2">
        <f>15.8872679530657*(1/14151.6638359215)</f>
        <v>1.1226431137191569E-3</v>
      </c>
      <c r="DZ34" s="2">
        <f>11.1960819842292*(1/14151.6638359215)</f>
        <v>7.9114951528243087E-4</v>
      </c>
      <c r="EA34" s="2">
        <f>7.27060513830729*(1/14151.6638359215)</f>
        <v>5.1376327353481522E-4</v>
      </c>
      <c r="EB34" s="2">
        <f>4.67792344834174*(1/14151.6638359215)</f>
        <v>3.3055642803411263E-4</v>
      </c>
      <c r="EC34" s="2">
        <f>3.20021535876646*(1/14151.6638359215)</f>
        <v>2.2613703914046337E-4</v>
      </c>
      <c r="ED34" s="2">
        <f>2.61965931401533*(1/14151.6638359215)</f>
        <v>1.8511316721400543E-4</v>
      </c>
      <c r="EE34" s="2">
        <f>2.71843375852227*(1/14151.6638359215)</f>
        <v>1.9209287261487981E-4</v>
      </c>
      <c r="EF34" s="2">
        <f>3.2787171367211*(1/14151.6638359215)</f>
        <v>2.3168421570322041E-4</v>
      </c>
      <c r="EG34" s="2">
        <f>4.08268789304566*(1/14151.6638359215)</f>
        <v>2.8849525683916245E-4</v>
      </c>
      <c r="EH34" s="2">
        <f>4.91252447192981*(1/14151.6638359215)</f>
        <v>3.471340563828427E-4</v>
      </c>
      <c r="EI34" s="2">
        <f>5.55040531780744*(1/14151.6638359215)</f>
        <v>3.9220867469440002E-4</v>
      </c>
      <c r="EJ34" s="2">
        <f>5.77850887511239*(1/14151.6638359215)</f>
        <v>4.0832717213396956E-4</v>
      </c>
      <c r="EK34" s="2">
        <f>5.59030752958001*(1/14151.6638359215)</f>
        <v>3.9502828744348786E-4</v>
      </c>
      <c r="EL34" s="2">
        <f>5.49934362233846*(1/14151.6638359215)</f>
        <v>3.8860049857737206E-4</v>
      </c>
      <c r="EM34" s="2">
        <f>5.52264443971459*(1/14151.6638359215)</f>
        <v>3.9024700584650208E-4</v>
      </c>
      <c r="EN34" s="2">
        <f>5.63674484826381*(1/14151.6638359215)</f>
        <v>3.9830969090404254E-4</v>
      </c>
      <c r="EO34" s="2">
        <f>5.81817971454147*(1/14151.6638359215)</f>
        <v>4.1113043540315369E-4</v>
      </c>
      <c r="EP34" s="2">
        <f>6.04348390510297*(1/14151.6638359215)</f>
        <v>4.2705112099699916E-4</v>
      </c>
      <c r="EQ34" s="2">
        <f>6.28919228650372*(1/14151.6638359215)</f>
        <v>4.4441362933874361E-4</v>
      </c>
      <c r="ER34" s="2">
        <f>6.53183972529901*(1/14151.6638359215)</f>
        <v>4.6155984208154295E-4</v>
      </c>
      <c r="ES34" s="2">
        <f>6.74796108804425*(1/14151.6638359215)</f>
        <v>4.7683164087856174E-4</v>
      </c>
      <c r="ET34" s="2">
        <f>6.91409124129484*(1/14151.6638359215)</f>
        <v>4.8857090738296371E-4</v>
      </c>
      <c r="EU34" s="2">
        <f>7.0073303453662*(1/14151.6638359215)</f>
        <v>4.9515946863995801E-4</v>
      </c>
      <c r="EV34" s="2">
        <f>7.05393713802043*(1/14151.6638359215)</f>
        <v>4.9845284765140168E-4</v>
      </c>
      <c r="EW34" s="2">
        <f>7.08143440973435*(1/14151.6638359215)</f>
        <v>5.0039588926352105E-4</v>
      </c>
      <c r="EX34" s="2">
        <f>7.09305193869508*(1/14151.6638359215)</f>
        <v>5.0121681951564032E-4</v>
      </c>
      <c r="EY34" s="2">
        <f>7.0920195030897*(1/14151.6638359215)</f>
        <v>5.0114386444708088E-4</v>
      </c>
      <c r="EZ34" s="2">
        <f>7.0815668811053*(1/14151.6638359215)</f>
        <v>5.0040525009716476E-4</v>
      </c>
      <c r="FA34" s="2">
        <f>7.06492385092899*(1/14151.6638359215)</f>
        <v>4.9922920250521552E-4</v>
      </c>
      <c r="FB34" s="2">
        <f>7.04532019074782*(1/14151.6638359215)</f>
        <v>4.9784394771055249E-4</v>
      </c>
      <c r="FC34" s="2">
        <f>7.02598567874893*(1/14151.6638359215)</f>
        <v>4.9647771175250128E-4</v>
      </c>
      <c r="FD34" s="2">
        <f>7.01015009311938*(1/14151.6638359215)</f>
        <v>4.9535872067038166E-4</v>
      </c>
      <c r="FE34" s="2">
        <f>7.00104321204627*(1/14151.6638359215)</f>
        <v>4.9471520050351663E-4</v>
      </c>
      <c r="FF34" s="2">
        <f t="shared" si="15"/>
        <v>4.9464148393856954E-4</v>
      </c>
      <c r="FG34" s="2">
        <f>7*(1/14151.6638359215)</f>
        <v>4.9464148393856954E-4</v>
      </c>
      <c r="FH34" s="2">
        <f t="shared" si="15"/>
        <v>4.9464148393856954E-4</v>
      </c>
      <c r="FI34" s="2">
        <f t="shared" si="15"/>
        <v>4.9464148393856954E-4</v>
      </c>
      <c r="FJ34" s="2">
        <f t="shared" si="15"/>
        <v>4.9464148393856954E-4</v>
      </c>
      <c r="FK34" s="2">
        <f>7*(1/14151.6638359215)</f>
        <v>4.9464148393856954E-4</v>
      </c>
      <c r="FL34" s="2">
        <f>7*(1/14151.6638359215)</f>
        <v>4.9464148393856954E-4</v>
      </c>
      <c r="FM34" s="2">
        <f>7*(1/14151.6638359215)</f>
        <v>4.9464148393856954E-4</v>
      </c>
      <c r="FN34" s="2">
        <f t="shared" si="15"/>
        <v>4.9464148393856954E-4</v>
      </c>
      <c r="FO34" s="2">
        <f>7*(1/14151.6638359215)</f>
        <v>4.9464148393856954E-4</v>
      </c>
      <c r="FP34" s="2">
        <f t="shared" si="13"/>
        <v>4.9464148393856954E-4</v>
      </c>
      <c r="FQ34" s="2"/>
    </row>
    <row r="35" spans="2:173">
      <c r="B35" s="2">
        <v>9.6029585798816584</v>
      </c>
      <c r="C35" s="2">
        <f t="shared" si="14"/>
        <v>4.9464148393856954E-4</v>
      </c>
      <c r="D35" s="2">
        <f t="shared" si="14"/>
        <v>4.9464148393856954E-4</v>
      </c>
      <c r="E35" s="2">
        <f t="shared" si="14"/>
        <v>4.9464148393856954E-4</v>
      </c>
      <c r="F35" s="2">
        <f>7*(1/14151.6638359215)</f>
        <v>4.9464148393856954E-4</v>
      </c>
      <c r="G35" s="2">
        <f t="shared" si="14"/>
        <v>4.9464148393856954E-4</v>
      </c>
      <c r="H35" s="2">
        <f t="shared" si="14"/>
        <v>4.9464148393856954E-4</v>
      </c>
      <c r="I35" s="2">
        <f t="shared" si="14"/>
        <v>4.9464148393856954E-4</v>
      </c>
      <c r="J35" s="2">
        <f t="shared" si="11"/>
        <v>4.9464148393856954E-4</v>
      </c>
      <c r="K35" s="2">
        <f t="shared" si="11"/>
        <v>4.9464148393856954E-4</v>
      </c>
      <c r="L35" s="2">
        <f t="shared" si="11"/>
        <v>4.9464148393856954E-4</v>
      </c>
      <c r="M35" s="2">
        <f t="shared" si="11"/>
        <v>4.9464148393856954E-4</v>
      </c>
      <c r="N35" s="2">
        <f>6.99332323932343*(1/14151.6638359215)</f>
        <v>4.941696835372893E-4</v>
      </c>
      <c r="O35" s="2">
        <f>6.93503742326858*(1/14151.6638359215)</f>
        <v>4.9005102888786912E-4</v>
      </c>
      <c r="P35" s="2">
        <f>6.83368658496124*(1/14151.6638359215)</f>
        <v>4.8288926759376048E-4</v>
      </c>
      <c r="Q35" s="2">
        <f>6.70994193508261*(1/14151.6638359215)</f>
        <v>4.7414509084441417E-4</v>
      </c>
      <c r="R35" s="2">
        <f>6.58447468431385*(1/14151.6638359215)</f>
        <v>4.6527918982927814E-4</v>
      </c>
      <c r="S35" s="2">
        <f>6.47795604333622*(1/14151.6638359215)</f>
        <v>4.5775225573780747E-4</v>
      </c>
      <c r="T35" s="2">
        <f>6.41105722283088*(1/14151.6638359215)</f>
        <v>4.5302497975945017E-4</v>
      </c>
      <c r="U35" s="2">
        <f>6.40444943347901*(1/14151.6638359215)</f>
        <v>4.5255805308365551E-4</v>
      </c>
      <c r="V35" s="2">
        <f>6.47880388596183*(1/14151.6638359215)</f>
        <v>4.578121668998758E-4</v>
      </c>
      <c r="W35" s="2">
        <f>6.65479179096051*(1/14151.6638359215)</f>
        <v>4.7024801239755964E-4</v>
      </c>
      <c r="X35" s="2">
        <f>6.95308435915632*(1/14151.6638359215)</f>
        <v>4.9132628076616286E-4</v>
      </c>
      <c r="Y35" s="2">
        <f>7.05022491927298*(1/14151.6638359215)</f>
        <v>4.9819053088140971E-4</v>
      </c>
      <c r="Z35" s="2">
        <f>6.55579247882753*(1/14151.6638359215)</f>
        <v>4.6325241716008039E-4</v>
      </c>
      <c r="AA35" s="2">
        <f>5.7161344566976*(1/14151.6638359215)</f>
        <v>4.0391960429332711E-4</v>
      </c>
      <c r="AB35" s="2">
        <f>4.78522885954113*(1/14151.6638359215)</f>
        <v>3.381389577241562E-4</v>
      </c>
      <c r="AC35" s="2">
        <f>4.01705369401606*(1/14151.6638359215)</f>
        <v>2.838573428955738E-4</v>
      </c>
      <c r="AD35" s="2">
        <f>3.66558696678031*(1/14151.6638359215)</f>
        <v>2.5902162525058466E-4</v>
      </c>
      <c r="AE35" s="2">
        <f>3.984806684492*(1/14151.6638359215)</f>
        <v>2.8157867023220773E-4</v>
      </c>
      <c r="AF35" s="2">
        <f>5.22869085380895*(1/14151.6638359215)</f>
        <v>3.6947534328344076E-4</v>
      </c>
      <c r="AG35" s="2">
        <f>7.6512174813891*(1/14151.6638359215)</f>
        <v>5.4065850984728989E-4</v>
      </c>
      <c r="AH35" s="2">
        <f>11.5063645738904*(1/14151.6638359215)</f>
        <v>8.1307503536676195E-4</v>
      </c>
      <c r="AI35" s="2">
        <f>16.897128466159*(1/14151.6638359215)</f>
        <v>1.1940029569716475E-3</v>
      </c>
      <c r="AJ35" s="2">
        <f>21.9766660217633*(1/14151.6638359215)</f>
        <v>1.5529386704324769E-3</v>
      </c>
      <c r="AK35" s="2">
        <f>26.6197096318315*(1/14151.6638359215)</f>
        <v>1.881030382043281E-3</v>
      </c>
      <c r="AL35" s="2">
        <f>31.4618010616096*(1/14151.6638359215)</f>
        <v>2.2231874234992337E-3</v>
      </c>
      <c r="AM35" s="2">
        <f>37.138482076343*(1/14151.6638359215)</f>
        <v>2.6243191264954673E-3</v>
      </c>
      <c r="AN35" s="2">
        <f>44.2852944412776*(1/14151.6638359215)</f>
        <v>3.1293348227271482E-3</v>
      </c>
      <c r="AO35" s="2">
        <f>53.537779921659*(1/14151.6638359215)</f>
        <v>3.7831438438894233E-3</v>
      </c>
      <c r="AP35" s="2">
        <f>65.5314802827355*(1/14151.6638359215)</f>
        <v>4.6306555216776282E-3</v>
      </c>
      <c r="AQ35" s="2">
        <f>80.9019372897483*(1/14151.6638359215)</f>
        <v>5.7167791877865996E-3</v>
      </c>
      <c r="AR35" s="2">
        <f>100.284692707945*(1/14151.6638359215)</f>
        <v>7.086424173911623E-3</v>
      </c>
      <c r="AS35" s="2">
        <f>124.315288302572*(1/14151.6638359215)</f>
        <v>8.784499811747901E-3</v>
      </c>
      <c r="AT35" s="2">
        <f>153.659805196861*(1/14151.6638359215)</f>
        <v>1.0858073437755264E-2</v>
      </c>
      <c r="AU35" s="2">
        <f>188.31312155465*(1/14151.6638359215)</f>
        <v>1.33067831272709E-2</v>
      </c>
      <c r="AV35" s="2">
        <f>227.527336490694*(1/14151.6638359215)</f>
        <v>1.6077779908335303E-2</v>
      </c>
      <c r="AW35" s="2">
        <f>270.536557585*(1/14151.6638359215)</f>
        <v>1.9116943471925239E-2</v>
      </c>
      <c r="AX35" s="2">
        <f>316.574892417576*(1/14151.6638359215)</f>
        <v>2.2370153509017544E-2</v>
      </c>
      <c r="AY35" s="2">
        <f>364.876448568424*(1/14151.6638359215)</f>
        <v>2.5783289710588627E-2</v>
      </c>
      <c r="AZ35" s="2">
        <f>414.675333617549*(1/14151.6638359215)</f>
        <v>2.9302231767615119E-2</v>
      </c>
      <c r="BA35" s="2">
        <f>465.205655144965*(1/14151.6638359215)</f>
        <v>3.287285937107428E-2</v>
      </c>
      <c r="BB35" s="2">
        <f>515.701520730657*(1/14151.6638359215)</f>
        <v>3.6441052211941306E-2</v>
      </c>
      <c r="BC35" s="2">
        <f>565.397037954638*(1/14151.6638359215)</f>
        <v>3.9952689981193411E-2</v>
      </c>
      <c r="BD35" s="2">
        <f>613.641565481085*(1/14151.6638359215)</f>
        <v>4.3361796365135825E-2</v>
      </c>
      <c r="BE35" s="2">
        <f>663.867246389281*(1/14151.6638359215)</f>
        <v>4.6910897127457996E-2</v>
      </c>
      <c r="BF35" s="2">
        <f>717.172969617566*(1/14151.6638359215)</f>
        <v>5.0677643133180496E-2</v>
      </c>
      <c r="BG35" s="2">
        <f>772.456453252675*(1/14151.6638359215)</f>
        <v>5.4584143759261065E-2</v>
      </c>
      <c r="BH35" s="2">
        <f>828.615415381315*(1/14151.6638359215)</f>
        <v>5.8552508382655404E-2</v>
      </c>
      <c r="BI35" s="2">
        <f>884.547574090221*(1/14151.6638359215)</f>
        <v>6.250484638032125E-2</v>
      </c>
      <c r="BJ35" s="2">
        <f>939.150647466119*(1/14151.6638359215)</f>
        <v>6.6363267129215642E-2</v>
      </c>
      <c r="BK35" s="2">
        <f>991.322353595737*(1/14151.6638359215)</f>
        <v>7.004988000629582E-2</v>
      </c>
      <c r="BL35" s="2">
        <f>1039.9604105658*(1/14151.6638359215)</f>
        <v>7.3486794388518767E-2</v>
      </c>
      <c r="BM35" s="2">
        <f>1083.96253646304*(1/14151.6638359215)</f>
        <v>7.6596119652841979E-2</v>
      </c>
      <c r="BN35" s="2">
        <f>1122.22644937417*(1/14151.6638359215)</f>
        <v>7.9299965176221635E-2</v>
      </c>
      <c r="BO35" s="2">
        <f>1153.84455291664*(1/14151.6638359215)</f>
        <v>8.1534197412731726E-2</v>
      </c>
      <c r="BP35" s="2">
        <f>1179.34540660065*(1/14151.6638359215)</f>
        <v>8.3336165999583031E-2</v>
      </c>
      <c r="BQ35" s="2">
        <f>1199.69124687495*(1/14151.6638359215)</f>
        <v>8.4773865517476857E-2</v>
      </c>
      <c r="BR35" s="2">
        <f>1215.82208975493*(1/14151.6638359215)</f>
        <v>8.5913720383095887E-2</v>
      </c>
      <c r="BS35" s="2">
        <f>1228.67795125598*(1/14151.6638359215)</f>
        <v>8.6822155013122765E-2</v>
      </c>
      <c r="BT35" s="2">
        <f>1239.19884739348*(1/14151.6638359215)</f>
        <v>8.7565593824239424E-2</v>
      </c>
      <c r="BU35" s="2">
        <f>1248.32479418282*(1/14151.6638359215)</f>
        <v>8.8210461233128493E-2</v>
      </c>
      <c r="BV35" s="2">
        <f>1256.9958076394*(1/14151.6638359215)</f>
        <v>8.8823181656473363E-2</v>
      </c>
      <c r="BW35" s="2">
        <f>1266.15190377861*(1/14151.6638359215)</f>
        <v>8.9470179510956649E-2</v>
      </c>
      <c r="BX35" s="2">
        <f>1276.73309861583*(1/14151.6638359215)</f>
        <v>9.0217879213260313E-2</v>
      </c>
      <c r="BY35" s="2">
        <f>1289.6792218122*(1/14151.6638359215)</f>
        <v>9.113269201170375E-2</v>
      </c>
      <c r="BZ35" s="2">
        <f>1305.52628572407*(1/14151.6638359215)</f>
        <v>9.2252494184480421E-2</v>
      </c>
      <c r="CA35" s="2">
        <f>1323.58145619629*(1/14151.6638359215)</f>
        <v>9.3528327943786529E-2</v>
      </c>
      <c r="CB35" s="2">
        <f>1342.92078751224*(1/14151.6638359215)</f>
        <v>9.4894904449572395E-2</v>
      </c>
      <c r="CC35" s="2">
        <f>1362.6203339553*(1/14151.6638359215)</f>
        <v>9.6286934861788409E-2</v>
      </c>
      <c r="CD35" s="2">
        <f>1381.75614980883*(1/14151.6638359215)</f>
        <v>9.7639130340383448E-2</v>
      </c>
      <c r="CE35" s="2">
        <f>1399.40428935621*(1/14151.6638359215)</f>
        <v>9.8886202045307875E-2</v>
      </c>
      <c r="CF35" s="2">
        <f>1414.6408068808*(1/14151.6638359215)</f>
        <v>9.9962861136510622E-2</v>
      </c>
      <c r="CG35" s="2">
        <f>1426.54175666598*(1/14151.6638359215)</f>
        <v>0.10080381877394202</v>
      </c>
      <c r="CH35" s="2">
        <f>1434.18319299512*(1/14151.6638359215)</f>
        <v>0.10134378611755172</v>
      </c>
      <c r="CI35" s="2">
        <f>1436.6411701516*(1/14151.6638359215)</f>
        <v>0.10151747432729005</v>
      </c>
      <c r="CJ35" s="2">
        <f>1433.36807202968*(1/14151.6638359215)</f>
        <v>0.1012861871684182</v>
      </c>
      <c r="CK35" s="2">
        <f>1426.08872968136*(1/14151.6638359215)</f>
        <v>0.10077180649680821</v>
      </c>
      <c r="CL35" s="2">
        <f>1415.25423582015*(1/14151.6638359215)</f>
        <v>0.10000620790806074</v>
      </c>
      <c r="CM35" s="2">
        <f>1400.98277567125*(1/14151.6638359215)</f>
        <v>9.8997742732914742E-2</v>
      </c>
      <c r="CN35" s="2">
        <f>1383.39253445985*(1/14151.6638359215)</f>
        <v>9.7754762302108417E-2</v>
      </c>
      <c r="CO35" s="2">
        <f>1362.60169741112*(1/14151.6638359215)</f>
        <v>9.6285617946378591E-2</v>
      </c>
      <c r="CP35" s="2">
        <f>1338.72844975027*(1/14151.6638359215)</f>
        <v>9.4598660996464912E-2</v>
      </c>
      <c r="CQ35" s="2">
        <f>1311.89097670248*(1/14151.6638359215)</f>
        <v>9.2702242783104863E-2</v>
      </c>
      <c r="CR35" s="2">
        <f>1282.20746349293*(1/14151.6638359215)</f>
        <v>9.060471463703601E-2</v>
      </c>
      <c r="CS35" s="2">
        <f>1249.79609534683*(1/14151.6638359215)</f>
        <v>8.8314427888998001E-2</v>
      </c>
      <c r="CT35" s="2">
        <f>1214.77505748935*(1/14151.6638359215)</f>
        <v>8.5839733869727611E-2</v>
      </c>
      <c r="CU35" s="2">
        <f>1175.69882354022*(1/14151.6638359215)</f>
        <v>8.3078487248680694E-2</v>
      </c>
      <c r="CV35" s="2">
        <f>1131.22953753142*(1/14151.6638359215)</f>
        <v>7.9936151017097612E-2</v>
      </c>
      <c r="CW35" s="2">
        <f>1082.32757258486*(1/14151.6638359215)</f>
        <v>7.648058808728643E-2</v>
      </c>
      <c r="CX35" s="2">
        <f>1029.960804836*(1/14151.6638359215)</f>
        <v>7.2780191557520357E-2</v>
      </c>
      <c r="CY35" s="2">
        <f>975.097110420287*(1/14151.6638359215)</f>
        <v>6.8903354526071714E-2</v>
      </c>
      <c r="CZ35" s="2">
        <f>918.70436547316*(1/14151.6638359215)</f>
        <v>6.4918470091212252E-2</v>
      </c>
      <c r="DA35" s="2">
        <f>861.750446130063*(1/14151.6638359215)</f>
        <v>6.0893931351214098E-2</v>
      </c>
      <c r="DB35" s="2">
        <f>805.203228526467*(1/14151.6638359215)</f>
        <v>5.6898131404351251E-2</v>
      </c>
      <c r="DC35" s="2">
        <f>750.030588797811*(1/14151.6638359215)</f>
        <v>5.2999463348895472E-2</v>
      </c>
      <c r="DD35" s="2">
        <f>697.200403079543*(1/14151.6638359215)</f>
        <v>4.9266320283119142E-2</v>
      </c>
      <c r="DE35" s="2">
        <f>647.258458766581*(1/14151.6638359215)</f>
        <v>4.5737269219441871E-2</v>
      </c>
      <c r="DF35" s="2">
        <f>596.68876387864*(1/14151.6638359215)</f>
        <v>4.2163859373485886E-2</v>
      </c>
      <c r="DG35" s="2">
        <f>545.063060773341*(1/14151.6638359215)</f>
        <v>3.8515828745860591E-2</v>
      </c>
      <c r="DH35" s="2">
        <f>493.10998497112*(1/14151.6638359215)</f>
        <v>3.4844664958720073E-2</v>
      </c>
      <c r="DI35" s="2">
        <f>441.558171992443*(1/14151.6638359215)</f>
        <v>3.120185563422059E-2</v>
      </c>
      <c r="DJ35" s="2">
        <f>391.136257357746*(1/14151.6638359215)</f>
        <v>2.7638888394516246E-2</v>
      </c>
      <c r="DK35" s="2">
        <f>342.572876587477*(1/14151.6638359215)</f>
        <v>2.4207250861762012E-2</v>
      </c>
      <c r="DL35" s="2">
        <f>296.59666520208*(1/14151.6638359215)</f>
        <v>2.0958430658112561E-2</v>
      </c>
      <c r="DM35" s="2">
        <f>253.936258721996*(1/14151.6638359215)</f>
        <v>1.7943915405722377E-2</v>
      </c>
      <c r="DN35" s="2">
        <f>215.320292667686*(1/14151.6638359215)</f>
        <v>1.521519272674733E-2</v>
      </c>
      <c r="DO35" s="2">
        <f>181.477402559588*(1/14151.6638359215)</f>
        <v>1.2823750243341682E-2</v>
      </c>
      <c r="DP35" s="2">
        <f>152.815559258406*(1/14151.6638359215)</f>
        <v>1.0798416428640052E-2</v>
      </c>
      <c r="DQ35" s="2">
        <f>128.728938647693*(1/14151.6638359215)</f>
        <v>9.0963818912188493E-3</v>
      </c>
      <c r="DR35" s="2">
        <f>108.656805186036*(1/14151.6638359215)</f>
        <v>7.6780233367492725E-3</v>
      </c>
      <c r="DS35" s="2">
        <f>92.0480013609169*(1/14151.6638359215)</f>
        <v>6.5043942838204864E-3</v>
      </c>
      <c r="DT35" s="2">
        <f>78.3513696598151*(1/14151.6638359215)</f>
        <v>5.5365482510214802E-3</v>
      </c>
      <c r="DU35" s="2">
        <f>67.0157525702182*(1/14151.6638359215)</f>
        <v>4.7355387569418192E-3</v>
      </c>
      <c r="DV35" s="2">
        <f>57.4899925796058*(1/14151.6638359215)</f>
        <v>4.0624193201705093E-3</v>
      </c>
      <c r="DW35" s="2">
        <f>49.2229321754599*(1/14151.6638359215)</f>
        <v>3.4782434592967211E-3</v>
      </c>
      <c r="DX35" s="2">
        <f>41.6634138452629*(1/14151.6638359215)</f>
        <v>2.9440646929096551E-3</v>
      </c>
      <c r="DY35" s="2">
        <f>34.2602800764956*(1/14151.6638359215)</f>
        <v>2.4209365395983988E-3</v>
      </c>
      <c r="DZ35" s="2">
        <f>26.553443055641*(1/14151.6638359215)</f>
        <v>1.8763477823886528E-3</v>
      </c>
      <c r="EA35" s="2">
        <f>20.0685238841973*(1/14151.6638359215)</f>
        <v>1.418103490647997E-3</v>
      </c>
      <c r="EB35" s="2">
        <f>15.3288857621309*(1/14151.6638359215)</f>
        <v>1.0831861143578913E-3</v>
      </c>
      <c r="EC35" s="2">
        <f>12.0646328834105*(1/14151.6638359215)</f>
        <v>8.5252398751774758E-4</v>
      </c>
      <c r="ED35" s="2">
        <f>10.0058694420048*(1/14151.6638359215)</f>
        <v>7.0704544412697728E-4</v>
      </c>
      <c r="EE35" s="2">
        <f>8.88269963188253*(1/14151.6638359215)</f>
        <v>6.2767881818499437E-4</v>
      </c>
      <c r="EF35" s="2">
        <f>8.42522764701281*(1/14151.6638359215)</f>
        <v>5.9535244369123984E-4</v>
      </c>
      <c r="EG35" s="2">
        <f>8.36355768136412*(1/14151.6638359215)</f>
        <v>5.9099465464511011E-4</v>
      </c>
      <c r="EH35" s="2">
        <f>8.42779392890522*(1/14151.6638359215)</f>
        <v>5.9553378504602079E-4</v>
      </c>
      <c r="EI35" s="2">
        <f>8.34804058360488*(1/14151.6638359215)</f>
        <v>5.8989816889338847E-4</v>
      </c>
      <c r="EJ35" s="2">
        <f>7.85440183943171*(1/14151.6638359215)</f>
        <v>5.550161401866188E-4</v>
      </c>
      <c r="EK35" s="2">
        <f>6.95522533357265*(1/14151.6638359215)</f>
        <v>4.9147756858935825E-4</v>
      </c>
      <c r="EL35" s="2">
        <f>6.3265124713683*(1/14151.6638359215)</f>
        <v>4.4705078814192612E-4</v>
      </c>
      <c r="EM35" s="2">
        <f>5.97197287679995*(1/14151.6638359215)</f>
        <v>4.2199793226017365E-4</v>
      </c>
      <c r="EN35" s="2">
        <f>5.84140358903687*(1/14151.6638359215)</f>
        <v>4.127715056521833E-4</v>
      </c>
      <c r="EO35" s="2">
        <f>5.88460164724831*(1/14151.6638359215)</f>
        <v>4.1582401302603643E-4</v>
      </c>
      <c r="EP35" s="2">
        <f>6.05136409060354*(1/14151.6638359215)</f>
        <v>4.2760795908981537E-4</v>
      </c>
      <c r="EQ35" s="2">
        <f>6.29148795827187*(1/14151.6638359215)</f>
        <v>4.4457584855160556E-4</v>
      </c>
      <c r="ER35" s="2">
        <f>6.55477028942247*(1/14151.6638359215)</f>
        <v>4.6318018611948256E-4</v>
      </c>
      <c r="ES35" s="2">
        <f>6.79100812322464*(1/14151.6638359215)</f>
        <v>4.7987347650153085E-4</v>
      </c>
      <c r="ET35" s="2">
        <f>6.94999849884763*(1/14151.6638359215)</f>
        <v>4.9110822440583178E-4</v>
      </c>
      <c r="EU35" s="2">
        <f>6.98297817540449*(1/14151.6638359215)</f>
        <v>4.9343866957038884E-4</v>
      </c>
      <c r="EV35" s="2">
        <f>6.96230245052892*(1/14151.6638359215)</f>
        <v>4.9197765939410919E-4</v>
      </c>
      <c r="EW35" s="2">
        <f>6.95074839933335*(1/14151.6638359215)</f>
        <v>4.9116121467569795E-4</v>
      </c>
      <c r="EX35" s="2">
        <f>6.94675354856898*(1/14151.6638359215)</f>
        <v>4.9087892625995484E-4</v>
      </c>
      <c r="EY35" s="2">
        <f>6.94875542498701*(1/14151.6638359215)</f>
        <v>4.9102038499168003E-4</v>
      </c>
      <c r="EZ35" s="2">
        <f>6.95519155533865*(1/14151.6638359215)</f>
        <v>4.9147518171567387E-4</v>
      </c>
      <c r="FA35" s="2">
        <f>6.96449946637512*(1/14151.6638359215)</f>
        <v>4.9213290727673784E-4</v>
      </c>
      <c r="FB35" s="2">
        <f>6.9751166848476*(1/14151.6638359215)</f>
        <v>4.9288315251967035E-4</v>
      </c>
      <c r="FC35" s="2">
        <f>6.98548073750732*(1/14151.6638359215)</f>
        <v>4.9361550828927339E-4</v>
      </c>
      <c r="FD35" s="2">
        <f>6.99402915110548*(1/14151.6638359215)</f>
        <v>4.9421956543034692E-4</v>
      </c>
      <c r="FE35" s="2">
        <f>6.99919945239328*(1/14151.6638359215)</f>
        <v>4.9458491478769075E-4</v>
      </c>
      <c r="FF35" s="2">
        <f>7.00034582418073*(1/14151.6638359215)</f>
        <v>4.9466592093656077E-4</v>
      </c>
      <c r="FG35" s="2">
        <f>7.00086456045182*(1/14151.6638359215)</f>
        <v>4.9470257643354713E-4</v>
      </c>
      <c r="FH35" s="2">
        <f>7.00126033701421*(1/14151.6638359215)</f>
        <v>4.9473054322013692E-4</v>
      </c>
      <c r="FI35" s="2">
        <f>7.00153315386789*(1/14151.6638359215)</f>
        <v>4.947498212963295E-4</v>
      </c>
      <c r="FJ35" s="2">
        <f>7.00168301101287*(1/14151.6638359215)</f>
        <v>4.9476041066212541E-4</v>
      </c>
      <c r="FK35" s="2">
        <f>7.00170990844915*(1/14151.6638359215)</f>
        <v>4.9476231131752476E-4</v>
      </c>
      <c r="FL35" s="2">
        <f>7.00161384617673*(1/14151.6638359215)</f>
        <v>4.9475552326252764E-4</v>
      </c>
      <c r="FM35" s="2">
        <f>7.0013948241956*(1/14151.6638359215)</f>
        <v>4.947400464971331E-4</v>
      </c>
      <c r="FN35" s="2">
        <f>7.00105284250577*(1/14151.6638359215)</f>
        <v>4.947158810213421E-4</v>
      </c>
      <c r="FO35" s="2">
        <f>7.00058790110724*(1/14151.6638359215)</f>
        <v>4.9468302683515443E-4</v>
      </c>
      <c r="FP35" s="2">
        <f t="shared" si="13"/>
        <v>4.9464148393856954E-4</v>
      </c>
      <c r="FQ35" s="2"/>
    </row>
    <row r="36" spans="2:173">
      <c r="B36" s="2">
        <v>9.6124260355029598</v>
      </c>
      <c r="C36" s="2">
        <f t="shared" si="14"/>
        <v>4.9464148393856954E-4</v>
      </c>
      <c r="D36" s="2">
        <f t="shared" si="14"/>
        <v>4.9464148393856954E-4</v>
      </c>
      <c r="E36" s="2">
        <f t="shared" si="14"/>
        <v>4.9464148393856954E-4</v>
      </c>
      <c r="F36" s="2">
        <f>7*(1/14151.6638359215)</f>
        <v>4.9464148393856954E-4</v>
      </c>
      <c r="G36" s="2">
        <f t="shared" si="14"/>
        <v>4.9464148393856954E-4</v>
      </c>
      <c r="H36" s="2">
        <f t="shared" si="14"/>
        <v>4.9464148393856954E-4</v>
      </c>
      <c r="I36" s="2">
        <f t="shared" si="14"/>
        <v>4.9464148393856954E-4</v>
      </c>
      <c r="J36" s="2">
        <f t="shared" si="11"/>
        <v>4.9464148393856954E-4</v>
      </c>
      <c r="K36" s="2">
        <f t="shared" si="11"/>
        <v>4.9464148393856954E-4</v>
      </c>
      <c r="L36" s="2">
        <f t="shared" si="11"/>
        <v>4.9464148393856954E-4</v>
      </c>
      <c r="M36" s="2">
        <f t="shared" si="11"/>
        <v>4.9464148393856954E-4</v>
      </c>
      <c r="N36" s="2">
        <f>6.98294943872274*(1/14151.6638359215)</f>
        <v>4.9343663894825963E-4</v>
      </c>
      <c r="O36" s="2">
        <f>6.83410392420165*(1/14151.6638359215)</f>
        <v>4.8291875806535798E-4</v>
      </c>
      <c r="P36" s="2">
        <f>6.57528250423897*(1/14151.6638359215)</f>
        <v>4.6462964217315399E-4</v>
      </c>
      <c r="Q36" s="2">
        <f>6.25927361344668*(1/14151.6638359215)</f>
        <v>4.4229948407611405E-4</v>
      </c>
      <c r="R36" s="2">
        <f>5.93886568643666*(1/14151.6638359215)</f>
        <v>4.196584765786973E-4</v>
      </c>
      <c r="S36" s="2">
        <f>5.666847157821*(1/14151.6638359215)</f>
        <v>4.004368124853778E-4</v>
      </c>
      <c r="T36" s="2">
        <f>5.49600646221161*(1/14151.6638359215)</f>
        <v>3.883646846006169E-4</v>
      </c>
      <c r="U36" s="2">
        <f>5.47913203422042*(1/14151.6638359215)</f>
        <v>3.8717228572887743E-4</v>
      </c>
      <c r="V36" s="2">
        <f>5.66901230845941*(1/14151.6638359215)</f>
        <v>4.005898086746255E-4</v>
      </c>
      <c r="W36" s="2">
        <f>6.11843571954053*(1/14151.6638359215)</f>
        <v>4.3234744624232534E-4</v>
      </c>
      <c r="X36" s="2">
        <f>6.8801907020759*(1/14151.6638359215)</f>
        <v>4.8617539123645316E-4</v>
      </c>
      <c r="Y36" s="2">
        <f>7.63889686081405*(1/14151.6638359215)</f>
        <v>5.3978789698382035E-4</v>
      </c>
      <c r="Z36" s="2">
        <f>7.96833960119294*(1/14151.6638359215)</f>
        <v>5.6306733212293505E-4</v>
      </c>
      <c r="AA36" s="2">
        <f>8.09603640889907*(1/14151.6638359215)</f>
        <v>5.7209078047407483E-4</v>
      </c>
      <c r="AB36" s="2">
        <f>8.25749424871364*(1/14151.6638359215)</f>
        <v>5.8349988697113111E-4</v>
      </c>
      <c r="AC36" s="2">
        <f>8.68822008541781*(1/14151.6638359215)</f>
        <v>6.1393629654799301E-4</v>
      </c>
      <c r="AD36" s="2">
        <f>9.62372088379302*(1/14151.6638359215)</f>
        <v>6.8004165413856877E-4</v>
      </c>
      <c r="AE36" s="2">
        <f>11.2995036086201*(1/14151.6638359215)</f>
        <v>7.9845760467672398E-4</v>
      </c>
      <c r="AF36" s="2">
        <f>13.9510752246805*(1/14151.6638359215)</f>
        <v>9.8582579309636795E-4</v>
      </c>
      <c r="AG36" s="2">
        <f>17.8139426967552*(1/14151.6638359215)</f>
        <v>1.2587878643313764E-3</v>
      </c>
      <c r="AH36" s="2">
        <f>23.1236129896254*(1/14151.6638359215)</f>
        <v>1.6339854633156414E-3</v>
      </c>
      <c r="AI36" s="2">
        <f>29.9559043777094*(1/14151.6638359215)</f>
        <v>2.11677614201601E-3</v>
      </c>
      <c r="AJ36" s="2">
        <f>36.3439462826601*(1/14151.6638359215)</f>
        <v>2.5681747887769499E-3</v>
      </c>
      <c r="AK36" s="2">
        <f>42.1850073071953*(1/14151.6638359215)</f>
        <v>2.980922087770069E-3</v>
      </c>
      <c r="AL36" s="2">
        <f>48.1864176848753*(1/14151.6638359215)</f>
        <v>3.4050001641900644E-3</v>
      </c>
      <c r="AM36" s="2">
        <f>55.0555076492603*(1/14151.6638359215)</f>
        <v>3.8903911432316258E-3</v>
      </c>
      <c r="AN36" s="2">
        <f>63.4996074339107*(1/14151.6638359215)</f>
        <v>4.4870771500894581E-3</v>
      </c>
      <c r="AO36" s="2">
        <f>74.2260472723868*(1/14151.6638359215)</f>
        <v>5.2450403099582599E-3</v>
      </c>
      <c r="AP36" s="2">
        <f>87.9421573982517*(1/14151.6638359215)</f>
        <v>6.2142627480329246E-3</v>
      </c>
      <c r="AQ36" s="2">
        <f>105.355268045061*(1/14151.6638359215)</f>
        <v>7.444726589507818E-3</v>
      </c>
      <c r="AR36" s="2">
        <f>127.172709446376*(1/14151.6638359215)</f>
        <v>8.9864139595777093E-3</v>
      </c>
      <c r="AS36" s="2">
        <f>154.101811835759*(1/14151.6638359215)</f>
        <v>1.0889306983437437E-2</v>
      </c>
      <c r="AT36" s="2">
        <f>186.886979860912*(1/14151.6638359215)</f>
        <v>1.3206007578171296E-2</v>
      </c>
      <c r="AU36" s="2">
        <f>225.528343382966*(1/14151.6638359215)</f>
        <v>1.5936524920165368E-2</v>
      </c>
      <c r="AV36" s="2">
        <f>269.190545112328*(1/14151.6638359215)</f>
        <v>1.9021830099513481E-2</v>
      </c>
      <c r="AW36" s="2">
        <f>317.017826202157*(1/14151.6638359215)</f>
        <v>2.2401452569659211E-2</v>
      </c>
      <c r="AX36" s="2">
        <f>368.154427805609*(1/14151.6638359215)</f>
        <v>2.6014921784045915E-2</v>
      </c>
      <c r="AY36" s="2">
        <f>421.744591075833*(1/14151.6638359215)</f>
        <v>2.9801767196116463E-2</v>
      </c>
      <c r="AZ36" s="2">
        <f>476.932557165985*(1/14151.6638359215)</f>
        <v>3.3701518259314209E-2</v>
      </c>
      <c r="BA36" s="2">
        <f>532.862567229226*(1/14151.6638359215)</f>
        <v>3.7653704427082872E-2</v>
      </c>
      <c r="BB36" s="2">
        <f>588.67886241869*(1/14151.6638359215)</f>
        <v>4.1597855152864259E-2</v>
      </c>
      <c r="BC36" s="2">
        <f>643.525683887538*(1/14151.6638359215)</f>
        <v>4.547349989010209E-2</v>
      </c>
      <c r="BD36" s="2">
        <f>696.668414668631*(1/14151.6638359215)</f>
        <v>4.9228728349260342E-2</v>
      </c>
      <c r="BE36" s="2">
        <f>751.688176102674*(1/14151.6638359215)</f>
        <v>5.3116593555214781E-2</v>
      </c>
      <c r="BF36" s="2">
        <f>809.781214493403*(1/14151.6638359215)</f>
        <v>5.7221625943227709E-2</v>
      </c>
      <c r="BG36" s="2">
        <f>869.841460134856*(1/14151.6638359215)</f>
        <v>6.1465667233199607E-2</v>
      </c>
      <c r="BH36" s="2">
        <f>930.762843321038*(1/14151.6638359215)</f>
        <v>6.5770559145028648E-2</v>
      </c>
      <c r="BI36" s="2">
        <f>991.439294345987*(1/14151.6638359215)</f>
        <v>7.0058143398615325E-2</v>
      </c>
      <c r="BJ36" s="2">
        <f>1050.76474350373*(1/14151.6638359215)</f>
        <v>7.4250261713859345E-2</v>
      </c>
      <c r="BK36" s="2">
        <f>1107.6331210883*(1/14151.6638359215)</f>
        <v>7.8268755810660853E-2</v>
      </c>
      <c r="BL36" s="2">
        <f>1160.93835739371*(1/14151.6638359215)</f>
        <v>8.2035467408918594E-2</v>
      </c>
      <c r="BM36" s="2">
        <f>1209.57438271401*(1/14151.6638359215)</f>
        <v>8.5472238228533878E-2</v>
      </c>
      <c r="BN36" s="2">
        <f>1252.43512734321*(1/14151.6638359215)</f>
        <v>8.8500909989405255E-2</v>
      </c>
      <c r="BO36" s="2">
        <f>1288.69320899226*(1/14151.6638359215)</f>
        <v>9.1063017319641226E-2</v>
      </c>
      <c r="BP36" s="2">
        <f>1319.13564779083*(1/14151.6638359215)</f>
        <v>9.3214173477074627E-2</v>
      </c>
      <c r="BQ36" s="2">
        <f>1344.63220109174*(1/14151.6638359215)</f>
        <v>9.501583818565762E-2</v>
      </c>
      <c r="BR36" s="2">
        <f>1365.99731076785*(1/14151.6638359215)</f>
        <v>9.6525562407757809E-2</v>
      </c>
      <c r="BS36" s="2">
        <f>1384.04541869201*(1/14151.6638359215)</f>
        <v>9.780089710574208E-2</v>
      </c>
      <c r="BT36" s="2">
        <f>1399.5909667371*(1/14151.6638359215)</f>
        <v>9.8899393241979466E-2</v>
      </c>
      <c r="BU36" s="2">
        <f>1413.44839677597*(1/14151.6638359215)</f>
        <v>9.987860177883684E-2</v>
      </c>
      <c r="BV36" s="2">
        <f>1426.43215068147*(1/14151.6638359215)</f>
        <v>0.10079607367868107</v>
      </c>
      <c r="BW36" s="2">
        <f>1439.35667032648*(1/14151.6638359215)</f>
        <v>0.10170935990388122</v>
      </c>
      <c r="BX36" s="2">
        <f>1453.03639758384*(1/14151.6638359215)</f>
        <v>0.10267601141680342</v>
      </c>
      <c r="BY36" s="2">
        <f>1468.28549674313*(1/14151.6638359215)</f>
        <v>0.10375355956492878</v>
      </c>
      <c r="BZ36" s="2">
        <f>1485.53836056628*(1/14151.6638359215)</f>
        <v>0.10497269987402494</v>
      </c>
      <c r="CA36" s="2">
        <f>1504.18307975027*(1/14151.6638359215)</f>
        <v>0.10629019295470876</v>
      </c>
      <c r="CB36" s="2">
        <f>1523.43612315726*(1/14151.6638359215)</f>
        <v>0.10765067209201835</v>
      </c>
      <c r="CC36" s="2">
        <f>1542.51395964942*(1/14151.6638359215)</f>
        <v>0.10899877057099255</v>
      </c>
      <c r="CD36" s="2">
        <f>1560.63305808891*(1/14151.6638359215)</f>
        <v>0.11027912167666946</v>
      </c>
      <c r="CE36" s="2">
        <f>1577.00988733792*(1/14151.6638359215)</f>
        <v>0.1114363586940893</v>
      </c>
      <c r="CF36" s="2">
        <f>1590.86091625861*(1/14151.6638359215)</f>
        <v>0.11241511490829018</v>
      </c>
      <c r="CG36" s="2">
        <f>1601.40261371315*(1/14151.6638359215)</f>
        <v>0.11316002360431092</v>
      </c>
      <c r="CH36" s="2">
        <f>1607.85144856371*(1/14151.6638359215)</f>
        <v>0.1136157180671903</v>
      </c>
      <c r="CI36" s="2">
        <f>1609.42388967246*(1/14151.6638359215)</f>
        <v>0.11372683158196718</v>
      </c>
      <c r="CJ36" s="2">
        <f>1605.67183643625*(1/14151.6638359215)</f>
        <v>0.11346169998474212</v>
      </c>
      <c r="CK36" s="2">
        <f>1598.14117679316*(1/14151.6638359215)</f>
        <v>0.11292956046175721</v>
      </c>
      <c r="CL36" s="2">
        <f>1587.19350180237*(1/14151.6638359215)</f>
        <v>0.11215596414702557</v>
      </c>
      <c r="CM36" s="2">
        <f>1572.8901759737*(1/14151.6638359215)</f>
        <v>0.11114524724514697</v>
      </c>
      <c r="CN36" s="2">
        <f>1555.29256381696*(1/14151.6638359215)</f>
        <v>0.1099017459607205</v>
      </c>
      <c r="CO36" s="2">
        <f>1534.46202984198*(1/14151.6638359215)</f>
        <v>0.10842979649834665</v>
      </c>
      <c r="CP36" s="2">
        <f>1510.45993855856*(1/14151.6638359215)</f>
        <v>0.10673373506262382</v>
      </c>
      <c r="CQ36" s="2">
        <f>1483.34765447654*(1/14151.6638359215)</f>
        <v>0.10481789785815318</v>
      </c>
      <c r="CR36" s="2">
        <f>1453.18654210573*(1/14151.6638359215)</f>
        <v>0.10268662108953384</v>
      </c>
      <c r="CS36" s="2">
        <f>1420.03796595594*(1/14151.6638359215)</f>
        <v>0.10034424096136488</v>
      </c>
      <c r="CT36" s="2">
        <f>1383.963290537*(1/14151.6638359215)</f>
        <v>9.7795093678246764E-2</v>
      </c>
      <c r="CU36" s="2">
        <f>1343.64811556914*(1/14151.6638359215)</f>
        <v>9.4946299682340279E-2</v>
      </c>
      <c r="CV36" s="2">
        <f>1297.93128910883*(1/14151.6638359215)</f>
        <v>9.1715808413584607E-2</v>
      </c>
      <c r="CW36" s="2">
        <f>1247.70861095439*(1/14151.6638359215)</f>
        <v>8.8166919835058685E-2</v>
      </c>
      <c r="CX36" s="2">
        <f>1193.88254300372*(1/14151.6638359215)</f>
        <v>8.4363404674244732E-2</v>
      </c>
      <c r="CY36" s="2">
        <f>1137.35554715471*(1/14151.6638359215)</f>
        <v>8.0369033658624203E-2</v>
      </c>
      <c r="CZ36" s="2">
        <f>1079.03008530528*(1/14151.6638359215)</f>
        <v>7.6247577515680703E-2</v>
      </c>
      <c r="DA36" s="2">
        <f>1019.80861935332*(1/14151.6638359215)</f>
        <v>7.2062806972895715E-2</v>
      </c>
      <c r="DB36" s="2">
        <f>960.593611196766*(1/14151.6638359215)</f>
        <v>6.7878492757753955E-2</v>
      </c>
      <c r="DC36" s="2">
        <f>902.287522733503*(1/14151.6638359215)</f>
        <v>6.3758405597736531E-2</v>
      </c>
      <c r="DD36" s="2">
        <f>845.792815861442*(1/14151.6638359215)</f>
        <v>5.9766316220326424E-2</v>
      </c>
      <c r="DE36" s="2">
        <f>791.574529019457*(1/14151.6638359215)</f>
        <v>5.5935085668879787E-2</v>
      </c>
      <c r="DF36" s="2">
        <f>735.954072670786*(1/14151.6638359215)</f>
        <v>5.2004773516644488E-2</v>
      </c>
      <c r="DG36" s="2">
        <f>678.582034424572*(1/14151.6638359215)</f>
        <v>4.7950689211689115E-2</v>
      </c>
      <c r="DH36" s="2">
        <f>620.321503744399*(1/14151.6638359215)</f>
        <v>4.3833821304447781E-2</v>
      </c>
      <c r="DI36" s="2">
        <f>562.035570093883*(1/14151.6638359215)</f>
        <v>3.9715158345356889E-2</v>
      </c>
      <c r="DJ36" s="2">
        <f>504.587322936608*(1/14151.6638359215)</f>
        <v>3.5655688884850573E-2</v>
      </c>
      <c r="DK36" s="2">
        <f>448.839851736171*(1/14151.6638359215)</f>
        <v>3.1716401473363881E-2</v>
      </c>
      <c r="DL36" s="2">
        <f>395.656245956165*(1/14151.6638359215)</f>
        <v>2.7958284661331587E-2</v>
      </c>
      <c r="DM36" s="2">
        <f>345.899595060177*(1/14151.6638359215)</f>
        <v>2.4442326999188035E-2</v>
      </c>
      <c r="DN36" s="2">
        <f>300.43298851182*(1/14151.6638359215)</f>
        <v>2.1229517037369409E-2</v>
      </c>
      <c r="DO36" s="2">
        <f>260.119515774681*(1/14151.6638359215)</f>
        <v>1.8380843326310053E-2</v>
      </c>
      <c r="DP36" s="2">
        <f>225.228992782438*(1/14151.6638359215)</f>
        <v>1.591537188798493E-2</v>
      </c>
      <c r="DQ36" s="2">
        <f>194.730917974164*(1/14151.6638359215)</f>
        <v>1.3760284319351477E-2</v>
      </c>
      <c r="DR36" s="2">
        <f>168.147513793145*(1/14151.6638359215)</f>
        <v>1.1881819391888905E-2</v>
      </c>
      <c r="DS36" s="2">
        <f>145.02488039679*(1/14151.6638359215)</f>
        <v>1.0247903149640252E-2</v>
      </c>
      <c r="DT36" s="2">
        <f>124.909117942503*(1/14151.6638359215)</f>
        <v>8.8264616366482123E-3</v>
      </c>
      <c r="DU36" s="2">
        <f>107.346326587703*(1/14151.6638359215)</f>
        <v>7.5854208969565341E-3</v>
      </c>
      <c r="DV36" s="2">
        <f>91.8826064897933*(1/14151.6638359215)</f>
        <v>6.4927069746078571E-3</v>
      </c>
      <c r="DW36" s="2">
        <f>78.0640578061833*(1/14151.6638359215)</f>
        <v>5.5162459136452544E-3</v>
      </c>
      <c r="DX36" s="2">
        <f>65.436780694282*(1/14151.6638359215)</f>
        <v>4.6239637581117704E-3</v>
      </c>
      <c r="DY36" s="2">
        <f>53.5468753114964*(1/14151.6638359215)</f>
        <v>3.7837865520503047E-3</v>
      </c>
      <c r="DZ36" s="2">
        <f>42.0290722075131*(1/14151.6638359215)</f>
        <v>2.9699032350407962E-3</v>
      </c>
      <c r="EA36" s="2">
        <f>32.4066158393572*(1/14151.6638359215)</f>
        <v>2.289950935458114E-3</v>
      </c>
      <c r="EB36" s="2">
        <f>25.1181992251351*(1/14151.6638359215)</f>
        <v>1.7749290483693506E-3</v>
      </c>
      <c r="EC36" s="2">
        <f>19.8146610935538*(1/14151.6638359215)</f>
        <v>1.4001647667221844E-3</v>
      </c>
      <c r="ED36" s="2">
        <f>16.1468401733203*(1/14151.6638359215)</f>
        <v>1.1409852834642947E-3</v>
      </c>
      <c r="EE36" s="2">
        <f>13.7655751931413*(1/14151.6638359215)</f>
        <v>9.7271779154333912E-4</v>
      </c>
      <c r="EF36" s="2">
        <f>12.3217048817248*(1/14151.6638359215)</f>
        <v>8.7068948390706742E-4</v>
      </c>
      <c r="EG36" s="2">
        <f>11.4660679677771*(1/14151.6638359215)</f>
        <v>8.1022755350310908E-4</v>
      </c>
      <c r="EH36" s="2">
        <f>10.8495031800054*(1/14151.6638359215)</f>
        <v>7.6665919327915716E-4</v>
      </c>
      <c r="EI36" s="2">
        <f>10.1228492471167*(1/14151.6638359215)</f>
        <v>7.1531159618289097E-4</v>
      </c>
      <c r="EJ36" s="2">
        <f>8.93694489781775*(1/14151.6638359215)</f>
        <v>6.315119551619714E-4</v>
      </c>
      <c r="EK36" s="2">
        <f>7.31728910558473*(1/14151.6638359215)</f>
        <v>5.1706210594199421E-4</v>
      </c>
      <c r="EL36" s="2">
        <f>6.17391279026575*(1/14151.6638359215)</f>
        <v>4.3626762632633791E-4</v>
      </c>
      <c r="EM36" s="2">
        <f>5.49606339097264*(1/14151.6638359215)</f>
        <v>3.8836870736159334E-4</v>
      </c>
      <c r="EN36" s="2">
        <f>5.19989753043419*(1/14151.6638359215)</f>
        <v>3.6744071868321013E-4</v>
      </c>
      <c r="EO36" s="2">
        <f>5.20157183137921*(1/14151.6638359215)</f>
        <v>3.6755902992663934E-4</v>
      </c>
      <c r="EP36" s="2">
        <f>5.41724291653651*(1/14151.6638359215)</f>
        <v>3.8279901072733196E-4</v>
      </c>
      <c r="EQ36" s="2">
        <f>5.76306740863497*(1/14151.6638359215)</f>
        <v>4.0723603072074398E-4</v>
      </c>
      <c r="ER36" s="2">
        <f>6.15520193040324*(1/14151.6638359215)</f>
        <v>4.3494545954231517E-4</v>
      </c>
      <c r="ES36" s="2">
        <f>6.50980310457018*(1/14151.6638359215)</f>
        <v>4.6000266682750011E-4</v>
      </c>
      <c r="ET36" s="2">
        <f>6.7430275538646*(1/14151.6638359215)</f>
        <v>4.7648302221174979E-4</v>
      </c>
      <c r="EU36" s="2">
        <f>6.77350881611475*(1/14151.6638359215)</f>
        <v>4.7863692175342619E-4</v>
      </c>
      <c r="EV36" s="2">
        <f>6.72717587875341*(1/14151.6638359215)</f>
        <v>4.7536289419747681E-4</v>
      </c>
      <c r="EW36" s="2">
        <f>6.71009680471514*(1/14151.6638359215)</f>
        <v>4.7415603440796437E-4</v>
      </c>
      <c r="EX36" s="2">
        <f>6.71699645113939*(1/14151.6638359215)</f>
        <v>4.7464358460024187E-4</v>
      </c>
      <c r="EY36" s="2">
        <f>6.74259967516561*(1/14151.6638359215)</f>
        <v>4.7645278698966206E-4</v>
      </c>
      <c r="EZ36" s="2">
        <f>6.78163133393324*(1/14151.6638359215)</f>
        <v>4.7921088379157696E-4</v>
      </c>
      <c r="FA36" s="2">
        <f>6.82881628458174*(1/14151.6638359215)</f>
        <v>4.8254511722134013E-4</v>
      </c>
      <c r="FB36" s="2">
        <f>6.87887938425055*(1/14151.6638359215)</f>
        <v>4.8608272949430365E-4</v>
      </c>
      <c r="FC36" s="2">
        <f>6.92654549007912*(1/14151.6638359215)</f>
        <v>4.8945096282582037E-4</v>
      </c>
      <c r="FD36" s="2">
        <f>6.9665394592069*(1/14151.6638359215)</f>
        <v>4.9227705943124297E-4</v>
      </c>
      <c r="FE36" s="2">
        <f>6.99358614877332*(1/14151.6638359215)</f>
        <v>4.9418826152592299E-4</v>
      </c>
      <c r="FF36" s="2">
        <f>7.00550518356773*(1/14151.6638359215)</f>
        <v>4.9503049710561192E-4</v>
      </c>
      <c r="FG36" s="2">
        <f>7.01376295891934*(1/14151.6638359215)</f>
        <v>4.9561401685617641E-4</v>
      </c>
      <c r="FH36" s="2">
        <f>7.02006333566908*(1/14151.6638359215)</f>
        <v>4.9605922081401397E-4</v>
      </c>
      <c r="FI36" s="2">
        <f>7.02440631381696*(1/14151.6638359215)</f>
        <v>4.9636610897912546E-4</v>
      </c>
      <c r="FJ36" s="2">
        <f>7.02679189336298*(1/14151.6638359215)</f>
        <v>4.9653468135151077E-4</v>
      </c>
      <c r="FK36" s="2">
        <f>7.02722007430714*(1/14151.6638359215)</f>
        <v>4.9656493793116981E-4</v>
      </c>
      <c r="FL36" s="2">
        <f>7.02569085664943*(1/14151.6638359215)</f>
        <v>4.9645687871810202E-4</v>
      </c>
      <c r="FM36" s="2">
        <f>7.02220424038987*(1/14151.6638359215)</f>
        <v>4.962105037123087E-4</v>
      </c>
      <c r="FN36" s="2">
        <f>7.01676022552844*(1/14151.6638359215)</f>
        <v>4.9582581291378845E-4</v>
      </c>
      <c r="FO36" s="2">
        <f>7.00935881206515*(1/14151.6638359215)</f>
        <v>4.9530280632254214E-4</v>
      </c>
      <c r="FP36" s="2">
        <f t="shared" si="13"/>
        <v>4.9464148393856954E-4</v>
      </c>
      <c r="FQ36" s="2"/>
    </row>
    <row r="37" spans="2:173">
      <c r="B37" s="2">
        <v>9.6218934911242613</v>
      </c>
      <c r="C37" s="2">
        <f t="shared" si="14"/>
        <v>4.9464148393856954E-4</v>
      </c>
      <c r="D37" s="2">
        <f t="shared" si="14"/>
        <v>4.9464148393856954E-4</v>
      </c>
      <c r="E37" s="2">
        <f t="shared" si="14"/>
        <v>4.9464148393856954E-4</v>
      </c>
      <c r="F37" s="2">
        <f>7*(1/14151.6638359215)</f>
        <v>4.9464148393856954E-4</v>
      </c>
      <c r="G37" s="2">
        <f t="shared" si="14"/>
        <v>4.9464148393856954E-4</v>
      </c>
      <c r="H37" s="2">
        <f t="shared" si="14"/>
        <v>4.9464148393856954E-4</v>
      </c>
      <c r="I37" s="2">
        <f t="shared" si="14"/>
        <v>4.9464148393856954E-4</v>
      </c>
      <c r="J37" s="2">
        <f t="shared" si="11"/>
        <v>4.9464148393856954E-4</v>
      </c>
      <c r="K37" s="2">
        <f t="shared" si="11"/>
        <v>4.9464148393856954E-4</v>
      </c>
      <c r="L37" s="2">
        <f t="shared" si="11"/>
        <v>4.9464148393856954E-4</v>
      </c>
      <c r="M37" s="2">
        <f t="shared" si="11"/>
        <v>4.9464148393856954E-4</v>
      </c>
      <c r="N37" s="2">
        <f>6.97089624284503*(1/14151.6638359215)</f>
        <v>4.9258492313466638E-4</v>
      </c>
      <c r="O37" s="2">
        <f>6.7168304887747*(1/14151.6638359215)</f>
        <v>4.7463185719019213E-4</v>
      </c>
      <c r="P37" s="2">
        <f>6.2750458676933*(1/14151.6638359215)</f>
        <v>4.4341399996834324E-4</v>
      </c>
      <c r="Q37" s="2">
        <f>5.73564743576613*(1/14151.6638359215)</f>
        <v>4.0529845128225853E-4</v>
      </c>
      <c r="R37" s="2">
        <f>5.18874024915842*(1/14151.6638359215)</f>
        <v>3.6665231094507202E-4</v>
      </c>
      <c r="S37" s="2">
        <f>4.7244293640357*(1/14151.6638359215)</f>
        <v>3.3384267876993874E-4</v>
      </c>
      <c r="T37" s="2">
        <f>4.43281983656319*(1/14151.6638359215)</f>
        <v>3.1323665456999195E-4</v>
      </c>
      <c r="U37" s="2">
        <f>4.40401672290619*(1/14151.6638359215)</f>
        <v>3.112013381583706E-4</v>
      </c>
      <c r="V37" s="2">
        <f>4.72812507923003*(1/14151.6638359215)</f>
        <v>3.3410382934821552E-4</v>
      </c>
      <c r="W37" s="2">
        <f>5.49524996170003*(1/14151.6638359215)</f>
        <v>3.8831122795266718E-4</v>
      </c>
      <c r="X37" s="2">
        <f>6.79549642648178*(1/14151.6638359215)</f>
        <v>4.8019063378488484E-4</v>
      </c>
      <c r="Y37" s="2">
        <f>8.33178657410398*(1/14151.6638359215)</f>
        <v>5.887496106963204E-4</v>
      </c>
      <c r="Z37" s="2">
        <f>9.64628740828764*(1/14151.6638359215)</f>
        <v>6.8163627401904802E-4</v>
      </c>
      <c r="AA37" s="2">
        <f>10.9376240778444*(1/14151.6638359215)</f>
        <v>7.7288608637531182E-4</v>
      </c>
      <c r="AB37" s="2">
        <f>12.4126273978885*(1/14151.6638359215)</f>
        <v>8.7711434795258755E-4</v>
      </c>
      <c r="AC37" s="2">
        <f>14.2781281835343*(1/14151.6638359215)</f>
        <v>1.0089363589383597E-3</v>
      </c>
      <c r="AD37" s="2">
        <f>16.7409572498967*(1/14151.6638359215)</f>
        <v>1.1829674195201511E-3</v>
      </c>
      <c r="AE37" s="2">
        <f>20.0079454120892*(1/14151.6638359215)</f>
        <v>1.4138228298853851E-3</v>
      </c>
      <c r="AF37" s="2">
        <f>24.2859234852265*(1/14151.6638359215)</f>
        <v>1.7161178902215706E-3</v>
      </c>
      <c r="AG37" s="2">
        <f>29.7817222844228*(1/14151.6638359215)</f>
        <v>2.1044679007161796E-3</v>
      </c>
      <c r="AH37" s="2">
        <f>36.7021726247927*(1/14151.6638359215)</f>
        <v>2.5934881615567152E-3</v>
      </c>
      <c r="AI37" s="2">
        <f>45.0855612112306*(1/14151.6638359215)</f>
        <v>3.1858841288180447E-3</v>
      </c>
      <c r="AJ37" s="2">
        <f>52.8389063372888*(1/14151.6638359215)</f>
        <v>3.7337592914810881E-3</v>
      </c>
      <c r="AK37" s="2">
        <f>59.8912845348025*(1/14151.6638359215)</f>
        <v>4.2321019796116872E-3</v>
      </c>
      <c r="AL37" s="2">
        <f>67.0335314152471*(1/14151.6638359215)</f>
        <v>4.7367950646972209E-3</v>
      </c>
      <c r="AM37" s="2">
        <f>75.0564825900982*(1/14151.6638359215)</f>
        <v>5.303721418225083E-3</v>
      </c>
      <c r="AN37" s="2">
        <f>84.7509736708314*(1/14151.6638359215)</f>
        <v>5.9887639116826688E-3</v>
      </c>
      <c r="AO37" s="2">
        <f>96.9078402689221*(1/14151.6638359215)</f>
        <v>6.8478054165573565E-3</v>
      </c>
      <c r="AP37" s="2">
        <f>112.317917995849*(1/14151.6638359215)</f>
        <v>7.9367288043367592E-3</v>
      </c>
      <c r="AQ37" s="2">
        <f>131.772042463082*(1/14151.6638359215)</f>
        <v>9.3114169465078681E-3</v>
      </c>
      <c r="AR37" s="2">
        <f>156.0610492821*(1/14151.6638359215)</f>
        <v>1.102775271455831E-2</v>
      </c>
      <c r="AS37" s="2">
        <f>185.975774064378*(1/14151.6638359215)</f>
        <v>1.3141618979975438E-2</v>
      </c>
      <c r="AT37" s="2">
        <f>222.347580870572*(1/14151.6638359215)</f>
        <v>1.5711762478852975E-2</v>
      </c>
      <c r="AU37" s="2">
        <f>265.174871052309*(1/14151.6638359215)</f>
        <v>1.8738070245790422E-2</v>
      </c>
      <c r="AV37" s="2">
        <f>313.524557642914*(1/14151.6638359215)</f>
        <v>2.2154607491953509E-2</v>
      </c>
      <c r="AW37" s="2">
        <f>366.440856559566*(1/14151.6638359215)</f>
        <v>2.5893835580620604E-2</v>
      </c>
      <c r="AX37" s="2">
        <f>422.967983719438*(1/14151.6638359215)</f>
        <v>2.9888215875069648E-2</v>
      </c>
      <c r="AY37" s="2">
        <f>482.1501550397*(1/14151.6638359215)</f>
        <v>3.4070209738578369E-2</v>
      </c>
      <c r="AZ37" s="2">
        <f>543.031586437525*(1/14151.6638359215)</f>
        <v>3.8372278534424709E-2</v>
      </c>
      <c r="BA37" s="2">
        <f>604.656493830095*(1/14151.6638359215)</f>
        <v>4.2726883625887245E-2</v>
      </c>
      <c r="BB37" s="2">
        <f>666.069093134559*(1/14151.6638359215)</f>
        <v>4.7066486376242223E-2</v>
      </c>
      <c r="BC37" s="2">
        <f>726.313600268101*(1/14151.6638359215)</f>
        <v>5.1323548148768362E-2</v>
      </c>
      <c r="BD37" s="2">
        <f>784.560199150986*(1/14151.6638359215)</f>
        <v>5.543943159245477E-2</v>
      </c>
      <c r="BE37" s="2">
        <f>844.498297039719*(1/14151.6638359215)</f>
        <v>5.9674841547331645E-2</v>
      </c>
      <c r="BF37" s="2">
        <f>907.425342240542*(1/14151.6638359215)</f>
        <v>6.4121459692760868E-2</v>
      </c>
      <c r="BG37" s="2">
        <f>972.259516892819*(1/14151.6638359215)</f>
        <v>6.8702841458465821E-2</v>
      </c>
      <c r="BH37" s="2">
        <f>1037.91900313587*(1/14151.6638359215)</f>
        <v>7.3342542274166797E-2</v>
      </c>
      <c r="BI37" s="2">
        <f>1103.32198310907*(1/14151.6638359215)</f>
        <v>7.7964117569587973E-2</v>
      </c>
      <c r="BJ37" s="2">
        <f>1167.38663895177*(1/14151.6638359215)</f>
        <v>8.2491122774451808E-2</v>
      </c>
      <c r="BK37" s="2">
        <f>1229.03115280331*(1/14151.6638359215)</f>
        <v>8.6847113318480024E-2</v>
      </c>
      <c r="BL37" s="2">
        <f>1287.17370680305*(1/14151.6638359215)</f>
        <v>9.0955644631395702E-2</v>
      </c>
      <c r="BM37" s="2">
        <f>1340.73248309034*(1/14151.6638359215)</f>
        <v>9.4740272142921272E-2</v>
      </c>
      <c r="BN37" s="2">
        <f>1388.62566380453*(1/14151.6638359215)</f>
        <v>9.8124551282779124E-2</v>
      </c>
      <c r="BO37" s="2">
        <f>1430.1589284338*(1/14151.6638359215)</f>
        <v>0.10105941923264132</v>
      </c>
      <c r="BP37" s="2">
        <f>1466.45596693522*(1/14151.6638359215)</f>
        <v>0.10362427937362959</v>
      </c>
      <c r="BQ37" s="2">
        <f>1498.23537274099*(1/14151.6638359215)</f>
        <v>0.10586990972312274</v>
      </c>
      <c r="BR37" s="2">
        <f>1526.11610213165*(1/14151.6638359215)</f>
        <v>0.10784004763156356</v>
      </c>
      <c r="BS37" s="2">
        <f>1550.71711138774*(1/14151.6638359215)</f>
        <v>0.10957843044939483</v>
      </c>
      <c r="BT37" s="2">
        <f>1572.65735678981*(1/14151.6638359215)</f>
        <v>0.11112879552706</v>
      </c>
      <c r="BU37" s="2">
        <f>1592.55579461839*(1/14151.6638359215)</f>
        <v>0.11253488021500119</v>
      </c>
      <c r="BV37" s="2">
        <f>1611.03138115404*(1/14151.6638359215)</f>
        <v>0.11384042186366251</v>
      </c>
      <c r="BW37" s="2">
        <f>1628.70307267729*(1/14151.6638359215)</f>
        <v>0.1150891578234861</v>
      </c>
      <c r="BX37" s="2">
        <f>1646.1898254687*(1/14151.6638359215)</f>
        <v>0.11632482544491608</v>
      </c>
      <c r="BY37" s="2">
        <f>1664.11020834604*(1/14151.6638359215)</f>
        <v>0.11759113469908677</v>
      </c>
      <c r="BZ37" s="2">
        <f>1682.74872675777*(1/14151.6638359215)</f>
        <v>0.1189081896141717</v>
      </c>
      <c r="CA37" s="2">
        <f>1701.62266849027*(1/14151.6638359215)</f>
        <v>0.12024188026364796</v>
      </c>
      <c r="CB37" s="2">
        <f>1720.16238900246*(1/14151.6638359215)</f>
        <v>0.1215519538159274</v>
      </c>
      <c r="CC37" s="2">
        <f>1737.79824375328*(1/14151.6638359215)</f>
        <v>0.12279815743942321</v>
      </c>
      <c r="CD37" s="2">
        <f>1753.96058820163*(1/14151.6638359215)</f>
        <v>0.12394023830254579</v>
      </c>
      <c r="CE37" s="2">
        <f>1768.07977780644*(1/14151.6638359215)</f>
        <v>0.12493794357370769</v>
      </c>
      <c r="CF37" s="2">
        <f>1779.58616802664*(1/14151.6638359215)</f>
        <v>0.12575102042132141</v>
      </c>
      <c r="CG37" s="2">
        <f>1787.91011432114*(1/14151.6638359215)</f>
        <v>0.12633921601379805</v>
      </c>
      <c r="CH37" s="2">
        <f>1792.48197214888*(1/14151.6638359215)</f>
        <v>0.12666227751955081</v>
      </c>
      <c r="CI37" s="2">
        <f>1792.73209696876*(1/14151.6638359215)</f>
        <v>0.12667995210699015</v>
      </c>
      <c r="CJ37" s="2">
        <f>1788.36129908567*(1/14151.6638359215)</f>
        <v>0.12637109811400626</v>
      </c>
      <c r="CK37" s="2">
        <f>1780.62922792726*(1/14151.6638359215)</f>
        <v>0.12582472623518989</v>
      </c>
      <c r="CL37" s="2">
        <f>1769.76458185813*(1/14151.6638359215)</f>
        <v>0.12505699699888964</v>
      </c>
      <c r="CM37" s="2">
        <f>1755.74855605171*(1/14151.6638359215)</f>
        <v>0.12406658159834552</v>
      </c>
      <c r="CN37" s="2">
        <f>1738.56234568142*(1/14151.6638359215)</f>
        <v>0.12285215122679685</v>
      </c>
      <c r="CO37" s="2">
        <f>1718.18714592069*(1/14151.6638359215)</f>
        <v>0.12141237707748366</v>
      </c>
      <c r="CP37" s="2">
        <f>1694.60415194293*(1/14151.6638359215)</f>
        <v>0.11974593034364459</v>
      </c>
      <c r="CQ37" s="2">
        <f>1667.79455892158*(1/14151.6638359215)</f>
        <v>0.11785148221852033</v>
      </c>
      <c r="CR37" s="2">
        <f>1637.73956203005*(1/14151.6638359215)</f>
        <v>0.11572770389534955</v>
      </c>
      <c r="CS37" s="2">
        <f>1604.42035644177*(1/14151.6638359215)</f>
        <v>0.11337326656737226</v>
      </c>
      <c r="CT37" s="2">
        <f>1567.81813733016*(1/14151.6638359215)</f>
        <v>0.11078684142782777</v>
      </c>
      <c r="CU37" s="2">
        <f>1526.82516349396*(1/14151.6638359215)</f>
        <v>0.10789015208362877</v>
      </c>
      <c r="CV37" s="2">
        <f>1480.54751091418*(1/14151.6638359215)</f>
        <v>0.10462003112002079</v>
      </c>
      <c r="CW37" s="2">
        <f>1429.77462172421*(1/14151.6638359215)</f>
        <v>0.10103226294105289</v>
      </c>
      <c r="CX37" s="2">
        <f>1375.3013074728*(1/14151.6638359215)</f>
        <v>9.7183011370142958E-2</v>
      </c>
      <c r="CY37" s="2">
        <f>1317.92237970872*(1/14151.6638359215)</f>
        <v>9.3128440230710305E-2</v>
      </c>
      <c r="CZ37" s="2">
        <f>1258.43264998071*(1/14151.6638359215)</f>
        <v>8.8924713346172135E-2</v>
      </c>
      <c r="DA37" s="2">
        <f>1197.62692983753*(1/14151.6638359215)</f>
        <v>8.4627994539947002E-2</v>
      </c>
      <c r="DB37" s="2">
        <f>1136.30003082796*(1/14151.6638359215)</f>
        <v>8.0294447635454916E-2</v>
      </c>
      <c r="DC37" s="2">
        <f>1075.24676450075*(1/14151.6638359215)</f>
        <v>7.5980236456113806E-2</v>
      </c>
      <c r="DD37" s="2">
        <f>1015.26194240465*(1/14151.6638359215)</f>
        <v>7.1741524825341518E-2</v>
      </c>
      <c r="DE37" s="2">
        <f>956.691910880511*(1/14151.6638359215)</f>
        <v>6.7602786638565962E-2</v>
      </c>
      <c r="DF37" s="2">
        <f>895.72001631052*(1/14151.6638359215)</f>
        <v>6.3294325437330767E-2</v>
      </c>
      <c r="DG37" s="2">
        <f>832.110451050611*(1/14151.6638359215)</f>
        <v>5.8799478329780955E-2</v>
      </c>
      <c r="DH37" s="2">
        <f>766.888124472347*(1/14151.6638359215)</f>
        <v>5.4190668557695457E-2</v>
      </c>
      <c r="DI37" s="2">
        <f>701.077945947333*(1/14151.6638359215)</f>
        <v>4.9540319362856147E-2</v>
      </c>
      <c r="DJ37" s="2">
        <f>635.704824847135*(1/14151.6638359215)</f>
        <v>4.4920853987042188E-2</v>
      </c>
      <c r="DK37" s="2">
        <f>571.793670543331*(1/14151.6638359215)</f>
        <v>4.0404695672033544E-2</v>
      </c>
      <c r="DL37" s="2">
        <f>510.3693924075*(1/14151.6638359215)</f>
        <v>3.6064267659610273E-2</v>
      </c>
      <c r="DM37" s="2">
        <f>452.456899811209*(1/14151.6638359215)</f>
        <v>3.1971993191551584E-2</v>
      </c>
      <c r="DN37" s="2">
        <f>399.081102126058*(1/14151.6638359215)</f>
        <v>2.8200295509639022E-2</v>
      </c>
      <c r="DO37" s="2">
        <f>351.266908723615*(1/14151.6638359215)</f>
        <v>2.4821597855651856E-2</v>
      </c>
      <c r="DP37" s="2">
        <f>309.096449841475*(1/14151.6638359215)</f>
        <v>2.1841703804247263E-2</v>
      </c>
      <c r="DQ37" s="2">
        <f>270.996722144068*(1/14151.6638359215)</f>
        <v>1.9149460111975714E-2</v>
      </c>
      <c r="DR37" s="2">
        <f>236.60849303438*(1/14151.6638359215)</f>
        <v>1.6719482300999202E-2</v>
      </c>
      <c r="DS37" s="2">
        <f>205.614874997078*(1/14151.6638359215)</f>
        <v>1.452937812691402E-2</v>
      </c>
      <c r="DT37" s="2">
        <f>177.698980516824*(1/14151.6638359215)</f>
        <v>1.2556755345316112E-2</v>
      </c>
      <c r="DU37" s="2">
        <f>152.543922078294*(1/14151.6638359215)</f>
        <v>1.0779221711802409E-2</v>
      </c>
      <c r="DV37" s="2">
        <f>129.832812166151*(1/14151.6638359215)</f>
        <v>9.1743849819689288E-3</v>
      </c>
      <c r="DW37" s="2">
        <f>109.248763265061*(1/14151.6638359215)</f>
        <v>7.719852911411894E-3</v>
      </c>
      <c r="DX37" s="2">
        <f>90.4748878596911*(1/14151.6638359215)</f>
        <v>6.3932332557276109E-3</v>
      </c>
      <c r="DY37" s="2">
        <f>73.1942984347051*(1/14151.6638359215)</f>
        <v>5.1721337705121504E-3</v>
      </c>
      <c r="DZ37" s="2">
        <f>57.1745548591914*(1/14151.6638359215)</f>
        <v>4.0401295227253699E-3</v>
      </c>
      <c r="EA37" s="2">
        <f>43.9209378289243*(1/14151.6638359215)</f>
        <v>3.1035882662389675E-3</v>
      </c>
      <c r="EB37" s="2">
        <f>33.7524399121529*(1/14151.6638359215)</f>
        <v>2.3850509949563878E-3</v>
      </c>
      <c r="EC37" s="2">
        <f>26.215184488823*(1/14151.6638359215)</f>
        <v>1.8524453938963969E-3</v>
      </c>
      <c r="ED37" s="2">
        <f>20.8552949388806*(1/14151.6638359215)</f>
        <v>1.473699148077777E-3</v>
      </c>
      <c r="EE37" s="2">
        <f>17.2188946422707*(1/14151.6638359215)</f>
        <v>1.2167399425192377E-3</v>
      </c>
      <c r="EF37" s="2">
        <f>14.8521069789407*(1/14151.6638359215)</f>
        <v>1.049495462239659E-3</v>
      </c>
      <c r="EG37" s="2">
        <f>13.3010553288355*(1/14151.6638359215)</f>
        <v>9.3989339225774421E-4</v>
      </c>
      <c r="EH37" s="2">
        <f>12.111863071901*(1/14151.6638359215)</f>
        <v>8.5586141759226748E-4</v>
      </c>
      <c r="EI37" s="2">
        <f>10.830653588083*(1/14151.6638359215)</f>
        <v>7.6532722326199548E-4</v>
      </c>
      <c r="EJ37" s="2">
        <f>9.00355025732693*(1/14151.6638359215)</f>
        <v>6.3621849428566895E-4</v>
      </c>
      <c r="EK37" s="2">
        <f>6.67489108786284*(1/14151.6638359215)</f>
        <v>4.7166829040411543E-4</v>
      </c>
      <c r="EL37" s="2">
        <f>5.05465477503455*(1/14151.6638359215)</f>
        <v>3.5717741981718088E-4</v>
      </c>
      <c r="EM37" s="2">
        <f>4.11702362417039*(1/14151.6638359215)</f>
        <v>2.9092152498139844E-4</v>
      </c>
      <c r="EN37" s="2">
        <f>3.73862228638919*(1/14151.6638359215)</f>
        <v>2.6418252508933666E-4</v>
      </c>
      <c r="EO37" s="2">
        <f>3.79607541280979*(1/14151.6638359215)</f>
        <v>2.6824233933356464E-4</v>
      </c>
      <c r="EP37" s="2">
        <f>4.16600765455099*(1/14151.6638359215)</f>
        <v>2.9438288690664875E-4</v>
      </c>
      <c r="EQ37" s="2">
        <f>4.72504366273175*(1/14151.6638359215)</f>
        <v>3.3388608700116667E-4</v>
      </c>
      <c r="ER37" s="2">
        <f>5.34980808847067*(1/14151.6638359215)</f>
        <v>3.7803385880967063E-4</v>
      </c>
      <c r="ES37" s="2">
        <f>5.91692558288664*(1/14151.6638359215)</f>
        <v>4.1810812152473335E-4</v>
      </c>
      <c r="ET37" s="2">
        <f>6.30302079709852*(1/14151.6638359215)</f>
        <v>4.453907943389253E-4</v>
      </c>
      <c r="EU37" s="2">
        <f>6.38836410288938*(1/14151.6638359215)</f>
        <v>4.5142141425615594E-4</v>
      </c>
      <c r="EV37" s="2">
        <f>6.35832614071506*(1/14151.6638359215)</f>
        <v>4.4929883965838502E-4</v>
      </c>
      <c r="EW37" s="2">
        <f>6.36900181832107*(1/14151.6638359215)</f>
        <v>4.5005321580311172E-4</v>
      </c>
      <c r="EX37" s="2">
        <f>6.41259399138011*(1/14151.6638359215)</f>
        <v>4.5313357254168744E-4</v>
      </c>
      <c r="EY37" s="2">
        <f>6.48130551556487*(1/14151.6638359215)</f>
        <v>4.5798893972546324E-4</v>
      </c>
      <c r="EZ37" s="2">
        <f>6.56733924654807*(1/14151.6638359215)</f>
        <v>4.640683472057921E-4</v>
      </c>
      <c r="FA37" s="2">
        <f>6.66289804000241*(1/14151.6638359215)</f>
        <v>4.7082082483402551E-4</v>
      </c>
      <c r="FB37" s="2">
        <f>6.76018475160061*(1/14151.6638359215)</f>
        <v>4.7769540246151657E-4</v>
      </c>
      <c r="FC37" s="2">
        <f>6.85140223701534*(1/14151.6638359215)</f>
        <v>4.841411099396147E-4</v>
      </c>
      <c r="FD37" s="2">
        <f>6.92875335191933*(1/14151.6638359215)</f>
        <v>4.8960697711967355E-4</v>
      </c>
      <c r="FE37" s="2">
        <f>6.98444095198528*(1/14151.6638359215)</f>
        <v>4.9354203385304496E-4</v>
      </c>
      <c r="FF37" s="2">
        <f>7.01524224293924*(1/14151.6638359215)</f>
        <v>4.9571854760514355E-4</v>
      </c>
      <c r="FG37" s="2">
        <f>7.03810560734811*(1/14151.6638359215)</f>
        <v>4.9733414310500527E-4</v>
      </c>
      <c r="FH37" s="2">
        <f>7.0555495076008*(1/14151.6638359215)</f>
        <v>4.98566782634529E-4</v>
      </c>
      <c r="FI37" s="2">
        <f>7.06757394369731*(1/14151.6638359215)</f>
        <v>4.9941646619371506E-4</v>
      </c>
      <c r="FJ37" s="2">
        <f>7.07417891563765*(1/14151.6638359215)</f>
        <v>4.9988319378256401E-4</v>
      </c>
      <c r="FK37" s="2">
        <f>7.07536442342181*(1/14151.6638359215)</f>
        <v>4.9996696540107507E-4</v>
      </c>
      <c r="FL37" s="2">
        <f>7.0711304670498*(1/14151.6638359215)</f>
        <v>4.9966778104924901E-4</v>
      </c>
      <c r="FM37" s="2">
        <f>7.06147704652161*(1/14151.6638359215)</f>
        <v>4.9898564072708518E-4</v>
      </c>
      <c r="FN37" s="2">
        <f>7.04640416183725*(1/14151.6638359215)</f>
        <v>4.9792054443458422E-4</v>
      </c>
      <c r="FO37" s="2">
        <f>7.02591181299671*(1/14151.6638359215)</f>
        <v>4.9647249217174539E-4</v>
      </c>
      <c r="FP37" s="2">
        <f t="shared" si="13"/>
        <v>4.9464148393856954E-4</v>
      </c>
      <c r="FQ37" s="2"/>
    </row>
    <row r="38" spans="2:173">
      <c r="B38" s="2">
        <v>9.6313609467455628</v>
      </c>
      <c r="C38" s="2">
        <f>7*(1/14151.6638359215)</f>
        <v>4.9464148393856954E-4</v>
      </c>
      <c r="D38" s="2">
        <f>7*(1/14151.6638359215)</f>
        <v>4.9464148393856954E-4</v>
      </c>
      <c r="E38" s="2">
        <f>7*(1/14151.6638359215)</f>
        <v>4.9464148393856954E-4</v>
      </c>
      <c r="F38" s="2">
        <f>7*(1/14151.6638359215)</f>
        <v>4.9464148393856954E-4</v>
      </c>
      <c r="G38" s="2">
        <f>7*(1/14151.6638359215)</f>
        <v>4.9464148393856954E-4</v>
      </c>
      <c r="H38" s="2">
        <f>7*(1/14151.6638359215)</f>
        <v>4.9464148393856954E-4</v>
      </c>
      <c r="I38" s="2">
        <f>7*(1/14151.6638359215)</f>
        <v>4.9464148393856954E-4</v>
      </c>
      <c r="J38" s="2">
        <f t="shared" si="11"/>
        <v>4.9464148393856954E-4</v>
      </c>
      <c r="K38" s="2">
        <f t="shared" si="11"/>
        <v>4.9464148393856954E-4</v>
      </c>
      <c r="L38" s="2">
        <f>7*(1/14151.6638359215)</f>
        <v>4.9464148393856954E-4</v>
      </c>
      <c r="M38" s="2">
        <f>7*(1/14151.6638359215)</f>
        <v>4.9464148393856954E-4</v>
      </c>
      <c r="N38" s="2">
        <f>6.95718353852569*(1/14151.6638359215)</f>
        <v>4.9161594136133365E-4</v>
      </c>
      <c r="O38" s="2">
        <f>6.58341060903179*(1/14151.6638359215)</f>
        <v>4.652039990040581E-4</v>
      </c>
      <c r="P38" s="2">
        <f>5.93347204241472*(1/14151.6638359215)</f>
        <v>4.1927734513829031E-4</v>
      </c>
      <c r="Q38" s="2">
        <f>5.1399273444936*(1/14151.6638359215)</f>
        <v>3.6320304128810649E-4</v>
      </c>
      <c r="R38" s="2">
        <f>4.33533602108742*(1/14151.6638359215)</f>
        <v>3.0634814897757357E-4</v>
      </c>
      <c r="S38" s="2">
        <f>3.65225757801559*(1/14151.6638359215)</f>
        <v>2.580797297307882E-4</v>
      </c>
      <c r="T38" s="2">
        <f>3.22325152109709*(1/14151.6638359215)</f>
        <v>2.2776484507181657E-4</v>
      </c>
      <c r="U38" s="2">
        <f>3.18087735615103*(1/14151.6638359215)</f>
        <v>2.2477055652473421E-4</v>
      </c>
      <c r="V38" s="2">
        <f>3.65769458899652*(1/14151.6638359215)</f>
        <v>2.5846392561361642E-4</v>
      </c>
      <c r="W38" s="2">
        <f>4.78626272545269*(1/14151.6638359215)</f>
        <v>3.3821201386254008E-4</v>
      </c>
      <c r="X38" s="2">
        <f>6.69914127133907*(1/14151.6638359215)</f>
        <v>4.7338188279561047E-4</v>
      </c>
      <c r="Y38" s="2">
        <f>9.12562857726771*(1/14151.6638359215)</f>
        <v>6.4484492304741671E-4</v>
      </c>
      <c r="Z38" s="2">
        <f>11.5781282562638*(1/14151.6638359215)</f>
        <v>8.1814607741562985E-4</v>
      </c>
      <c r="AA38" s="2">
        <f>14.2180274196464*(1/14151.6638359215)</f>
        <v>1.0046894545047381E-3</v>
      </c>
      <c r="AB38" s="2">
        <f>17.2150397539078*(1/14151.6638359215)</f>
        <v>1.2164675442763459E-3</v>
      </c>
      <c r="AC38" s="2">
        <f>20.73887894554*(1/14151.6638359215)</f>
        <v>1.4654728366920375E-3</v>
      </c>
      <c r="AD38" s="2">
        <f>24.9592586810358*(1/14151.6638359215)</f>
        <v>1.7636978217134532E-3</v>
      </c>
      <c r="AE38" s="2">
        <f>30.0458926468858*(1/14151.6638359215)</f>
        <v>2.1231349893020782E-3</v>
      </c>
      <c r="AF38" s="2">
        <f>36.1684945295828*(1/14151.6638359215)</f>
        <v>2.5557768294195531E-3</v>
      </c>
      <c r="AG38" s="2">
        <f>43.4967780156188*(1/14151.6638359215)</f>
        <v>3.0736158320274617E-3</v>
      </c>
      <c r="AH38" s="2">
        <f>52.2004567914859*(1/14151.6638359215)</f>
        <v>3.6886444870873952E-3</v>
      </c>
      <c r="AI38" s="2">
        <f>62.2722527954802*(1/14151.6638359215)</f>
        <v>4.4003485044220086E-3</v>
      </c>
      <c r="AJ38" s="2">
        <f>71.4948950999669*(1/14151.6638359215)</f>
        <v>5.0520487151828556E-3</v>
      </c>
      <c r="AK38" s="2">
        <f>79.8365753119788*(1/14151.6638359215)</f>
        <v>5.6414974406986517E-3</v>
      </c>
      <c r="AL38" s="2">
        <f>88.1781457894346*(1/14151.6638359215)</f>
        <v>6.2309384120339227E-3</v>
      </c>
      <c r="AM38" s="2">
        <f>97.4004588902531*(1/14151.6638359215)</f>
        <v>6.8826153602532048E-3</v>
      </c>
      <c r="AN38" s="2">
        <f>108.384366972353*(1/14151.6638359215)</f>
        <v>7.6587720164210255E-3</v>
      </c>
      <c r="AO38" s="2">
        <f>122.010722393653*(1/14151.6638359215)</f>
        <v>8.6216521116019105E-3</v>
      </c>
      <c r="AP38" s="2">
        <f>139.160377512075*(1/14151.6638359215)</f>
        <v>9.8334993768606181E-3</v>
      </c>
      <c r="AQ38" s="2">
        <f>160.714184685532*(1/14151.6638359215)</f>
        <v>1.1356557543261267E-2</v>
      </c>
      <c r="AR38" s="2">
        <f>187.552996271945*(1/14151.6638359215)</f>
        <v>1.3253070341868555E-2</v>
      </c>
      <c r="AS38" s="2">
        <f>220.557664629234*(1/14151.6638359215)</f>
        <v>1.5585281503747096E-2</v>
      </c>
      <c r="AT38" s="2">
        <f>260.651534734107*(1/14151.6638359215)</f>
        <v>1.8418437418820613E-2</v>
      </c>
      <c r="AU38" s="2">
        <f>307.827820477891*(1/14151.6638359215)</f>
        <v>2.17520585598228E-2</v>
      </c>
      <c r="AV38" s="2">
        <f>361.049781647281*(1/14151.6638359215)</f>
        <v>2.55128856813868E-2</v>
      </c>
      <c r="AW38" s="2">
        <f>419.255721742985*(1/14151.6638359215)</f>
        <v>2.9625896050383727E-2</v>
      </c>
      <c r="AX38" s="2">
        <f>481.383944265699*(1/14151.6638359215)</f>
        <v>3.4016066933683857E-2</v>
      </c>
      <c r="AY38" s="2">
        <f>546.372752716122*(1/14151.6638359215)</f>
        <v>3.860837559815767E-2</v>
      </c>
      <c r="AZ38" s="2">
        <f>613.16045059495*(1/14151.6638359215)</f>
        <v>4.3327799310675437E-2</v>
      </c>
      <c r="BA38" s="2">
        <f>680.685341402895*(1/14151.6638359215)</f>
        <v>4.8099315338108545E-2</v>
      </c>
      <c r="BB38" s="2">
        <f>747.885728640629*(1/14151.6638359215)</f>
        <v>5.2847900947325589E-2</v>
      </c>
      <c r="BC38" s="2">
        <f>813.699915808862*(1/14151.6638359215)</f>
        <v>5.7498533405197803E-2</v>
      </c>
      <c r="BD38" s="2">
        <f>877.196019260595*(1/14151.6638359215)</f>
        <v>6.1985362953152393E-2</v>
      </c>
      <c r="BE38" s="2">
        <f>942.136039839856*(1/14151.6638359215)</f>
        <v>6.6574224116913383E-2</v>
      </c>
      <c r="BF38" s="2">
        <f>1009.91934852723*(1/14151.6638359215)</f>
        <v>7.1364000744826073E-2</v>
      </c>
      <c r="BG38" s="2">
        <f>1079.51062104074*(1/14151.6638359215)</f>
        <v>7.6281533645576924E-2</v>
      </c>
      <c r="BH38" s="2">
        <f>1149.87453309837*(1/14151.6638359215)</f>
        <v>8.1253663627849651E-2</v>
      </c>
      <c r="BI38" s="2">
        <f>1219.97576041816*(1/14151.6638359215)</f>
        <v>8.6207231500331924E-2</v>
      </c>
      <c r="BJ38" s="2">
        <f>1288.7789787181*(1/14151.6638359215)</f>
        <v>9.1069078071707874E-2</v>
      </c>
      <c r="BK38" s="2">
        <f>1355.24886371622*(1/14151.6638359215)</f>
        <v>9.5766044150664476E-2</v>
      </c>
      <c r="BL38" s="2">
        <f>1418.35009113052*(1/14151.6638359215)</f>
        <v>0.10022497054588654</v>
      </c>
      <c r="BM38" s="2">
        <f>1477.04733667903*(1/14151.6638359215)</f>
        <v>0.10437269806606105</v>
      </c>
      <c r="BN38" s="2">
        <f>1530.30527607974*(1/14151.6638359215)</f>
        <v>0.10813606751987213</v>
      </c>
      <c r="BO38" s="2">
        <f>1577.60321974661*(1/14151.6638359215)</f>
        <v>0.11147828538310406</v>
      </c>
      <c r="BP38" s="2">
        <f>1620.45940438613*(1/14151.6638359215)</f>
        <v>0.11450663492110942</v>
      </c>
      <c r="BQ38" s="2">
        <f>1659.39626207313*(1/14151.6638359215)</f>
        <v>0.11725803278770978</v>
      </c>
      <c r="BR38" s="2">
        <f>1694.78389610072*(1/14151.6638359215)</f>
        <v>0.11975863161749295</v>
      </c>
      <c r="BS38" s="2">
        <f>1726.99240976197*(1/14151.6638359215)</f>
        <v>0.12203458404504386</v>
      </c>
      <c r="BT38" s="2">
        <f>1756.39190634999*(1/14151.6638359215)</f>
        <v>0.1241120427049503</v>
      </c>
      <c r="BU38" s="2">
        <f>1783.35248915787*(1/14151.6638359215)</f>
        <v>0.12601716023179865</v>
      </c>
      <c r="BV38" s="2">
        <f>1808.2442614787*(1/14151.6638359215)</f>
        <v>0.12777608926017528</v>
      </c>
      <c r="BW38" s="2">
        <f>1831.43732660558*(1/14151.6638359215)</f>
        <v>0.12941498242466726</v>
      </c>
      <c r="BX38" s="2">
        <f>1853.3017878316*(1/14151.6638359215)</f>
        <v>0.13095999235986094</v>
      </c>
      <c r="BY38" s="2">
        <f>1874.20725558867*(1/14151.6638359215)</f>
        <v>0.13243723687325909</v>
      </c>
      <c r="BZ38" s="2">
        <f>1894.25634065731*(1/14151.6638359215)</f>
        <v>0.13385396675753947</v>
      </c>
      <c r="CA38" s="2">
        <f>1913.13425133411*(1/14151.6638359215)</f>
        <v>0.13518793786480121</v>
      </c>
      <c r="CB38" s="2">
        <f>1930.53857688426*(1/14151.6638359215)</f>
        <v>0.13641778092438353</v>
      </c>
      <c r="CC38" s="2">
        <f>1946.16690657294*(1/14151.6638359215)</f>
        <v>0.13752212666562494</v>
      </c>
      <c r="CD38" s="2">
        <f>1959.71682966533*(1/14151.6638359215)</f>
        <v>0.13847960581786395</v>
      </c>
      <c r="CE38" s="2">
        <f>1970.88593542663*(1/14151.6638359215)</f>
        <v>0.13926884911044057</v>
      </c>
      <c r="CF38" s="2">
        <f>1979.37181312202*(1/14151.6638359215)</f>
        <v>0.13986848727269327</v>
      </c>
      <c r="CG38" s="2">
        <f>1984.87205201668*(1/14151.6638359215)</f>
        <v>0.14025715103396061</v>
      </c>
      <c r="CH38" s="2">
        <f>1987.08424137581*(1/14151.6638359215)</f>
        <v>0.14041347112358249</v>
      </c>
      <c r="CI38" s="2">
        <f>1985.70597046459*(1/14151.6638359215)</f>
        <v>0.14031607827089745</v>
      </c>
      <c r="CJ38" s="2">
        <f>1980.62201021287*(1/14151.6638359215)</f>
        <v>0.13995683003615525</v>
      </c>
      <c r="CK38" s="2">
        <f>1972.72370074922*(1/14151.6638359215)</f>
        <v>0.13939871124848296</v>
      </c>
      <c r="CL38" s="2">
        <f>1962.07639079593*(1/14151.6638359215)</f>
        <v>0.13864633964916165</v>
      </c>
      <c r="CM38" s="2">
        <f>1948.56609861902*(1/14151.6638359215)</f>
        <v>0.13769166093904303</v>
      </c>
      <c r="CN38" s="2">
        <f>1932.07884248449*(1/14151.6638359215)</f>
        <v>0.13652662081897743</v>
      </c>
      <c r="CO38" s="2">
        <f>1912.50064065833*(1/14151.6638359215)</f>
        <v>0.13514316498981446</v>
      </c>
      <c r="CP38" s="2">
        <f>1889.71751140656*(1/14151.6638359215)</f>
        <v>0.13353323915240595</v>
      </c>
      <c r="CQ38" s="2">
        <f>1863.61547299518*(1/14151.6638359215)</f>
        <v>0.13168878900760214</v>
      </c>
      <c r="CR38" s="2">
        <f>1834.08054369019*(1/14151.6638359215)</f>
        <v>0.12960176025625345</v>
      </c>
      <c r="CS38" s="2">
        <f>1800.99874175759*(1/14151.6638359215)</f>
        <v>0.12726409859921015</v>
      </c>
      <c r="CT38" s="2">
        <f>1764.25608546339*(1/14151.6638359215)</f>
        <v>0.12466774973732329</v>
      </c>
      <c r="CU38" s="2">
        <f>1723.00733777412*(1/14151.6638359215)</f>
        <v>0.12175298662766212</v>
      </c>
      <c r="CV38" s="2">
        <f>1676.69002376096*(1/14151.6638359215)</f>
        <v>0.11848006306544524</v>
      </c>
      <c r="CW38" s="2">
        <f>1625.95523194326*(1/14151.6638359215)</f>
        <v>0.11489498696372788</v>
      </c>
      <c r="CX38" s="2">
        <f>1571.4578013983*(1/14151.6638359215)</f>
        <v>0.11104403126149957</v>
      </c>
      <c r="CY38" s="2">
        <f>1513.85257120334*(1/14151.6638359215)</f>
        <v>0.10697346889774845</v>
      </c>
      <c r="CZ38" s="2">
        <f>1453.79438043566*(1/14151.6638359215)</f>
        <v>0.10272957281146403</v>
      </c>
      <c r="DA38" s="2">
        <f>1391.93806817251*(1/14151.6638359215)</f>
        <v>9.8358615941633726E-2</v>
      </c>
      <c r="DB38" s="2">
        <f>1328.93847349119*(1/14151.6638359215)</f>
        <v>9.3906871227248515E-2</v>
      </c>
      <c r="DC38" s="2">
        <f>1265.45043546897*(1/14151.6638359215)</f>
        <v>8.9420611607297196E-2</v>
      </c>
      <c r="DD38" s="2">
        <f>1202.1287931831*(1/14151.6638359215)</f>
        <v>8.4946110020767199E-2</v>
      </c>
      <c r="DE38" s="2">
        <f>1139.17288773904*(1/14151.6638359215)</f>
        <v>8.0497452521974905E-2</v>
      </c>
      <c r="DF38" s="2">
        <f>1072.65337975312*(1/14151.6638359215)</f>
        <v>7.5796979930400743E-2</v>
      </c>
      <c r="DG38" s="2">
        <f>1002.47384345927*(1/14151.6638359215)</f>
        <v>7.0837878505470658E-2</v>
      </c>
      <c r="DH38" s="2">
        <f>929.838919615685*(1/14151.6638359215)</f>
        <v>6.5705271860362666E-2</v>
      </c>
      <c r="DI38" s="2">
        <f>855.953248980575*(1/14151.6638359215)</f>
        <v>6.0484283608255932E-2</v>
      </c>
      <c r="DJ38" s="2">
        <f>782.021472312125*(1/14151.6638359215)</f>
        <v>5.5260037362327784E-2</v>
      </c>
      <c r="DK38" s="2">
        <f>709.24823036853*(1/14151.6638359215)</f>
        <v>5.01176567357563E-2</v>
      </c>
      <c r="DL38" s="2">
        <f>638.838163907986*(1/14151.6638359215)</f>
        <v>4.5142265341719612E-2</v>
      </c>
      <c r="DM38" s="2">
        <f>571.995913688675*(1/14151.6638359215)</f>
        <v>4.0418986793394882E-2</v>
      </c>
      <c r="DN38" s="2">
        <f>509.926120468817*(1/14151.6638359215)</f>
        <v>3.6032944703961914E-2</v>
      </c>
      <c r="DO38" s="2">
        <f>453.833425006594*(1/14151.6638359215)</f>
        <v>3.2069262686597884E-2</v>
      </c>
      <c r="DP38" s="2">
        <f>403.574352957324*(1/14151.6638359215)</f>
        <v>2.851780240376554E-2</v>
      </c>
      <c r="DQ38" s="2">
        <f>356.948218311537*(1/14151.6638359215)</f>
        <v>2.5223056627835309E-2</v>
      </c>
      <c r="DR38" s="2">
        <f>313.742429902079*(1/14151.6638359215)</f>
        <v>2.2170003014465284E-2</v>
      </c>
      <c r="DS38" s="2">
        <f>273.808259779009*(1/14151.6638359215)</f>
        <v>1.9348131990246622E-2</v>
      </c>
      <c r="DT38" s="2">
        <f>236.99697999238*(1/14151.6638359215)</f>
        <v>1.6746933981770046E-2</v>
      </c>
      <c r="DU38" s="2">
        <f>203.159862592265*(1/14151.6638359215)</f>
        <v>1.4355899415627692E-2</v>
      </c>
      <c r="DV38" s="2">
        <f>172.148179628716*(1/14151.6638359215)</f>
        <v>1.2164518718410216E-2</v>
      </c>
      <c r="DW38" s="2">
        <f>143.813203151792*(1/14151.6638359215)</f>
        <v>1.0162282316708767E-2</v>
      </c>
      <c r="DX38" s="2">
        <f>118.006205211554*(1/14151.6638359215)</f>
        <v>8.338680637114633E-3</v>
      </c>
      <c r="DY38" s="2">
        <f>94.5784578580547*(1/14151.6638359215)</f>
        <v>6.6832041062185208E-3</v>
      </c>
      <c r="DZ38" s="2">
        <f>73.459749356035*(1/14151.6638359215)</f>
        <v>5.1908913473177904E-3</v>
      </c>
      <c r="EA38" s="2">
        <f>56.1177064918027*(1/14151.6638359215)</f>
        <v>3.9654493734763404E-3</v>
      </c>
      <c r="EB38" s="2">
        <f>42.7239603343906*(1/14151.6638359215)</f>
        <v>3.0190061627907929E-3</v>
      </c>
      <c r="EC38" s="2">
        <f>32.7035353056455*(1/14151.6638359215)</f>
        <v>2.3109321762316989E-3</v>
      </c>
      <c r="ED38" s="2">
        <f>25.4814558274143*(1/14151.6638359215)</f>
        <v>1.8005978747696171E-3</v>
      </c>
      <c r="EE38" s="2">
        <f>20.4827463215429*(1/14151.6638359215)</f>
        <v>1.4473737193750368E-3</v>
      </c>
      <c r="EF38" s="2">
        <f>17.13243120988*(1/14151.6638359215)</f>
        <v>1.2106301710186438E-3</v>
      </c>
      <c r="EG38" s="2">
        <f>14.8555349142712*(1/14151.6638359215)</f>
        <v>1.0497376906709053E-3</v>
      </c>
      <c r="EH38" s="2">
        <f>13.0770818565635*(1/14151.6638359215)</f>
        <v>9.2406673930238773E-4</v>
      </c>
      <c r="EI38" s="2">
        <f>11.2220964586036*(1/14151.6638359215)</f>
        <v>7.9298777788363586E-4</v>
      </c>
      <c r="EJ38" s="2">
        <f>8.71560314223768*(1/14151.6638359215)</f>
        <v>6.1587126738515789E-4</v>
      </c>
      <c r="EK38" s="2">
        <f>5.62306251537*(1/14151.6638359215)</f>
        <v>3.9734285526885174E-4</v>
      </c>
      <c r="EL38" s="2">
        <f>3.49972717365183*(1/14151.6638359215)</f>
        <v>2.4730146322218241E-4</v>
      </c>
      <c r="EM38" s="2">
        <f>2.30305966322517*(1/14151.6638359215)</f>
        <v>1.6274126420239433E-4</v>
      </c>
      <c r="EN38" s="2">
        <f>1.8648210670308*(1/14151.6638359215)</f>
        <v>1.317739799822888E-4</v>
      </c>
      <c r="EO38" s="2">
        <f>2.0167724680095*(1/14151.6638359215)</f>
        <v>1.425113323346672E-4</v>
      </c>
      <c r="EP38" s="2">
        <f>2.59067494910206*(1/14151.6638359215)</f>
        <v>1.8306504303233157E-4</v>
      </c>
      <c r="EQ38" s="2">
        <f>3.41828959324942*(1/14151.6638359215)</f>
        <v>2.4154683384809464E-4</v>
      </c>
      <c r="ER38" s="2">
        <f>4.33137748339204*(1/14151.6638359215)</f>
        <v>3.0606842655473505E-4</v>
      </c>
      <c r="ES38" s="2">
        <f>5.16169970247082*(1/14151.6638359215)</f>
        <v>3.6474154292506273E-4</v>
      </c>
      <c r="ET38" s="2">
        <f>5.74101733342655*(1/14151.6638359215)</f>
        <v>4.056779047318797E-4</v>
      </c>
      <c r="EU38" s="2">
        <f>5.90604919254973*(1/14151.6638359215)</f>
        <v>4.1733956240242701E-4</v>
      </c>
      <c r="EV38" s="2">
        <f>5.90861098093658*(1/14151.6638359215)</f>
        <v>4.1752058623231389E-4</v>
      </c>
      <c r="EW38" s="2">
        <f>5.9613275879335*(1/14151.6638359215)</f>
        <v>4.212457034770514E-4</v>
      </c>
      <c r="EX38" s="2">
        <f>6.0540705172317*(1/14151.6638359215)</f>
        <v>4.2779920350174738E-4</v>
      </c>
      <c r="EY38" s="2">
        <f>6.17671127252239*(1/14151.6638359215)</f>
        <v>4.3646537567150928E-4</v>
      </c>
      <c r="EZ38" s="2">
        <f>6.3191213574968*(1/14151.6638359215)</f>
        <v>4.4652850935144646E-4</v>
      </c>
      <c r="FA38" s="2">
        <f>6.47117227584613*(1/14151.6638359215)</f>
        <v>4.5727289390666575E-4</v>
      </c>
      <c r="FB38" s="2">
        <f>6.62273553126164*(1/14151.6638359215)</f>
        <v>4.6798281870227831E-4</v>
      </c>
      <c r="FC38" s="2">
        <f>6.76368262743449*(1/14151.6638359215)</f>
        <v>4.779425731033885E-4</v>
      </c>
      <c r="FD38" s="2">
        <f>6.88388506805591*(1/14151.6638359215)</f>
        <v>4.8643644647510513E-4</v>
      </c>
      <c r="FE38" s="2">
        <f>6.97321435681713*(1/14151.6638359215)</f>
        <v>4.9274872818253759E-4</v>
      </c>
      <c r="FF38" s="2">
        <f>7.02748408154754*(1/14151.6638359215)</f>
        <v>4.9658359349305005E-4</v>
      </c>
      <c r="FG38" s="2">
        <f>7.06871020386888*(1/14151.6638359215)</f>
        <v>4.9949675782477308E-4</v>
      </c>
      <c r="FH38" s="2">
        <f>7.10016420830662*(1/14151.6638359215)</f>
        <v>5.017193943149008E-4</v>
      </c>
      <c r="FI38" s="2">
        <f>7.1218460948608*(1/14151.6638359215)</f>
        <v>5.0325150296343611E-4</v>
      </c>
      <c r="FJ38" s="2">
        <f>7.1337558635314*(1/14151.6638359215)</f>
        <v>5.0409308377037762E-4</v>
      </c>
      <c r="FK38" s="2">
        <f>7.13589351431844*(1/14151.6638359215)</f>
        <v>5.0424413673572674E-4</v>
      </c>
      <c r="FL38" s="2">
        <f>7.1282590472219*(1/14151.6638359215)</f>
        <v>5.0370466185948204E-4</v>
      </c>
      <c r="FM38" s="2">
        <f>7.11085246224178*(1/14151.6638359215)</f>
        <v>5.0247465914164365E-4</v>
      </c>
      <c r="FN38" s="2">
        <f>7.08367375937809*(1/14151.6638359215)</f>
        <v>5.0055412858221199E-4</v>
      </c>
      <c r="FO38" s="2">
        <f>7.04672293863083*(1/14151.6638359215)</f>
        <v>4.9794307018118729E-4</v>
      </c>
      <c r="FP38" s="2">
        <f t="shared" si="13"/>
        <v>4.9464148393856954E-4</v>
      </c>
      <c r="FQ38" s="2"/>
    </row>
    <row r="39" spans="2:173">
      <c r="B39" s="2">
        <v>9.6408284023668642</v>
      </c>
      <c r="C39" s="2">
        <f t="shared" ref="C39:I44" si="16">7*(1/14151.6638359215)</f>
        <v>4.9464148393856954E-4</v>
      </c>
      <c r="D39" s="2">
        <f t="shared" si="16"/>
        <v>4.9464148393856954E-4</v>
      </c>
      <c r="E39" s="2">
        <f t="shared" si="16"/>
        <v>4.9464148393856954E-4</v>
      </c>
      <c r="F39" s="2">
        <f t="shared" si="16"/>
        <v>4.9464148393856954E-4</v>
      </c>
      <c r="G39" s="2">
        <f t="shared" si="16"/>
        <v>4.9464148393856954E-4</v>
      </c>
      <c r="H39" s="2">
        <f t="shared" si="16"/>
        <v>4.9464148393856954E-4</v>
      </c>
      <c r="I39" s="2">
        <f t="shared" si="16"/>
        <v>4.9464148393856954E-4</v>
      </c>
      <c r="J39" s="2">
        <f t="shared" si="11"/>
        <v>4.9464148393856954E-4</v>
      </c>
      <c r="K39" s="2">
        <f t="shared" si="11"/>
        <v>4.9464148393856954E-4</v>
      </c>
      <c r="L39" s="2">
        <f>7*(1/14151.6638359215)</f>
        <v>4.9464148393856954E-4</v>
      </c>
      <c r="M39" s="2">
        <f>7*(1/14151.6638359215)</f>
        <v>4.9464148393856954E-4</v>
      </c>
      <c r="N39" s="2">
        <f>6.94183121260014*(1/14151.6638359215)</f>
        <v>4.9053109889308751E-4</v>
      </c>
      <c r="O39" s="2">
        <f>6.4340377770169*(1/14151.6638359215)</f>
        <v>4.5464885624863638E-4</v>
      </c>
      <c r="P39" s="2">
        <f>5.55105639549365*(1/14151.6638359215)</f>
        <v>3.9225468184195234E-4</v>
      </c>
      <c r="Q39" s="2">
        <f>4.47297728208158*(1/14151.6638359215)</f>
        <v>3.1607430291890601E-4</v>
      </c>
      <c r="R39" s="2">
        <f>3.37989065083171*(1/14151.6638359215)</f>
        <v>2.3883344672535637E-4</v>
      </c>
      <c r="S39" s="2">
        <f>2.45188671579569*(1/14151.6638359215)</f>
        <v>1.7325784050720654E-4</v>
      </c>
      <c r="T39" s="2">
        <f>1.8690556910245*(1/14151.6638359215)</f>
        <v>1.3207321151031246E-4</v>
      </c>
      <c r="U39" s="2">
        <f>1.81148779056936*(1/14151.6638359215)</f>
        <v>1.2800528698054698E-4</v>
      </c>
      <c r="V39" s="2">
        <f>2.45927322848148*(1/14151.6638359215)</f>
        <v>1.7377979416378231E-4</v>
      </c>
      <c r="W39" s="2">
        <f>3.99250221881205*(1/14151.6638359215)</f>
        <v>2.821224603058891E-4</v>
      </c>
      <c r="X39" s="2">
        <f>6.59126497561289*(1/14151.6638359215)</f>
        <v>4.6575901265278274E-4</v>
      </c>
      <c r="Y39" s="2">
        <f>10.0171573884304*(1/14151.6638359215)</f>
        <v>7.0784308506563129E-4</v>
      </c>
      <c r="Z39" s="2">
        <f>13.7523545012739*(1/14151.6638359215)</f>
        <v>9.7178357687991259E-4</v>
      </c>
      <c r="AA39" s="2">
        <f>17.9143763904191*(1/14151.6638359215)</f>
        <v>1.2658848173701398E-3</v>
      </c>
      <c r="AB39" s="2">
        <f>22.6291427636151*(1/14151.6638359215)</f>
        <v>1.5990446795503309E-3</v>
      </c>
      <c r="AC39" s="2">
        <f>28.0225733286108*(1/14151.6638359215)</f>
        <v>1.9801610364344894E-3</v>
      </c>
      <c r="AD39" s="2">
        <f>34.2205877931565*(1/14151.6638359215)</f>
        <v>2.4181317610367185E-3</v>
      </c>
      <c r="AE39" s="2">
        <f>41.3491058649989*(1/14151.6638359215)</f>
        <v>2.9218547263708664E-3</v>
      </c>
      <c r="AF39" s="2">
        <f>49.5340472518881*(1/14151.6638359215)</f>
        <v>3.5002278054510217E-3</v>
      </c>
      <c r="AG39" s="2">
        <f>58.9013316615731*(1/14151.6638359215)</f>
        <v>4.1621488712911955E-3</v>
      </c>
      <c r="AH39" s="2">
        <f>69.5768788018028*(1/14151.6638359215)</f>
        <v>4.9165157969053921E-3</v>
      </c>
      <c r="AI39" s="2">
        <f>81.5021329592202*(1/14151.6638359215)</f>
        <v>5.7591908558724684E-3</v>
      </c>
      <c r="AJ39" s="2">
        <f>92.3452614850163*(1/14151.6638359215)</f>
        <v>6.5253995965205277E-3</v>
      </c>
      <c r="AK39" s="2">
        <f>102.118913636055*(1/14151.6638359215)</f>
        <v>7.2160358541618385E-3</v>
      </c>
      <c r="AL39" s="2">
        <f>111.795264344153*(1/14151.6638359215)</f>
        <v>7.8997964932137846E-3</v>
      </c>
      <c r="AM39" s="2">
        <f>122.346488541127*(1/14151.6638359215)</f>
        <v>8.6453783780937512E-3</v>
      </c>
      <c r="AN39" s="2">
        <f>134.744761158795*(1/14151.6638359215)</f>
        <v>9.5214783732192124E-3</v>
      </c>
      <c r="AO39" s="2">
        <f>149.962257128974*(1/14151.6638359215)</f>
        <v>1.0596793343007576E-2</v>
      </c>
      <c r="AP39" s="2">
        <f>168.971151383484*(1/14151.6638359215)</f>
        <v>1.1940020151876458E-2</v>
      </c>
      <c r="AQ39" s="2">
        <f>192.743618854135*(1/14151.6638359215)</f>
        <v>1.361985566424277E-2</v>
      </c>
      <c r="AR39" s="2">
        <f>222.251834472749*(1/14151.6638359215)</f>
        <v>1.5704996744524271E-2</v>
      </c>
      <c r="AS39" s="2">
        <f>258.467973171142*(1/14151.6638359215)</f>
        <v>1.8264140257138291E-2</v>
      </c>
      <c r="AT39" s="2">
        <f>302.408767959798*(1/14151.6638359215)</f>
        <v>2.1369131677095577E-2</v>
      </c>
      <c r="AU39" s="2">
        <f>354.062307574933*(1/14151.6638359215)</f>
        <v>2.5019129317939873E-2</v>
      </c>
      <c r="AV39" s="2">
        <f>412.286624690269*(1/14151.6638359215)</f>
        <v>2.9133438263545534E-2</v>
      </c>
      <c r="AW39" s="2">
        <f>475.912494838183*(1/14151.6638359215)</f>
        <v>3.3629437524523666E-2</v>
      </c>
      <c r="AX39" s="2">
        <f>543.770693551041*(1/14151.6638359215)</f>
        <v>3.8424506111484576E-2</v>
      </c>
      <c r="AY39" s="2">
        <f>614.691996361212*(1/14151.6638359215)</f>
        <v>4.3436023035038809E-2</v>
      </c>
      <c r="AZ39" s="2">
        <f>687.507178801062*(1/14151.6638359215)</f>
        <v>4.858136730579668E-2</v>
      </c>
      <c r="BA39" s="2">
        <f>761.047016402973*(1/14151.6638359215)</f>
        <v>5.3777917934369632E-2</v>
      </c>
      <c r="BB39" s="2">
        <f>834.142284699284*(1/14151.6638359215)</f>
        <v>5.8943053931366084E-2</v>
      </c>
      <c r="BC39" s="2">
        <f>905.623759222377*(1/14151.6638359215)</f>
        <v>6.399415430739748E-2</v>
      </c>
      <c r="BD39" s="2">
        <f>974.454975329923*(1/14151.6638359215)</f>
        <v>6.8857979289787902E-2</v>
      </c>
      <c r="BE39" s="2">
        <f>1044.43983514255*(1/14151.6638359215)</f>
        <v>7.3803324277066554E-2</v>
      </c>
      <c r="BF39" s="2">
        <f>1117.07722902173*(1/14151.6638359215)</f>
        <v>7.8936105462470554E-2</v>
      </c>
      <c r="BG39" s="2">
        <f>1191.39477009282*(1/14151.6638359215)</f>
        <v>8.4187611005051913E-2</v>
      </c>
      <c r="BH39" s="2">
        <f>1266.42007148111*(1/14151.6638359215)</f>
        <v>8.9489129063857933E-2</v>
      </c>
      <c r="BI39" s="2">
        <f>1341.18074631194*(1/14151.6638359215)</f>
        <v>9.477194779793946E-2</v>
      </c>
      <c r="BJ39" s="2">
        <f>1414.70440771062*(1/14151.6638359215)</f>
        <v>9.996735536634517E-2</v>
      </c>
      <c r="BK39" s="2">
        <f>1486.0186688025*(1/14151.6638359215)</f>
        <v>0.10500663992812662</v>
      </c>
      <c r="BL39" s="2">
        <f>1554.15114271288*(1/14151.6638359215)</f>
        <v>0.1098210896423318</v>
      </c>
      <c r="BM39" s="2">
        <f>1618.12944256711*(1/14151.6638359215)</f>
        <v>0.11434199266801223</v>
      </c>
      <c r="BN39" s="2">
        <f>1676.98118149049*(1/14151.6638359215)</f>
        <v>0.11850063716421594</v>
      </c>
      <c r="BO39" s="2">
        <f>1730.38759143609*(1/14151.6638359215)</f>
        <v>0.12227449800240496</v>
      </c>
      <c r="BP39" s="2">
        <f>1780.29900049587*(1/14151.6638359215)</f>
        <v>0.12580139135137561</v>
      </c>
      <c r="BQ39" s="2">
        <f>1827.0103693386*(1/14151.6638359215)</f>
        <v>0.12910216003725702</v>
      </c>
      <c r="BR39" s="2">
        <f>1870.60612492945*(1/14151.6638359215)</f>
        <v>0.13218276992852576</v>
      </c>
      <c r="BS39" s="2">
        <f>1911.17069423357*(1/14151.6638359215)</f>
        <v>0.13504918689365702</v>
      </c>
      <c r="BT39" s="2">
        <f>1948.78850421611*(1/14151.6638359215)</f>
        <v>0.13770737680112599</v>
      </c>
      <c r="BU39" s="2">
        <f>1983.54398184225*(1/14151.6638359215)</f>
        <v>0.14016330551940995</v>
      </c>
      <c r="BV39" s="2">
        <f>2015.52155407713*(1/14151.6638359215)</f>
        <v>0.14242293891698335</v>
      </c>
      <c r="BW39" s="2">
        <f>2044.80564788593*(1/14151.6638359215)</f>
        <v>0.14449224286232351</v>
      </c>
      <c r="BX39" s="2">
        <f>2071.4806902338*(1/14151.6638359215)</f>
        <v>0.14637718322390558</v>
      </c>
      <c r="BY39" s="2">
        <f>2095.63053743879*(1/14151.6638359215)</f>
        <v>0.14808368554652929</v>
      </c>
      <c r="BZ39" s="2">
        <f>2117.16015862378*(1/14151.6638359215)</f>
        <v>0.14960503465675482</v>
      </c>
      <c r="CA39" s="2">
        <f>2135.95185719971*(1/14151.6638359215)</f>
        <v>0.15093291375237261</v>
      </c>
      <c r="CB39" s="2">
        <f>2152.00367863911*(1/14151.6638359215)</f>
        <v>0.15206718472047287</v>
      </c>
      <c r="CC39" s="2">
        <f>2165.31366841451*(1/14151.6638359215)</f>
        <v>0.15300770944814587</v>
      </c>
      <c r="CD39" s="2">
        <f>2175.87987199842*(1/14151.6638359215)</f>
        <v>0.15375434982248048</v>
      </c>
      <c r="CE39" s="2">
        <f>2183.70033486338*(1/14151.6638359215)</f>
        <v>0.15430696773056762</v>
      </c>
      <c r="CF39" s="2">
        <f>2188.7731024819*(1/14151.6638359215)</f>
        <v>0.15466542505949626</v>
      </c>
      <c r="CG39" s="2">
        <f>2191.09622032651*(1/14151.6638359215)</f>
        <v>0.15482958369635655</v>
      </c>
      <c r="CH39" s="2">
        <f>2190.66773386973*(1/14151.6638359215)</f>
        <v>0.15479930552823809</v>
      </c>
      <c r="CI39" s="2">
        <f>2187.48568858409*(1/14151.6638359215)</f>
        <v>0.15457445244223114</v>
      </c>
      <c r="CJ39" s="2">
        <f>2181.63952005283*(1/14151.6638359215)</f>
        <v>0.15416134423113723</v>
      </c>
      <c r="CK39" s="2">
        <f>2173.59541292467*(1/14151.6638359215)</f>
        <v>0.1535929229330181</v>
      </c>
      <c r="CL39" s="2">
        <f>2163.23784342435*(1/14151.6638359215)</f>
        <v>0.15286102528335593</v>
      </c>
      <c r="CM39" s="2">
        <f>2150.35098638943*(1/14151.6638359215)</f>
        <v>0.15195040041377636</v>
      </c>
      <c r="CN39" s="2">
        <f>2134.71901665747*(1/14151.6638359215)</f>
        <v>0.15084579745590498</v>
      </c>
      <c r="CO39" s="2">
        <f>2116.12610906603*(1/14151.6638359215)</f>
        <v>0.1495319655413675</v>
      </c>
      <c r="CP39" s="2">
        <f>2094.35643845268*(1/14151.6638359215)</f>
        <v>0.14799365380179014</v>
      </c>
      <c r="CQ39" s="2">
        <f>2069.19417965497*(1/14151.6638359215)</f>
        <v>0.1462156113687979</v>
      </c>
      <c r="CR39" s="2">
        <f>2040.42350751047*(1/14151.6638359215)</f>
        <v>0.14418258737401712</v>
      </c>
      <c r="CS39" s="2">
        <f>2007.82859685673*(1/14151.6638359215)</f>
        <v>0.14187933094907268</v>
      </c>
      <c r="CT39" s="2">
        <f>1971.19362253133*(1/14151.6638359215)</f>
        <v>0.13929059122559165</v>
      </c>
      <c r="CU39" s="2">
        <f>1929.9720088691*(1/14151.6638359215)</f>
        <v>0.13637774548955911</v>
      </c>
      <c r="CV39" s="2">
        <f>1883.97064846273*(1/14151.6638359215)</f>
        <v>0.13312714817890198</v>
      </c>
      <c r="CW39" s="2">
        <f>1833.68006866057*(1/14151.6638359215)</f>
        <v>0.12957346146154891</v>
      </c>
      <c r="CX39" s="2">
        <f>1779.59272793531*(1/14151.6638359215)</f>
        <v>0.12575148396460126</v>
      </c>
      <c r="CY39" s="2">
        <f>1722.20108475968*(1/14151.6638359215)</f>
        <v>0.12169601431516319</v>
      </c>
      <c r="CZ39" s="2">
        <f>1661.99759760638*(1/14151.6638359215)</f>
        <v>0.11744185114033677</v>
      </c>
      <c r="DA39" s="2">
        <f>1599.47472494812*(1/14151.6638359215)</f>
        <v>0.11302379306722478</v>
      </c>
      <c r="DB39" s="2">
        <f>1535.12492525763*(1/14151.6638359215)</f>
        <v>0.1084766387229314</v>
      </c>
      <c r="DC39" s="2">
        <f>1469.44065700762*(1/14151.6638359215)</f>
        <v>0.1038351867345594</v>
      </c>
      <c r="DD39" s="2">
        <f>1402.91437867079*(1/14151.6638359215)</f>
        <v>9.9134235729210832E-2</v>
      </c>
      <c r="DE39" s="2">
        <f>1335.57974298438*(1/14151.6638359215)</f>
        <v>9.4376163712583852E-2</v>
      </c>
      <c r="DF39" s="2">
        <f>1263.4209479539*(1/14151.6638359215)</f>
        <v>8.9277201790713051E-2</v>
      </c>
      <c r="DG39" s="2">
        <f>1186.49774445842*(1/14151.6638359215)</f>
        <v>8.3841572144096932E-2</v>
      </c>
      <c r="DH39" s="2">
        <f>1106.20296163517*(1/14151.6638359215)</f>
        <v>7.8167696354351571E-2</v>
      </c>
      <c r="DI39" s="2">
        <f>1023.92942862143*(1/14151.6638359215)</f>
        <v>7.2353996003096541E-2</v>
      </c>
      <c r="DJ39" s="2">
        <f>941.069974554412*(1/14151.6638359215)</f>
        <v>6.6498892671946613E-2</v>
      </c>
      <c r="DK39" s="2">
        <f>859.017428571375*(1/14151.6638359215)</f>
        <v>6.0700807942519877E-2</v>
      </c>
      <c r="DL39" s="2">
        <f>779.164619809557*(1/14151.6638359215)</f>
        <v>5.5058163396432949E-2</v>
      </c>
      <c r="DM39" s="2">
        <f>702.904377406188*(1/14151.6638359215)</f>
        <v>4.9669380615301885E-2</v>
      </c>
      <c r="DN39" s="2">
        <f>631.629530498542*(1/14151.6638359215)</f>
        <v>4.4632881180745827E-2</v>
      </c>
      <c r="DO39" s="2">
        <f>566.732908223846*(1/14151.6638359215)</f>
        <v>4.0047086674380623E-2</v>
      </c>
      <c r="DP39" s="2">
        <f>507.819124651816*(1/14151.6638359215)</f>
        <v>3.5884057912879956E-2</v>
      </c>
      <c r="DQ39" s="2">
        <f>452.007273630722*(1/14151.6638359215)</f>
        <v>3.1940221225675344E-2</v>
      </c>
      <c r="DR39" s="2">
        <f>399.252011388594*(1/14151.6638359215)</f>
        <v>2.8212372482673258E-2</v>
      </c>
      <c r="DS39" s="2">
        <f>349.595309359822*(1/14151.6638359215)</f>
        <v>2.4703477514243663E-2</v>
      </c>
      <c r="DT39" s="2">
        <f>303.079138978788*(1/14151.6638359215)</f>
        <v>2.1416502150755953E-2</v>
      </c>
      <c r="DU39" s="2">
        <f>259.745471679898*(1/14151.6638359215)</f>
        <v>1.8354412222581207E-2</v>
      </c>
      <c r="DV39" s="2">
        <f>219.636278897534*(1/14151.6638359215)</f>
        <v>1.5520173560088821E-2</v>
      </c>
      <c r="DW39" s="2">
        <f>182.793532066085*(1/14151.6638359215)</f>
        <v>1.2916751993648683E-2</v>
      </c>
      <c r="DX39" s="2">
        <f>149.25920261994*(1/14151.6638359215)</f>
        <v>1.0547113353630679E-2</v>
      </c>
      <c r="DY39" s="2">
        <f>119.075261993484*(1/14151.6638359215)</f>
        <v>8.4142234704044118E-3</v>
      </c>
      <c r="DZ39" s="2">
        <f>92.3545140434072*(1/14151.6638359215)</f>
        <v>6.5260534106937719E-3</v>
      </c>
      <c r="EA39" s="2">
        <f>70.5031384668998*(1/14151.6638359215)</f>
        <v>4.9819681476562516E-3</v>
      </c>
      <c r="EB39" s="2">
        <f>53.5251130030571*(1/14151.6638359215)</f>
        <v>3.7822487605445412E-3</v>
      </c>
      <c r="EC39" s="2">
        <f>40.7170457804505*(1/14151.6638359215)</f>
        <v>2.8771914209195296E-3</v>
      </c>
      <c r="ED39" s="2">
        <f>31.3755449276516*(1/14151.6638359215)</f>
        <v>2.2170923003421209E-3</v>
      </c>
      <c r="EE39" s="2">
        <f>24.797218573231*(1/14151.6638359215)</f>
        <v>1.7522475703731486E-3</v>
      </c>
      <c r="EF39" s="2">
        <f>20.2786748457627*(1/14151.6638359215)</f>
        <v>1.4329534025736865E-3</v>
      </c>
      <c r="EG39" s="2">
        <f>17.1165218738167*(1/14151.6638359215)</f>
        <v>1.2095059685045255E-3</v>
      </c>
      <c r="EH39" s="2">
        <f>14.6073677859648*(1/14151.6638359215)</f>
        <v>1.0322014397265837E-3</v>
      </c>
      <c r="EI39" s="2">
        <f>12.0478207107784*(1/14151.6638359215)</f>
        <v>8.5133598780075129E-4</v>
      </c>
      <c r="EJ39" s="2">
        <f>8.73448877682841*(1/14151.6638359215)</f>
        <v>6.1720578428788378E-4</v>
      </c>
      <c r="EK39" s="2">
        <f>4.75683462306903*(1/14151.6638359215)</f>
        <v>3.3613253382931869E-4</v>
      </c>
      <c r="EL39" s="2">
        <f>2.04011873409442*(1/14151.6638359215)</f>
        <v>1.4416105114904856E-4</v>
      </c>
      <c r="EM39" s="2">
        <f>0.52237759496855*(1/14151.6638359215)</f>
        <v>3.6912804107357802E-5</v>
      </c>
      <c r="EN39" s="2">
        <f>-0.0142629175124878*(1/14151.6638359215)</f>
        <v>-1.0078615262386252E-6</v>
      </c>
      <c r="EO39" s="2">
        <f>0.21232307344744*(1/14151.6638359215)</f>
        <v>1.5003400017777088E-5</v>
      </c>
      <c r="EP39" s="2">
        <f>0.984261444644448*(1/14151.6638359215)</f>
        <v>6.9550934508921428E-5</v>
      </c>
      <c r="EQ39" s="2">
        <f>2.08367807287488*(1/14151.6638359215)</f>
        <v>1.4723908771672705E-4</v>
      </c>
      <c r="ER39" s="2">
        <f>3.2926988349344*(1/14151.6638359215)</f>
        <v>2.3267220541067866E-4</v>
      </c>
      <c r="ES39" s="2">
        <f>4.39344960761931*(1/14151.6638359215)</f>
        <v>3.1045463336030593E-4</v>
      </c>
      <c r="ET39" s="2">
        <f>5.16805626772574*(1/14151.6638359215)</f>
        <v>3.6519071733512651E-4</v>
      </c>
      <c r="EU39" s="2">
        <f>5.40506924191706*(1/14151.6638359215)</f>
        <v>3.8193878151608195E-4</v>
      </c>
      <c r="EV39" s="2">
        <f>5.43088814394055*(1/14151.6638359215)</f>
        <v>3.8376322437473387E-4</v>
      </c>
      <c r="EW39" s="2">
        <f>5.52093826133467*(1/14151.6638359215)</f>
        <v>3.901264420456867E-4</v>
      </c>
      <c r="EX39" s="2">
        <f>5.66195037663465*(1/14151.6638359215)</f>
        <v>4.0009079089787229E-4</v>
      </c>
      <c r="EY39" s="2">
        <f>5.8406552723757*(1/14151.6638359215)</f>
        <v>4.127186273002209E-4</v>
      </c>
      <c r="EZ39" s="2">
        <f>6.04378373109304*(1/14151.6638359215)</f>
        <v>4.2707230762166368E-4</v>
      </c>
      <c r="FA39" s="2">
        <f>6.25806653532189*(1/14151.6638359215)</f>
        <v>4.4221418823113176E-4</v>
      </c>
      <c r="FB39" s="2">
        <f>6.47023446759751*(1/14151.6638359215)</f>
        <v>4.5720662549755895E-4</v>
      </c>
      <c r="FC39" s="2">
        <f>6.66701831045505*(1/14151.6638359215)</f>
        <v>4.7111197578987151E-4</v>
      </c>
      <c r="FD39" s="2">
        <f>6.83514884642975*(1/14151.6638359215)</f>
        <v>4.8299259547700187E-4</v>
      </c>
      <c r="FE39" s="2">
        <f>6.96135685805685*(1/14151.6638359215)</f>
        <v>4.9191084092788258E-4</v>
      </c>
      <c r="FF39" s="2">
        <f>7.04015777864495*(1/14151.6638359215)</f>
        <v>4.9747915582722883E-4</v>
      </c>
      <c r="FG39" s="2">
        <f>7.1003944466124*(1/14151.6638359215)</f>
        <v>5.0173566366021945E-4</v>
      </c>
      <c r="FH39" s="2">
        <f>7.14635279328385*(1/14151.6638359215)</f>
        <v>5.0498322148835215E-4</v>
      </c>
      <c r="FI39" s="2">
        <f>7.17803281865932*(1/14151.6638359215)</f>
        <v>5.0722182931162846E-4</v>
      </c>
      <c r="FJ39" s="2">
        <f>7.1954345227388*(1/14151.6638359215)</f>
        <v>5.084514871300476E-4</v>
      </c>
      <c r="FK39" s="2">
        <f>7.1985579055223*(1/14151.6638359215)</f>
        <v>5.0867219494361024E-4</v>
      </c>
      <c r="FL39" s="2">
        <f>7.18740296700981*(1/14151.6638359215)</f>
        <v>5.0788395275231572E-4</v>
      </c>
      <c r="FM39" s="2">
        <f>7.16196970720133*(1/14151.6638359215)</f>
        <v>5.0608676055616405E-4</v>
      </c>
      <c r="FN39" s="2">
        <f>7.12225812609687*(1/14151.6638359215)</f>
        <v>5.0328061835515597E-4</v>
      </c>
      <c r="FO39" s="2">
        <f>7.06826822369643*(1/14151.6638359215)</f>
        <v>4.9946552614929128E-4</v>
      </c>
      <c r="FP39" s="2">
        <f t="shared" si="13"/>
        <v>4.9464148393856954E-4</v>
      </c>
      <c r="FQ39" s="2"/>
    </row>
    <row r="40" spans="2:173">
      <c r="B40" s="2">
        <v>9.6502958579881657</v>
      </c>
      <c r="C40" s="2">
        <f t="shared" si="16"/>
        <v>4.9464148393856954E-4</v>
      </c>
      <c r="D40" s="2">
        <f t="shared" si="16"/>
        <v>4.9464148393856954E-4</v>
      </c>
      <c r="E40" s="2">
        <f t="shared" si="16"/>
        <v>4.9464148393856954E-4</v>
      </c>
      <c r="F40" s="2">
        <f t="shared" si="16"/>
        <v>4.9464148393856954E-4</v>
      </c>
      <c r="G40" s="2">
        <f t="shared" si="16"/>
        <v>4.9464148393856954E-4</v>
      </c>
      <c r="H40" s="2">
        <f t="shared" si="16"/>
        <v>4.9464148393856954E-4</v>
      </c>
      <c r="I40" s="2">
        <f t="shared" si="16"/>
        <v>4.9464148393856954E-4</v>
      </c>
      <c r="J40" s="2">
        <f t="shared" si="11"/>
        <v>4.9464148393856954E-4</v>
      </c>
      <c r="K40" s="2">
        <f t="shared" si="11"/>
        <v>4.9464148393856954E-4</v>
      </c>
      <c r="L40" s="2">
        <f t="shared" si="11"/>
        <v>4.9464148393856954E-4</v>
      </c>
      <c r="M40" s="2">
        <f t="shared" si="11"/>
        <v>4.9464148393856954E-4</v>
      </c>
      <c r="N40" s="2">
        <f>6.92485915190376*(1/14151.6638359215)</f>
        <v>4.8933180099475151E-4</v>
      </c>
      <c r="O40" s="2">
        <f>6.26890548477405*(1/14151.6638359215)</f>
        <v>4.429801016656106E-4</v>
      </c>
      <c r="P40" s="2">
        <f>5.12829429402049*(1/14151.6638359215)</f>
        <v>3.6238101423828487E-4</v>
      </c>
      <c r="Q40" s="2">
        <f>3.73566119098252*(1/14151.6638359215)</f>
        <v>2.6397328499990256E-4</v>
      </c>
      <c r="R40" s="2">
        <f>2.32364178699934*(1/14151.6638359215)</f>
        <v>1.6419566023757475E-4</v>
      </c>
      <c r="S40" s="2">
        <f>1.12487169341095*(1/14151.6638359215)</f>
        <v>7.9486886238469131E-5</v>
      </c>
      <c r="T40" s="2">
        <f>0.371986521556539*(1/14151.6638359215)</f>
        <v>2.6285709289696164E-5</v>
      </c>
      <c r="U40" s="2">
        <f>0.297621882775546*(1/14151.6638359215)</f>
        <v>2.1030875678383867E-5</v>
      </c>
      <c r="V40" s="2">
        <f>1.13441338840742*(1/14151.6638359215)</f>
        <v>8.0161131691661001E-5</v>
      </c>
      <c r="W40" s="2">
        <f>3.1149966497916*(1/14151.6638359215)</f>
        <v>2.2011522361665569E-4</v>
      </c>
      <c r="X40" s="2">
        <f>6.47200727826831*(1/14151.6638359215)</f>
        <v>4.5733189774055139E-4</v>
      </c>
      <c r="Y40" s="2">
        <f>11.0031075257172*(1/14151.6638359215)</f>
        <v>7.7751334777948541E-4</v>
      </c>
      <c r="Z40" s="2">
        <f>16.1574584994706*(1/14151.6638359215)</f>
        <v>1.1417356069791415E-3</v>
      </c>
      <c r="AA40" s="2">
        <f>22.0038009462762*(1/14151.6638359215)</f>
        <v>1.5548561074792801E-3</v>
      </c>
      <c r="AB40" s="2">
        <f>28.6193478738537*(1/14151.6638359215)</f>
        <v>2.0223309573824486E-3</v>
      </c>
      <c r="AC40" s="2">
        <f>36.081312289923*(1/14151.6638359215)</f>
        <v>2.5496162647912083E-3</v>
      </c>
      <c r="AD40" s="2">
        <f>44.4669072022055*(1/14151.6638359215)</f>
        <v>3.1421681378082278E-3</v>
      </c>
      <c r="AE40" s="2">
        <f>53.8533456184179*(1/14151.6638359215)</f>
        <v>3.8054426845358417E-3</v>
      </c>
      <c r="AF40" s="2">
        <f>64.3178405462815*(1/14151.6638359215)</f>
        <v>4.5448960130767112E-3</v>
      </c>
      <c r="AG40" s="2">
        <f>75.9376049935162*(1/14151.6638359215)</f>
        <v>5.3659842315333973E-3</v>
      </c>
      <c r="AH40" s="2">
        <f>88.7898519678417*(1/14151.6638359215)</f>
        <v>6.2741634480084482E-3</v>
      </c>
      <c r="AI40" s="2">
        <f>102.761355531213*(1/14151.6638359215)</f>
        <v>7.2614327702140184E-3</v>
      </c>
      <c r="AJ40" s="2">
        <f>115.42335440676*(1/14151.6638359215)</f>
        <v>8.1561684721324565E-3</v>
      </c>
      <c r="AK40" s="2">
        <f>126.836333504362*(1/14151.6638359215)</f>
        <v>8.9626446031321333E-3</v>
      </c>
      <c r="AL40" s="2">
        <f>138.059890616117*(1/14151.6638359215)</f>
        <v>9.7557355952503869E-3</v>
      </c>
      <c r="AM40" s="2">
        <f>150.153623534123*(1/14151.6638359215)</f>
        <v>1.061031588052456E-2</v>
      </c>
      <c r="AN40" s="2">
        <f>164.177130050478*(1/14151.6638359215)</f>
        <v>1.1601259890991995E-2</v>
      </c>
      <c r="AO40" s="2">
        <f>181.190007957279*(1/14151.6638359215)</f>
        <v>1.2803442058689957E-2</v>
      </c>
      <c r="AP40" s="2">
        <f>202.251855046629*(1/14151.6638359215)</f>
        <v>1.4291736815656148E-2</v>
      </c>
      <c r="AQ40" s="2">
        <f>228.422269110619*(1/14151.6638359215)</f>
        <v>1.6141018593927407E-2</v>
      </c>
      <c r="AR40" s="2">
        <f>260.760847941349*(1/14151.6638359215)</f>
        <v>1.8426161825541226E-2</v>
      </c>
      <c r="AS40" s="2">
        <f>300.327189330917*(1/14151.6638359215)</f>
        <v>2.1222040942534933E-2</v>
      </c>
      <c r="AT40" s="2">
        <f>348.229207055924*(1/14151.6638359215)</f>
        <v>2.4606944532699092E-2</v>
      </c>
      <c r="AU40" s="2">
        <f>404.45344825866*(1/14151.6638359215)</f>
        <v>2.8579921975819291E-2</v>
      </c>
      <c r="AV40" s="2">
        <f>467.755494336721*(1/14151.6638359215)</f>
        <v>3.3053038834162121E-2</v>
      </c>
      <c r="AW40" s="2">
        <f>536.861248930934*(1/14151.6638359215)</f>
        <v>3.7936263548615859E-2</v>
      </c>
      <c r="AX40" s="2">
        <f>610.496615682117*(1/14151.6638359215)</f>
        <v>4.3139564560068129E-2</v>
      </c>
      <c r="AY40" s="2">
        <f>687.387498231087*(1/14151.6638359215)</f>
        <v>4.8572910309406532E-2</v>
      </c>
      <c r="AZ40" s="2">
        <f>766.259800218661*(1/14151.6638359215)</f>
        <v>5.4146269237518613E-2</v>
      </c>
      <c r="BA40" s="2">
        <f>845.839425285674*(1/14151.6638359215)</f>
        <v>5.9769609785293228E-2</v>
      </c>
      <c r="BB40" s="2">
        <f>924.852277072911*(1/14151.6638359215)</f>
        <v>6.5352900393615687E-2</v>
      </c>
      <c r="BC40" s="2">
        <f>1002.02425922121*(1/14151.6638359215)</f>
        <v>7.0806109503375028E-2</v>
      </c>
      <c r="BD40" s="2">
        <f>1076.21616769144*(1/14151.6638359215)</f>
        <v>7.6048737460796323E-2</v>
      </c>
      <c r="BE40" s="2">
        <f>1151.24811358726*(1/14151.6638359215)</f>
        <v>8.1350725040897298E-2</v>
      </c>
      <c r="BF40" s="2">
        <f>1228.71297939233*(1/14151.6638359215)</f>
        <v>8.68246302087433E-2</v>
      </c>
      <c r="BG40" s="2">
        <f>1307.71196156328*(1/14151.6638359215)</f>
        <v>9.2406940747411209E-2</v>
      </c>
      <c r="BH40" s="2">
        <f>1387.34625655667*(1/14151.6638359215)</f>
        <v>9.8034144439972951E-2</v>
      </c>
      <c r="BI40" s="2">
        <f>1466.71706082912*(1/14151.6638359215)</f>
        <v>0.10364272906950474</v>
      </c>
      <c r="BJ40" s="2">
        <f>1544.92557083724*(1/14151.6638359215)</f>
        <v>0.10916918241908201</v>
      </c>
      <c r="BK40" s="2">
        <f>1621.07298303763*(1/14151.6638359215)</f>
        <v>0.11454999227177955</v>
      </c>
      <c r="BL40" s="2">
        <f>1694.26049388688*(1/14151.6638359215)</f>
        <v>0.11972164641067144</v>
      </c>
      <c r="BM40" s="2">
        <f>1763.58929984162*(1/14151.6638359215)</f>
        <v>0.12462063261883455</v>
      </c>
      <c r="BN40" s="2">
        <f>1828.16059735841*(1/14151.6638359215)</f>
        <v>0.12918343867934082</v>
      </c>
      <c r="BO40" s="2">
        <f>1887.87355200764*(1/14151.6638359215)</f>
        <v>0.13340293932191963</v>
      </c>
      <c r="BP40" s="2">
        <f>1945.12779561679*(1/14151.6638359215)</f>
        <v>0.13744869989629252</v>
      </c>
      <c r="BQ40" s="2">
        <f>1999.97319478786*(1/14151.6638359215)</f>
        <v>0.14132424412960412</v>
      </c>
      <c r="BR40" s="2">
        <f>2052.18822087227*(1/14151.6638359215)</f>
        <v>0.14501391812764466</v>
      </c>
      <c r="BS40" s="2">
        <f>2101.55134522139*(1/14151.6638359215)</f>
        <v>0.14850206799620078</v>
      </c>
      <c r="BT40" s="2">
        <f>2147.84103918662*(1/14151.6638359215)</f>
        <v>0.1517730398410613</v>
      </c>
      <c r="BU40" s="2">
        <f>2190.83577411935*(1/14151.6638359215)</f>
        <v>0.15481117976801428</v>
      </c>
      <c r="BV40" s="2">
        <f>2230.31402137099*(1/14151.6638359215)</f>
        <v>0.15760083388284929</v>
      </c>
      <c r="BW40" s="2">
        <f>2266.05425229293*(1/14151.6638359215)</f>
        <v>0.16012634829135436</v>
      </c>
      <c r="BX40" s="2">
        <f>2297.83493823657*(1/14151.6638359215)</f>
        <v>0.16237206909931834</v>
      </c>
      <c r="BY40" s="2">
        <f>2325.43395286419*(1/14151.6638359215)</f>
        <v>0.16432230017798236</v>
      </c>
      <c r="BZ40" s="2">
        <f>2348.55913701602*(1/14151.6638359215)</f>
        <v>0.16595639666444148</v>
      </c>
      <c r="CA40" s="2">
        <f>2367.30951500495*(1/14151.6638359215)</f>
        <v>0.1672813559205634</v>
      </c>
      <c r="CB40" s="2">
        <f>2381.99668610348*(1/14151.6638359215)</f>
        <v>0.16831919650728291</v>
      </c>
      <c r="CC40" s="2">
        <f>2392.93224958411*(1/14151.6638359215)</f>
        <v>0.16909193698553482</v>
      </c>
      <c r="CD40" s="2">
        <f>2400.42780471932*(1/14151.6638359215)</f>
        <v>0.16962159591625248</v>
      </c>
      <c r="CE40" s="2">
        <f>2404.79495078161*(1/14151.6638359215)</f>
        <v>0.1699301918603707</v>
      </c>
      <c r="CF40" s="2">
        <f>2406.34528704347*(1/14151.6638359215)</f>
        <v>0.17003974337882358</v>
      </c>
      <c r="CG40" s="2">
        <f>2405.3904127774*(1/14151.6638359215)</f>
        <v>0.16997226903254592</v>
      </c>
      <c r="CH40" s="2">
        <f>2402.24192725589*(1/14151.6638359215)</f>
        <v>0.16974978738247182</v>
      </c>
      <c r="CI40" s="2">
        <f>2397.21142975143*(1/14151.6638359215)</f>
        <v>0.16939431698953533</v>
      </c>
      <c r="CJ40" s="2">
        <f>2390.59937884051*(1/14151.6638359215)</f>
        <v>0.16892708917889893</v>
      </c>
      <c r="CK40" s="2">
        <f>2382.41518211923*(1/14151.6638359215)</f>
        <v>0.16834876872017618</v>
      </c>
      <c r="CL40" s="2">
        <f>2372.35785455193*(1/14151.6638359215)</f>
        <v>0.16763808708698397</v>
      </c>
      <c r="CM40" s="2">
        <f>2360.11140207671*(1/14151.6638359215)</f>
        <v>0.16677271516908027</v>
      </c>
      <c r="CN40" s="2">
        <f>2345.35983063168*(1/14151.6638359215)</f>
        <v>0.16573032385622374</v>
      </c>
      <c r="CO40" s="2">
        <f>2327.78714615492*(1/14151.6638359215)</f>
        <v>0.16448858403817107</v>
      </c>
      <c r="CP40" s="2">
        <f>2307.07735458452*(1/14151.6638359215)</f>
        <v>0.16302516660467947</v>
      </c>
      <c r="CQ40" s="2">
        <f>2282.9144618586*(1/14151.6638359215)</f>
        <v>0.16131774244550842</v>
      </c>
      <c r="CR40" s="2">
        <f>2254.98247391524*(1/14151.6638359215)</f>
        <v>0.15934398245041442</v>
      </c>
      <c r="CS40" s="2">
        <f>2222.96539669253*(1/14151.6638359215)</f>
        <v>0.15708155750915484</v>
      </c>
      <c r="CT40" s="2">
        <f>2186.54723612857*(1/14151.6638359215)</f>
        <v>0.15450813851148767</v>
      </c>
      <c r="CU40" s="2">
        <f>2145.49654723838*(1/14151.6638359215)</f>
        <v>0.15160737084443851</v>
      </c>
      <c r="CV40" s="2">
        <f>2100.00120583306*(1/14151.6638359215)</f>
        <v>0.14839253038943573</v>
      </c>
      <c r="CW40" s="2">
        <f>2050.37875892514*(1/14151.6638359215)</f>
        <v>0.14488605599297913</v>
      </c>
      <c r="CX40" s="2">
        <f>1996.94679023894*(1/14151.6638359215)</f>
        <v>0.14111038909573609</v>
      </c>
      <c r="CY40" s="2">
        <f>1940.02288349883*(1/14151.6638359215)</f>
        <v>0.1370879711383777</v>
      </c>
      <c r="CZ40" s="2">
        <f>1879.92462242914*(1/14151.6638359215)</f>
        <v>0.13284124356157212</v>
      </c>
      <c r="DA40" s="2">
        <f>1816.96959075423*(1/14151.6638359215)</f>
        <v>0.12839264780598969</v>
      </c>
      <c r="DB40" s="2">
        <f>1751.47537219846*(1/14151.6638359215)</f>
        <v>0.12376462531230067</v>
      </c>
      <c r="DC40" s="2">
        <f>1683.75955048617*(1/14151.6638359215)</f>
        <v>0.11897961752117399</v>
      </c>
      <c r="DD40" s="2">
        <f>1614.13970934171*(1/14151.6638359215)</f>
        <v>0.11406006587327924</v>
      </c>
      <c r="DE40" s="2">
        <f>1542.47476000589*(1/14151.6638359215)</f>
        <v>0.10899600060387177</v>
      </c>
      <c r="DF40" s="2">
        <f>1464.6895058682*(1/14151.6638359215)</f>
        <v>0.1034994558131281</v>
      </c>
      <c r="DG40" s="2">
        <f>1381.00768685592*(1/14151.6638359215)</f>
        <v>9.7586241650997663E-2</v>
      </c>
      <c r="DH40" s="2">
        <f>1293.00932299158*(1/14151.6638359215)</f>
        <v>9.136800718156575E-2</v>
      </c>
      <c r="DI40" s="2">
        <f>1202.27443429771*(1/14151.6638359215)</f>
        <v>8.4956401468917656E-2</v>
      </c>
      <c r="DJ40" s="2">
        <f>1110.38304079684*(1/14151.6638359215)</f>
        <v>7.8463073577138595E-2</v>
      </c>
      <c r="DK40" s="2">
        <f>1018.91516251148*(1/14151.6638359215)</f>
        <v>7.1999672570312465E-2</v>
      </c>
      <c r="DL40" s="2">
        <f>929.450819464149*(1/14151.6638359215)</f>
        <v>6.5677847512523743E-2</v>
      </c>
      <c r="DM40" s="2">
        <f>843.570031677366*(1/14151.6638359215)</f>
        <v>5.9609247467856924E-2</v>
      </c>
      <c r="DN40" s="2">
        <f>762.852819173682*(1/14151.6638359215)</f>
        <v>5.3905521500398755E-2</v>
      </c>
      <c r="DO40" s="2">
        <f>688.879201975603*(1/14151.6638359215)</f>
        <v>4.8678318674232834E-2</v>
      </c>
      <c r="DP40" s="2">
        <f>620.987187446786*(1/14151.6638359215)</f>
        <v>4.3880860557930987E-2</v>
      </c>
      <c r="DQ40" s="2">
        <f>555.595755255778*(1/14151.6638359215)</f>
        <v>3.9260101264241197E-2</v>
      </c>
      <c r="DR40" s="2">
        <f>492.839924486284*(1/14151.6638359215)</f>
        <v>3.4825581656009727E-2</v>
      </c>
      <c r="DS40" s="2">
        <f>432.966298356764*(1/14151.6638359215)</f>
        <v>3.0594727473511316E-2</v>
      </c>
      <c r="DT40" s="2">
        <f>376.221480085669*(1/14151.6638359215)</f>
        <v>2.6584964457020042E-2</v>
      </c>
      <c r="DU40" s="2">
        <f>322.852072891483*(1/14151.6638359215)</f>
        <v>2.2813718346812336E-2</v>
      </c>
      <c r="DV40" s="2">
        <f>273.104679992655*(1/14151.6638359215)</f>
        <v>1.9298414883162147E-2</v>
      </c>
      <c r="DW40" s="2">
        <f>227.225904607647*(1/14151.6638359215)</f>
        <v>1.6056479806344337E-2</v>
      </c>
      <c r="DX40" s="2">
        <f>185.462349954921*(1/14151.6638359215)</f>
        <v>1.3105338856633774E-2</v>
      </c>
      <c r="DY40" s="2">
        <f>148.060619252932*(1/14151.6638359215)</f>
        <v>1.0462417774304834E-2</v>
      </c>
      <c r="DZ40" s="2">
        <f>115.328707266672*(1/14151.6638359215)</f>
        <v>8.1494804147290746E-3</v>
      </c>
      <c r="EA40" s="2">
        <f>88.5834503931238*(1/14151.6638359215)</f>
        <v>6.2595784792647737E-3</v>
      </c>
      <c r="EB40" s="2">
        <f>67.6482504293617*(1/14151.6638359215)</f>
        <v>4.7802329968896348E-3</v>
      </c>
      <c r="EC40" s="2">
        <f>51.6930481496675*(1/14151.6638359215)</f>
        <v>3.6527894351513512E-3</v>
      </c>
      <c r="ED40" s="2">
        <f>39.887784328323*(1/14151.6638359215)</f>
        <v>2.8185932615976154E-3</v>
      </c>
      <c r="EE40" s="2">
        <f>31.4023997396085*(1/14151.6638359215)</f>
        <v>2.2189899437760141E-3</v>
      </c>
      <c r="EF40" s="2">
        <f>25.4068351578091*(1/14151.6638359215)</f>
        <v>1.7953249492344734E-3</v>
      </c>
      <c r="EG40" s="2">
        <f>21.0710313572046*(1/14151.6638359215)</f>
        <v>1.488943745520545E-3</v>
      </c>
      <c r="EH40" s="2">
        <f>17.5649291120769*(1/14151.6638359215)</f>
        <v>1.2411918001819283E-3</v>
      </c>
      <c r="EI40" s="2">
        <f>14.0584691967076*(1/14151.6638359215)</f>
        <v>9.9341458076630243E-4</v>
      </c>
      <c r="EJ40" s="2">
        <f>9.72159238537764*(1/14151.6638359215)</f>
        <v>6.8695755482129912E-4</v>
      </c>
      <c r="EK40" s="2">
        <f>4.67123864592281*(1/14151.6638359215)</f>
        <v>3.3008405937863614E-4</v>
      </c>
      <c r="EL40" s="2">
        <f>1.20681820433918*(1/14151.6638359215)</f>
        <v>8.5277478205487406E-5</v>
      </c>
      <c r="EM40" s="2">
        <f>-0.756816493767902*(1/14151.6638359215)</f>
        <v>-5.3478976220934323E-5</v>
      </c>
      <c r="EN40" s="2">
        <f>-1.49138645711218*(1/14151.6638359215)</f>
        <v>-1.0538594432455065E-4</v>
      </c>
      <c r="EO40" s="2">
        <f>-1.26861269440734*(1/14151.6638359215)</f>
        <v>-8.9644066529279099E-5</v>
      </c>
      <c r="EP40" s="2">
        <f>-0.360216214367131*(1/14151.6638359215)</f>
        <v>-2.5453983259041653E-5</v>
      </c>
      <c r="EQ40" s="2">
        <f>0.962081974295001*(1/14151.6638359215)</f>
        <v>6.7983665062261138E-5</v>
      </c>
      <c r="ER40" s="2">
        <f>2.42656086286479*(1/14151.6638359215)</f>
        <v>1.714682380106708E-4</v>
      </c>
      <c r="ES40" s="2">
        <f>3.76149944262873*(1/14151.6638359215)</f>
        <v>2.6579909516228245E-4</v>
      </c>
      <c r="ET40" s="2">
        <f>4.69517670487312*(1/14151.6638359215)</f>
        <v>3.3177559609317761E-4</v>
      </c>
      <c r="EU40" s="2">
        <f>4.96392940781259*(1/14151.6638359215)</f>
        <v>3.5076648692096061E-4</v>
      </c>
      <c r="EV40" s="2">
        <f>4.97801537424953*(1/14151.6638359215)</f>
        <v>3.5176184454111447E-4</v>
      </c>
      <c r="EW40" s="2">
        <f>5.08169798630683*(1/14151.6638359215)</f>
        <v>3.590883761249216E-4</v>
      </c>
      <c r="EX40" s="2">
        <f>5.25675791752944*(1/14151.6638359215)</f>
        <v>3.7145864814751241E-4</v>
      </c>
      <c r="EY40" s="2">
        <f>5.48497584146231*(1/14151.6638359215)</f>
        <v>3.875852270840173E-4</v>
      </c>
      <c r="EZ40" s="2">
        <f>5.74813243165039*(1/14151.6638359215)</f>
        <v>4.0618067940956676E-4</v>
      </c>
      <c r="FA40" s="2">
        <f>6.02800836163865*(1/14151.6638359215)</f>
        <v>4.259575715992925E-4</v>
      </c>
      <c r="FB40" s="2">
        <f>6.30638430497206*(1/14151.6638359215)</f>
        <v>4.4562847012832629E-4</v>
      </c>
      <c r="FC40" s="2">
        <f>6.5650409351955*(1/14151.6638359215)</f>
        <v>4.6390594147179383E-4</v>
      </c>
      <c r="FD40" s="2">
        <f>6.78575892585397*(1/14151.6638359215)</f>
        <v>4.7950255210482879E-4</v>
      </c>
      <c r="FE40" s="2">
        <f>6.9503189504924*(1/14151.6638359215)</f>
        <v>4.9113086850256023E-4</v>
      </c>
      <c r="FF40" s="2">
        <f>7.05119041348377*(1/14151.6638359215)</f>
        <v>4.9825875566557537E-4</v>
      </c>
      <c r="FG40" s="2">
        <f>7.12797603370945*(1/14151.6638359215)</f>
        <v>5.0368466325608591E-4</v>
      </c>
      <c r="FH40" s="2">
        <f>7.18656061802976*(1/14151.6638359215)</f>
        <v>5.0782442978810347E-4</v>
      </c>
      <c r="FI40" s="2">
        <f>7.22694416644474*(1/14151.6638359215)</f>
        <v>5.1067805526163075E-4</v>
      </c>
      <c r="FJ40" s="2">
        <f>7.24912667895438*(1/14151.6638359215)</f>
        <v>5.12245539676667E-4</v>
      </c>
      <c r="FK40" s="2">
        <f>7.25310815555867*(1/14151.6638359215)</f>
        <v>5.1252688303321167E-4</v>
      </c>
      <c r="FL40" s="2">
        <f>7.23888859625762*(1/14151.6638359215)</f>
        <v>5.1152208533126542E-4</v>
      </c>
      <c r="FM40" s="2">
        <f>7.20646800105123*(1/14151.6638359215)</f>
        <v>5.0923114657082825E-4</v>
      </c>
      <c r="FN40" s="2">
        <f>7.15584636993949*(1/14151.6638359215)</f>
        <v>5.0565406675189938E-4</v>
      </c>
      <c r="FO40" s="2">
        <f>7.08702370292242*(1/14151.6638359215)</f>
        <v>5.0079084587448025E-4</v>
      </c>
      <c r="FP40" s="2">
        <f t="shared" ref="FP40:FP103" si="17">7*(1/14151.6638359215)</f>
        <v>4.9464148393856954E-4</v>
      </c>
      <c r="FQ40" s="2"/>
    </row>
    <row r="41" spans="2:173">
      <c r="B41" s="2">
        <v>9.6597633136094672</v>
      </c>
      <c r="C41" s="2">
        <f t="shared" si="16"/>
        <v>4.9464148393856954E-4</v>
      </c>
      <c r="D41" s="2">
        <f t="shared" si="16"/>
        <v>4.9464148393856954E-4</v>
      </c>
      <c r="E41" s="2">
        <f t="shared" si="16"/>
        <v>4.9464148393856954E-4</v>
      </c>
      <c r="F41" s="2">
        <f t="shared" si="16"/>
        <v>4.9464148393856954E-4</v>
      </c>
      <c r="G41" s="2">
        <f t="shared" si="16"/>
        <v>4.9464148393856954E-4</v>
      </c>
      <c r="H41" s="2">
        <f t="shared" si="16"/>
        <v>4.9464148393856954E-4</v>
      </c>
      <c r="I41" s="2">
        <f t="shared" si="16"/>
        <v>4.9464148393856954E-4</v>
      </c>
      <c r="J41" s="2">
        <f t="shared" si="11"/>
        <v>4.9464148393856954E-4</v>
      </c>
      <c r="K41" s="2">
        <f t="shared" si="11"/>
        <v>4.9464148393856954E-4</v>
      </c>
      <c r="L41" s="2">
        <f t="shared" si="11"/>
        <v>4.9464148393856954E-4</v>
      </c>
      <c r="M41" s="2">
        <f t="shared" si="11"/>
        <v>4.9464148393856954E-4</v>
      </c>
      <c r="N41" s="2">
        <f>6.90628724327197*(1/14151.6638359215)</f>
        <v>4.8801945293115142E-4</v>
      </c>
      <c r="O41" s="2">
        <f>6.08820722434727*(1/14151.6638359215)</f>
        <v>4.3021140799666478E-4</v>
      </c>
      <c r="P41" s="2">
        <f>4.66568110508576*(1/14151.6638359215)</f>
        <v>3.2969134648625219E-4</v>
      </c>
      <c r="Q41" s="2">
        <f>2.92884301364908*(1/14151.6638359215)</f>
        <v>2.0696103635635616E-4</v>
      </c>
      <c r="R41" s="2">
        <f>1.16782707819862*(1/14151.6638359215)</f>
        <v>8.2522245563401326E-5</v>
      </c>
      <c r="S41" s="2">
        <f>-0.32723257310327*(1/14151.6638359215)</f>
        <v>-2.31232579361197E-5</v>
      </c>
      <c r="T41" s="2">
        <f>-1.26620181209524*(1/14151.6638359215)</f>
        <v>-8.9473706185785049E-5</v>
      </c>
      <c r="U41" s="2">
        <f>-1.35894651061562*(1/14151.6638359215)</f>
        <v>-9.6027331229150194E-5</v>
      </c>
      <c r="V41" s="2">
        <f>-0.315332540502737*(1/14151.6638359215)</f>
        <v>-2.2282365109770418E-5</v>
      </c>
      <c r="W41" s="2">
        <f>2.15477422640508*(1/14151.6638359215)</f>
        <v>1.5226296012879888E-4</v>
      </c>
      <c r="X41" s="2">
        <f>6.34150791827047*(1/14151.6638359215)</f>
        <v>4.4811041244307063E-4</v>
      </c>
      <c r="Y41" s="2">
        <f>12.0802135072529*(1/14151.6638359215)</f>
        <v>8.5362496221747517E-4</v>
      </c>
      <c r="Z41" s="2">
        <f>18.7819326070059*(1/14151.6638359215)</f>
        <v>1.3271890022805149E-3</v>
      </c>
      <c r="AA41" s="2">
        <f>26.4634310433304*(1/14151.6638359215)</f>
        <v>1.8699872573398509E-3</v>
      </c>
      <c r="AB41" s="2">
        <f>35.1500665314656*(1/14151.6638359215)</f>
        <v>2.483811581380513E-3</v>
      </c>
      <c r="AC41" s="2">
        <f>44.8671967866505*(1/14151.6638359215)</f>
        <v>3.1704538283875176E-3</v>
      </c>
      <c r="AD41" s="2">
        <f>55.6401795241265*(1/14151.6638359215)</f>
        <v>3.9317058523460494E-3</v>
      </c>
      <c r="AE41" s="2">
        <f>67.4943724591286*(1/14151.6638359215)</f>
        <v>4.7693595072408413E-3</v>
      </c>
      <c r="AF41" s="2">
        <f>80.4551333068981*(1/14151.6638359215)</f>
        <v>5.6852066470570728E-3</v>
      </c>
      <c r="AG41" s="2">
        <f>94.547819782674*(1/14151.6638359215)</f>
        <v>6.6810391257797587E-3</v>
      </c>
      <c r="AH41" s="2">
        <f>109.797789601695*(1/14151.6638359215)</f>
        <v>7.7586487973938939E-3</v>
      </c>
      <c r="AI41" s="2">
        <f>126.036074340215*(1/14151.6638359215)</f>
        <v>8.9060958344908299E-3</v>
      </c>
      <c r="AJ41" s="2">
        <f>140.762522779514*(1/14151.6638359215)</f>
        <v>9.9467118786565004E-3</v>
      </c>
      <c r="AK41" s="2">
        <f>154.086868914224*(1/14151.6638359215)</f>
        <v>1.0888251070739943E-2</v>
      </c>
      <c r="AL41" s="2">
        <f>167.147028142036*(1/14151.6638359215)</f>
        <v>1.1811122005156932E-2</v>
      </c>
      <c r="AM41" s="2">
        <f>181.080915860636*(1/14151.6638359215)</f>
        <v>1.2795733276322892E-2</v>
      </c>
      <c r="AN41" s="2">
        <f>197.026447467713*(1/14151.6638359215)</f>
        <v>1.3922493478653455E-2</v>
      </c>
      <c r="AO41" s="2">
        <f>216.121538360956*(1/14151.6638359215)</f>
        <v>1.5271811206564252E-2</v>
      </c>
      <c r="AP41" s="2">
        <f>239.504103938058*(1/14151.6638359215)</f>
        <v>1.6924095054471202E-2</v>
      </c>
      <c r="AQ41" s="2">
        <f>268.312059596699*(1/14151.6638359215)</f>
        <v>1.89597536167893E-2</v>
      </c>
      <c r="AR41" s="2">
        <f>303.683320734571*(1/14151.6638359215)</f>
        <v>2.1459195487934395E-2</v>
      </c>
      <c r="AS41" s="2">
        <f>346.755802749363*(1/14151.6638359215)</f>
        <v>2.4502829262322119E-2</v>
      </c>
      <c r="AT41" s="2">
        <f>398.722778530752*(1/14151.6638359215)</f>
        <v>2.8174975264651542E-2</v>
      </c>
      <c r="AU41" s="2">
        <f>459.576358444281*(1/14151.6638359215)</f>
        <v>3.247507598913759E-2</v>
      </c>
      <c r="AV41" s="2">
        <f>527.976798151463*(1/14151.6638359215)</f>
        <v>3.730846098896775E-2</v>
      </c>
      <c r="AW41" s="2">
        <f>602.552057106993*(1/14151.6638359215)</f>
        <v>4.2578177668234386E-2</v>
      </c>
      <c r="AX41" s="2">
        <f>681.930094765557*(1/14151.6638359215)</f>
        <v>4.8187273431029208E-2</v>
      </c>
      <c r="AY41" s="2">
        <f>764.73887058184*(1/14151.6638359215)</f>
        <v>5.4038795681443867E-2</v>
      </c>
      <c r="AZ41" s="2">
        <f>849.606344010527*(1/14151.6638359215)</f>
        <v>6.0035791823569981E-2</v>
      </c>
      <c r="BA41" s="2">
        <f>935.16047450632*(1/14151.6638359215)</f>
        <v>6.6081309261500423E-2</v>
      </c>
      <c r="BB41" s="2">
        <f>1020.02922152387*(1/14151.6638359215)</f>
        <v>7.2078395399324424E-2</v>
      </c>
      <c r="BC41" s="2">
        <f>1102.84054451788*(1/14151.6638359215)</f>
        <v>7.7930097641134899E-2</v>
      </c>
      <c r="BD41" s="2">
        <f>1182.35869667758*(1/14151.6638359215)</f>
        <v>8.3549094324610162E-2</v>
      </c>
      <c r="BE41" s="2">
        <f>1262.39930581342*(1/14151.6638359215)</f>
        <v>8.9205009421510009E-2</v>
      </c>
      <c r="BF41" s="2">
        <f>1344.64059530726*(1/14151.6638359215)</f>
        <v>9.5016431346689231E-2</v>
      </c>
      <c r="BG41" s="2">
        <f>1428.26219296627*(1/14151.6638359215)</f>
        <v>0.1009253900831702</v>
      </c>
      <c r="BH41" s="2">
        <f>1512.44372659759*(1/14151.6638359215)</f>
        <v>0.10687391561397316</v>
      </c>
      <c r="BI41" s="2">
        <f>1596.36482400839*(1/14151.6638359215)</f>
        <v>0.1128040379221205</v>
      </c>
      <c r="BJ41" s="2">
        <f>1679.20511300582*(1/14151.6638359215)</f>
        <v>0.11865778699063317</v>
      </c>
      <c r="BK41" s="2">
        <f>1760.14422139705*(1/14151.6638359215)</f>
        <v>0.12437719280253355</v>
      </c>
      <c r="BL41" s="2">
        <f>1838.36177698924*(1/14151.6638359215)</f>
        <v>0.12990428534084333</v>
      </c>
      <c r="BM41" s="2">
        <f>1913.03740758955*(1/14151.6638359215)</f>
        <v>0.13518109458858416</v>
      </c>
      <c r="BN41" s="2">
        <f>1983.35074100513*(1/14151.6638359215)</f>
        <v>0.14014965052877701</v>
      </c>
      <c r="BO41" s="2">
        <f>2049.42260996661*(1/14151.6638359215)</f>
        <v>0.14481849157302001</v>
      </c>
      <c r="BP41" s="2">
        <f>2114.09883010117*(1/14151.6638359215)</f>
        <v>0.14938871178771951</v>
      </c>
      <c r="BQ41" s="2">
        <f>2177.18023867132*(1/14151.6638359215)</f>
        <v>0.15384623772258724</v>
      </c>
      <c r="BR41" s="2">
        <f>2238.13561618354*(1/14151.6638359215)</f>
        <v>0.15815353177782729</v>
      </c>
      <c r="BS41" s="2">
        <f>2296.43374314425*(1/14151.6638359215)</f>
        <v>0.16227305635363939</v>
      </c>
      <c r="BT41" s="2">
        <f>2351.54340005991*(1/14151.6638359215)</f>
        <v>0.16616727385022617</v>
      </c>
      <c r="BU41" s="2">
        <f>2402.93336743697*(1/14151.6638359215)</f>
        <v>0.16979864666778954</v>
      </c>
      <c r="BV41" s="2">
        <f>2450.07242578189*(1/14151.6638359215)</f>
        <v>0.17312963720653213</v>
      </c>
      <c r="BW41" s="2">
        <f>2492.42935560111*(1/14151.6638359215)</f>
        <v>0.1761227078666551</v>
      </c>
      <c r="BX41" s="2">
        <f>2529.4729374011*(1/14151.6638359215)</f>
        <v>0.17874032104836179</v>
      </c>
      <c r="BY41" s="2">
        <f>2560.67140083259*(1/14151.6638359215)</f>
        <v>0.18094490022669826</v>
      </c>
      <c r="BZ41" s="2">
        <f>2585.55223219283*(1/14151.6638359215)</f>
        <v>0.18270305613322035</v>
      </c>
      <c r="CA41" s="2">
        <f>2604.44125366768*(1/14151.6638359215)</f>
        <v>0.18403781236357281</v>
      </c>
      <c r="CB41" s="2">
        <f>2617.95659111377*(1/14151.6638359215)</f>
        <v>0.18499284758789633</v>
      </c>
      <c r="CC41" s="2">
        <f>2626.71637038778*(1/14151.6638359215)</f>
        <v>0.18561184047633497</v>
      </c>
      <c r="CD41" s="2">
        <f>2631.33871734636*(1/14151.6638359215)</f>
        <v>0.18593846969903083</v>
      </c>
      <c r="CE41" s="2">
        <f>2632.44175784615*(1/14151.6638359215)</f>
        <v>0.18601641392612517</v>
      </c>
      <c r="CF41" s="2">
        <f>2630.64361774383*(1/14151.6638359215)</f>
        <v>0.18588935182776217</v>
      </c>
      <c r="CG41" s="2">
        <f>2626.56242289604*(1/14151.6638359215)</f>
        <v>0.18560096207408314</v>
      </c>
      <c r="CH41" s="2">
        <f>2620.81629915944*(1/14151.6638359215)</f>
        <v>0.18519492333523077</v>
      </c>
      <c r="CI41" s="2">
        <f>2614.02337239069*(1/14151.6638359215)</f>
        <v>0.18471491428134784</v>
      </c>
      <c r="CJ41" s="2">
        <f>2606.68713681085*(1/14151.6638359215)</f>
        <v>0.18419651335938569</v>
      </c>
      <c r="CK41" s="2">
        <f>2598.35382599847*(1/14151.6638359215)</f>
        <v>0.18360765604133469</v>
      </c>
      <c r="CL41" s="2">
        <f>2588.54533898719*(1/14151.6638359215)</f>
        <v>0.18291455824555589</v>
      </c>
      <c r="CM41" s="2">
        <f>2576.85552839462*(1/14151.6638359215)</f>
        <v>0.18208852035148879</v>
      </c>
      <c r="CN41" s="2">
        <f>2562.87824683838*(1/14151.6638359215)</f>
        <v>0.18110084273857371</v>
      </c>
      <c r="CO41" s="2">
        <f>2546.20734693606*(1/14151.6638359215)</f>
        <v>0.17992282578624869</v>
      </c>
      <c r="CP41" s="2">
        <f>2526.43668130528*(1/14151.6638359215)</f>
        <v>0.1785257698739541</v>
      </c>
      <c r="CQ41" s="2">
        <f>2503.16010256365*(1/14151.6638359215)</f>
        <v>0.1768809753811294</v>
      </c>
      <c r="CR41" s="2">
        <f>2475.97146332876*(1/14151.6638359215)</f>
        <v>0.17495974268721276</v>
      </c>
      <c r="CS41" s="2">
        <f>2444.46461621825*(1/14151.6638359215)</f>
        <v>0.17273337217164586</v>
      </c>
      <c r="CT41" s="2">
        <f>2408.2334138497*(1/14151.6638359215)</f>
        <v>0.17017316421386613</v>
      </c>
      <c r="CU41" s="2">
        <f>2367.35832334138*(1/14151.6638359215)</f>
        <v>0.1672848048674149</v>
      </c>
      <c r="CV41" s="2">
        <f>2322.39351668545*(1/14151.6638359215)</f>
        <v>0.16410745362608628</v>
      </c>
      <c r="CW41" s="2">
        <f>2273.48092978592*(1/14151.6638359215)</f>
        <v>0.16065114011647805</v>
      </c>
      <c r="CX41" s="2">
        <f>2220.76069146423*(1/14151.6638359215)</f>
        <v>0.15692576627118723</v>
      </c>
      <c r="CY41" s="2">
        <f>2164.37293054182*(1/14151.6638359215)</f>
        <v>0.15294123402281093</v>
      </c>
      <c r="CZ41" s="2">
        <f>2104.45777584015*(1/14151.6638359215)</f>
        <v>0.14870744530394764</v>
      </c>
      <c r="DA41" s="2">
        <f>2041.15535618065*(1/14151.6638359215)</f>
        <v>0.14423430204719373</v>
      </c>
      <c r="DB41" s="2">
        <f>1974.6058003848*(1/14151.6638359215)</f>
        <v>0.13953170618514918</v>
      </c>
      <c r="DC41" s="2">
        <f>1904.94923727403*(1/14151.6638359215)</f>
        <v>0.13460955965041035</v>
      </c>
      <c r="DD41" s="2">
        <f>1832.32579566978*(1/14151.6638359215)</f>
        <v>0.12947776437557432</v>
      </c>
      <c r="DE41" s="2">
        <f>1756.42022219284*(1/14151.6638359215)</f>
        <v>0.1241140435893112</v>
      </c>
      <c r="DF41" s="2">
        <f>1673.12583845127*(1/14151.6638359215)</f>
        <v>0.11822820679249994</v>
      </c>
      <c r="DG41" s="2">
        <f>1582.82920345958*(1/14151.6638359215)</f>
        <v>0.11184756943150724</v>
      </c>
      <c r="DH41" s="2">
        <f>1487.28707614561*(1/14151.6638359215)</f>
        <v>0.10509626948390297</v>
      </c>
      <c r="DI41" s="2">
        <f>1388.2562154372*(1/14151.6638359215)</f>
        <v>9.8098444927257014E-2</v>
      </c>
      <c r="DJ41" s="2">
        <f>1287.49338026219*(1/14151.6638359215)</f>
        <v>9.0978233739139228E-2</v>
      </c>
      <c r="DK41" s="2">
        <f>1186.7553295484*(1/14151.6638359215)</f>
        <v>8.3859773897118101E-2</v>
      </c>
      <c r="DL41" s="2">
        <f>1087.79882222366*(1/14151.6638359215)</f>
        <v>7.6867203378762766E-2</v>
      </c>
      <c r="DM41" s="2">
        <f>992.380617215786*(1/14151.6638359215)</f>
        <v>7.0124660161641414E-2</v>
      </c>
      <c r="DN41" s="2">
        <f>902.257473452649*(1/14151.6638359215)</f>
        <v>6.3756282223326119E-2</v>
      </c>
      <c r="DO41" s="2">
        <f>819.18614986206*(1/14151.6638359215)</f>
        <v>5.7886207541384682E-2</v>
      </c>
      <c r="DP41" s="2">
        <f>742.234963864035*(1/14151.6638359215)</f>
        <v>5.2448600565256687E-2</v>
      </c>
      <c r="DQ41" s="2">
        <f>667.135530340833*(1/14151.6638359215)</f>
        <v>4.7141844102276322E-2</v>
      </c>
      <c r="DR41" s="2">
        <f>594.208856187481*(1/14151.6638359215)</f>
        <v>4.1988621484859386E-2</v>
      </c>
      <c r="DS41" s="2">
        <f>523.911501387055*(1/14151.6638359215)</f>
        <v>3.7021194642653826E-2</v>
      </c>
      <c r="DT41" s="2">
        <f>456.700025922622*(1/14151.6638359215)</f>
        <v>3.2271825505306988E-2</v>
      </c>
      <c r="DU41" s="2">
        <f>393.030989777286*(1/14151.6638359215)</f>
        <v>2.7772776002468785E-2</v>
      </c>
      <c r="DV41" s="2">
        <f>333.360952934112*(1/14151.6638359215)</f>
        <v>2.3556308063786401E-2</v>
      </c>
      <c r="DW41" s="2">
        <f>278.146475376177*(1/14151.6638359215)</f>
        <v>1.9654683618907858E-2</v>
      </c>
      <c r="DX41" s="2">
        <f>227.84411708656*(1/14151.6638359215)</f>
        <v>1.6100164597481318E-2</v>
      </c>
      <c r="DY41" s="2">
        <f>182.910438048331*(1/14151.6638359215)</f>
        <v>1.2925012929154321E-2</v>
      </c>
      <c r="DZ41" s="2">
        <f>143.852187371187*(1/14151.6638359215)</f>
        <v>1.0165037061299013E-2</v>
      </c>
      <c r="EA41" s="2">
        <f>111.864858909378*(1/14151.6638359215)</f>
        <v>7.9047142587876356E-3</v>
      </c>
      <c r="EB41" s="2">
        <f>86.5857251245099*(1/14151.6638359215)</f>
        <v>6.1184130804978094E-3</v>
      </c>
      <c r="EC41" s="2">
        <f>67.0688746497232*(1/14151.6638359215)</f>
        <v>4.7392925261184275E-3</v>
      </c>
      <c r="ED41" s="2">
        <f>52.3683961181566*(1/14151.6638359215)</f>
        <v>3.7005115953382584E-3</v>
      </c>
      <c r="EE41" s="2">
        <f>41.5383781629472*(1/14151.6638359215)</f>
        <v>2.9352292878459534E-3</v>
      </c>
      <c r="EF41" s="2">
        <f>33.6329094172384*(1/14151.6638359215)</f>
        <v>2.3766046033306134E-3</v>
      </c>
      <c r="EG41" s="2">
        <f>27.7060785141666*(1/14151.6638359215)</f>
        <v>1.9577965414808406E-3</v>
      </c>
      <c r="EH41" s="2">
        <f>22.811974086871*(1/14151.6638359215)</f>
        <v>1.6119641019854381E-3</v>
      </c>
      <c r="EI41" s="2">
        <f>18.0046847684908*(1/14151.6638359215)</f>
        <v>1.2722662845332071E-3</v>
      </c>
      <c r="EJ41" s="2">
        <f>12.3382991921636*(1/14151.6638359215)</f>
        <v>8.7186208881283669E-4</v>
      </c>
      <c r="EK41" s="2">
        <f>5.96130581889427*(1/14151.6638359215)</f>
        <v>4.2124416520992732E-4</v>
      </c>
      <c r="EL41" s="2">
        <f>1.53081433236318*(1/14151.6638359215)</f>
        <v>1.0817203899922199E-4</v>
      </c>
      <c r="EM41" s="2">
        <f>-1.06631651615225*(1/14151.6638359215)</f>
        <v>-7.5349197699679232E-5</v>
      </c>
      <c r="EN41" s="2">
        <f>-2.15930634163935*(1/14151.6638359215)</f>
        <v>-1.5258321330092171E-4</v>
      </c>
      <c r="EO41" s="2">
        <f>-2.07737475908536*(1/14151.6638359215)</f>
        <v>-1.4679367621864444E-4</v>
      </c>
      <c r="EP41" s="2">
        <f>-1.14974138347758*(1/14151.6638359215)</f>
        <v>-8.1244254866990587E-5</v>
      </c>
      <c r="EQ41" s="2">
        <f>0.294374170197004*(1/14151.6638359215)</f>
        <v>2.0801382339918728E-5</v>
      </c>
      <c r="ER41" s="2">
        <f>1.9257522869505*(1/14151.6638359215)</f>
        <v>1.3607956698789847E-4</v>
      </c>
      <c r="ES41" s="2">
        <f>3.41517335179588*(1/14151.6638359215)</f>
        <v>2.4132663066282466E-4</v>
      </c>
      <c r="ET41" s="2">
        <f>4.43341774974585*(1/14151.6638359215)</f>
        <v>3.1327890495055444E-4</v>
      </c>
      <c r="EU41" s="2">
        <f>4.6611348470577*(1/14151.6638359215)</f>
        <v>3.2937009394091402E-4</v>
      </c>
      <c r="EV41" s="2">
        <f>4.60285041638624*(1/14151.6638359215)</f>
        <v>3.2525153718693608E-4</v>
      </c>
      <c r="EW41" s="2">
        <f>4.67747091063235*(1/14151.6638359215)</f>
        <v>3.3052445033066827E-4</v>
      </c>
      <c r="EX41" s="2">
        <f>4.85901748785667*(1/14151.6638359215)</f>
        <v>3.4335308866812624E-4</v>
      </c>
      <c r="EY41" s="2">
        <f>5.12151130611985*(1/14151.6638359215)</f>
        <v>3.6190170749532635E-4</v>
      </c>
      <c r="EZ41" s="2">
        <f>5.43897352348255*(1/14151.6638359215)</f>
        <v>3.8433456210828549E-4</v>
      </c>
      <c r="FA41" s="2">
        <f>5.78542529800542*(1/14151.6638359215)</f>
        <v>4.0881590780302029E-4</v>
      </c>
      <c r="FB41" s="2">
        <f>6.13488778774918*(1/14151.6638359215)</f>
        <v>4.3350999987555177E-4</v>
      </c>
      <c r="FC41" s="2">
        <f>6.46138215077436*(1/14151.6638359215)</f>
        <v>4.5658109362188792E-4</v>
      </c>
      <c r="FD41" s="2">
        <f>6.73892954514168*(1/14151.6638359215)</f>
        <v>4.7619344433805E-4</v>
      </c>
      <c r="FE41" s="2">
        <f>6.94155112891178*(1/14151.6638359215)</f>
        <v>4.9051130732005364E-4</v>
      </c>
      <c r="FF41" s="2">
        <f>7.05850906531629*(1/14151.6638359215)</f>
        <v>4.9877591406598503E-4</v>
      </c>
      <c r="FG41" s="2">
        <f>7.14627266329076*(1/14151.6638359215)</f>
        <v>5.0497755925711077E-4</v>
      </c>
      <c r="FH41" s="2">
        <f>7.21323303804164*(1/14151.6638359215)</f>
        <v>5.0970918484737613E-4</v>
      </c>
      <c r="FI41" s="2">
        <f>7.25939018956894*(1/14151.6638359215)</f>
        <v>5.1297079083678198E-4</v>
      </c>
      <c r="FJ41" s="2">
        <f>7.28474411787267*(1/14151.6638359215)</f>
        <v>5.1476237722532898E-4</v>
      </c>
      <c r="FK41" s="2">
        <f>7.28929482295283*(1/14151.6638359215)</f>
        <v>5.1508394401301723E-4</v>
      </c>
      <c r="FL41" s="2">
        <f>7.27304230480941*(1/14151.6638359215)</f>
        <v>5.1393549119984575E-4</v>
      </c>
      <c r="FM41" s="2">
        <f>7.23598656344241*(1/14151.6638359215)</f>
        <v>5.1131701878581487E-4</v>
      </c>
      <c r="FN41" s="2">
        <f>7.17812759885185*(1/14151.6638359215)</f>
        <v>5.0722852677092568E-4</v>
      </c>
      <c r="FO41" s="2">
        <f>7.09946541103771*(1/14151.6638359215)</f>
        <v>5.0167001515517709E-4</v>
      </c>
      <c r="FP41" s="2">
        <f t="shared" si="17"/>
        <v>4.9464148393856954E-4</v>
      </c>
      <c r="FQ41" s="2"/>
    </row>
    <row r="42" spans="2:173">
      <c r="B42" s="2">
        <v>9.6692307692307704</v>
      </c>
      <c r="C42" s="2">
        <f t="shared" si="16"/>
        <v>4.9464148393856954E-4</v>
      </c>
      <c r="D42" s="2">
        <f t="shared" si="16"/>
        <v>4.9464148393856954E-4</v>
      </c>
      <c r="E42" s="2">
        <f t="shared" si="16"/>
        <v>4.9464148393856954E-4</v>
      </c>
      <c r="F42" s="2">
        <f t="shared" si="16"/>
        <v>4.9464148393856954E-4</v>
      </c>
      <c r="G42" s="2">
        <f t="shared" si="16"/>
        <v>4.9464148393856954E-4</v>
      </c>
      <c r="H42" s="2">
        <f t="shared" si="16"/>
        <v>4.9464148393856954E-4</v>
      </c>
      <c r="I42" s="2">
        <f t="shared" si="16"/>
        <v>4.9464148393856954E-4</v>
      </c>
      <c r="J42" s="2">
        <f t="shared" si="11"/>
        <v>4.9464148393856954E-4</v>
      </c>
      <c r="K42" s="2">
        <f t="shared" si="11"/>
        <v>4.9464148393856954E-4</v>
      </c>
      <c r="L42" s="2">
        <f t="shared" si="11"/>
        <v>4.9464148393856954E-4</v>
      </c>
      <c r="M42" s="2">
        <f t="shared" si="11"/>
        <v>4.9464148393856954E-4</v>
      </c>
      <c r="N42" s="2">
        <f>6.88613537354015*(1/14151.6638359215)</f>
        <v>4.8659545996711083E-4</v>
      </c>
      <c r="O42" s="2">
        <f>5.89213648778058*(1/14151.6638359215)</f>
        <v>4.163564479834825E-4</v>
      </c>
      <c r="P42" s="2">
        <f>4.16371219577986*(1/14151.6638359215)</f>
        <v>2.9422068274481E-4</v>
      </c>
      <c r="Q42" s="2">
        <f>2.05338669253375*(1/14151.6638359215)</f>
        <v>1.4509860581351505E-4</v>
      </c>
      <c r="R42" s="2">
        <f>-0.0863158269624029*(1/14151.6638359215)</f>
        <v>-6.0993412480096806E-6</v>
      </c>
      <c r="S42" s="2">
        <f>-1.90287116771199*(1/14151.6638359215)</f>
        <v>-1.3446271687728249E-4</v>
      </c>
      <c r="T42" s="2">
        <f>-3.04375513471969*(1/14151.6638359215)</f>
        <v>-2.1508107951191259E-4</v>
      </c>
      <c r="U42" s="2">
        <f>-3.15644353298975*(1/14151.6638359215)</f>
        <v>-2.2304398758947873E-4</v>
      </c>
      <c r="V42" s="2">
        <f>-1.88841216752644*(1/14151.6638359215)</f>
        <v>-1.3344099954756128E-4</v>
      </c>
      <c r="W42" s="2">
        <f>1.112863156666*(1/14151.6638359215)</f>
        <v>7.863832617626158E-5</v>
      </c>
      <c r="X42" s="2">
        <f>6.19990663458447*(1/14151.6638359215)</f>
        <v>4.381044311444921E-4</v>
      </c>
      <c r="Y42" s="2">
        <f>13.2452098511628*(1/14151.6638359215)</f>
        <v>9.3594717940813246E-4</v>
      </c>
      <c r="Z42" s="2">
        <f>21.6142691800325*(1/14151.6638359215)</f>
        <v>1.5273305973512808E-3</v>
      </c>
      <c r="AA42" s="2">
        <f>31.2703966376958*(1/14151.6638359215)</f>
        <v>2.2096621994596439E-3</v>
      </c>
      <c r="AB42" s="2">
        <f>42.1857101832942*(1/14151.6638359215)</f>
        <v>2.9809717551524382E-3</v>
      </c>
      <c r="AC42" s="2">
        <f>54.3323277759696*(1/14151.6638359215)</f>
        <v>3.8392890338489094E-3</v>
      </c>
      <c r="AD42" s="2">
        <f>67.6823673748661*(1/14151.6638359215)</f>
        <v>4.782643804968457E-3</v>
      </c>
      <c r="AE42" s="2">
        <f>82.2079469391205*(1/14151.6638359215)</f>
        <v>5.8090658379299645E-3</v>
      </c>
      <c r="AF42" s="2">
        <f>97.8811844278768*(1/14151.6638359215)</f>
        <v>6.9165849021528272E-3</v>
      </c>
      <c r="AG42" s="2">
        <f>114.674197800277*(1/14151.6638359215)</f>
        <v>8.1032307670562947E-3</v>
      </c>
      <c r="AH42" s="2">
        <f>132.559105015462*(1/14151.6638359215)</f>
        <v>9.367033202059543E-3</v>
      </c>
      <c r="AI42" s="2">
        <f>151.312443214988*(1/14151.6638359215)</f>
        <v>1.0692201635747458E-2</v>
      </c>
      <c r="AJ42" s="2">
        <f>168.3961155176*(1/14151.6638359215)</f>
        <v>1.1899386352730921E-2</v>
      </c>
      <c r="AK42" s="2">
        <f>183.968553862974*(1/14151.6638359215)</f>
        <v>1.2999782640116303E-2</v>
      </c>
      <c r="AL42" s="2">
        <f>199.231680458624*(1/14151.6638359215)</f>
        <v>1.4078322009946955E-2</v>
      </c>
      <c r="AM42" s="2">
        <f>215.387417512068*(1/14151.6638359215)</f>
        <v>1.5219935974266508E-2</v>
      </c>
      <c r="AN42" s="2">
        <f>233.637687230821*(1/14151.6638359215)</f>
        <v>1.6509556045118383E-2</v>
      </c>
      <c r="AO42" s="2">
        <f>255.184411822399*(1/14151.6638359215)</f>
        <v>1.8032113734546069E-2</v>
      </c>
      <c r="AP42" s="2">
        <f>281.229513494324*(1/14151.6638359215)</f>
        <v>1.9872540554593487E-2</v>
      </c>
      <c r="AQ42" s="2">
        <f>312.974914454103*(1/14151.6638359215)</f>
        <v>2.2115768017303479E-2</v>
      </c>
      <c r="AR42" s="2">
        <f>351.622536909254*(1/14151.6638359215)</f>
        <v>2.4846727634719692E-2</v>
      </c>
      <c r="AS42" s="2">
        <f>398.374303067296*(1/14151.6638359215)</f>
        <v>2.8150350918885819E-2</v>
      </c>
      <c r="AT42" s="2">
        <f>454.499408892562*(1/14151.6638359215)</f>
        <v>3.211632315197422E-2</v>
      </c>
      <c r="AU42" s="2">
        <f>520.006154047018*(1/14151.6638359215)</f>
        <v>3.6745230813572193E-2</v>
      </c>
      <c r="AV42" s="2">
        <f>593.470943699336*(1/14151.6638359215)</f>
        <v>4.1936478323694688E-2</v>
      </c>
      <c r="AW42" s="2">
        <f>673.434992452132*(1/14151.6638359215)</f>
        <v>4.7586983428954559E-2</v>
      </c>
      <c r="AX42" s="2">
        <f>758.439514908014*(1/14151.6638359215)</f>
        <v>5.3593663875964127E-2</v>
      </c>
      <c r="AY42" s="2">
        <f>847.025725669588*(1/14151.6638359215)</f>
        <v>5.9853437411335537E-2</v>
      </c>
      <c r="AZ42" s="2">
        <f>937.734839339461*(1/14151.6638359215)</f>
        <v>6.6263221781681009E-2</v>
      </c>
      <c r="BA42" s="2">
        <f>1029.10807052026*(1/14151.6638359215)</f>
        <v>7.2719934733614211E-2</v>
      </c>
      <c r="BB42" s="2">
        <f>1119.68663381455*(1/14151.6638359215)</f>
        <v>7.9120494013744394E-2</v>
      </c>
      <c r="BC42" s="2">
        <f>1208.01174382496*(1/14151.6638359215)</f>
        <v>8.5361817368685325E-2</v>
      </c>
      <c r="BD42" s="2">
        <f>1292.76166262083*(1/14151.6638359215)</f>
        <v>9.1350506739665688E-2</v>
      </c>
      <c r="BE42" s="2">
        <f>1377.7318424605*(1/14151.6638359215)</f>
        <v>9.7354760432011606E-2</v>
      </c>
      <c r="BF42" s="2">
        <f>1464.67407243479*(1/14151.6638359215)</f>
        <v>0.10349836523935607</v>
      </c>
      <c r="BG42" s="2">
        <f>1552.84546181602*(1/14151.6638359215)</f>
        <v>0.10972882622284992</v>
      </c>
      <c r="BH42" s="2">
        <f>1641.50311987646*(1/14151.6638359215)</f>
        <v>0.11599364844364055</v>
      </c>
      <c r="BI42" s="2">
        <f>1729.90415588844*(1/14151.6638359215)</f>
        <v>0.1222403369628795</v>
      </c>
      <c r="BJ42" s="2">
        <f>1817.30567912426*(1/14151.6638359215)</f>
        <v>0.12841639684171627</v>
      </c>
      <c r="BK42" s="2">
        <f>1902.96479885625*(1/14151.6638359215)</f>
        <v>0.13446933314130244</v>
      </c>
      <c r="BL42" s="2">
        <f>1986.1386243567*(1/14151.6638359215)</f>
        <v>0.14034665092278675</v>
      </c>
      <c r="BM42" s="2">
        <f>2066.08426489795*(1/14151.6638359215)</f>
        <v>0.14599585524732153</v>
      </c>
      <c r="BN42" s="2">
        <f>2142.05882975227*(1/14151.6638359215)</f>
        <v>0.15136445117605407</v>
      </c>
      <c r="BO42" s="2">
        <f>2214.39627381839*(1/14151.6638359215)</f>
        <v>0.15647603698708107</v>
      </c>
      <c r="BP42" s="2">
        <f>2286.36514430134*(1/14151.6638359215)</f>
        <v>0.16156157825751952</v>
      </c>
      <c r="BQ42" s="2">
        <f>2357.52700123944*(1/14151.6638359215)</f>
        <v>0.16659009347404607</v>
      </c>
      <c r="BR42" s="2">
        <f>2427.05374311768*(1/14151.6638359215)</f>
        <v>0.17150306644205557</v>
      </c>
      <c r="BS42" s="2">
        <f>2494.11726842101*(1/14151.6638359215)</f>
        <v>0.17624198096693999</v>
      </c>
      <c r="BT42" s="2">
        <f>2557.88947563443*(1/14151.6638359215)</f>
        <v>0.18074832085409484</v>
      </c>
      <c r="BU42" s="2">
        <f>2617.54226324293*(1/14151.6638359215)</f>
        <v>0.18496356990891497</v>
      </c>
      <c r="BV42" s="2">
        <f>2672.24752973147*(1/14151.6638359215)</f>
        <v>0.188829211936793</v>
      </c>
      <c r="BW42" s="2">
        <f>2721.17717358505*(1/14151.6638359215)</f>
        <v>0.1922867307431245</v>
      </c>
      <c r="BX42" s="2">
        <f>2763.50309328864*(1/14151.6638359215)</f>
        <v>0.19527761013330286</v>
      </c>
      <c r="BY42" s="2">
        <f>2798.39678031176*(1/14151.6638359215)</f>
        <v>0.19774330515176058</v>
      </c>
      <c r="BZ42" s="2">
        <f>2825.23840051307*(1/14151.6638359215)</f>
        <v>0.19964001641571649</v>
      </c>
      <c r="CA42" s="2">
        <f>2844.58110210578*(1/14151.6638359215)</f>
        <v>0.20100683107560208</v>
      </c>
      <c r="CB42" s="2">
        <f>2857.32238550645*(1/14151.6638359215)</f>
        <v>0.20190716926540053</v>
      </c>
      <c r="CC42" s="2">
        <f>2864.35975113165*(1/14151.6638359215)</f>
        <v>0.20240445111909586</v>
      </c>
      <c r="CD42" s="2">
        <f>2866.59069939795*(1/14151.6638359215)</f>
        <v>0.202562096770672</v>
      </c>
      <c r="CE42" s="2">
        <f>2864.91273072193*(1/14151.6638359215)</f>
        <v>0.20244352635411358</v>
      </c>
      <c r="CF42" s="2">
        <f>2860.22334552015*(1/14151.6638359215)</f>
        <v>0.20211216000340385</v>
      </c>
      <c r="CG42" s="2">
        <f>2853.42004420919*(1/14151.6638359215)</f>
        <v>0.2016314178525275</v>
      </c>
      <c r="CH42" s="2">
        <f>2845.40032720562*(1/14151.6638359215)</f>
        <v>0.20106472003546846</v>
      </c>
      <c r="CI42" s="2">
        <f>2837.06169492601*(1/14151.6638359215)</f>
        <v>0.20047548668621071</v>
      </c>
      <c r="CJ42" s="2">
        <f>2829.08834419882*(1/14151.6638359215)</f>
        <v>0.19991206525254498</v>
      </c>
      <c r="CK42" s="2">
        <f>2820.58216222802*(1/14151.6638359215)</f>
        <v>0.19931099232787527</v>
      </c>
      <c r="CL42" s="2">
        <f>2810.90921153869*(1/14151.6638359215)</f>
        <v>0.1986274719445846</v>
      </c>
      <c r="CM42" s="2">
        <f>2799.59154805695*(1/14151.6638359215)</f>
        <v>0.19782773110753815</v>
      </c>
      <c r="CN42" s="2">
        <f>2786.15122770888*(1/14151.6638359215)</f>
        <v>0.19687799682159826</v>
      </c>
      <c r="CO42" s="2">
        <f>2770.11030642059*(1/14151.6638359215)</f>
        <v>0.19574449609162947</v>
      </c>
      <c r="CP42" s="2">
        <f>2750.99084011818*(1/14151.6638359215)</f>
        <v>0.19439345592249554</v>
      </c>
      <c r="CQ42" s="2">
        <f>2728.31488472775*(1/14151.6638359215)</f>
        <v>0.19279110331906021</v>
      </c>
      <c r="CR42" s="2">
        <f>2701.60449617539*(1/14151.6638359215)</f>
        <v>0.19090366528618663</v>
      </c>
      <c r="CS42" s="2">
        <f>2670.38173038722*(1/14151.6638359215)</f>
        <v>0.18869736882873997</v>
      </c>
      <c r="CT42" s="2">
        <f>2634.16864328933*(1/14151.6638359215)</f>
        <v>0.18613844095158322</v>
      </c>
      <c r="CU42" s="2">
        <f>2593.33470763759*(1/14151.6638359215)</f>
        <v>0.18325298973360771</v>
      </c>
      <c r="CV42" s="2">
        <f>2548.75940183345*(1/14151.6638359215)</f>
        <v>0.18010316181789693</v>
      </c>
      <c r="CW42" s="2">
        <f>2500.41620829192*(1/14151.6638359215)</f>
        <v>0.17668708339050954</v>
      </c>
      <c r="CX42" s="2">
        <f>2448.27513476627*(1/14151.6638359215)</f>
        <v>0.17300263510724131</v>
      </c>
      <c r="CY42" s="2">
        <f>2392.30618900976*(1/14151.6638359215)</f>
        <v>0.16904769762388741</v>
      </c>
      <c r="CZ42" s="2">
        <f>2332.47937877567*(1/14151.6638359215)</f>
        <v>0.1648201515962443</v>
      </c>
      <c r="DA42" s="2">
        <f>2268.76471181727*(1/14151.6638359215)</f>
        <v>0.16031787768010794</v>
      </c>
      <c r="DB42" s="2">
        <f>2201.13219588784*(1/14151.6638359215)</f>
        <v>0.15553875653127477</v>
      </c>
      <c r="DC42" s="2">
        <f>2129.55183874067*(1/14151.6638359215)</f>
        <v>0.15048066880554206</v>
      </c>
      <c r="DD42" s="2">
        <f>2053.99364812901*(1/14151.6638359215)</f>
        <v>0.14514149515870423</v>
      </c>
      <c r="DE42" s="2">
        <f>1973.9784129346*(1/14151.6638359215)</f>
        <v>0.13948737306238185</v>
      </c>
      <c r="DF42" s="2">
        <f>1885.39673065844*(1/14151.6638359215)</f>
        <v>0.13322791952368832</v>
      </c>
      <c r="DG42" s="2">
        <f>1788.78782707727*(1/14151.6638359215)</f>
        <v>0.12640123789096433</v>
      </c>
      <c r="DH42" s="2">
        <f>1686.06529355803*(1/14151.6638359215)</f>
        <v>0.11914254840326625</v>
      </c>
      <c r="DI42" s="2">
        <f>1579.14272146772*(1/14151.6638359215)</f>
        <v>0.11158707129965489</v>
      </c>
      <c r="DJ42" s="2">
        <f>1469.93370217331*(1/14151.6638359215)</f>
        <v>0.10387002681918876</v>
      </c>
      <c r="DK42" s="2">
        <f>1360.35182704175*(1/14151.6638359215)</f>
        <v>9.6126635200925084E-2</v>
      </c>
      <c r="DL42" s="2">
        <f>1252.31068744002*(1/14151.6638359215)</f>
        <v>8.8492116683923094E-2</v>
      </c>
      <c r="DM42" s="2">
        <f>1147.72387473506*(1/14151.6638359215)</f>
        <v>8.1101691507239282E-2</v>
      </c>
      <c r="DN42" s="2">
        <f>1048.50498029389*(1/14151.6638359215)</f>
        <v>7.4090579909935769E-2</v>
      </c>
      <c r="DO42" s="2">
        <f>956.567595483451*(1/14151.6638359215)</f>
        <v>6.7594002131069073E-2</v>
      </c>
      <c r="DP42" s="2">
        <f>870.718876425398*(1/14151.6638359215)</f>
        <v>6.1527668161197549E-2</v>
      </c>
      <c r="DQ42" s="2">
        <f>786.048466040041*(1/14151.6638359215)</f>
        <v>5.5544597098526029E-2</v>
      </c>
      <c r="DR42" s="2">
        <f>703.06149348454*(1/14151.6638359215)</f>
        <v>4.9680482919608547E-2</v>
      </c>
      <c r="DS42" s="2">
        <f>622.421193067939*(1/14151.6638359215)</f>
        <v>4.398219179627718E-2</v>
      </c>
      <c r="DT42" s="2">
        <f>544.790799099267*(1/14151.6638359215)</f>
        <v>3.8496589900362935E-2</v>
      </c>
      <c r="DU42" s="2">
        <f>470.833545887595*(1/14151.6638359215)</f>
        <v>3.3270543403699795E-2</v>
      </c>
      <c r="DV42" s="2">
        <f>401.212667741952*(1/14151.6638359215)</f>
        <v>2.835091847811877E-2</v>
      </c>
      <c r="DW42" s="2">
        <f>336.591398971382*(1/14151.6638359215)</f>
        <v>2.3784581295451929E-2</v>
      </c>
      <c r="DX42" s="2">
        <f>277.632973884926*(1/14151.6638359215)</f>
        <v>1.9618398027531132E-2</v>
      </c>
      <c r="DY42" s="2">
        <f>225.00062679162*(1/14151.6638359215)</f>
        <v>1.5899234846187882E-2</v>
      </c>
      <c r="DZ42" s="2">
        <f>179.394812702316*(1/14151.6638359215)</f>
        <v>1.2676588052279333E-2</v>
      </c>
      <c r="EA42" s="2">
        <f>141.853580654569*(1/14151.6638359215)</f>
        <v>1.0023809376710794E-2</v>
      </c>
      <c r="EB42" s="2">
        <f>111.829889599711*(1/14151.6638359215)</f>
        <v>7.902243220041065E-3</v>
      </c>
      <c r="EC42" s="2">
        <f>88.281857517047*(1/14151.6638359215)</f>
        <v>6.2382670010122125E-3</v>
      </c>
      <c r="ED42" s="2">
        <f>70.1676023858826*(1/14151.6638359215)</f>
        <v>4.9582581383663549E-3</v>
      </c>
      <c r="EE42" s="2">
        <f>56.4452421855203*(1/14151.6638359215)</f>
        <v>3.9885940508453867E-3</v>
      </c>
      <c r="EF42" s="2">
        <f>46.0728948952704*(1/14151.6638359215)</f>
        <v>3.2556521571917569E-3</v>
      </c>
      <c r="EG42" s="2">
        <f>38.008678494435*(1/14151.6638359215)</f>
        <v>2.6858098761473321E-3</v>
      </c>
      <c r="EH42" s="2">
        <f>31.2107109623191*(1/14151.6638359215)</f>
        <v>2.2054446264541858E-3</v>
      </c>
      <c r="EI42" s="2">
        <f>24.6371102782279*(1/14151.6638359215)</f>
        <v>1.7409338268544047E-3</v>
      </c>
      <c r="EJ42" s="2">
        <f>17.2459944214648*(1/14151.6638359215)</f>
        <v>1.2186548960899488E-3</v>
      </c>
      <c r="EK42" s="2">
        <f>9.22206737694618*(1/14151.6638359215)</f>
        <v>6.5165958461630433E-4</v>
      </c>
      <c r="EL42" s="2">
        <f>3.54309586614321*(1/14151.6638359215)</f>
        <v>2.5036602813795553E-4</v>
      </c>
      <c r="EM42" s="2">
        <f>0.0620836146470118*(1/14151.6638359215)</f>
        <v>4.3870187538954615E-6</v>
      </c>
      <c r="EN42" s="2">
        <f>-1.61077936096556*(1/14151.6638359215)</f>
        <v>-1.1382261334366077E-4</v>
      </c>
      <c r="EO42" s="2">
        <f>-1.86530304411758*(1/14151.6638359215)</f>
        <v>-1.3180803796249298E-4</v>
      </c>
      <c r="EP42" s="2">
        <f>-1.09129741823221*(1/14151.6638359215)</f>
        <v>-7.7114424910387156E-5</v>
      </c>
      <c r="EQ42" s="2">
        <f>0.321427533267744*(1/14151.6638359215)</f>
        <v>2.2713056004895831E-5</v>
      </c>
      <c r="ER42" s="2">
        <f>1.98306182695856*(1/14151.6638359215)</f>
        <v>1.4012923497553042E-4</v>
      </c>
      <c r="ES42" s="2">
        <f>3.50379547941734*(1/14151.6638359215)</f>
        <v>2.4758894219374926E-4</v>
      </c>
      <c r="ET42" s="2">
        <f>4.49381850722097*(1/14151.6638359215)</f>
        <v>3.1754700785176975E-4</v>
      </c>
      <c r="EU42" s="2">
        <f>4.57519071647361*(1/14151.6638359215)</f>
        <v>3.2329701789978198E-4</v>
      </c>
      <c r="EV42" s="2">
        <f>4.35825101487323*(1/14151.6638359215)</f>
        <v>3.0796739276766732E-4</v>
      </c>
      <c r="EW42" s="2">
        <f>4.34212118209346*(1/14151.6638359215)</f>
        <v>3.0682760927882923E-4</v>
      </c>
      <c r="EX42" s="2">
        <f>4.4892534355568*(1/14151.6638359215)</f>
        <v>3.1722442587716243E-4</v>
      </c>
      <c r="EY42" s="2">
        <f>4.76209999268583*(1/14151.6638359215)</f>
        <v>3.3650460100656716E-4</v>
      </c>
      <c r="EZ42" s="2">
        <f>5.12311307090309*(1/14151.6638359215)</f>
        <v>3.6201489311094091E-4</v>
      </c>
      <c r="FA42" s="2">
        <f>5.53474488763118*(1/14151.6638359215)</f>
        <v>3.9110206063418544E-4</v>
      </c>
      <c r="FB42" s="2">
        <f>5.95944766029271*(1/14151.6638359215)</f>
        <v>4.2111286202020323E-4</v>
      </c>
      <c r="FC42" s="2">
        <f>6.35967360631011*(1/14151.6638359215)</f>
        <v>4.4939405571288384E-4</v>
      </c>
      <c r="FD42" s="2">
        <f>6.697874943106*(1/14151.6638359215)</f>
        <v>4.7329240015613056E-4</v>
      </c>
      <c r="FE42" s="2">
        <f>6.93650388810296*(1/14151.6638359215)</f>
        <v>4.9015465379384363E-4</v>
      </c>
      <c r="FF42" s="2">
        <f>7.06004081339483*(1/14151.6638359215)</f>
        <v>4.9888415208635491E-4</v>
      </c>
      <c r="FG42" s="2">
        <f>7.15010203348711*(1/14151.6638359215)</f>
        <v>5.0524815430803545E-4</v>
      </c>
      <c r="FH42" s="2">
        <f>7.21881540881676*(1/14151.6638359215)</f>
        <v>5.1010365229939053E-4</v>
      </c>
      <c r="FI42" s="2">
        <f>7.26618093938379*(1/14151.6638359215)</f>
        <v>5.1345064606042102E-4</v>
      </c>
      <c r="FJ42" s="2">
        <f>7.29219862518822*(1/14151.6638359215)</f>
        <v>5.1528913559112832E-4</v>
      </c>
      <c r="FK42" s="2">
        <f>7.29686846623005*(1/14151.6638359215)</f>
        <v>5.1561912089151223E-4</v>
      </c>
      <c r="FL42" s="2">
        <f>7.28019046250926*(1/14151.6638359215)</f>
        <v>5.1444060196157164E-4</v>
      </c>
      <c r="FM42" s="2">
        <f>7.24216461402585*(1/14151.6638359215)</f>
        <v>5.1175357880130635E-4</v>
      </c>
      <c r="FN42" s="2">
        <f>7.18279092077984*(1/14151.6638359215)</f>
        <v>5.0755805141071777E-4</v>
      </c>
      <c r="FO42" s="2">
        <f>7.10206938277123*(1/14151.6638359215)</f>
        <v>5.0185401978980601E-4</v>
      </c>
      <c r="FP42" s="2">
        <f t="shared" si="17"/>
        <v>4.9464148393856954E-4</v>
      </c>
      <c r="FQ42" s="2"/>
    </row>
    <row r="43" spans="2:173">
      <c r="B43" s="2">
        <v>9.6786982248520719</v>
      </c>
      <c r="C43" s="2">
        <f t="shared" si="16"/>
        <v>4.9464148393856954E-4</v>
      </c>
      <c r="D43" s="2">
        <f t="shared" si="16"/>
        <v>4.9464148393856954E-4</v>
      </c>
      <c r="E43" s="2">
        <f t="shared" si="16"/>
        <v>4.9464148393856954E-4</v>
      </c>
      <c r="F43" s="2">
        <f>7*(1/14151.6638359215)</f>
        <v>4.9464148393856954E-4</v>
      </c>
      <c r="G43" s="2">
        <f t="shared" si="16"/>
        <v>4.9464148393856954E-4</v>
      </c>
      <c r="H43" s="2">
        <f t="shared" si="16"/>
        <v>4.9464148393856954E-4</v>
      </c>
      <c r="I43" s="2">
        <f t="shared" si="16"/>
        <v>4.9464148393856954E-4</v>
      </c>
      <c r="J43" s="2">
        <f t="shared" si="11"/>
        <v>4.9464148393856954E-4</v>
      </c>
      <c r="K43" s="2">
        <f t="shared" si="11"/>
        <v>4.9464148393856954E-4</v>
      </c>
      <c r="L43" s="2">
        <f t="shared" si="11"/>
        <v>4.9464148393856954E-4</v>
      </c>
      <c r="M43" s="2">
        <f t="shared" si="11"/>
        <v>4.9464148393856954E-4</v>
      </c>
      <c r="N43" s="2">
        <f>6.86442342954372*(1/14151.6638359215)</f>
        <v>4.8506122736745582E-4</v>
      </c>
      <c r="O43" s="2">
        <f>5.68088676711795*(1/14151.6638359215)</f>
        <v>4.0142889436774366E-4</v>
      </c>
      <c r="P43" s="2">
        <f>3.62288293319319*(1/14151.6638359215)</f>
        <v>2.5600402717291387E-4</v>
      </c>
      <c r="Q43" s="2">
        <f>1.11015617008895*(1/14151.6638359215)</f>
        <v>7.8447042196622461E-5</v>
      </c>
      <c r="R43" s="2">
        <f>-1.43754927987572*(1/14151.6638359215)</f>
        <v>-1.0158164414750687E-4</v>
      </c>
      <c r="S43" s="2">
        <f>-3.60048917438029*(1/14151.6638359215)</f>
        <v>-2.5442161544574597E-4</v>
      </c>
      <c r="T43" s="2">
        <f>-4.95891927110573*(1/14151.6638359215)</f>
        <v>-3.5041245528447254E-4</v>
      </c>
      <c r="U43" s="2">
        <f>-5.09309532773253*(1/14151.6638359215)</f>
        <v>-3.5989374725003053E-4</v>
      </c>
      <c r="V43" s="2">
        <f>-3.58327310194119*(1/14151.6638359215)</f>
        <v>-2.5320507492876447E-4</v>
      </c>
      <c r="W43" s="2">
        <f>-0.00970835141217097*(1/14151.6638359215)</f>
        <v>-6.8602190701619372E-7</v>
      </c>
      <c r="X43" s="2">
        <f>6.0473431661754*(1/14151.6638359215)</f>
        <v>4.2732382822896682E-4</v>
      </c>
      <c r="Y43" s="2">
        <f>14.494831075572*(1/14151.6638359215)</f>
        <v>1.0242492503799751E-3</v>
      </c>
      <c r="Z43" s="2">
        <f>24.6429605747031*(1/14151.6638359215)</f>
        <v>1.7413472267586866E-3</v>
      </c>
      <c r="AA43" s="2">
        <f>36.4018276854862*(1/14151.6638359215)</f>
        <v>2.5722648663464281E-3</v>
      </c>
      <c r="AB43" s="2">
        <f>49.6906902761834*(1/14151.6638359215)</f>
        <v>3.5112966823061726E-3</v>
      </c>
      <c r="AC43" s="2">
        <f>64.4288062150567*(1/14151.6638359215)</f>
        <v>4.5527371878008828E-3</v>
      </c>
      <c r="AD43" s="2">
        <f>80.5354333703713*(1/14151.6638359215)</f>
        <v>5.6908808959937503E-3</v>
      </c>
      <c r="AE43" s="2">
        <f>97.9298296103832*(1/14151.6638359215)</f>
        <v>6.9200223200473164E-3</v>
      </c>
      <c r="AF43" s="2">
        <f>116.531252803357*(1/14151.6638359215)</f>
        <v>8.2344559731247283E-3</v>
      </c>
      <c r="AG43" s="2">
        <f>136.258960817556*(1/14151.6638359215)</f>
        <v>9.6284763683890419E-3</v>
      </c>
      <c r="AH43" s="2">
        <f>157.032211521241*(1/14151.6638359215)</f>
        <v>1.1096378019003142E-2</v>
      </c>
      <c r="AI43" s="2">
        <f>178.576615984296*(1/14151.6638359215)</f>
        <v>1.2618771761028609E-2</v>
      </c>
      <c r="AJ43" s="2">
        <f>198.357481535344*(1/14151.6638359215)</f>
        <v>1.401654843099428E-2</v>
      </c>
      <c r="AK43" s="2">
        <f>216.579422347942*(1/14151.6638359215)</f>
        <v>1.5304166694392033E-2</v>
      </c>
      <c r="AL43" s="2">
        <f>234.4888511026*(1/14151.6638359215)</f>
        <v>1.6569701896634335E-2</v>
      </c>
      <c r="AM43" s="2">
        <f>253.332180479824*(1/14151.6638359215)</f>
        <v>1.790122938313338E-2</v>
      </c>
      <c r="AN43" s="2">
        <f>274.355823160123*(1/14151.6638359215)</f>
        <v>1.9386824499301573E-2</v>
      </c>
      <c r="AO43" s="2">
        <f>298.806191824005*(1/14151.6638359215)</f>
        <v>2.1114562590551243E-2</v>
      </c>
      <c r="AP43" s="2">
        <f>327.929699151984*(1/14151.6638359215)</f>
        <v>2.3172519002295146E-2</v>
      </c>
      <c r="AQ43" s="2">
        <f>362.972757824557*(1/14151.6638359215)</f>
        <v>2.5648769079944844E-2</v>
      </c>
      <c r="AR43" s="2">
        <f>405.181780522238*(1/14151.6638359215)</f>
        <v>2.8631388168913086E-2</v>
      </c>
      <c r="AS43" s="2">
        <f>455.803179925533*(1/14151.6638359215)</f>
        <v>3.2208451614612069E-2</v>
      </c>
      <c r="AT43" s="2">
        <f>516.169024649634*(1/14151.6638359215)</f>
        <v>3.6474087473688438E-2</v>
      </c>
      <c r="AU43" s="2">
        <f>586.317950982097*(1/14151.6638359215)</f>
        <v>4.1431025904800856E-2</v>
      </c>
      <c r="AV43" s="2">
        <f>664.758338545184*(1/14151.6638359215)</f>
        <v>4.6973864434075398E-2</v>
      </c>
      <c r="AW43" s="2">
        <f>749.960128052124*(1/14151.6638359215)</f>
        <v>5.299448437635175E-2</v>
      </c>
      <c r="AX43" s="2">
        <f>840.393260216139*(1/14151.6638359215)</f>
        <v>5.9384767046469056E-2</v>
      </c>
      <c r="AY43" s="2">
        <f>934.527675750446*(1/14151.6638359215)</f>
        <v>6.6036593759266141E-2</v>
      </c>
      <c r="AZ43" s="2">
        <f>1030.83331536826*(1/14151.6638359215)</f>
        <v>7.2841845829581656E-2</v>
      </c>
      <c r="BA43" s="2">
        <f>1127.78011978283*(1/14151.6638359215)</f>
        <v>7.9692404572256681E-2</v>
      </c>
      <c r="BB43" s="2">
        <f>1223.83802970733*(1/14151.6638359215)</f>
        <v>8.6480151302126981E-2</v>
      </c>
      <c r="BC43" s="2">
        <f>1317.476985855*(1/14151.6638359215)</f>
        <v>9.3096967334033012E-2</v>
      </c>
      <c r="BD43" s="2">
        <f>1407.30416585363*(1/14151.6638359215)</f>
        <v>9.9444431564395752E-2</v>
      </c>
      <c r="BE43" s="2">
        <f>1497.08415416797*(1/14151.6638359215)</f>
        <v>0.10578856108550898</v>
      </c>
      <c r="BF43" s="2">
        <f>1588.62740644321*(1/14151.6638359215)</f>
        <v>0.11225728824979292</v>
      </c>
      <c r="BG43" s="2">
        <f>1681.26176562672*(1/14151.6638359215)</f>
        <v>0.11880311637696862</v>
      </c>
      <c r="BH43" s="2">
        <f>1774.31507466585*(1/14151.6638359215)</f>
        <v>0.12537854878675569</v>
      </c>
      <c r="BI43" s="2">
        <f>1867.11517650798*(1/14151.6638359215)</f>
        <v>0.13193608879887592</v>
      </c>
      <c r="BJ43" s="2">
        <f>1958.98991410047*(1/14151.6638359215)</f>
        <v>0.13842823973304963</v>
      </c>
      <c r="BK43" s="2">
        <f>2049.2671303907*(1/14151.6638359215)</f>
        <v>0.14480750490899857</v>
      </c>
      <c r="BL43" s="2">
        <f>2137.27466832603*(1/14151.6638359215)</f>
        <v>0.15102638764644311</v>
      </c>
      <c r="BM43" s="2">
        <f>2222.34037085385*(1/14151.6638359215)</f>
        <v>0.1570373912651056</v>
      </c>
      <c r="BN43" s="2">
        <f>2303.79208092149*(1/14151.6638359215)</f>
        <v>0.16279301908470442</v>
      </c>
      <c r="BO43" s="2">
        <f>2382.15605206838*(1/14151.6638359215)</f>
        <v>0.16833045779547828</v>
      </c>
      <c r="BP43" s="2">
        <f>2461.07977856964*(1/14151.6638359215)</f>
        <v>0.17390745053755613</v>
      </c>
      <c r="BQ43" s="2">
        <f>2539.90898274266*(1/14151.6638359215)</f>
        <v>0.17947776404181887</v>
      </c>
      <c r="BR43" s="2">
        <f>2617.54803392909*(1/14151.6638359215)</f>
        <v>0.18496397768331002</v>
      </c>
      <c r="BS43" s="2">
        <f>2692.90130147054*(1/14151.6638359215)</f>
        <v>0.19028867083707046</v>
      </c>
      <c r="BT43" s="2">
        <f>2764.87315470864*(1/14151.6638359215)</f>
        <v>0.19537442287814227</v>
      </c>
      <c r="BU43" s="2">
        <f>2832.36796298507*(1/14151.6638359215)</f>
        <v>0.20014381318157121</v>
      </c>
      <c r="BV43" s="2">
        <f>2894.29009564142*(1/14151.6638359215)</f>
        <v>0.20451942112239663</v>
      </c>
      <c r="BW43" s="2">
        <f>2949.54392201934*(1/14151.6638359215)</f>
        <v>0.20842382607566209</v>
      </c>
      <c r="BX43" s="2">
        <f>2997.03381146047*(1/14151.6638359215)</f>
        <v>0.21177960741641058</v>
      </c>
      <c r="BY43" s="2">
        <f>3035.66399026949*(1/14151.6638359215)</f>
        <v>0.21450933441225428</v>
      </c>
      <c r="BZ43" s="2">
        <f>3064.71659833561*(1/14151.6638359215)</f>
        <v>0.21656228086455587</v>
      </c>
      <c r="CA43" s="2">
        <f>3084.96308923717*(1/14151.6638359215)</f>
        <v>0.21799296005085536</v>
      </c>
      <c r="CB43" s="2">
        <f>3097.53306111797*(1/14151.6638359215)</f>
        <v>0.21888119284288179</v>
      </c>
      <c r="CC43" s="2">
        <f>3103.55611212182*(1/14151.6638359215)</f>
        <v>0.21930680011236495</v>
      </c>
      <c r="CD43" s="2">
        <f>3104.16184039251*(1/14151.6638359215)</f>
        <v>0.21934960273103318</v>
      </c>
      <c r="CE43" s="2">
        <f>3100.47984407384*(1/14151.6638359215)</f>
        <v>0.21908942157061556</v>
      </c>
      <c r="CF43" s="2">
        <f>3093.63972130961*(1/14151.6638359215)</f>
        <v>0.2186060775028412</v>
      </c>
      <c r="CG43" s="2">
        <f>3084.77107024362*(1/14151.6638359215)</f>
        <v>0.21797939139943909</v>
      </c>
      <c r="CH43" s="2">
        <f>3075.00348901967*(1/14151.6638359215)</f>
        <v>0.21728918413213832</v>
      </c>
      <c r="CI43" s="2">
        <f>3065.46657578156*(1/14151.6638359215)</f>
        <v>0.21661527657266805</v>
      </c>
      <c r="CJ43" s="2">
        <f>3056.9885512394*(1/14151.6638359215)</f>
        <v>0.21601619333832495</v>
      </c>
      <c r="CK43" s="2">
        <f>3048.2710084735*(1/14151.6638359215)</f>
        <v>0.21540018501117886</v>
      </c>
      <c r="CL43" s="2">
        <f>3038.558387015*(1/14151.6638359215)</f>
        <v>0.2147138613695837</v>
      </c>
      <c r="CM43" s="2">
        <f>3027.32764377747*(1/14151.6638359215)</f>
        <v>0.21392026258376298</v>
      </c>
      <c r="CN43" s="2">
        <f>3014.0557356745*(1/14151.6638359215)</f>
        <v>0.21298242882394164</v>
      </c>
      <c r="CO43" s="2">
        <f>2998.21961961964*(1/14151.6638359215)</f>
        <v>0.21186340026034176</v>
      </c>
      <c r="CP43" s="2">
        <f>2979.29625252646*(1/14151.6638359215)</f>
        <v>0.21052621706318678</v>
      </c>
      <c r="CQ43" s="2">
        <f>2956.76259130855*(1/14151.6638359215)</f>
        <v>0.20893391940270162</v>
      </c>
      <c r="CR43" s="2">
        <f>2930.09559287947*(1/14151.6638359215)</f>
        <v>0.20704954744910911</v>
      </c>
      <c r="CS43" s="2">
        <f>2898.77221415279*(1/14151.6638359215)</f>
        <v>0.20483614137263273</v>
      </c>
      <c r="CT43" s="2">
        <f>2862.26941204208*(1/14151.6638359215)</f>
        <v>0.20225674134349592</v>
      </c>
      <c r="CU43" s="2">
        <f>2821.2030705865*(1/14151.6638359215)</f>
        <v>0.19935486761813648</v>
      </c>
      <c r="CV43" s="2">
        <f>2776.71068209064*(1/14151.6638359215)</f>
        <v>0.19621089889391313</v>
      </c>
      <c r="CW43" s="2">
        <f>2728.61422149216*(1/14151.6638359215)</f>
        <v>0.19281225537353811</v>
      </c>
      <c r="CX43" s="2">
        <f>2676.73082330016*(1/14151.6638359215)</f>
        <v>0.18914601522018573</v>
      </c>
      <c r="CY43" s="2">
        <f>2620.87762202373*(1/14151.6638359215)</f>
        <v>0.1851992565970296</v>
      </c>
      <c r="CZ43" s="2">
        <f>2560.87175217196*(1/14151.6638359215)</f>
        <v>0.18095905766724329</v>
      </c>
      <c r="DA43" s="2">
        <f>2496.53034825393*(1/14151.6638359215)</f>
        <v>0.17641249659399966</v>
      </c>
      <c r="DB43" s="2">
        <f>2427.67054477877*(1/14151.6638359215)</f>
        <v>0.17154665154047519</v>
      </c>
      <c r="DC43" s="2">
        <f>2354.10947625555*(1/14151.6638359215)</f>
        <v>0.166348600669842</v>
      </c>
      <c r="DD43" s="2">
        <f>2275.66427719337*(1/14151.6638359215)</f>
        <v>0.16080542214527438</v>
      </c>
      <c r="DE43" s="2">
        <f>2191.71161562049*(1/14151.6638359215)</f>
        <v>0.15487306941655987</v>
      </c>
      <c r="DF43" s="2">
        <f>2098.16896744504*(1/14151.6638359215)</f>
        <v>0.14826305880155297</v>
      </c>
      <c r="DG43" s="2">
        <f>1995.70909051685*(1/14151.6638359215)</f>
        <v>0.14102292943470682</v>
      </c>
      <c r="DH43" s="2">
        <f>1886.37304768961*(1/14151.6638359215)</f>
        <v>0.13329690908155867</v>
      </c>
      <c r="DI43" s="2">
        <f>1772.2019018171*(1/14151.6638359215)</f>
        <v>0.1252292255076522</v>
      </c>
      <c r="DJ43" s="2">
        <f>1655.23671575303*(1/14151.6638359215)</f>
        <v>0.11696410647852615</v>
      </c>
      <c r="DK43" s="2">
        <f>1537.51855235115*(1/14151.6638359215)</f>
        <v>0.10864577975972201</v>
      </c>
      <c r="DL43" s="2">
        <f>1421.08847446517*(1/14151.6638359215)</f>
        <v>0.10041847311677853</v>
      </c>
      <c r="DM43" s="2">
        <f>1307.98754494882*(1/14151.6638359215)</f>
        <v>9.2426414315235822E-2</v>
      </c>
      <c r="DN43" s="2">
        <f>1200.25682665586*(1/14151.6638359215)</f>
        <v>8.481383112063616E-2</v>
      </c>
      <c r="DO43" s="2">
        <f>1099.93738244001*(1/14151.6638359215)</f>
        <v>7.7724951298518918E-2</v>
      </c>
      <c r="DP43" s="2">
        <f>1005.59534765271*(1/14151.6638359215)</f>
        <v>7.1058453572094032E-2</v>
      </c>
      <c r="DQ43" s="2">
        <f>911.756429507558*(1/14151.6638359215)</f>
        <v>6.4427507611735754E-2</v>
      </c>
      <c r="DR43" s="2">
        <f>819.100523369823*(1/14151.6638359215)</f>
        <v>5.7880156910644034E-2</v>
      </c>
      <c r="DS43" s="2">
        <f>728.485648016664*(1/14151.6638359215)</f>
        <v>5.147703170898759E-2</v>
      </c>
      <c r="DT43" s="2">
        <f>640.769822225224*(1/14151.6638359215)</f>
        <v>4.5278762246934029E-2</v>
      </c>
      <c r="DU43" s="2">
        <f>556.811064772698*(1/14151.6638359215)</f>
        <v>3.9345978764654621E-2</v>
      </c>
      <c r="DV43" s="2">
        <f>477.467394436228*(1/14151.6638359215)</f>
        <v>3.3739311502316877E-2</v>
      </c>
      <c r="DW43" s="2">
        <f>403.596829992973*(1/14151.6638359215)</f>
        <v>2.8519390700089537E-2</v>
      </c>
      <c r="DX43" s="2">
        <f>336.057390220094*(1/14151.6638359215)</f>
        <v>2.3746846598141462E-2</v>
      </c>
      <c r="DY43" s="2">
        <f>275.70709389474*(1/14151.6638359215)</f>
        <v>1.9482309436640675E-2</v>
      </c>
      <c r="DZ43" s="2">
        <f>223.426441605425*(1/14151.6638359215)</f>
        <v>1.5787998089545941E-2</v>
      </c>
      <c r="EA43" s="2">
        <f>180.055832267608*(1/14151.6638359215)</f>
        <v>1.2723297723520542E-2</v>
      </c>
      <c r="EB43" s="2">
        <f>144.873096366176*(1/14151.6638359215)</f>
        <v>1.0237177624191525E-2</v>
      </c>
      <c r="EC43" s="2">
        <f>116.76932898807*(1/14151.6638359215)</f>
        <v>8.2512791670242818E-3</v>
      </c>
      <c r="ED43" s="2">
        <f>94.6356252202332*(1/14151.6638359215)</f>
        <v>6.6872437274843521E-3</v>
      </c>
      <c r="EE43" s="2">
        <f>77.3630801496028*(1/14151.6638359215)</f>
        <v>5.46671268103686E-3</v>
      </c>
      <c r="EF43" s="2">
        <f>63.8427888631271*(1/14151.6638359215)</f>
        <v>4.5113274031477095E-3</v>
      </c>
      <c r="EG43" s="2">
        <f>52.9658464477437*(1/14151.6638359215)</f>
        <v>3.7427292692820508E-3</v>
      </c>
      <c r="EH43" s="2">
        <f>43.6233479903942*(1/14151.6638359215)</f>
        <v>3.0825596549053148E-3</v>
      </c>
      <c r="EI43" s="2">
        <f>34.7063885780199*(1/14151.6638359215)</f>
        <v>2.4524599354829118E-3</v>
      </c>
      <c r="EJ43" s="2">
        <f>25.1060632975603*(1/14151.6638359215)</f>
        <v>1.7740714864801263E-3</v>
      </c>
      <c r="EK43" s="2">
        <f>15.0485545550421*(1/14151.6638359215)</f>
        <v>1.063377050890935E-3</v>
      </c>
      <c r="EL43" s="2">
        <f>7.77465155365666*(1/14151.6638359215)</f>
        <v>5.4938074022943366E-4</v>
      </c>
      <c r="EM43" s="2">
        <f>3.09658998546193*(1/14151.6638359215)</f>
        <v>2.1881455222260037E-4</v>
      </c>
      <c r="EN43" s="2">
        <f>0.561437695038098*(1/14151.6638359215)</f>
        <v>3.9672910658956415E-5</v>
      </c>
      <c r="EO43" s="2">
        <f>-0.283737473034622*(1/14151.6638359215)</f>
        <v>-2.0049760672975042E-5</v>
      </c>
      <c r="EP43" s="2">
        <f>0.108132325823968*(1/14151.6638359215)</f>
        <v>7.6409620153280636E-6</v>
      </c>
      <c r="EQ43" s="2">
        <f>1.28411493619434*(1/14151.6638359215)</f>
        <v>9.0739502512407133E-5</v>
      </c>
      <c r="ER43" s="2">
        <f>2.79127820265618*(1/14151.6638359215)</f>
        <v>1.9724028460674803E-4</v>
      </c>
      <c r="ES43" s="2">
        <f>4.17668996978987*(1/14151.6638359215)</f>
        <v>2.951377320868858E-4</v>
      </c>
      <c r="ET43" s="2">
        <f>4.9874180821756*(1/14151.6638359215)</f>
        <v>3.5242626874134187E-4</v>
      </c>
      <c r="EU43" s="2">
        <f>4.78460217288165*(1/14151.6638359215)</f>
        <v>3.3809467412141195E-4</v>
      </c>
      <c r="EV43" s="2">
        <f>4.29707491423313*(1/14151.6638359215)</f>
        <v>3.0364450173878246E-4</v>
      </c>
      <c r="EW43" s="2">
        <f>4.10951294847243*(1/14151.6638359215)</f>
        <v>2.9039079758530988E-4</v>
      </c>
      <c r="EX43" s="2">
        <f>4.16799010857033*(1/14151.6638359215)</f>
        <v>2.9452297319207253E-4</v>
      </c>
      <c r="EY43" s="2">
        <f>4.41858022749777*(1/14151.6638359215)</f>
        <v>3.1223044009015994E-4</v>
      </c>
      <c r="EZ43" s="2">
        <f>4.80735713822564*(1/14151.6638359215)</f>
        <v>3.3970260981065796E-4</v>
      </c>
      <c r="FA43" s="2">
        <f>5.28039467372488*(1/14151.6638359215)</f>
        <v>3.731288938846562E-4</v>
      </c>
      <c r="FB43" s="2">
        <f>5.7837666669665*(1/14151.6638359215)</f>
        <v>4.0869870384324913E-4</v>
      </c>
      <c r="FC43" s="2">
        <f>6.26354695092122*(1/14151.6638359215)</f>
        <v>4.4260145121751072E-4</v>
      </c>
      <c r="FD43" s="2">
        <f>6.66580935856005*(1/14151.6638359215)</f>
        <v>4.7102654753853538E-4</v>
      </c>
      <c r="FE43" s="2">
        <f>6.93662772285391*(1/14151.6638359215)</f>
        <v>4.9016340433741116E-4</v>
      </c>
      <c r="FF43" s="2">
        <f>7.05371273697169*(1/14151.6638359215)</f>
        <v>4.9843699078458079E-4</v>
      </c>
      <c r="FG43" s="2">
        <f>7.13428184242924*(1/14151.6638359215)</f>
        <v>5.0413025105359879E-4</v>
      </c>
      <c r="FH43" s="2">
        <f>7.1957530858524*(1/14151.6638359215)</f>
        <v>5.0847399777736741E-4</v>
      </c>
      <c r="FI43" s="2">
        <f>7.23812646724118*(1/14151.6638359215)</f>
        <v>5.1146823095588761E-4</v>
      </c>
      <c r="FJ43" s="2">
        <f>7.26140198659558*(1/14151.6638359215)</f>
        <v>5.1311295058915918E-4</v>
      </c>
      <c r="FK43" s="2">
        <f>7.2655796439156*(1/14151.6638359215)</f>
        <v>5.1340815667718232E-4</v>
      </c>
      <c r="FL43" s="2">
        <f>7.25065943920125*(1/14151.6638359215)</f>
        <v>5.123538492199576E-4</v>
      </c>
      <c r="FM43" s="2">
        <f>7.2166413724525*(1/14151.6638359215)</f>
        <v>5.0995002821748283E-4</v>
      </c>
      <c r="FN43" s="2">
        <f>7.16352544366938*(1/14151.6638359215)</f>
        <v>5.0619669366976029E-4</v>
      </c>
      <c r="FO43" s="2">
        <f>7.09131165285188*(1/14151.6638359215)</f>
        <v>5.0109384557678923E-4</v>
      </c>
      <c r="FP43" s="2">
        <f t="shared" si="17"/>
        <v>4.9464148393856954E-4</v>
      </c>
      <c r="FQ43" s="2"/>
    </row>
    <row r="44" spans="2:173">
      <c r="B44" s="2">
        <v>9.6881656804733733</v>
      </c>
      <c r="C44" s="2">
        <f t="shared" si="16"/>
        <v>4.9464148393856954E-4</v>
      </c>
      <c r="D44" s="2">
        <f t="shared" si="16"/>
        <v>4.9464148393856954E-4</v>
      </c>
      <c r="E44" s="2">
        <f t="shared" si="16"/>
        <v>4.9464148393856954E-4</v>
      </c>
      <c r="F44" s="2">
        <f>7*(1/14151.6638359215)</f>
        <v>4.9464148393856954E-4</v>
      </c>
      <c r="G44" s="2">
        <f t="shared" si="16"/>
        <v>4.9464148393856954E-4</v>
      </c>
      <c r="H44" s="2">
        <f t="shared" si="16"/>
        <v>4.9464148393856954E-4</v>
      </c>
      <c r="I44" s="2">
        <f t="shared" si="16"/>
        <v>4.9464148393856954E-4</v>
      </c>
      <c r="J44" s="2">
        <f t="shared" si="11"/>
        <v>4.9464148393856954E-4</v>
      </c>
      <c r="K44" s="2">
        <f t="shared" si="11"/>
        <v>4.9464148393856954E-4</v>
      </c>
      <c r="L44" s="2">
        <f t="shared" si="11"/>
        <v>4.9464148393856954E-4</v>
      </c>
      <c r="M44" s="2">
        <f t="shared" si="11"/>
        <v>4.9464148393856954E-4</v>
      </c>
      <c r="N44" s="2">
        <f>6.84117129811808*(1/14151.6638359215)</f>
        <v>4.8341816039701099E-4</v>
      </c>
      <c r="O44" s="2">
        <f>5.45465155440346*(1/14151.6638359215)</f>
        <v>3.8544241989113608E-4</v>
      </c>
      <c r="P44" s="2">
        <f>3.04368868441629*(1/14151.6638359215)</f>
        <v>2.1507638392952944E-4</v>
      </c>
      <c r="Q44" s="2">
        <f>0.100015388767387*(1/14151.6638359215)</f>
        <v>7.067394330941892E-6</v>
      </c>
      <c r="R44" s="2">
        <f>-2.88463563193296*(1/14151.6638359215)</f>
        <v>-2.0383720708591323E-4</v>
      </c>
      <c r="S44" s="2">
        <f>-5.41853167707275*(1/14151.6638359215)</f>
        <v>-3.8289007850220153E-4</v>
      </c>
      <c r="T44" s="2">
        <f>-7.00994004604173*(1/14151.6638359215)</f>
        <v>-4.9534387809921224E-4</v>
      </c>
      <c r="U44" s="2">
        <f>-7.16712803822909*(1/14151.6638359215)</f>
        <v>-5.0645126405819512E-4</v>
      </c>
      <c r="V44" s="2">
        <f>-5.398362953024*(1/14151.6638359215)</f>
        <v>-3.8146489456039855E-4</v>
      </c>
      <c r="W44" s="2">
        <f>-1.21191208981565*(1/14151.6638359215)</f>
        <v>-8.5637427787072293E-5</v>
      </c>
      <c r="X44" s="2">
        <f>5.8839572520084*(1/14151.6638359215)</f>
        <v>4.1577847808064896E-4</v>
      </c>
      <c r="Y44" s="2">
        <f>15.8258116986055*(1/14151.6638359215)</f>
        <v>1.1183004261615141E-3</v>
      </c>
      <c r="Z44" s="2">
        <f>27.8564991471695*(1/14151.6638359215)</f>
        <v>1.9684257250699171E-3</v>
      </c>
      <c r="AA44" s="2">
        <f>41.8348541428142*(1/14151.6638359215)</f>
        <v>2.95617919050789E-3</v>
      </c>
      <c r="AB44" s="2">
        <f>57.6294182569746*(1/14151.6638359215)</f>
        <v>4.0722715664494868E-3</v>
      </c>
      <c r="AC44" s="2">
        <f>75.1087330610854*(1/14151.6638359215)</f>
        <v>5.3074135968687406E-3</v>
      </c>
      <c r="AD44" s="2">
        <f>94.1413401265853*(1/14151.6638359215)</f>
        <v>6.6523160257399658E-3</v>
      </c>
      <c r="AE44" s="2">
        <f>114.595781024902*(1/14151.6638359215)</f>
        <v>8.0976895970366995E-3</v>
      </c>
      <c r="AF44" s="2">
        <f>136.340597327474*(1/14151.6638359215)</f>
        <v>9.6342450547332436E-3</v>
      </c>
      <c r="AG44" s="2">
        <f>159.244330605736*(1/14151.6638359215)</f>
        <v>1.1252693142803631E-2</v>
      </c>
      <c r="AH44" s="2">
        <f>183.175522431123*(1/14151.6638359215)</f>
        <v>1.2943744605221916E-2</v>
      </c>
      <c r="AI44" s="2">
        <f>207.814746476894*(1/14151.6638359215)</f>
        <v>1.4684827797378352E-2</v>
      </c>
      <c r="AJ44" s="2">
        <f>230.679969747058*(1/14151.6638359215)</f>
        <v>1.6300554650084158E-2</v>
      </c>
      <c r="AK44" s="2">
        <f>252.017508366453*(1/14151.6638359215)</f>
        <v>1.7808330616697596E-2</v>
      </c>
      <c r="AL44" s="2">
        <f>273.093543610668*(1/14151.6638359215)</f>
        <v>1.9297627952231899E-2</v>
      </c>
      <c r="AM44" s="2">
        <f>295.174256755297*(1/14151.6638359215)</f>
        <v>2.0857918911700635E-2</v>
      </c>
      <c r="AN44" s="2">
        <f>319.52582907593*(1/14151.6638359215)</f>
        <v>2.2578675750117107E-2</v>
      </c>
      <c r="AO44" s="2">
        <f>347.414441848159*(1/14151.6638359215)</f>
        <v>2.4549370722494749E-2</v>
      </c>
      <c r="AP44" s="2">
        <f>380.106276347581*(1/14151.6638359215)</f>
        <v>2.6859476083847353E-2</v>
      </c>
      <c r="AQ44" s="2">
        <f>418.867513849778*(1/14151.6638359215)</f>
        <v>2.9598464089187645E-2</v>
      </c>
      <c r="AR44" s="2">
        <f>464.964335630345*(1/14151.6638359215)</f>
        <v>3.2855806993529281E-2</v>
      </c>
      <c r="AS44" s="2">
        <f>519.662922964875*(1/14151.6638359215)</f>
        <v>3.6720977051885755E-2</v>
      </c>
      <c r="AT44" s="2">
        <f>584.341552310235*(1/14151.6638359215)</f>
        <v>4.1291367508814555E-2</v>
      </c>
      <c r="AU44" s="2">
        <f>659.086865164725*(1/14151.6638359215)</f>
        <v>4.6573100718499932E-2</v>
      </c>
      <c r="AV44" s="2">
        <f>742.35939025383*(1/14151.6638359215)</f>
        <v>5.2457392915840881E-2</v>
      </c>
      <c r="AW44" s="2">
        <f>832.577536992723*(1/14151.6638359215)</f>
        <v>5.8832484055999973E-2</v>
      </c>
      <c r="AX44" s="2">
        <f>928.159714796563*(1/14151.6638359215)</f>
        <v>6.5586614094138768E-2</v>
      </c>
      <c r="AY44" s="2">
        <f>1027.52433308051*(1/14151.6638359215)</f>
        <v>7.2608022985418921E-2</v>
      </c>
      <c r="AZ44" s="2">
        <f>1129.08980125972*(1/14151.6638359215)</f>
        <v>7.9784950685001785E-2</v>
      </c>
      <c r="BA44" s="2">
        <f>1231.27452874937*(1/14151.6638359215)</f>
        <v>8.700563714805018E-2</v>
      </c>
      <c r="BB44" s="2">
        <f>1332.49692496458*(1/14151.6638359215)</f>
        <v>9.4158322329722946E-2</v>
      </c>
      <c r="BC44" s="2">
        <f>1431.17539932054*(1/14151.6638359215)</f>
        <v>0.10113124618518382</v>
      </c>
      <c r="BD44" s="2">
        <f>1525.86530670844*(1/14151.6638359215)</f>
        <v>0.10782232565723475</v>
      </c>
      <c r="BE44" s="2">
        <f>1620.29467157526*(1/14151.6638359215)</f>
        <v>0.11449499439510626</v>
      </c>
      <c r="BF44" s="2">
        <f>1716.31459300074*(1/14151.6638359215)</f>
        <v>0.121280056741044</v>
      </c>
      <c r="BG44" s="2">
        <f>1813.31110191255*(1/14151.6638359215)</f>
        <v>0.12813412775604377</v>
      </c>
      <c r="BH44" s="2">
        <f>1910.67022923831*(1/14151.6638359215)</f>
        <v>0.13501382250109778</v>
      </c>
      <c r="BI44" s="2">
        <f>2007.77800590567*(1/14151.6638359215)</f>
        <v>0.14187575603720037</v>
      </c>
      <c r="BJ44" s="2">
        <f>2104.0204628423*(1/14151.6638359215)</f>
        <v>0.14867654342534731</v>
      </c>
      <c r="BK44" s="2">
        <f>2198.78363097583*(1/14151.6638359215)</f>
        <v>0.15537279972653151</v>
      </c>
      <c r="BL44" s="2">
        <f>2291.45354123392*(1/14151.6638359215)</f>
        <v>0.16192114000174807</v>
      </c>
      <c r="BM44" s="2">
        <f>2381.41622454424*(1/14151.6638359215)</f>
        <v>0.16827817931199265</v>
      </c>
      <c r="BN44" s="2">
        <f>2468.05771183439*(1/14151.6638359215)</f>
        <v>0.17440053271825615</v>
      </c>
      <c r="BO44" s="2">
        <f>2552.06345322195*(1/14151.6638359215)</f>
        <v>0.1803366362295851</v>
      </c>
      <c r="BP44" s="2">
        <f>2637.39577325835*(1/14151.6638359215)</f>
        <v>0.18636647985968877</v>
      </c>
      <c r="BQ44" s="2">
        <f>2723.22168343139*(1/14151.6638359215)</f>
        <v>0.19243120208374173</v>
      </c>
      <c r="BR44" s="2">
        <f>2808.22392087214*(1/14151.6638359215)</f>
        <v>0.19843772106456906</v>
      </c>
      <c r="BS44" s="2">
        <f>2891.08522271164*(1/14151.6638359215)</f>
        <v>0.20429295496499364</v>
      </c>
      <c r="BT44" s="2">
        <f>2970.48832608096*(1/14151.6638359215)</f>
        <v>0.20990382194784052</v>
      </c>
      <c r="BU44" s="2">
        <f>3045.11596811117*(1/14151.6638359215)</f>
        <v>0.2151772401759347</v>
      </c>
      <c r="BV44" s="2">
        <f>3113.65088593333*(1/14151.6638359215)</f>
        <v>0.22002012781210056</v>
      </c>
      <c r="BW44" s="2">
        <f>3174.77581667851*(1/14151.6638359215)</f>
        <v>0.22433940301916319</v>
      </c>
      <c r="BX44" s="2">
        <f>3227.17349747777*(1/14151.6638359215)</f>
        <v>0.22804198395994682</v>
      </c>
      <c r="BY44" s="2">
        <f>3269.5269296735*(1/14151.6638359215)</f>
        <v>0.23103480746725932</v>
      </c>
      <c r="BZ44" s="2">
        <f>3301.08578201922*(1/14151.6638359215)</f>
        <v>0.23326485283235718</v>
      </c>
      <c r="CA44" s="2">
        <f>3322.82124397967*(1/14151.6638359215)</f>
        <v>0.23480074728352965</v>
      </c>
      <c r="CB44" s="2">
        <f>3336.02760978475*(1/14151.6638359215)</f>
        <v>0.23573394962342401</v>
      </c>
      <c r="CC44" s="2">
        <f>3341.99917366435*(1/14151.6638359215)</f>
        <v>0.23615591865468677</v>
      </c>
      <c r="CD44" s="2">
        <f>3342.03022984837*(1/14151.6638359215)</f>
        <v>0.23615811317996518</v>
      </c>
      <c r="CE44" s="2">
        <f>3337.41507256673*(1/14151.6638359215)</f>
        <v>0.23583199200190802</v>
      </c>
      <c r="CF44" s="2">
        <f>3329.44799604931*(1/14151.6638359215)</f>
        <v>0.23526901392316105</v>
      </c>
      <c r="CG44" s="2">
        <f>3319.42329452602*(1/14151.6638359215)</f>
        <v>0.23456063774637229</v>
      </c>
      <c r="CH44" s="2">
        <f>3308.63526222675*(1/14151.6638359215)</f>
        <v>0.23379832227418826</v>
      </c>
      <c r="CI44" s="2">
        <f>3298.37819338142*(1/14151.6638359215)</f>
        <v>0.23307352630925765</v>
      </c>
      <c r="CJ44" s="2">
        <f>3289.5733081675*(1/14151.6638359215)</f>
        <v>0.23245134609666879</v>
      </c>
      <c r="CK44" s="2">
        <f>3280.59118240047*(1/14151.6638359215)</f>
        <v>0.23181664152262216</v>
      </c>
      <c r="CL44" s="2">
        <f>3270.60178022462*(1/14151.6638359215)</f>
        <v>0.23111075970606193</v>
      </c>
      <c r="CM44" s="2">
        <f>3259.07199826995*(1/14151.6638359215)</f>
        <v>0.2302960299266982</v>
      </c>
      <c r="CN44" s="2">
        <f>3245.46873316649*(1/14151.6638359215)</f>
        <v>0.22933478146424316</v>
      </c>
      <c r="CO44" s="2">
        <f>3229.25888154427*(1/14151.6638359215)</f>
        <v>0.22818934359840901</v>
      </c>
      <c r="CP44" s="2">
        <f>3209.9093400333*(1/14151.6638359215)</f>
        <v>0.22682204560890656</v>
      </c>
      <c r="CQ44" s="2">
        <f>3186.88700526363*(1/14151.6638359215)</f>
        <v>0.2251952167754494</v>
      </c>
      <c r="CR44" s="2">
        <f>3159.65877386525*(1/14151.6638359215)</f>
        <v>0.22327118637774693</v>
      </c>
      <c r="CS44" s="2">
        <f>3127.69154246821*(1/14151.6638359215)</f>
        <v>0.22101228369551271</v>
      </c>
      <c r="CT44" s="2">
        <f>3090.45220770252*(1/14151.6638359215)</f>
        <v>0.21838083800845753</v>
      </c>
      <c r="CU44" s="2">
        <f>3048.74078264751*(1/14151.6638359215)</f>
        <v>0.21543338069611434</v>
      </c>
      <c r="CV44" s="2">
        <f>3003.8591782705*(1/14151.6638359215)</f>
        <v>0.21226190878317316</v>
      </c>
      <c r="CW44" s="2">
        <f>2955.50459643559*(1/14151.6638359215)</f>
        <v>0.20884502562402335</v>
      </c>
      <c r="CX44" s="2">
        <f>2903.36846022096*(1/14151.6638359215)</f>
        <v>0.20516092622630505</v>
      </c>
      <c r="CY44" s="2">
        <f>2847.14219270478*(1/14151.6638359215)</f>
        <v>0.20118780559765786</v>
      </c>
      <c r="CZ44" s="2">
        <f>2786.51721696523*(1/14151.6638359215)</f>
        <v>0.19690385874572205</v>
      </c>
      <c r="DA44" s="2">
        <f>2721.18495608047*(1/14151.6638359215)</f>
        <v>0.19228728067813641</v>
      </c>
      <c r="DB44" s="2">
        <f>2650.8368331287*(1/14151.6638359215)</f>
        <v>0.18731626640254265</v>
      </c>
      <c r="DC44" s="2">
        <f>2575.16427118809*(1/14151.6638359215)</f>
        <v>0.18196901092658024</v>
      </c>
      <c r="DD44" s="2">
        <f>2493.85869333681*(1/14151.6638359215)</f>
        <v>0.17622370925788883</v>
      </c>
      <c r="DE44" s="2">
        <f>2406.18211363981*(1/14151.6638359215)</f>
        <v>0.1700282130453199</v>
      </c>
      <c r="DF44" s="2">
        <f>2308.10933376634*(1/14151.6638359215)</f>
        <v>0.16309808942094936</v>
      </c>
      <c r="DG44" s="2">
        <f>2200.41852658612*(1/14151.6638359215)</f>
        <v>0.15548832646806846</v>
      </c>
      <c r="DH44" s="2">
        <f>2085.23941100106*(1/14151.6638359215)</f>
        <v>0.14734941666067902</v>
      </c>
      <c r="DI44" s="2">
        <f>1964.7017059131*(1/14151.6638359215)</f>
        <v>0.13883185247278498</v>
      </c>
      <c r="DJ44" s="2">
        <f>1840.93513022416*(1/14151.6638359215)</f>
        <v>0.1300861263783889</v>
      </c>
      <c r="DK44" s="2">
        <f>1716.06940283615*(1/14151.6638359215)</f>
        <v>0.12126273085149258</v>
      </c>
      <c r="DL44" s="2">
        <f>1592.23424265101*(1/14151.6638359215)</f>
        <v>0.1125121583661</v>
      </c>
      <c r="DM44" s="2">
        <f>1471.55936857062*(1/14151.6638359215)</f>
        <v>0.10398490139621085</v>
      </c>
      <c r="DN44" s="2">
        <f>1356.17449949696*(1/14151.6638359215)</f>
        <v>9.5831452415831866E-2</v>
      </c>
      <c r="DO44" s="2">
        <f>1248.20935433192*(1/14151.6638359215)</f>
        <v>8.8202303898963524E-2</v>
      </c>
      <c r="DP44" s="2">
        <f>1146.02080006777*(1/14151.6638359215)</f>
        <v>8.098134702428407E-2</v>
      </c>
      <c r="DQ44" s="2">
        <f>1043.68128789751*(1/14151.6638359215)</f>
        <v>7.3749723000648817E-2</v>
      </c>
      <c r="DR44" s="2">
        <f>942.028632835656*(1/14151.6638359215)</f>
        <v>6.6566634408350117E-2</v>
      </c>
      <c r="DS44" s="2">
        <f>842.095140850445*(1/14151.6638359215)</f>
        <v>5.9505027155388975E-2</v>
      </c>
      <c r="DT44" s="2">
        <f>744.913117910091*(1/14151.6638359215)</f>
        <v>5.2637847149764869E-2</v>
      </c>
      <c r="DU44" s="2">
        <f>651.514869982861*(1/14151.6638359215)</f>
        <v>4.6038040299480935E-2</v>
      </c>
      <c r="DV44" s="2">
        <f>562.932703036968*(1/14151.6638359215)</f>
        <v>3.9778552512536564E-2</v>
      </c>
      <c r="DW44" s="2">
        <f>480.198923040645*(1/14151.6638359215)</f>
        <v>3.3932329696932516E-2</v>
      </c>
      <c r="DX44" s="2">
        <f>404.345835962122*(1/14151.6638359215)</f>
        <v>2.857231776066935E-2</v>
      </c>
      <c r="DY44" s="2">
        <f>336.405747769619*(1/14151.6638359215)</f>
        <v>2.3771462611746924E-2</v>
      </c>
      <c r="DZ44" s="2">
        <f>277.416932425868*(1/14151.6638359215)</f>
        <v>1.9603131874973891E-2</v>
      </c>
      <c r="EA44" s="2">
        <f>227.977830387394*(1/14151.6638359215)</f>
        <v>1.6109613189702297E-2</v>
      </c>
      <c r="EB44" s="2">
        <f>187.207697935107*(1/14151.6638359215)</f>
        <v>1.3228670501620687E-2</v>
      </c>
      <c r="EC44" s="2">
        <f>153.968621299217*(1/14151.6638359215)</f>
        <v>1.0879895331345764E-2</v>
      </c>
      <c r="ED44" s="2">
        <f>127.122686709934*(1/14151.6638359215)</f>
        <v>8.9828791994942328E-3</v>
      </c>
      <c r="EE44" s="2">
        <f>105.531980397464*(1/14151.6638359215)</f>
        <v>7.4572136266825174E-3</v>
      </c>
      <c r="EF44" s="2">
        <f>88.058588592025*(1/14151.6638359215)</f>
        <v>6.2224901335278917E-3</v>
      </c>
      <c r="EG44" s="2">
        <f>73.5645975238224*(1/14151.6638359215)</f>
        <v>5.1983002406467329E-3</v>
      </c>
      <c r="EH44" s="2">
        <f>60.9120934230658*(1/14151.6638359215)</f>
        <v>4.304235468655721E-3</v>
      </c>
      <c r="EI44" s="2">
        <f>48.963162519965*(1/14151.6638359215)</f>
        <v>3.4598873381715485E-3</v>
      </c>
      <c r="EJ44" s="2">
        <f>36.5798910447273*(1/14151.6638359215)</f>
        <v>2.5848473698107288E-3</v>
      </c>
      <c r="EK44" s="2">
        <f>24.0357985881438*(1/14151.6638359215)</f>
        <v>1.6984432973268604E-3</v>
      </c>
      <c r="EL44" s="2">
        <f>14.7564701428797*(1/14151.6638359215)</f>
        <v>1.0427374698813157E-3</v>
      </c>
      <c r="EM44" s="2">
        <f>8.50540868312365*(1/14151.6638359215)</f>
        <v>6.0101828178918241E-4</v>
      </c>
      <c r="EN44" s="2">
        <f>4.76458803649984*(1/14151.6638359215)</f>
        <v>3.3668041381860521E-4</v>
      </c>
      <c r="EO44" s="2">
        <f>3.01598203063244*(1/14151.6638359215)</f>
        <v>2.1311854673772721E-4</v>
      </c>
      <c r="EP44" s="2">
        <f>2.74156449314558*(1/14151.6638359215)</f>
        <v>1.9372736131468884E-4</v>
      </c>
      <c r="EQ44" s="2">
        <f>3.42330925166361*(1/14151.6638359215)</f>
        <v>2.4190153831764603E-4</v>
      </c>
      <c r="ER44" s="2">
        <f>4.54319013381034*(1/14151.6638359215)</f>
        <v>3.2103575851471643E-4</v>
      </c>
      <c r="ES44" s="2">
        <f>5.58318096721*(1/14151.6638359215)</f>
        <v>3.9452470267404747E-4</v>
      </c>
      <c r="ET44" s="2">
        <f>6.02525557948676*(1/14151.6638359215)</f>
        <v>4.2576305156378244E-4</v>
      </c>
      <c r="EU44" s="2">
        <f>5.36787437310304*(1/14151.6638359215)</f>
        <v>3.7931047792964378E-4</v>
      </c>
      <c r="EV44" s="2">
        <f>4.47217985898857*(1/14151.6638359215)</f>
        <v>3.1601795455575555E-4</v>
      </c>
      <c r="EW44" s="2">
        <f>4.01351035755159*(1/14151.6638359215)</f>
        <v>2.8360695986601962E-4</v>
      </c>
      <c r="EX44" s="2">
        <f>3.91575185483784*(1/14151.6638359215)</f>
        <v>2.7669904403031362E-4</v>
      </c>
      <c r="EY44" s="2">
        <f>4.10279033689329*(1/14151.6638359215)</f>
        <v>2.8991575721853149E-4</v>
      </c>
      <c r="EZ44" s="2">
        <f>4.49851178976387*(1/14151.6638359215)</f>
        <v>3.1787864960056443E-4</v>
      </c>
      <c r="FA44" s="2">
        <f>5.02680219949557*(1/14151.6638359215)</f>
        <v>3.5520927134630772E-4</v>
      </c>
      <c r="FB44" s="2">
        <f>5.61154755213444*(1/14151.6638359215)</f>
        <v>3.9652917262566101E-4</v>
      </c>
      <c r="FC44" s="2">
        <f>6.17663383372621*(1/14151.6638359215)</f>
        <v>4.3645990360850116E-4</v>
      </c>
      <c r="FD44" s="2">
        <f>6.64594703031695*(1/14151.6638359215)</f>
        <v>4.6962301446472939E-4</v>
      </c>
      <c r="FE44" s="2">
        <f>6.94337312795262*(1/14151.6638359215)</f>
        <v>4.9064005536423878E-4</v>
      </c>
      <c r="FF44" s="2">
        <f>7.03745191529916*(1/14151.6638359215)</f>
        <v>4.9728795121855782E-4</v>
      </c>
      <c r="FG44" s="2">
        <f>7.09362978824793*(1/14151.6638359215)</f>
        <v>5.0125765213854246E-4</v>
      </c>
      <c r="FH44" s="2">
        <f>7.13649142464586*(1/14151.6638359215)</f>
        <v>5.0428638691452923E-4</v>
      </c>
      <c r="FI44" s="2">
        <f>7.16603682449298*(1/14151.6638359215)</f>
        <v>5.063741555465203E-4</v>
      </c>
      <c r="FJ44" s="2">
        <f>7.18226598778929*(1/14151.6638359215)</f>
        <v>5.0752095803451578E-4</v>
      </c>
      <c r="FK44" s="2">
        <f>7.18517891453478*(1/14151.6638359215)</f>
        <v>5.077267943785148E-4</v>
      </c>
      <c r="FL44" s="2">
        <f>7.17477560472946*(1/14151.6638359215)</f>
        <v>5.0699166457851823E-4</v>
      </c>
      <c r="FM44" s="2">
        <f>7.15105605837331*(1/14151.6638359215)</f>
        <v>5.0531556863452455E-4</v>
      </c>
      <c r="FN44" s="2">
        <f>7.11402027546636*(1/14151.6638359215)</f>
        <v>5.0269850654653594E-4</v>
      </c>
      <c r="FO44" s="2">
        <f>7.06366825600859*(1/14151.6638359215)</f>
        <v>4.9914047831455097E-4</v>
      </c>
      <c r="FP44" s="2">
        <f t="shared" si="17"/>
        <v>4.9464148393856954E-4</v>
      </c>
      <c r="FQ44" s="2"/>
    </row>
    <row r="45" spans="2:173">
      <c r="B45" s="2">
        <v>9.6976331360946748</v>
      </c>
      <c r="C45" s="2">
        <f>7*(1/14151.6638359215)</f>
        <v>4.9464148393856954E-4</v>
      </c>
      <c r="D45" s="2">
        <f>7*(1/14151.6638359215)</f>
        <v>4.9464148393856954E-4</v>
      </c>
      <c r="E45" s="2">
        <f>7*(1/14151.6638359215)</f>
        <v>4.9464148393856954E-4</v>
      </c>
      <c r="F45" s="2">
        <f>7*(1/14151.6638359215)</f>
        <v>4.9464148393856954E-4</v>
      </c>
      <c r="G45" s="2">
        <f>7*(1/14151.6638359215)</f>
        <v>4.9464148393856954E-4</v>
      </c>
      <c r="H45" s="2">
        <f>7*(1/14151.6638359215)</f>
        <v>4.9464148393856954E-4</v>
      </c>
      <c r="I45" s="2">
        <f>7*(1/14151.6638359215)</f>
        <v>4.9464148393856954E-4</v>
      </c>
      <c r="J45" s="2">
        <f t="shared" si="11"/>
        <v>4.9464148393856954E-4</v>
      </c>
      <c r="K45" s="2">
        <f t="shared" si="11"/>
        <v>4.9464148393856954E-4</v>
      </c>
      <c r="L45" s="2">
        <f>7*(1/14151.6638359215)</f>
        <v>4.9464148393856954E-4</v>
      </c>
      <c r="M45" s="2">
        <f>7*(1/14151.6638359215)</f>
        <v>4.9464148393856954E-4</v>
      </c>
      <c r="N45" s="2">
        <f>6.81639886609863*(1/14151.6638359215)</f>
        <v>4.8166766432060126E-4</v>
      </c>
      <c r="O45" s="2">
        <f>5.21362434168109*(1/14151.6638359215)</f>
        <v>3.6841069729534029E-4</v>
      </c>
      <c r="P45" s="2">
        <f>2.42662481653955*(1/14151.6638359215)</f>
        <v>1.7147275717361175E-4</v>
      </c>
      <c r="Q45" s="2">
        <f>-0.976171708978481*(1/14151.6638359215)</f>
        <v>-6.8979288958280756E-5</v>
      </c>
      <c r="R45" s="2">
        <f>-4.4263372345261*(1/14151.6638359215)</f>
        <v>-3.1277857401407634E-4</v>
      </c>
      <c r="S45" s="2">
        <f>-7.35544375975442*(1/14151.6638359215)</f>
        <v>-5.19758230907374E-4</v>
      </c>
      <c r="T45" s="2">
        <f>-9.19506328431659*(1/14151.6638359215)</f>
        <v>-6.4975139255191638E-4</v>
      </c>
      <c r="U45" s="2">
        <f>-9.37676780786507*(1/14151.6638359215)</f>
        <v>-6.62591191861398E-4</v>
      </c>
      <c r="V45" s="2">
        <f>-7.33212933005237*(1/14151.6638359215)</f>
        <v>-5.1811076174951634E-4</v>
      </c>
      <c r="W45" s="2">
        <f>-2.49271985053096*(1/14151.6638359215)</f>
        <v>-1.7614323512996619E-4</v>
      </c>
      <c r="X45" s="2">
        <f>5.70988863104856*(1/14151.6638359215)</f>
        <v>4.0347825508368961E-4</v>
      </c>
      <c r="Y45" s="2">
        <f>17.2348862383882*(1/14151.6638359215)</f>
        <v>1.2178699577812529E-3</v>
      </c>
      <c r="Z45" s="2">
        <f>31.2433772535844*(1/14151.6638359215)</f>
        <v>2.2077529268522194E-3</v>
      </c>
      <c r="AA45" s="2">
        <f>47.5466059657939*(1/14151.6638359215)</f>
        <v>3.3597891044518198E-3</v>
      </c>
      <c r="AB45" s="2">
        <f>65.9663055725114*(1/14151.6638359215)</f>
        <v>4.6613816111903102E-3</v>
      </c>
      <c r="AC45" s="2">
        <f>86.324209271232*(1/14151.6638359215)</f>
        <v>6.0999335676779742E-3</v>
      </c>
      <c r="AD45" s="2">
        <f>108.442050259455*(1/14151.6638359215)</f>
        <v>7.6628480945253943E-3</v>
      </c>
      <c r="AE45" s="2">
        <f>132.141561734666*(1/14151.6638359215)</f>
        <v>9.3375283123421846E-3</v>
      </c>
      <c r="AF45" s="2">
        <f>157.244476894366*(1/14151.6638359215)</f>
        <v>1.1111377341739044E-2</v>
      </c>
      <c r="AG45" s="2">
        <f>183.572528936048*(1/14151.6638359215)</f>
        <v>1.2971798303326112E-2</v>
      </c>
      <c r="AH45" s="2">
        <f>210.947451057207*(1/14151.6638359215)</f>
        <v>1.4906194317713662E-2</v>
      </c>
      <c r="AI45" s="2">
        <f>239.012988521545*(1/14151.6638359215)</f>
        <v>1.6889391331841329E-2</v>
      </c>
      <c r="AJ45" s="2">
        <f>265.396929067068*(1/14151.6638359215)</f>
        <v>1.8753761546639117E-2</v>
      </c>
      <c r="AK45" s="2">
        <f>290.380845915837*(1/14151.6638359215)</f>
        <v>2.0519201790163821E-2</v>
      </c>
      <c r="AL45" s="2">
        <f>315.220761519546*(1/14151.6638359215)</f>
        <v>2.2274466463753452E-2</v>
      </c>
      <c r="AM45" s="2">
        <f>341.172698329889*(1/14151.6638359215)</f>
        <v>2.4108309968746033E-2</v>
      </c>
      <c r="AN45" s="2">
        <f>369.492678798561*(1/14151.6638359215)</f>
        <v>2.6109486706479633E-2</v>
      </c>
      <c r="AO45" s="2">
        <f>401.436725377254*(1/14151.6638359215)</f>
        <v>2.8366751078292132E-2</v>
      </c>
      <c r="AP45" s="2">
        <f>438.260860517671*(1/14151.6638359215)</f>
        <v>3.0968857485522177E-2</v>
      </c>
      <c r="AQ45" s="2">
        <f>481.221106671491*(1/14151.6638359215)</f>
        <v>3.400456032950671E-2</v>
      </c>
      <c r="AR45" s="2">
        <f>531.573486290416*(1/14151.6638359215)</f>
        <v>3.7562614011584318E-2</v>
      </c>
      <c r="AS45" s="2">
        <f>590.574021826138*(1/14151.6638359215)</f>
        <v>4.1731772933092867E-2</v>
      </c>
      <c r="AT45" s="2">
        <f>659.626918382644*(1/14151.6638359215)</f>
        <v>4.6611262536373821E-2</v>
      </c>
      <c r="AU45" s="2">
        <f>738.888012510124*(1/14151.6638359215)</f>
        <v>5.2212094710346865E-2</v>
      </c>
      <c r="AV45" s="2">
        <f>826.794506390117*(1/14151.6638359215)</f>
        <v>5.8423837364723515E-2</v>
      </c>
      <c r="AW45" s="2">
        <f>921.7372923597*(1/14151.6638359215)</f>
        <v>6.5132786013474442E-2</v>
      </c>
      <c r="AX45" s="2">
        <f>1022.10726275594*(1/14151.6638359215)</f>
        <v>7.2225236170569654E-2</v>
      </c>
      <c r="AY45" s="2">
        <f>1126.29530991589*(1/14151.6638359215)</f>
        <v>7.958748334997813E-2</v>
      </c>
      <c r="AZ45" s="2">
        <f>1232.69232617662*(1/14151.6638359215)</f>
        <v>8.7105823065670079E-2</v>
      </c>
      <c r="BA45" s="2">
        <f>1339.68920387521*(1/14151.6638359215)</f>
        <v>9.4666550831616389E-2</v>
      </c>
      <c r="BB45" s="2">
        <f>1445.67683534868*(1/14151.6638359215)</f>
        <v>0.10215596216178374</v>
      </c>
      <c r="BC45" s="2">
        <f>1549.04611293413*(1/14151.6638359215)</f>
        <v>0.10946035257014443</v>
      </c>
      <c r="BD45" s="2">
        <f>1648.32418551773*(1/14151.6638359215)</f>
        <v>0.11647564587661771</v>
      </c>
      <c r="BE45" s="2">
        <f>1747.20182532183*(1/14151.6638359215)</f>
        <v>0.12346264337390962</v>
      </c>
      <c r="BF45" s="2">
        <f>1847.54962777567*(1/14151.6638359215)</f>
        <v>0.13055352707615844</v>
      </c>
      <c r="BG45" s="2">
        <f>1948.79346818772*(1/14151.6638359215)</f>
        <v>0.13770772757059505</v>
      </c>
      <c r="BH45" s="2">
        <f>2050.35922186641*(1/14151.6638359215)</f>
        <v>0.14488467544444739</v>
      </c>
      <c r="BI45" s="2">
        <f>2151.67276412024*(1/14151.6638359215)</f>
        <v>0.15204380128494846</v>
      </c>
      <c r="BJ45" s="2">
        <f>2252.15997025766*(1/14151.6638359215)</f>
        <v>0.15914453567932765</v>
      </c>
      <c r="BK45" s="2">
        <f>2351.24671558714*(1/14151.6638359215)</f>
        <v>0.16614630921481582</v>
      </c>
      <c r="BL45" s="2">
        <f>2448.35887541714*(1/14151.6638359215)</f>
        <v>0.17300855247864308</v>
      </c>
      <c r="BM45" s="2">
        <f>2542.92232505616*(1/14151.6638359215)</f>
        <v>0.17969069605804236</v>
      </c>
      <c r="BN45" s="2">
        <f>2634.36293981261*(1/14151.6638359215)</f>
        <v>0.18615217054024027</v>
      </c>
      <c r="BO45" s="2">
        <f>2723.47998578448*(1/14151.6638359215)</f>
        <v>0.19244945452077564</v>
      </c>
      <c r="BP45" s="2">
        <f>2814.46616871982*(1/14151.6638359215)</f>
        <v>0.19887881745578173</v>
      </c>
      <c r="BQ45" s="2">
        <f>2906.3606035561*(1/14151.6638359215)</f>
        <v>0.20537236025765515</v>
      </c>
      <c r="BR45" s="2">
        <f>2997.68683620126*(1/14151.6638359215)</f>
        <v>0.21182575214881527</v>
      </c>
      <c r="BS45" s="2">
        <f>3086.96841256318*(1/14151.6638359215)</f>
        <v>0.21813466235167742</v>
      </c>
      <c r="BT45" s="2">
        <f>3172.72887854981*(1/14151.6638359215)</f>
        <v>0.22419476008866165</v>
      </c>
      <c r="BU45" s="2">
        <f>3253.49178006906*(1/14151.6638359215)</f>
        <v>0.22990171458218545</v>
      </c>
      <c r="BV45" s="2">
        <f>3327.78066302887*(1/14151.6638359215)</f>
        <v>0.23515119505466817</v>
      </c>
      <c r="BW45" s="2">
        <f>3394.11907333714*(1/14151.6638359215)</f>
        <v>0.2398388707285265</v>
      </c>
      <c r="BX45" s="2">
        <f>3451.03055690181*(1/14151.6638359215)</f>
        <v>0.24386041082617993</v>
      </c>
      <c r="BY45" s="2">
        <f>3497.03949749157*(1/14151.6638359215)</f>
        <v>0.24711154377585995</v>
      </c>
      <c r="BZ45" s="2">
        <f>3531.44490792278*(1/14151.6638359215)</f>
        <v>0.24954273567174701</v>
      </c>
      <c r="CA45" s="2">
        <f>3555.38959525119*(1/14151.6638359215)</f>
        <v>0.25123474076782837</v>
      </c>
      <c r="CB45" s="2">
        <f>3570.24502334323*(1/14151.6638359215)</f>
        <v>0.25228447091011258</v>
      </c>
      <c r="CC45" s="2">
        <f>3577.38265606534*(1/14151.6638359215)</f>
        <v>0.25278883794460877</v>
      </c>
      <c r="CD45" s="2">
        <f>3578.17395728396*(1/14151.6638359215)</f>
        <v>0.25284475371732595</v>
      </c>
      <c r="CE45" s="2">
        <f>3573.9903908655*(1/14151.6638359215)</f>
        <v>0.25254913007427132</v>
      </c>
      <c r="CF45" s="2">
        <f>3566.20342067642*(1/14151.6638359215)</f>
        <v>0.25199887886145533</v>
      </c>
      <c r="CG45" s="2">
        <f>3556.18451058314*(1/14151.6638359215)</f>
        <v>0.25129091192488573</v>
      </c>
      <c r="CH45" s="2">
        <f>3545.3051244521*(1/14151.6638359215)</f>
        <v>0.25052214111057164</v>
      </c>
      <c r="CI45" s="2">
        <f>3534.93672614974*(1/14151.6638359215)</f>
        <v>0.24978947826452233</v>
      </c>
      <c r="CJ45" s="2">
        <f>3526.02816521811*(1/14151.6638359215)</f>
        <v>0.24915997200752538</v>
      </c>
      <c r="CK45" s="2">
        <f>3516.71350167458*(1/14151.6638359215)</f>
        <v>0.24850176929358822</v>
      </c>
      <c r="CL45" s="2">
        <f>3506.14830597611*(1/14151.6638359215)</f>
        <v>0.24775520013953212</v>
      </c>
      <c r="CM45" s="2">
        <f>3493.83279424815*(1/14151.6638359215)</f>
        <v>0.24688494828287771</v>
      </c>
      <c r="CN45" s="2">
        <f>3479.26718261617*(1/14151.6638359215)</f>
        <v>0.24585569746114691</v>
      </c>
      <c r="CO45" s="2">
        <f>3461.95168720562*(1/14151.6638359215)</f>
        <v>0.24463213141186035</v>
      </c>
      <c r="CP45" s="2">
        <f>3441.38652414195*(1/14151.6638359215)</f>
        <v>0.24317893387253858</v>
      </c>
      <c r="CQ45" s="2">
        <f>3417.07190955063*(1/14151.6638359215)</f>
        <v>0.24146078858070361</v>
      </c>
      <c r="CR45" s="2">
        <f>3388.5080595571*(1/14151.6638359215)</f>
        <v>0.23944237927387524</v>
      </c>
      <c r="CS45" s="2">
        <f>3355.19519028682*(1/14151.6638359215)</f>
        <v>0.23708838968957485</v>
      </c>
      <c r="CT45" s="2">
        <f>3316.63351786526*(1/14151.6638359215)</f>
        <v>0.23436350356532434</v>
      </c>
      <c r="CU45" s="2">
        <f>3273.72521428012*(1/14151.6638359215)</f>
        <v>0.23133147114266145</v>
      </c>
      <c r="CV45" s="2">
        <f>3227.8167111866*(1/14151.6638359215)</f>
        <v>0.22808743541472187</v>
      </c>
      <c r="CW45" s="2">
        <f>3178.51696017121*(1/14151.6638359215)</f>
        <v>0.22460376370042837</v>
      </c>
      <c r="CX45" s="2">
        <f>3125.42874868375*(1/14151.6638359215)</f>
        <v>0.22085238774188526</v>
      </c>
      <c r="CY45" s="2">
        <f>3068.154864174*(1/14151.6638359215)</f>
        <v>0.21680523928119538</v>
      </c>
      <c r="CZ45" s="2">
        <f>3006.29809409173*(1/14151.6638359215)</f>
        <v>0.21243425006046096</v>
      </c>
      <c r="DA45" s="2">
        <f>2939.46122588674*(1/14151.6638359215)</f>
        <v>0.20771135182178627</v>
      </c>
      <c r="DB45" s="2">
        <f>2867.24704700882*(1/14151.6638359215)</f>
        <v>0.20260847630727491</v>
      </c>
      <c r="DC45" s="2">
        <f>2789.25834490774*(1/14151.6638359215)</f>
        <v>0.197097555259029</v>
      </c>
      <c r="DD45" s="2">
        <f>2705.09790703331*(1/14151.6638359215)</f>
        <v>0.19115052041915359</v>
      </c>
      <c r="DE45" s="2">
        <f>2613.95219038191*(1/14151.6638359215)</f>
        <v>0.18470988434214031</v>
      </c>
      <c r="DF45" s="2">
        <f>2511.88461457766*(1/14151.6638359215)</f>
        <v>0.17749747617673653</v>
      </c>
      <c r="DG45" s="2">
        <f>2399.74166809297*(1/14151.6638359215)</f>
        <v>0.16957311139638928</v>
      </c>
      <c r="DH45" s="2">
        <f>2279.69345595314*(1/14151.6638359215)</f>
        <v>0.16109013628252961</v>
      </c>
      <c r="DI45" s="2">
        <f>2153.91008318355*(1/14151.6638359215)</f>
        <v>0.15220189711659413</v>
      </c>
      <c r="DJ45" s="2">
        <f>2024.56165480952*(1/14151.6638359215)</f>
        <v>0.14306174018001527</v>
      </c>
      <c r="DK45" s="2">
        <f>1893.81827585638*(1/14151.6638359215)</f>
        <v>0.13382301175422615</v>
      </c>
      <c r="DL45" s="2">
        <f>1763.85005134947*(1/14151.6638359215)</f>
        <v>0.12463905812066056</v>
      </c>
      <c r="DM45" s="2">
        <f>1636.82708631409*(1/14151.6638359215)</f>
        <v>0.1156632255607495</v>
      </c>
      <c r="DN45" s="2">
        <f>1514.91948577564*(1/14151.6638359215)</f>
        <v>0.10704886035593103</v>
      </c>
      <c r="DO45" s="2">
        <f>1400.29735475943*(1/14151.6638359215)</f>
        <v>9.8949308787636858E-2</v>
      </c>
      <c r="DP45" s="2">
        <f>1291.15165619242*(1/14151.6638359215)</f>
        <v>9.123673874410862E-2</v>
      </c>
      <c r="DQ45" s="2">
        <f>1181.24490836405*(1/14151.6638359215)</f>
        <v>8.3470390624010474E-2</v>
      </c>
      <c r="DR45" s="2">
        <f>1071.5485088744*(1/14151.6638359215)</f>
        <v>7.5718906363113528E-2</v>
      </c>
      <c r="DS45" s="2">
        <f>963.23994618653*(1/14151.6638359215)</f>
        <v>6.8065490910087581E-2</v>
      </c>
      <c r="DT45" s="2">
        <f>857.496708763487*(1/14151.6638359215)</f>
        <v>6.0593349213601516E-2</v>
      </c>
      <c r="DU45" s="2">
        <f>755.49628506837*(1/14151.6638359215)</f>
        <v>5.3385686222327866E-2</v>
      </c>
      <c r="DV45" s="2">
        <f>658.416163564223*(1/14151.6638359215)</f>
        <v>4.6525706884935313E-2</v>
      </c>
      <c r="DW45" s="2">
        <f>567.433832714106*(1/14151.6638359215)</f>
        <v>4.0096616150093627E-2</v>
      </c>
      <c r="DX45" s="2">
        <f>483.726780981081*(1/14151.6638359215)</f>
        <v>3.418161896647276E-2</v>
      </c>
      <c r="DY45" s="2">
        <f>408.472496828199*(1/14151.6638359215)</f>
        <v>2.8863920282741855E-2</v>
      </c>
      <c r="DZ45" s="2">
        <f>342.836143509011*(1/14151.6638359215)</f>
        <v>2.4225854110439083E-2</v>
      </c>
      <c r="EA45" s="2">
        <f>287.125791652836*(1/14151.6638359215)</f>
        <v>2.0289189665742193E-2</v>
      </c>
      <c r="EB45" s="2">
        <f>240.326046817714*(1/14151.6638359215)</f>
        <v>1.6982176061000599E-2</v>
      </c>
      <c r="EC45" s="2">
        <f>201.317066686916*(1/14151.6638359215)</f>
        <v>1.4225681801168014E-2</v>
      </c>
      <c r="ED45" s="2">
        <f>168.979008943715*(1/14151.6638359215)</f>
        <v>1.1940575391198286E-2</v>
      </c>
      <c r="EE45" s="2">
        <f>142.192031271378*(1/14151.6638359215)</f>
        <v>1.0047725336044843E-2</v>
      </c>
      <c r="EF45" s="2">
        <f>119.836291353185*(1/14151.6638359215)</f>
        <v>8.4680001406620287E-3</v>
      </c>
      <c r="EG45" s="2">
        <f>100.791946872404*(1/14151.6638359215)</f>
        <v>7.12226831000334E-3</v>
      </c>
      <c r="EH45" s="2">
        <f>83.9391555123065*(1/14151.6638359215)</f>
        <v>5.931398349022521E-3</v>
      </c>
      <c r="EI45" s="2">
        <f>68.1580749561637*(1/14151.6638359215)</f>
        <v>4.8162587626732955E-3</v>
      </c>
      <c r="EJ45" s="2">
        <f>52.3288628872446*(1/14151.6638359215)</f>
        <v>3.6977180559092295E-3</v>
      </c>
      <c r="EK45" s="2">
        <f>36.7788307112145*(1/14151.6638359215)</f>
        <v>2.5989050572172252E-3</v>
      </c>
      <c r="EL45" s="2">
        <f>25.0195403817894*(1/14151.6638359215)</f>
        <v>1.7679575117013249E-3</v>
      </c>
      <c r="EM45" s="2">
        <f>16.756745794464*(1/14151.6638359215)</f>
        <v>1.1840830865364367E-3</v>
      </c>
      <c r="EN45" s="2">
        <f>11.4059148735484*(1/14151.6638359215)</f>
        <v>8.0597695124699754E-4</v>
      </c>
      <c r="EO45" s="2">
        <f>8.38251554335284*(1/14151.6638359215)</f>
        <v>5.9233427535745333E-4</v>
      </c>
      <c r="EP45" s="2">
        <f>7.10201572818749*(1/14151.6638359215)</f>
        <v>5.0185022839224574E-4</v>
      </c>
      <c r="EQ45" s="2">
        <f>6.97988335236256*(1/14151.6638359215)</f>
        <v>4.9321997987581919E-4</v>
      </c>
      <c r="ER45" s="2">
        <f>7.43158634018819*(1/14151.6638359215)</f>
        <v>5.2513869933261273E-4</v>
      </c>
      <c r="ES45" s="2">
        <f>7.87259261597444*(1/14151.6638359215)</f>
        <v>5.5630155628706029E-4</v>
      </c>
      <c r="ET45" s="2">
        <f>7.71837010403151*(1/14151.6638359215)</f>
        <v>5.4540372026360535E-4</v>
      </c>
      <c r="EU45" s="2">
        <f>6.40351247395907*(1/14151.6638359215)</f>
        <v>4.5249184464832217E-4</v>
      </c>
      <c r="EV45" s="2">
        <f>4.93642359366215*(1/14151.6638359215)</f>
        <v>3.4882284167405889E-4</v>
      </c>
      <c r="EW45" s="2">
        <f>4.0879775571132*(1/14151.6638359215)</f>
        <v>2.8886904073686313E-4</v>
      </c>
      <c r="EX45" s="2">
        <f>3.75306302229981*(1/14151.6638359215)</f>
        <v>2.652029518093358E-4</v>
      </c>
      <c r="EY45" s="2">
        <f>3.8265686472099*(1/14151.6638359215)</f>
        <v>2.7039708486410133E-4</v>
      </c>
      <c r="EZ45" s="2">
        <f>4.20338308983139*(1/14151.6638359215)</f>
        <v>2.9702394987378406E-4</v>
      </c>
      <c r="FA45" s="2">
        <f>4.7783950081522*(1/14151.6638359215)</f>
        <v>3.3765605681100824E-4</v>
      </c>
      <c r="FB45" s="2">
        <f>5.44649306016037*(1/14151.6638359215)</f>
        <v>3.8486591564840662E-4</v>
      </c>
      <c r="FC45" s="2">
        <f>6.10256590384357*(1/14151.6638359215)</f>
        <v>4.312260363585859E-4</v>
      </c>
      <c r="FD45" s="2">
        <f>6.64150219718982*(1/14151.6638359215)</f>
        <v>4.6930892891417755E-4</v>
      </c>
      <c r="FE45" s="2">
        <f>6.95819059818705*(1/14151.6638359215)</f>
        <v>4.9168710328780646E-4</v>
      </c>
      <c r="FF45" s="2">
        <f>7.00918542762956*(1/14151.6638359215)</f>
        <v>4.952905544461832E-4</v>
      </c>
      <c r="FG45" s="2">
        <f>7.02296356907391*(1/14151.6638359215)</f>
        <v>4.9626416020760451E-4</v>
      </c>
      <c r="FH45" s="2">
        <f>7.03347578069441*(1/14151.6638359215)</f>
        <v>4.9700698534409595E-4</v>
      </c>
      <c r="FI45" s="2">
        <f>7.04072206249107*(1/14151.6638359215)</f>
        <v>4.975190298556584E-4</v>
      </c>
      <c r="FJ45" s="2">
        <f>7.04470241446388*(1/14151.6638359215)</f>
        <v>4.9780029374229108E-4</v>
      </c>
      <c r="FK45" s="2">
        <f>7.04541683661285*(1/14151.6638359215)</f>
        <v>4.9785077700399466E-4</v>
      </c>
      <c r="FL45" s="2">
        <f>7.04286532893797*(1/14151.6638359215)</f>
        <v>4.9767047964076848E-4</v>
      </c>
      <c r="FM45" s="2">
        <f>7.03704789143924*(1/14151.6638359215)</f>
        <v>4.9725940165261254E-4</v>
      </c>
      <c r="FN45" s="2">
        <f>7.02796452411667*(1/14151.6638359215)</f>
        <v>4.9661754303952749E-4</v>
      </c>
      <c r="FO45" s="2">
        <f>7.01561522697026*(1/14151.6638359215)</f>
        <v>4.9574490380151345E-4</v>
      </c>
      <c r="FP45" s="2">
        <f t="shared" si="17"/>
        <v>4.9464148393856954E-4</v>
      </c>
      <c r="FQ45" s="2"/>
    </row>
    <row r="46" spans="2:173">
      <c r="B46" s="2">
        <v>9.7071005917159763</v>
      </c>
      <c r="C46" s="2">
        <f t="shared" ref="C46:C109" si="18">7*(1/14151.6638359215)</f>
        <v>4.9464148393856954E-4</v>
      </c>
      <c r="D46" s="2">
        <f>7.00790872111088*(1/14151.6638359215)</f>
        <v>4.9520033844518984E-4</v>
      </c>
      <c r="E46" s="2">
        <f>7.01416333061687*(1/14151.6638359215)</f>
        <v>4.9564230834911829E-4</v>
      </c>
      <c r="F46" s="2">
        <f>7.01876382851797*(1/14151.6638359215)</f>
        <v>4.9596739365035487E-4</v>
      </c>
      <c r="G46" s="2">
        <f>7.02171021481418*(1/14151.6638359215)</f>
        <v>4.961755943488997E-4</v>
      </c>
      <c r="H46" s="2">
        <f>7.0230024895055*(1/14151.6638359215)</f>
        <v>4.9626691044475266E-4</v>
      </c>
      <c r="I46" s="2">
        <f>7.02264065259193*(1/14151.6638359215)</f>
        <v>4.9624134193791377E-4</v>
      </c>
      <c r="J46" s="2">
        <f>7.02062470407347*(1/14151.6638359215)</f>
        <v>4.9609888882838312E-4</v>
      </c>
      <c r="K46" s="2">
        <f>7.01695464395012*(1/14151.6638359215)</f>
        <v>4.9583955111616061E-4</v>
      </c>
      <c r="L46" s="2">
        <f>7.01163047222188*(1/14151.6638359215)</f>
        <v>4.9546332880124624E-4</v>
      </c>
      <c r="M46" s="2">
        <f>7.00465218888875*(1/14151.6638359215)</f>
        <v>4.9497022188364011E-4</v>
      </c>
      <c r="N46" s="2">
        <f>6.78594620915602*(1/14151.6638359215)</f>
        <v>4.7951578611774915E-4</v>
      </c>
      <c r="O46" s="2">
        <f>4.94178981952782*(1/14151.6638359215)</f>
        <v>3.492020356633938E-4</v>
      </c>
      <c r="P46" s="2">
        <f>1.74100734279891*(1/14151.6638359215)</f>
        <v>1.2302492222714267E-4</v>
      </c>
      <c r="Q46" s="2">
        <f>-2.16601467279273*(1/14151.6638359215)</f>
        <v>-1.530572445689873E-4</v>
      </c>
      <c r="R46" s="2">
        <f>-6.12888967900981*(1/14151.6638359215)</f>
        <v>-4.3308615510302798E-4</v>
      </c>
      <c r="S46" s="2">
        <f>-9.49723112761278*(1/14151.6638359215)</f>
        <v>-6.7110349975285145E-4</v>
      </c>
      <c r="T46" s="2">
        <f>-11.6206524703644*(1/14151.6638359215)</f>
        <v>-8.2115096889649297E-4</v>
      </c>
      <c r="U46" s="2">
        <f>-11.8487671590267*(1/14151.6638359215)</f>
        <v>-8.372702529119365E-4</v>
      </c>
      <c r="V46" s="2">
        <f>-9.53118864536161*(1/14151.6638359215)</f>
        <v>-6.7350304217715878E-4</v>
      </c>
      <c r="W46" s="2">
        <f>-4.01753038113123*(1/14151.6638359215)</f>
        <v>-2.8389102707014841E-4</v>
      </c>
      <c r="X46" s="2">
        <f>5.34259418190461*(1/14151.6638359215)</f>
        <v>3.7752410203126632E-4</v>
      </c>
      <c r="Y46" s="2">
        <f>18.5188876079806*(1/14151.6638359215)</f>
        <v>1.3086014353290156E-3</v>
      </c>
      <c r="Z46" s="2">
        <f>34.5698271402982*(1/14151.6638359215)</f>
        <v>2.442810085168134E-3</v>
      </c>
      <c r="AA46" s="2">
        <f>53.2665464938937*(1/14151.6638359215)</f>
        <v>3.76397765743177E-3</v>
      </c>
      <c r="AB46" s="2">
        <f>74.3918114646388*(1/14151.6638359215)</f>
        <v>5.2567537165353184E-3</v>
      </c>
      <c r="AC46" s="2">
        <f>97.7283878484046*(1/14151.6638359215)</f>
        <v>6.9057878268941313E-3</v>
      </c>
      <c r="AD46" s="2">
        <f>123.059041441068*(1/14151.6638359215)</f>
        <v>8.6957295529239715E-3</v>
      </c>
      <c r="AE46" s="2">
        <f>150.16653803849*(1/14151.6638359215)</f>
        <v>1.0611228459039477E-2</v>
      </c>
      <c r="AF46" s="2">
        <f>178.833643436547*(1/14151.6638359215)</f>
        <v>1.2636934109656377E-2</v>
      </c>
      <c r="AG46" s="2">
        <f>208.843123431111*(1/14151.6638359215)</f>
        <v>1.4757496069190084E-2</v>
      </c>
      <c r="AH46" s="2">
        <f>239.977743818053*(1/14151.6638359215)</f>
        <v>1.6957563902055946E-2</v>
      </c>
      <c r="AI46" s="2">
        <f>271.857559347411*(1/14151.6638359215)</f>
        <v>1.9210289510788729E-2</v>
      </c>
      <c r="AJ46" s="2">
        <f>302.291810845791*(1/14151.6638359215)</f>
        <v>2.1360867128462777E-2</v>
      </c>
      <c r="AK46" s="2">
        <f>331.586670333584*(1/14151.6638359215)</f>
        <v>2.3430931809721892E-2</v>
      </c>
      <c r="AL46" s="2">
        <f>360.947931823108*(1/14151.6638359215)</f>
        <v>2.5505688660219968E-2</v>
      </c>
      <c r="AM46" s="2">
        <f>391.581389326679*(1/14151.6638359215)</f>
        <v>2.7670342785610751E-2</v>
      </c>
      <c r="AN46" s="2">
        <f>424.692836856616*(1/14151.6638359215)</f>
        <v>3.0010099291548194E-2</v>
      </c>
      <c r="AO46" s="2">
        <f>461.488068425235*(1/14151.6638359215)</f>
        <v>3.2610163283686051E-2</v>
      </c>
      <c r="AP46" s="2">
        <f>503.172878044861*(1/14151.6638359215)</f>
        <v>3.5555739867678703E-2</v>
      </c>
      <c r="AQ46" s="2">
        <f>550.953059727798*(1/14151.6638359215)</f>
        <v>3.8932034149179048E-2</v>
      </c>
      <c r="AR46" s="2">
        <f>606.034407486369*(1/14151.6638359215)</f>
        <v>4.2824251233841329E-2</v>
      </c>
      <c r="AS46" s="2">
        <f>669.622715332891*(1/14151.6638359215)</f>
        <v>4.7317596227319361E-2</v>
      </c>
      <c r="AT46" s="2">
        <f>743.121689295965*(1/14151.6638359215)</f>
        <v>5.2511259305756106E-2</v>
      </c>
      <c r="AU46" s="2">
        <f>826.786099886845*(1/14151.6638359215)</f>
        <v>5.842324333540163E-2</v>
      </c>
      <c r="AV46" s="2">
        <f>919.061959896376*(1/14151.6638359215)</f>
        <v>6.4943738810661941E-2</v>
      </c>
      <c r="AW46" s="2">
        <f>1018.34401008673*(1/14151.6638359215)</f>
        <v>7.1959313187036258E-2</v>
      </c>
      <c r="AX46" s="2">
        <f>1123.02699122005*(1/14151.6638359215)</f>
        <v>7.9356533920021774E-2</v>
      </c>
      <c r="AY46" s="2">
        <f>1231.5056440585*(1/14151.6638359215)</f>
        <v>8.7021968465117172E-2</v>
      </c>
      <c r="AZ46" s="2">
        <f>1342.17470936424*(1/14151.6638359215)</f>
        <v>9.484218427782086E-2</v>
      </c>
      <c r="BA46" s="2">
        <f>1453.42892789944*(1/14151.6638359215)</f>
        <v>0.10270374881363188</v>
      </c>
      <c r="BB46" s="2">
        <f>1563.66304042621*(1/14151.6638359215)</f>
        <v>0.11049322952804515</v>
      </c>
      <c r="BC46" s="2">
        <f>1671.27178770672*(1/14151.6638359215)</f>
        <v>0.11809719387655972</v>
      </c>
      <c r="BD46" s="2">
        <f>1774.78463608369*(1/14151.6638359215)</f>
        <v>0.12541172943768722</v>
      </c>
      <c r="BE46" s="2">
        <f>1877.84346753277*(1/14151.6638359215)</f>
        <v>0.13269418276925121</v>
      </c>
      <c r="BF46" s="2">
        <f>1982.30941714524*(1/14151.6638359215)</f>
        <v>0.14007606738887463</v>
      </c>
      <c r="BG46" s="2">
        <f>2087.62955683041*(1/14151.6638359215)</f>
        <v>0.14751831170065891</v>
      </c>
      <c r="BH46" s="2">
        <f>2193.25095849752*(1/14151.6638359215)</f>
        <v>0.15498184410870047</v>
      </c>
      <c r="BI46" s="2">
        <f>2298.6206940559*(1/14151.6638359215)</f>
        <v>0.16242759301710216</v>
      </c>
      <c r="BJ46" s="2">
        <f>2403.18583541483*(1/14151.6638359215)</f>
        <v>0.1698164868299632</v>
      </c>
      <c r="BK46" s="2">
        <f>2506.3934544836*(1/14151.6638359215)</f>
        <v>0.17710945395138367</v>
      </c>
      <c r="BL46" s="2">
        <f>2607.6906231715*(1/14151.6638359215)</f>
        <v>0.18426742278546343</v>
      </c>
      <c r="BM46" s="2">
        <f>2706.52441338784*(1/14151.6638359215)</f>
        <v>0.19125132173630394</v>
      </c>
      <c r="BN46" s="2">
        <f>2802.34189704188*(1/14151.6638359215)</f>
        <v>0.1980220792080031</v>
      </c>
      <c r="BO46" s="2">
        <f>2896.00759565041*(1/14151.6638359215)</f>
        <v>0.20464078494426968</v>
      </c>
      <c r="BP46" s="2">
        <f>2991.85127079012*(1/14151.6638359215)</f>
        <v>0.21141339318673144</v>
      </c>
      <c r="BQ46" s="2">
        <f>3088.83858793747*(1/14151.6638359215)</f>
        <v>0.21826681468344369</v>
      </c>
      <c r="BR46" s="2">
        <f>3185.40113019123*(1/14151.6638359215)</f>
        <v>0.22509022028248379</v>
      </c>
      <c r="BS46" s="2">
        <f>3279.97048065012*(1/14151.6638359215)</f>
        <v>0.23177278083192551</v>
      </c>
      <c r="BT46" s="2">
        <f>3370.97822241291*(1/14151.6638359215)</f>
        <v>0.23820366717984615</v>
      </c>
      <c r="BU46" s="2">
        <f>3456.85593857837*(1/14151.6638359215)</f>
        <v>0.2442720501743231</v>
      </c>
      <c r="BV46" s="2">
        <f>3536.03521224524*(1/14151.6638359215)</f>
        <v>0.24986710066343146</v>
      </c>
      <c r="BW46" s="2">
        <f>3606.94762651229*(1/14151.6638359215)</f>
        <v>0.25487798949524865</v>
      </c>
      <c r="BX46" s="2">
        <f>3668.02476447827*(1/14151.6638359215)</f>
        <v>0.2591938875178505</v>
      </c>
      <c r="BY46" s="2">
        <f>3717.69983834597*(1/14151.6638359215)</f>
        <v>0.2627040806968044</v>
      </c>
      <c r="BZ46" s="2">
        <f>3755.41922744935*(1/14151.6638359215)</f>
        <v>0.26536944849671185</v>
      </c>
      <c r="CA46" s="2">
        <f>3782.47093120958*(1/14151.6638359215)</f>
        <v>0.26728100490971568</v>
      </c>
      <c r="CB46" s="2">
        <f>3800.2037235124*(1/14151.6638359215)</f>
        <v>0.26853405843815015</v>
      </c>
      <c r="CC46" s="2">
        <f>3809.96637824349*(1/14151.6638359215)</f>
        <v>0.26922391758434533</v>
      </c>
      <c r="CD46" s="2">
        <f>3813.10766928858*(1/14151.6638359215)</f>
        <v>0.26944589085063481</v>
      </c>
      <c r="CE46" s="2">
        <f>3810.97637053337*(1/14151.6638359215)</f>
        <v>0.26929528673934999</v>
      </c>
      <c r="CF46" s="2">
        <f>3804.92125586357*(1/14151.6638359215)</f>
        <v>0.26886741375282314</v>
      </c>
      <c r="CG46" s="2">
        <f>3796.2910991649*(1/14151.6638359215)</f>
        <v>0.26825758039338704</v>
      </c>
      <c r="CH46" s="2">
        <f>3786.43467432307*(1/14151.6638359215)</f>
        <v>0.26756109516337395</v>
      </c>
      <c r="CI46" s="2">
        <f>3776.70075522378*(1/14151.6638359215)</f>
        <v>0.26687326656511529</v>
      </c>
      <c r="CJ46" s="2">
        <f>3767.99043699495*(1/14151.6638359215)</f>
        <v>0.2662577687459316</v>
      </c>
      <c r="CK46" s="2">
        <f>3758.30498402595*(1/14151.6638359215)</f>
        <v>0.26557336491318828</v>
      </c>
      <c r="CL46" s="2">
        <f>3746.85515257339*(1/14151.6638359215)</f>
        <v>0.26476428468168245</v>
      </c>
      <c r="CM46" s="2">
        <f>3733.22588465727*(1/14151.6638359215)</f>
        <v>0.2638011987806787</v>
      </c>
      <c r="CN46" s="2">
        <f>3717.00212229756*(1/14151.6638359215)</f>
        <v>0.26265477793943964</v>
      </c>
      <c r="CO46" s="2">
        <f>3697.76880751427*(1/14151.6638359215)</f>
        <v>0.26129569288723048</v>
      </c>
      <c r="CP46" s="2">
        <f>3675.11088232737*(1/14151.6638359215)</f>
        <v>0.2596946143533137</v>
      </c>
      <c r="CQ46" s="2">
        <f>3648.61328875689*(1/14151.6638359215)</f>
        <v>0.25782221306695607</v>
      </c>
      <c r="CR46" s="2">
        <f>3617.86096882278*(1/14151.6638359215)</f>
        <v>0.2556491597574187</v>
      </c>
      <c r="CS46" s="2">
        <f>3582.43886454507*(1/14151.6638359215)</f>
        <v>0.25314612515396823</v>
      </c>
      <c r="CT46" s="2">
        <f>3541.93191794372*(1/14151.6638359215)</f>
        <v>0.25028377998586648</v>
      </c>
      <c r="CU46" s="2">
        <f>3497.25304825796*(1/14151.6638359215)</f>
        <v>0.24712663392842901</v>
      </c>
      <c r="CV46" s="2">
        <f>3449.65586203203*(1/14151.6638359215)</f>
        <v>0.2437632706675584</v>
      </c>
      <c r="CW46" s="2">
        <f>3398.70030841825*(1/14151.6638359215)</f>
        <v>0.24016259485978247</v>
      </c>
      <c r="CX46" s="2">
        <f>3343.94041432086*(1/14151.6638359215)</f>
        <v>0.23629309267740362</v>
      </c>
      <c r="CY46" s="2">
        <f>3284.93020664415*(1/14151.6638359215)</f>
        <v>0.23212325029272776</v>
      </c>
      <c r="CZ46" s="2">
        <f>3221.22371229239*(1/14151.6638359215)</f>
        <v>0.22762155387805935</v>
      </c>
      <c r="DA46" s="2">
        <f>3152.37495816983*(1/14151.6638359215)</f>
        <v>0.22275648960570155</v>
      </c>
      <c r="DB46" s="2">
        <f>3077.93797118078*(1/14151.6638359215)</f>
        <v>0.21749654364796159</v>
      </c>
      <c r="DC46" s="2">
        <f>2997.46677822949*(1/14151.6638359215)</f>
        <v>0.21181020217714258</v>
      </c>
      <c r="DD46" s="2">
        <f>2910.51540622023*(1/14151.6638359215)</f>
        <v>0.20566595136554902</v>
      </c>
      <c r="DE46" s="2">
        <f>2816.23851382671*(1/14151.6638359215)</f>
        <v>0.19900405680059938</v>
      </c>
      <c r="DF46" s="2">
        <f>2710.83739651679*(1/14151.6638359215)</f>
        <v>0.19155609036131904</v>
      </c>
      <c r="DG46" s="2">
        <f>2595.18501245316*(1/14151.6638359215)</f>
        <v>0.18338373795070947</v>
      </c>
      <c r="DH46" s="2">
        <f>2471.43277679217*(1/14151.6638359215)</f>
        <v>0.1746390251666998</v>
      </c>
      <c r="DI46" s="2">
        <f>2341.73210469025*(1/14151.6638359215)</f>
        <v>0.16547397760722499</v>
      </c>
      <c r="DJ46" s="2">
        <f>2208.23441130375*(1/14151.6638359215)</f>
        <v>0.15604062087021436</v>
      </c>
      <c r="DK46" s="2">
        <f>2073.09111178907*(1/14151.6638359215)</f>
        <v>0.14649098055360066</v>
      </c>
      <c r="DL46" s="2">
        <f>1938.45362130258*(1/14151.6638359215)</f>
        <v>0.13697708225531458</v>
      </c>
      <c r="DM46" s="2">
        <f>1806.47335500063*(1/14151.6638359215)</f>
        <v>0.12765095157328543</v>
      </c>
      <c r="DN46" s="2">
        <f>1679.30172803967*(1/14151.6638359215)</f>
        <v>0.11866461410544951</v>
      </c>
      <c r="DO46" s="2">
        <f>1559.09015557603*(1/14151.6638359215)</f>
        <v>0.11017009544973468</v>
      </c>
      <c r="DP46" s="2">
        <f>1443.9061595439*(1/14151.6638359215)</f>
        <v>0.10203084077497653</v>
      </c>
      <c r="DQ46" s="2">
        <f>1327.36218158036*(1/14151.6638359215)</f>
        <v>9.379548560297804E-2</v>
      </c>
      <c r="DR46" s="2">
        <f>1210.54268317507*(1/14151.6638359215)</f>
        <v>8.554066131095632E-2</v>
      </c>
      <c r="DS46" s="2">
        <f>1094.74460456658*(1/14151.6638359215)</f>
        <v>7.7358013676650808E-2</v>
      </c>
      <c r="DT46" s="2">
        <f>981.264885993423*(1/14151.6638359215)</f>
        <v>6.9339188477799726E-2</v>
      </c>
      <c r="DU46" s="2">
        <f>871.400467694201*(1/14151.6638359215)</f>
        <v>6.1575831492146162E-2</v>
      </c>
      <c r="DV46" s="2">
        <f>766.448289907442*(1/14151.6638359215)</f>
        <v>5.415958849742801E-2</v>
      </c>
      <c r="DW46" s="2">
        <f>667.705292871701*(1/14151.6638359215)</f>
        <v>4.7182105271385048E-2</v>
      </c>
      <c r="DX46" s="2">
        <f>576.468416825531*(1/14151.6638359215)</f>
        <v>4.0735027591756928E-2</v>
      </c>
      <c r="DY46" s="2">
        <f>494.03460200747*(1/14151.6638359215)</f>
        <v>3.4910001236282226E-2</v>
      </c>
      <c r="DZ46" s="2">
        <f>421.667074550537*(1/14151.6638359215)</f>
        <v>2.9796289640530438E-2</v>
      </c>
      <c r="EA46" s="2">
        <f>359.31093032014*(1/14151.6638359215)</f>
        <v>2.5390013109843144E-2</v>
      </c>
      <c r="EB46" s="2">
        <f>305.836416108532*(1/14151.6638359215)</f>
        <v>2.1611339815196872E-2</v>
      </c>
      <c r="EC46" s="2">
        <f>260.19755739985*(1/14151.6638359215)</f>
        <v>1.8386357987064703E-2</v>
      </c>
      <c r="ED46" s="2">
        <f>221.348379678234*(1/14151.6638359215)</f>
        <v>1.5641155855919939E-2</v>
      </c>
      <c r="EE46" s="2">
        <f>188.242908427815*(1/14151.6638359215)</f>
        <v>1.3301821652235238E-2</v>
      </c>
      <c r="EF46" s="2">
        <f>159.835169132745*(1/14151.6638359215)</f>
        <v>1.1294443606484747E-2</v>
      </c>
      <c r="EG46" s="2">
        <f>135.079187277154*(1/14151.6638359215)</f>
        <v>9.545109949141057E-3</v>
      </c>
      <c r="EH46" s="2">
        <f>112.92898834518*(1/14151.6638359215)</f>
        <v>7.9799089106773226E-3</v>
      </c>
      <c r="EI46" s="2">
        <f>92.3385978209631*(1/14151.6638359215)</f>
        <v>6.5249287215668507E-3</v>
      </c>
      <c r="EJ46" s="2">
        <f>72.262041188636*(1/14151.6638359215)</f>
        <v>5.1062576122824213E-3</v>
      </c>
      <c r="EK46" s="2">
        <f>53.0919339314114*(1/14151.6638359215)</f>
        <v>3.7516389978574038E-3</v>
      </c>
      <c r="EL46" s="2">
        <f>38.3180288421334*(1/14151.6638359215)</f>
        <v>2.7076695211533963E-3</v>
      </c>
      <c r="EM46" s="2">
        <f>27.5735586228939*(1/14151.6638359215)</f>
        <v>1.9484322792421968E-3</v>
      </c>
      <c r="EN46" s="2">
        <f>20.2008465888113*(1/14151.6638359215)</f>
        <v>1.4274538190721445E-3</v>
      </c>
      <c r="EO46" s="2">
        <f>15.5422160550042*(1/14151.6638359215)</f>
        <v>1.0982606875915911E-3</v>
      </c>
      <c r="EP46" s="2">
        <f>12.9399903365909*(1/14151.6638359215)</f>
        <v>9.1437943174886766E-4</v>
      </c>
      <c r="EQ46" s="2">
        <f>11.7364927486897*(1/14151.6638359215)</f>
        <v>8.2933659849230494E-4</v>
      </c>
      <c r="ER46" s="2">
        <f>11.2740466064194*(1/14151.6638359215)</f>
        <v>7.9665873477026948E-4</v>
      </c>
      <c r="ES46" s="2">
        <f>10.8949752248982*(1/14151.6638359215)</f>
        <v>7.6987238753108513E-4</v>
      </c>
      <c r="ET46" s="2">
        <f>9.94160191924433*(1/14151.6638359215)</f>
        <v>7.0250410372307815E-4</v>
      </c>
      <c r="EU46" s="2">
        <f>7.778399774561*(1/14151.6638359215)</f>
        <v>5.4964560102232682E-4</v>
      </c>
      <c r="EV46" s="2">
        <f>5.58426153298971*(1/14151.6638359215)</f>
        <v>3.9460105876844303E-4</v>
      </c>
      <c r="EW46" s="2">
        <f>4.23718588522942*(1/14151.6638359215)</f>
        <v>2.9941255914192025E-4</v>
      </c>
      <c r="EX46" s="2">
        <f>3.59570292905685*(1/14151.6638359215)</f>
        <v>2.5408340466156305E-4</v>
      </c>
      <c r="EY46" s="2">
        <f>3.51834276224921*(1/14151.6638359215)</f>
        <v>2.4861689784621074E-4</v>
      </c>
      <c r="EZ46" s="2">
        <f>3.8636354825837*(1/14151.6638359215)</f>
        <v>2.7301634121470179E-4</v>
      </c>
      <c r="FA46" s="2">
        <f>4.49011118783755*(1/14151.6638359215)</f>
        <v>3.1728503728587696E-4</v>
      </c>
      <c r="FB46" s="2">
        <f>5.25629997578811*(1/14151.6638359215)</f>
        <v>3.7142628857858546E-4</v>
      </c>
      <c r="FC46" s="2">
        <f>6.02073194421229*(1/14151.6638359215)</f>
        <v>4.2544339761164517E-4</v>
      </c>
      <c r="FD46" s="2">
        <f>6.64193719088742*(1/14151.6638359215)</f>
        <v>4.6933966690390394E-4</v>
      </c>
      <c r="FE46" s="2">
        <f>6.97844581359072*(1/14151.6638359215)</f>
        <v>4.9311839897420173E-4</v>
      </c>
      <c r="FF46" s="2">
        <f>6.97178404658408*(1/14151.6638359215)</f>
        <v>4.9264765807165644E-4</v>
      </c>
      <c r="FG46" s="2">
        <f>6.9294601164602*(1/14151.6638359215)</f>
        <v>4.8965691927128669E-4</v>
      </c>
      <c r="FH46" s="2">
        <f>6.89716852532865*(1/14151.6638359215)</f>
        <v>4.873750963347084E-4</v>
      </c>
      <c r="FI46" s="2">
        <f>6.87490927318942*(1/14151.6638359215)</f>
        <v>4.8580218926192104E-4</v>
      </c>
      <c r="FJ46" s="2">
        <f>6.86268236004252*(1/14151.6638359215)</f>
        <v>4.8493819805292521E-4</v>
      </c>
      <c r="FK46" s="2">
        <f>6.86048778588795*(1/14151.6638359215)</f>
        <v>4.8478312270772102E-4</v>
      </c>
      <c r="FL46" s="2">
        <f>6.86832555072571*(1/14151.6638359215)</f>
        <v>4.8533696322630829E-4</v>
      </c>
      <c r="FM46" s="2">
        <f>6.88619565455579*(1/14151.6638359215)</f>
        <v>4.8659971960868644E-4</v>
      </c>
      <c r="FN46" s="2">
        <f>6.9140980973782*(1/14151.6638359215)</f>
        <v>4.8857139185485611E-4</v>
      </c>
      <c r="FO46" s="2">
        <f>6.95203287919294*(1/14151.6638359215)</f>
        <v>4.9125197996481747E-4</v>
      </c>
      <c r="FP46" s="2">
        <f t="shared" si="17"/>
        <v>4.9464148393856954E-4</v>
      </c>
      <c r="FQ46" s="2"/>
    </row>
    <row r="47" spans="2:173">
      <c r="B47" s="2">
        <v>9.7165680473372795</v>
      </c>
      <c r="C47" s="2">
        <f t="shared" si="18"/>
        <v>4.9464148393856954E-4</v>
      </c>
      <c r="D47" s="2">
        <f>7.03867045587761*(1/14151.6638359215)</f>
        <v>4.9737405703569558E-4</v>
      </c>
      <c r="E47" s="2">
        <f>7.06925297327101*(1/14151.6638359215)</f>
        <v>4.9953511157655958E-4</v>
      </c>
      <c r="F47" s="2">
        <f>7.09174755218021*(1/14151.6638359215)</f>
        <v>5.011246475611625E-4</v>
      </c>
      <c r="G47" s="2">
        <f>7.1061541926052*(1/14151.6638359215)</f>
        <v>5.0214266498950337E-4</v>
      </c>
      <c r="H47" s="2">
        <f>7.11247289454598*(1/14151.6638359215)</f>
        <v>5.0258916386158241E-4</v>
      </c>
      <c r="I47" s="2">
        <f>7.11070365800256*(1/14151.6638359215)</f>
        <v>5.0246414417740015E-4</v>
      </c>
      <c r="J47" s="2">
        <f>7.10084648297494*(1/14151.6638359215)</f>
        <v>5.0176760593695672E-4</v>
      </c>
      <c r="K47" s="2">
        <f>7.0829013694631*(1/14151.6638359215)</f>
        <v>5.0049954914025059E-4</v>
      </c>
      <c r="L47" s="2">
        <f>7.05686831746707*(1/14151.6638359215)</f>
        <v>4.9865997378728403E-4</v>
      </c>
      <c r="M47" s="2">
        <f>7.02274732698682*(1/14151.6638359215)</f>
        <v>4.9624887987805477E-4</v>
      </c>
      <c r="N47" s="2">
        <f>6.7419132043234*(1/14151.6638359215)</f>
        <v>4.7640427885308043E-4</v>
      </c>
      <c r="O47" s="2">
        <f>4.60850076335995*(1/14151.6638359215)</f>
        <v>3.2565080804577089E-4</v>
      </c>
      <c r="P47" s="2">
        <f>0.927870890666678*(1/14151.6638359215)</f>
        <v>6.5566204894681126E-5</v>
      </c>
      <c r="Q47" s="2">
        <f>-3.56119425699854*(1/14151.6638359215)</f>
        <v>-2.5164491598218136E-4</v>
      </c>
      <c r="R47" s="2">
        <f>-8.11991252287861*(1/14151.6638359215)</f>
        <v>-5.7377793996686436E-4</v>
      </c>
      <c r="S47" s="2">
        <f>-12.0095017502138*(1/14151.6638359215)</f>
        <v>-8.4862825244122898E-4</v>
      </c>
      <c r="T47" s="2">
        <f>-14.4911797822472*(1/14151.6638359215)</f>
        <v>-1.023991238787336E-3</v>
      </c>
      <c r="U47" s="2">
        <f>-14.8261644622208*(1/14151.6638359215)</f>
        <v>-1.0476622843871687E-3</v>
      </c>
      <c r="V47" s="2">
        <f>-12.2756736333768*(1/14151.6638359215)</f>
        <v>-8.6743677462272455E-4</v>
      </c>
      <c r="W47" s="2">
        <f>-6.10092513895728*(1/14151.6638359215)</f>
        <v>-4.3111009487599319E-4</v>
      </c>
      <c r="X47" s="2">
        <f>4.4368631777981*(1/14151.6638359215)</f>
        <v>3.1352236947120704E-4</v>
      </c>
      <c r="Y47" s="2">
        <f>19.3004052351786*(1/14151.6638359215)</f>
        <v>1.3638258694492113E-3</v>
      </c>
      <c r="Z47" s="2">
        <f>37.4170044908398*(1/14151.6638359215)</f>
        <v>2.6440003751264456E-3</v>
      </c>
      <c r="AA47" s="2">
        <f>58.5289466349772*(1/14151.6638359215)</f>
        <v>4.1358350024123533E-3</v>
      </c>
      <c r="AB47" s="2">
        <f>82.391795019464*(1/14151.6638359215)</f>
        <v>5.8220571075414448E-3</v>
      </c>
      <c r="AC47" s="2">
        <f>108.761112996173*(1/14151.6638359215)</f>
        <v>7.6853940467482076E-3</v>
      </c>
      <c r="AD47" s="2">
        <f>137.392463916984*(1/14151.6638359215)</f>
        <v>9.7085731762676201E-3</v>
      </c>
      <c r="AE47" s="2">
        <f>168.04141113376*(1/14151.6638359215)</f>
        <v>1.1874321852333473E-2</v>
      </c>
      <c r="AF47" s="2">
        <f>200.463517998377*(1/14151.6638359215)</f>
        <v>1.4165367431180478E-2</v>
      </c>
      <c r="AG47" s="2">
        <f>234.414347862711*(1/14151.6638359215)</f>
        <v>1.6564437269043344E-2</v>
      </c>
      <c r="AH47" s="2">
        <f>269.649464078634*(1/14151.6638359215)</f>
        <v>1.9054258722156506E-2</v>
      </c>
      <c r="AI47" s="2">
        <f>305.783068590799*(1/14151.6638359215)</f>
        <v>2.1607570115863176E-2</v>
      </c>
      <c r="AJ47" s="2">
        <f>340.889112661357*(1/14151.6638359215)</f>
        <v>2.408827093504512E-2</v>
      </c>
      <c r="AK47" s="2">
        <f>375.283653561807*(1/14151.6638359215)</f>
        <v>2.6518694756528609E-2</v>
      </c>
      <c r="AL47" s="2">
        <f>410.073373575892*(1/14151.6638359215)</f>
        <v>2.8977043147039229E-2</v>
      </c>
      <c r="AM47" s="2">
        <f>446.364954987352*(1/14151.6638359215)</f>
        <v>3.154151767330237E-2</v>
      </c>
      <c r="AN47" s="2">
        <f>485.265080079928*(1/14151.6638359215)</f>
        <v>3.4290319902043481E-2</v>
      </c>
      <c r="AO47" s="2">
        <f>527.880431137364*(1/14151.6638359215)</f>
        <v>3.7301651399988228E-2</v>
      </c>
      <c r="AP47" s="2">
        <f>575.317690443407*(1/14151.6638359215)</f>
        <v>4.0653713733862486E-2</v>
      </c>
      <c r="AQ47" s="2">
        <f>628.683540281784*(1/14151.6638359215)</f>
        <v>4.4424708470390727E-2</v>
      </c>
      <c r="AR47" s="2">
        <f>689.084662936243*(1/14151.6638359215)</f>
        <v>4.8692837176298895E-2</v>
      </c>
      <c r="AS47" s="2">
        <f>757.627740690526*(1/14151.6638359215)</f>
        <v>5.3536301418312511E-2</v>
      </c>
      <c r="AT47" s="2">
        <f>835.685121582008*(1/14151.6638359215)</f>
        <v>5.9052075520672626E-2</v>
      </c>
      <c r="AU47" s="2">
        <f>923.649401421526*(1/14151.6638359215)</f>
        <v>6.5267901508302167E-2</v>
      </c>
      <c r="AV47" s="2">
        <f>1020.01327669344*(1/14151.6638359215)</f>
        <v>7.2077268688669413E-2</v>
      </c>
      <c r="AW47" s="2">
        <f>1123.21209910493*(1/14151.6638359215)</f>
        <v>7.9369614211288325E-2</v>
      </c>
      <c r="AX47" s="2">
        <f>1231.68122036312*(1/14151.6638359215)</f>
        <v>8.7034375225668856E-2</v>
      </c>
      <c r="AY47" s="2">
        <f>1343.85599217519*(1/14151.6638359215)</f>
        <v>9.4960988881324968E-2</v>
      </c>
      <c r="AZ47" s="2">
        <f>1458.17176624827*(1/14151.6638359215)</f>
        <v>0.10303889232776703</v>
      </c>
      <c r="BA47" s="2">
        <f>1573.06389428955*(1/14151.6638359215)</f>
        <v>0.11115752271450974</v>
      </c>
      <c r="BB47" s="2">
        <f>1686.96772800612*(1/14151.6638359215)</f>
        <v>0.11920631719106063</v>
      </c>
      <c r="BC47" s="2">
        <f>1798.31861910516*(1/14151.6638359215)</f>
        <v>0.12707471290693365</v>
      </c>
      <c r="BD47" s="2">
        <f>1905.68326600469*(1/14151.6638359215)</f>
        <v>0.13466142837335138</v>
      </c>
      <c r="BE47" s="2">
        <f>2012.61239692472*(1/14151.6638359215)</f>
        <v>0.14221736894400069</v>
      </c>
      <c r="BF47" s="2">
        <f>2120.92018479879*(1/14151.6638359215)</f>
        <v>0.14987072964630554</v>
      </c>
      <c r="BG47" s="2">
        <f>2230.0672044535*(1/14151.6638359215)</f>
        <v>0.15758339304194521</v>
      </c>
      <c r="BH47" s="2">
        <f>2339.51403071542*(1/14151.6638359215)</f>
        <v>0.16531724169259709</v>
      </c>
      <c r="BI47" s="2">
        <f>2448.72123841115*(1/14151.6638359215)</f>
        <v>0.17303415815994042</v>
      </c>
      <c r="BJ47" s="2">
        <f>2557.1494023673*(1/14151.6638359215)</f>
        <v>0.18069602500565535</v>
      </c>
      <c r="BK47" s="2">
        <f>2664.25909741045*(1/14151.6638359215)</f>
        <v>0.18826472479141984</v>
      </c>
      <c r="BL47" s="2">
        <f>2769.51089836719*(1/14151.6638359215)</f>
        <v>0.19570214007891251</v>
      </c>
      <c r="BM47" s="2">
        <f>2872.36538006416*(1/14151.6638359215)</f>
        <v>0.20297015342981564</v>
      </c>
      <c r="BN47" s="2">
        <f>2972.28311732789*(1/14151.6638359215)</f>
        <v>0.21003064740580357</v>
      </c>
      <c r="BO47" s="2">
        <f>3070.1637330033*(1/14151.6638359215)</f>
        <v>0.21694719211816152</v>
      </c>
      <c r="BP47" s="2">
        <f>3170.40437636764*(1/14151.6638359215)</f>
        <v>0.22403050363026067</v>
      </c>
      <c r="BQ47" s="2">
        <f>3271.93135831032*(1/14151.6638359215)</f>
        <v>0.23120471177425087</v>
      </c>
      <c r="BR47" s="2">
        <f>3373.12767672484*(1/14151.6638359215)</f>
        <v>0.23835555421849064</v>
      </c>
      <c r="BS47" s="2">
        <f>3472.37632950464*(1/14151.6638359215)</f>
        <v>0.24536876863133408</v>
      </c>
      <c r="BT47" s="2">
        <f>3568.06031454319*(1/14151.6638359215)</f>
        <v>0.25213009268113756</v>
      </c>
      <c r="BU47" s="2">
        <f>3658.56262973398*(1/14151.6638359215)</f>
        <v>0.25852526403625875</v>
      </c>
      <c r="BV47" s="2">
        <f>3742.26627297047*(1/14151.6638359215)</f>
        <v>0.26444002036505332</v>
      </c>
      <c r="BW47" s="2">
        <f>3817.55424214614*(1/14151.6638359215)</f>
        <v>0.2697600993358783</v>
      </c>
      <c r="BX47" s="2">
        <f>3882.80953515445*(1/14151.6638359215)</f>
        <v>0.27437123861708923</v>
      </c>
      <c r="BY47" s="2">
        <f>3936.4178385675*(1/14151.6638359215)</f>
        <v>0.27815936586732637</v>
      </c>
      <c r="BZ47" s="2">
        <f>3978.06921285769*(1/14151.6638359215)</f>
        <v>0.28110257980832359</v>
      </c>
      <c r="CA47" s="2">
        <f>4009.19261120106*(1/14151.6638359215)</f>
        <v>0.28330185465714869</v>
      </c>
      <c r="CB47" s="2">
        <f>4031.03097045788*(1/14151.6638359215)</f>
        <v>0.28484502014708823</v>
      </c>
      <c r="CC47" s="2">
        <f>4044.8272274884*(1/14151.6638359215)</f>
        <v>0.28581990601142743</v>
      </c>
      <c r="CD47" s="2">
        <f>4051.82431915287*(1/14151.6638359215)</f>
        <v>0.2863143419834514</v>
      </c>
      <c r="CE47" s="2">
        <f>4053.26518231156*(1/14151.6638359215)</f>
        <v>0.28641615779644664</v>
      </c>
      <c r="CF47" s="2">
        <f>4050.3927538247*(1/14151.6638359215)</f>
        <v>0.28621318318369698</v>
      </c>
      <c r="CG47" s="2">
        <f>4044.44997055257*(1/14151.6638359215)</f>
        <v>0.28579324787848959</v>
      </c>
      <c r="CH47" s="2">
        <f>4036.67976935541*(1/14151.6638359215)</f>
        <v>0.28524418161410897</v>
      </c>
      <c r="CI47" s="2">
        <f>4028.32508709348*(1/14151.6638359215)</f>
        <v>0.28465381412384089</v>
      </c>
      <c r="CJ47" s="2">
        <f>4020.17348465589*(1/14151.6638359215)</f>
        <v>0.28407779687723994</v>
      </c>
      <c r="CK47" s="2">
        <f>4010.16441259654*(1/14151.6638359215)</f>
        <v>0.28337052512634209</v>
      </c>
      <c r="CL47" s="2">
        <f>3997.62562057928*(1/14151.6638359215)</f>
        <v>0.28248449559916861</v>
      </c>
      <c r="CM47" s="2">
        <f>3982.27676418581*(1/14151.6638359215)</f>
        <v>0.28139989829870771</v>
      </c>
      <c r="CN47" s="2">
        <f>3963.83749899786*(1/14151.6638359215)</f>
        <v>0.28009692322794999</v>
      </c>
      <c r="CO47" s="2">
        <f>3942.02748059713*(1/14151.6638359215)</f>
        <v>0.27855576038988356</v>
      </c>
      <c r="CP47" s="2">
        <f>3916.56636456534*(1/14151.6638359215)</f>
        <v>0.27675659978749834</v>
      </c>
      <c r="CQ47" s="2">
        <f>3887.17380648421*(1/14151.6638359215)</f>
        <v>0.27467963142378399</v>
      </c>
      <c r="CR47" s="2">
        <f>3853.56946193544*(1/14151.6638359215)</f>
        <v>0.27230504530172872</v>
      </c>
      <c r="CS47" s="2">
        <f>3815.47298650076*(1/14151.6638359215)</f>
        <v>0.26961303142432308</v>
      </c>
      <c r="CT47" s="2">
        <f>3772.60403576188*(1/14151.6638359215)</f>
        <v>0.26658377979455611</v>
      </c>
      <c r="CU47" s="2">
        <f>3725.81617236772*(1/14151.6638359215)</f>
        <v>0.26327760576889858</v>
      </c>
      <c r="CV47" s="2">
        <f>3676.15216441857*(1/14151.6638359215)</f>
        <v>0.25976819454171224</v>
      </c>
      <c r="CW47" s="2">
        <f>3623.14789193464*(1/14151.6638359215)</f>
        <v>0.25602274997077862</v>
      </c>
      <c r="CX47" s="2">
        <f>3566.33407234259*(1/14151.6638359215)</f>
        <v>0.25200811110917437</v>
      </c>
      <c r="CY47" s="2">
        <f>3505.24142306907*(1/14151.6638359215)</f>
        <v>0.24769111700997545</v>
      </c>
      <c r="CZ47" s="2">
        <f>3439.4006615407*(1/14151.6638359215)</f>
        <v>0.24303860672625568</v>
      </c>
      <c r="DA47" s="2">
        <f>3368.34250518413*(1/14151.6638359215)</f>
        <v>0.23801741931109099</v>
      </c>
      <c r="DB47" s="2">
        <f>3291.59767142603*(1/14151.6638359215)</f>
        <v>0.23259439381755881</v>
      </c>
      <c r="DC47" s="2">
        <f>3208.69687769303*(1/14151.6638359215)</f>
        <v>0.22673636929873359</v>
      </c>
      <c r="DD47" s="2">
        <f>3119.17084141178*(1/14151.6638359215)</f>
        <v>0.22041018480769137</v>
      </c>
      <c r="DE47" s="2">
        <f>3022.17584186232*(1/14151.6638359215)</f>
        <v>0.21355622044886766</v>
      </c>
      <c r="DF47" s="2">
        <f>2914.13257623532*(1/14151.6638359215)</f>
        <v>0.20592155170039506</v>
      </c>
      <c r="DG47" s="2">
        <f>2795.90751854073*(1/14151.6638359215)</f>
        <v>0.19756740627514149</v>
      </c>
      <c r="DH47" s="2">
        <f>2669.57269878922*(1/14151.6638359215)</f>
        <v>0.18864020017299882</v>
      </c>
      <c r="DI47" s="2">
        <f>2537.20014699156*(1/14151.6638359215)</f>
        <v>0.17928634939386601</v>
      </c>
      <c r="DJ47" s="2">
        <f>2400.86189315847*(1/14151.6638359215)</f>
        <v>0.16965226993763843</v>
      </c>
      <c r="DK47" s="2">
        <f>2262.62996730064*(1/14151.6638359215)</f>
        <v>0.15988437780420939</v>
      </c>
      <c r="DL47" s="2">
        <f>2124.57639942881*(1/14151.6638359215)</f>
        <v>0.15012908899347566</v>
      </c>
      <c r="DM47" s="2">
        <f>1988.77321955366*(1/14151.6638359215)</f>
        <v>0.14053281950532986</v>
      </c>
      <c r="DN47" s="2">
        <f>1857.29245768597*(1/14151.6638359215)</f>
        <v>0.13124198533967157</v>
      </c>
      <c r="DO47" s="2">
        <f>1732.20614383642*(1/14151.6638359215)</f>
        <v>0.12240300249639344</v>
      </c>
      <c r="DP47" s="2">
        <f>1611.47602936262*(1/14151.6638359215)</f>
        <v>0.11387184207076576</v>
      </c>
      <c r="DQ47" s="2">
        <f>1488.69066644782*(1/14151.6638359215)</f>
        <v>0.10519545148246397</v>
      </c>
      <c r="DR47" s="2">
        <f>1365.04917148486*(1/14151.6638359215)</f>
        <v>9.6458563976055151E-2</v>
      </c>
      <c r="DS47" s="2">
        <f>1241.96569669302*(1/14151.6638359215)</f>
        <v>8.7761107887576392E-2</v>
      </c>
      <c r="DT47" s="2">
        <f>1120.8543942916*(1/14151.6638359215)</f>
        <v>7.9203011553066235E-2</v>
      </c>
      <c r="DU47" s="2">
        <f>1003.12941649994*(1/14151.6638359215)</f>
        <v>7.0884203308565957E-2</v>
      </c>
      <c r="DV47" s="2">
        <f>890.204915537318*(1/14151.6638359215)</f>
        <v>6.2904611490112561E-2</v>
      </c>
      <c r="DW47" s="2">
        <f>783.495043623034*(1/14151.6638359215)</f>
        <v>5.5364164433744548E-2</v>
      </c>
      <c r="DX47" s="2">
        <f>684.413952976392*(1/14151.6638359215)</f>
        <v>4.8362790475500704E-2</v>
      </c>
      <c r="DY47" s="2">
        <f>594.375795816678*(1/14151.6638359215)</f>
        <v>4.2000417951418546E-2</v>
      </c>
      <c r="DZ47" s="2">
        <f>514.73404725441*(1/14151.6638359215)</f>
        <v>3.6372687566803882E-2</v>
      </c>
      <c r="EA47" s="2">
        <f>444.960666064751*(1/14151.6638359215)</f>
        <v>3.1442286308080394E-2</v>
      </c>
      <c r="EB47" s="2">
        <f>383.810316753092*(1/14151.6638359215)</f>
        <v>2.7121214947097409E-2</v>
      </c>
      <c r="EC47" s="2">
        <f>330.365130866119*(1/14151.6638359215)</f>
        <v>2.3344614081882403E-2</v>
      </c>
      <c r="ED47" s="2">
        <f>283.707239950516*(1/14151.6638359215)</f>
        <v>2.0047624310462722E-2</v>
      </c>
      <c r="EE47" s="2">
        <f>242.918775552959*(1/14151.6638359215)</f>
        <v>1.7165386230865137E-2</v>
      </c>
      <c r="EF47" s="2">
        <f>207.081869220149*(1/14151.6638359215)</f>
        <v>1.4633040441118185E-2</v>
      </c>
      <c r="EG47" s="2">
        <f>175.27865249876*(1/14151.6638359215)</f>
        <v>1.2385727539248503E-2</v>
      </c>
      <c r="EH47" s="2">
        <f>146.591256935477*(1/14151.6638359215)</f>
        <v>1.0358588123283495E-2</v>
      </c>
      <c r="EI47" s="2">
        <f>120.101814076985*(1/14151.6638359215)</f>
        <v>8.4867627912505773E-3</v>
      </c>
      <c r="EJ47" s="2">
        <f>94.892455469962*(1/14151.6638359215)</f>
        <v>6.7053921411766625E-3</v>
      </c>
      <c r="EK47" s="2">
        <f>71.4409849692697*(1/14151.6638359215)</f>
        <v>5.0482392598903726E-3</v>
      </c>
      <c r="EL47" s="2">
        <f>53.1315620622891*(1/14151.6638359215)</f>
        <v>3.7544392432092692E-3</v>
      </c>
      <c r="EM47" s="2">
        <f>39.5013413018221*(1/14151.6638359215)</f>
        <v>2.7912860112995989E-3</v>
      </c>
      <c r="EN47" s="2">
        <f>29.8018726547959*(1/14151.6638359215)</f>
        <v>2.1058917877309316E-3</v>
      </c>
      <c r="EO47" s="2">
        <f>23.2847060881378*(1/14151.6638359215)</f>
        <v>1.6453687960728464E-3</v>
      </c>
      <c r="EP47" s="2">
        <f>19.201391568775*(1/14151.6638359215)</f>
        <v>1.356829259894915E-3</v>
      </c>
      <c r="EQ47" s="2">
        <f>16.8034790636344*(1/14151.6638359215)</f>
        <v>1.1873854027666863E-3</v>
      </c>
      <c r="ER47" s="2">
        <f>15.3425185396441*(1/14151.6638359215)</f>
        <v>1.0841494482577961E-3</v>
      </c>
      <c r="ES47" s="2">
        <f>14.0700599637306*(1/14151.6638359215)</f>
        <v>9.942336199377658E-4</v>
      </c>
      <c r="ET47" s="2">
        <f>12.2376533028213*(1/14151.6638359215)</f>
        <v>8.6475014137618069E-4</v>
      </c>
      <c r="EU47" s="2">
        <f>9.12268733706033*(1/14151.6638359215)</f>
        <v>6.4463708598730277E-4</v>
      </c>
      <c r="EV47" s="2">
        <f>6.11115171892529*(1/14151.6638359215)</f>
        <v>4.3183273640327798E-4</v>
      </c>
      <c r="EW47" s="2">
        <f>4.2129094395157*(1/14151.6638359215)</f>
        <v>2.9769711098012188E-4</v>
      </c>
      <c r="EX47" s="2">
        <f>3.24371670991055*(1/14151.6638359215)</f>
        <v>2.2921097812378413E-4</v>
      </c>
      <c r="EY47" s="2">
        <f>3.01932974118948*(1/14151.6638359215)</f>
        <v>2.1335510624026022E-4</v>
      </c>
      <c r="EZ47" s="2">
        <f>3.35550474443216*(1/14151.6638359215)</f>
        <v>2.3711026373554776E-4</v>
      </c>
      <c r="FA47" s="2">
        <f>4.06799793071824*(1/14151.6638359215)</f>
        <v>2.8745721901564294E-4</v>
      </c>
      <c r="FB47" s="2">
        <f>4.97256551112754*(1/14151.6638359215)</f>
        <v>3.51376740486554E-4</v>
      </c>
      <c r="FC47" s="2">
        <f>5.88496369673937*(1/14151.6638359215)</f>
        <v>4.1584959655425314E-4</v>
      </c>
      <c r="FD47" s="2">
        <f>6.62094869863352*(1/14151.6638359215)</f>
        <v>4.6785655562474646E-4</v>
      </c>
      <c r="FE47" s="2">
        <f>6.99627672788964*(1/14151.6638359215)</f>
        <v>4.9437838610403022E-4</v>
      </c>
      <c r="FF47" s="2">
        <f>6.93479428483923*(1/14151.6638359215)</f>
        <v>4.900338479802268E-4</v>
      </c>
      <c r="FG47" s="2">
        <f>6.83698571209805*(1/14151.6638359215)</f>
        <v>4.83122394042711E-4</v>
      </c>
      <c r="FH47" s="2">
        <f>6.76236139363628*(1/14151.6638359215)</f>
        <v>4.7784921066816328E-4</v>
      </c>
      <c r="FI47" s="2">
        <f>6.71092132945389*(1/14151.6638359215)</f>
        <v>4.7421429785658145E-4</v>
      </c>
      <c r="FJ47" s="2">
        <f>6.68266551955089*(1/14151.6638359215)</f>
        <v>4.7221765560796633E-4</v>
      </c>
      <c r="FK47" s="2">
        <f>6.67759396392727*(1/14151.6638359215)</f>
        <v>4.7185928392231712E-4</v>
      </c>
      <c r="FL47" s="2">
        <f>6.69570666258304*(1/14151.6638359215)</f>
        <v>4.7313918279963461E-4</v>
      </c>
      <c r="FM47" s="2">
        <f>6.73700361551821*(1/14151.6638359215)</f>
        <v>4.7605735223991941E-4</v>
      </c>
      <c r="FN47" s="2">
        <f>6.80148482273275*(1/14151.6638359215)</f>
        <v>4.8061379224316941E-4</v>
      </c>
      <c r="FO47" s="2">
        <f>6.88915028422668*(1/14151.6638359215)</f>
        <v>4.8680850280938617E-4</v>
      </c>
      <c r="FP47" s="2">
        <f t="shared" si="17"/>
        <v>4.9464148393856954E-4</v>
      </c>
      <c r="FQ47" s="2"/>
    </row>
    <row r="48" spans="2:173">
      <c r="B48" s="2">
        <v>9.726035502958581</v>
      </c>
      <c r="C48" s="2">
        <f t="shared" si="18"/>
        <v>4.9464148393856954E-4</v>
      </c>
      <c r="D48" s="2">
        <f>7.08465633885494*(1/14151.6638359215)</f>
        <v>5.0062356066371441E-4</v>
      </c>
      <c r="E48" s="2">
        <f>7.1516067767729*(1/14151.6638359215)</f>
        <v>5.0535448408686821E-4</v>
      </c>
      <c r="F48" s="2">
        <f>7.20085131375388*(1/14151.6638359215)</f>
        <v>5.0883425420803104E-4</v>
      </c>
      <c r="G48" s="2">
        <f>7.23238994979788*(1/14151.6638359215)</f>
        <v>5.1106287102720279E-4</v>
      </c>
      <c r="H48" s="2">
        <f>7.24622268490489*(1/14151.6638359215)</f>
        <v>5.1204033454438293E-4</v>
      </c>
      <c r="I48" s="2">
        <f>7.24234951907493*(1/14151.6638359215)</f>
        <v>5.1176664475957264E-4</v>
      </c>
      <c r="J48" s="2">
        <f>7.22077045230798*(1/14151.6638359215)</f>
        <v>5.1024180167277074E-4</v>
      </c>
      <c r="K48" s="2">
        <f>7.18148548460406*(1/14151.6638359215)</f>
        <v>5.0746580528397852E-4</v>
      </c>
      <c r="L48" s="2">
        <f>7.12449461596314*(1/14151.6638359215)</f>
        <v>5.0343865559319381E-4</v>
      </c>
      <c r="M48" s="2">
        <f>7.04979784638525*(1/14151.6638359215)</f>
        <v>4.9816035260041879E-4</v>
      </c>
      <c r="N48" s="2">
        <f>6.68830927631893*(1/14151.6638359215)</f>
        <v>4.7261646078264222E-4</v>
      </c>
      <c r="O48" s="2">
        <f>4.22917368353767*(1/14151.6638359215)</f>
        <v>2.9884639237985996E-4</v>
      </c>
      <c r="P48" s="2">
        <f>0.0167315275581836*(1/14151.6638359215)</f>
        <v>1.1823010885627153E-6</v>
      </c>
      <c r="Q48" s="2">
        <f>-5.11592887373415*(1/14151.6638359215)</f>
        <v>-3.6150723568971927E-4</v>
      </c>
      <c r="R48" s="2">
        <f>-10.3357192024549*(1/14151.6638359215)</f>
        <v>-7.3035364055352287E-4</v>
      </c>
      <c r="S48" s="2">
        <f>-14.8095511407165*(1/14151.6638359215)</f>
        <v>-1.0464883361011635E-3</v>
      </c>
      <c r="T48" s="2">
        <f>-17.7043363706347*(1/14151.6638359215)</f>
        <v>-1.2510427449311909E-3</v>
      </c>
      <c r="U48" s="2">
        <f>-18.186986574324*(1/14151.6638359215)</f>
        <v>-1.2851482896420663E-3</v>
      </c>
      <c r="V48" s="2">
        <f>-15.424413433899*(1/14151.6638359215)</f>
        <v>-1.0899363928322584E-3</v>
      </c>
      <c r="W48" s="2">
        <f>-8.58352863147437*(1/14151.6638359215)</f>
        <v>-6.0653847710024028E-4</v>
      </c>
      <c r="X48" s="2">
        <f>3.16875615083799*(1/14151.6638359215)</f>
        <v>2.2391403495571042E-4</v>
      </c>
      <c r="Y48" s="2">
        <f>19.7759584991196*(1/14151.6638359215)</f>
        <v>1.3974299226160122E-3</v>
      </c>
      <c r="Z48" s="2">
        <f>40.0123132917802*(1/14151.6638359215)</f>
        <v>2.827392860351587E-3</v>
      </c>
      <c r="AA48" s="2">
        <f>63.5985623730951*(1/14151.6638359215)</f>
        <v>4.4940696097982048E-3</v>
      </c>
      <c r="AB48" s="2">
        <f>90.2707451939788*(1/14151.6638359215)</f>
        <v>6.3788079084271671E-3</v>
      </c>
      <c r="AC48" s="2">
        <f>119.764901205346*(1/14151.6638359215)</f>
        <v>8.4629554937097895E-3</v>
      </c>
      <c r="AD48" s="2">
        <f>151.817069858118*(1/14151.6638359215)</f>
        <v>1.0727860103117853E-2</v>
      </c>
      <c r="AE48" s="2">
        <f>186.163290603196*(1/14151.6638359215)</f>
        <v>1.3154869474121719E-2</v>
      </c>
      <c r="AF48" s="2">
        <f>222.539602891502*(1/14151.6638359215)</f>
        <v>1.5725331344193218E-2</v>
      </c>
      <c r="AG48" s="2">
        <f>260.68204617395*(1/14151.6638359215)</f>
        <v>1.8420593450803623E-2</v>
      </c>
      <c r="AH48" s="2">
        <f>300.326659901455*(1/14151.6638359215)</f>
        <v>2.1222003531424255E-2</v>
      </c>
      <c r="AI48" s="2">
        <f>341.094491656989*(1/14151.6638359215)</f>
        <v>2.4102783645212154E-2</v>
      </c>
      <c r="AJ48" s="2">
        <f>381.392190311289*(1/14151.6638359215)</f>
        <v>2.6950342711165334E-2</v>
      </c>
      <c r="AK48" s="2">
        <f>421.535374966404*(1/14151.6638359215)</f>
        <v>2.9786983343711916E-2</v>
      </c>
      <c r="AL48" s="2">
        <f>462.493379411419*(1/14151.6638359215)</f>
        <v>3.2681201643404025E-2</v>
      </c>
      <c r="AM48" s="2">
        <f>505.23553743542*(1/14151.6638359215)</f>
        <v>3.5701493710793834E-2</v>
      </c>
      <c r="AN48" s="2">
        <f>550.731182827495*(1/14151.6638359215)</f>
        <v>3.8916355646433684E-2</v>
      </c>
      <c r="AO48" s="2">
        <f>599.949649376731*(1/14151.6638359215)</f>
        <v>4.2394283550875822E-2</v>
      </c>
      <c r="AP48" s="2">
        <f>653.860270872223*(1/14151.6638359215)</f>
        <v>4.6203773524673065E-2</v>
      </c>
      <c r="AQ48" s="2">
        <f>713.43238110304*(1/14151.6638359215)</f>
        <v>5.04133216683764E-2</v>
      </c>
      <c r="AR48" s="2">
        <f>779.635313858278*(1/14151.6638359215)</f>
        <v>5.5091424082538719E-2</v>
      </c>
      <c r="AS48" s="2">
        <f>853.438402927022*(1/14151.6638359215)</f>
        <v>6.0306576867712146E-2</v>
      </c>
      <c r="AT48" s="2">
        <f>936.158309757531*(1/14151.6638359215)</f>
        <v>6.6151819362841174E-2</v>
      </c>
      <c r="AU48" s="2">
        <f>1028.35551632882*(1/14151.6638359215)</f>
        <v>7.2666756944757341E-2</v>
      </c>
      <c r="AV48" s="2">
        <f>1128.59921119186*(1/14151.6638359215)</f>
        <v>7.9750284085120096E-2</v>
      </c>
      <c r="AW48" s="2">
        <f>1235.39432001764*(1/14151.6638359215)</f>
        <v>8.7296754243257932E-2</v>
      </c>
      <c r="AX48" s="2">
        <f>1347.24576847715*(1/14151.6638359215)</f>
        <v>9.5200520878499423E-2</v>
      </c>
      <c r="AY48" s="2">
        <f>1462.65848224135*(1/14151.6638359215)</f>
        <v>0.10335593745017103</v>
      </c>
      <c r="AZ48" s="2">
        <f>1580.13738698123*(1/14151.6638359215)</f>
        <v>0.11165735741760134</v>
      </c>
      <c r="BA48" s="2">
        <f>1698.18740836778*(1/14151.6638359215)</f>
        <v>0.1199991342401189</v>
      </c>
      <c r="BB48" s="2">
        <f>1815.31347207194*(1/14151.6638359215)</f>
        <v>0.12827562137704876</v>
      </c>
      <c r="BC48" s="2">
        <f>1930.02050376471*(1/14151.6638359215)</f>
        <v>0.13638117228772023</v>
      </c>
      <c r="BD48" s="2">
        <f>2040.93996404999*(1/14151.6638359215)</f>
        <v>0.144219081778174</v>
      </c>
      <c r="BE48" s="2">
        <f>2151.4988932389*(1/14151.6638359215)</f>
        <v>0.15203151503483994</v>
      </c>
      <c r="BF48" s="2">
        <f>2263.43505157695*(1/14151.6638359215)</f>
        <v>0.15994126753008506</v>
      </c>
      <c r="BG48" s="2">
        <f>2376.21607798625*(1/14151.6638359215)</f>
        <v>0.16791072099625806</v>
      </c>
      <c r="BH48" s="2">
        <f>2489.30961138886*(1/14151.6638359215)</f>
        <v>0.17590225716570423</v>
      </c>
      <c r="BI48" s="2">
        <f>2602.18329070688*(1/14151.6638359215)</f>
        <v>0.18387825777077163</v>
      </c>
      <c r="BJ48" s="2">
        <f>2714.30475486241*(1/14151.6638359215)</f>
        <v>0.19180110454380825</v>
      </c>
      <c r="BK48" s="2">
        <f>2825.14164277753*(1/14151.6638359215)</f>
        <v>0.19963317921716078</v>
      </c>
      <c r="BL48" s="2">
        <f>2934.16159337433*(1/14151.6638359215)</f>
        <v>0.20733686352317662</v>
      </c>
      <c r="BM48" s="2">
        <f>3040.83224557492*(1/14151.6638359215)</f>
        <v>0.21487453919420443</v>
      </c>
      <c r="BN48" s="2">
        <f>3144.62123830136*(1/14151.6638359215)</f>
        <v>0.22220858796258955</v>
      </c>
      <c r="BO48" s="2">
        <f>3246.43824517808*(1/14151.6638359215)</f>
        <v>0.22940329015854444</v>
      </c>
      <c r="BP48" s="2">
        <f>3350.6900688762*(1/14151.6638359215)</f>
        <v>0.23677004398387877</v>
      </c>
      <c r="BQ48" s="2">
        <f>3456.29198658334*(1/14151.6638359215)</f>
        <v>0.24423219959550999</v>
      </c>
      <c r="BR48" s="2">
        <f>3561.61442713286*(1/14151.6638359215)</f>
        <v>0.25167460649343087</v>
      </c>
      <c r="BS48" s="2">
        <f>3665.02781935804*(1/14151.6638359215)</f>
        <v>0.25898211417762862</v>
      </c>
      <c r="BT48" s="2">
        <f>3764.90259209223*(1/14151.6638359215)</f>
        <v>0.26603957214809537</v>
      </c>
      <c r="BU48" s="2">
        <f>3859.60917416877*(1/14151.6638359215)</f>
        <v>0.27273182990482248</v>
      </c>
      <c r="BV48" s="2">
        <f>3947.51799442097*(1/14151.6638359215)</f>
        <v>0.27894373694779923</v>
      </c>
      <c r="BW48" s="2">
        <f>4026.99948168217*(1/14151.6638359215)</f>
        <v>0.28456014277701702</v>
      </c>
      <c r="BX48" s="2">
        <f>4096.4240647857*(1/14151.6638359215)</f>
        <v>0.28946589689246649</v>
      </c>
      <c r="BY48" s="2">
        <f>4154.16613593251*(1/14151.6638359215)</f>
        <v>0.29354612885785858</v>
      </c>
      <c r="BZ48" s="2">
        <f>4200.23742120783*(1/14151.6638359215)</f>
        <v>0.29680166727436452</v>
      </c>
      <c r="CA48" s="2">
        <f>4236.20353921718*(1/14151.6638359215)</f>
        <v>0.29934314355774377</v>
      </c>
      <c r="CB48" s="2">
        <f>4263.13367672211*(1/14151.6638359215)</f>
        <v>0.30124610972604493</v>
      </c>
      <c r="CC48" s="2">
        <f>4282.09702048421*(1/14151.6638359215)</f>
        <v>0.30258611779731953</v>
      </c>
      <c r="CD48" s="2">
        <f>4294.16275726506*(1/14151.6638359215)</f>
        <v>0.30343871978961834</v>
      </c>
      <c r="CE48" s="2">
        <f>4300.40007382622*(1/14151.6638359215)</f>
        <v>0.30387946772099078</v>
      </c>
      <c r="CF48" s="2">
        <f>4301.87815692929*(1/14151.6638359215)</f>
        <v>0.3039839136094889</v>
      </c>
      <c r="CG48" s="2">
        <f>4299.66619333582*(1/14151.6638359215)</f>
        <v>0.30382760947316151</v>
      </c>
      <c r="CH48" s="2">
        <f>4294.83336980741*(1/14151.6638359215)</f>
        <v>0.30348610733006065</v>
      </c>
      <c r="CI48" s="2">
        <f>4288.44887310563*(1/14151.6638359215)</f>
        <v>0.30303495919823642</v>
      </c>
      <c r="CJ48" s="2">
        <f>4281.13298828284*(1/14151.6638359215)</f>
        <v>0.30251799632322668</v>
      </c>
      <c r="CK48" s="2">
        <f>4270.8212584547*(1/14151.6638359215)</f>
        <v>0.30178933784548884</v>
      </c>
      <c r="CL48" s="2">
        <f>4257.00892778621*(1/14151.6638359215)</f>
        <v>0.30081331616855855</v>
      </c>
      <c r="CM48" s="2">
        <f>4239.59122733037*(1/14151.6638359215)</f>
        <v>0.29958252799709079</v>
      </c>
      <c r="CN48" s="2">
        <f>4218.46338814021*(1/14151.6638359215)</f>
        <v>0.29808957003574277</v>
      </c>
      <c r="CO48" s="2">
        <f>4193.52064126872*(1/14151.6638359215)</f>
        <v>0.29632703898916879</v>
      </c>
      <c r="CP48" s="2">
        <f>4164.65821776893*(1/14151.6638359215)</f>
        <v>0.29428753156202597</v>
      </c>
      <c r="CQ48" s="2">
        <f>4131.77134869385*(1/14151.6638359215)</f>
        <v>0.29196364445897011</v>
      </c>
      <c r="CR48" s="2">
        <f>4094.75526509648*(1/14151.6638359215)</f>
        <v>0.2893479743846562</v>
      </c>
      <c r="CS48" s="2">
        <f>4053.50519802984*(1/14151.6638359215)</f>
        <v>0.28643311804374078</v>
      </c>
      <c r="CT48" s="2">
        <f>4007.91637854695*(1/14151.6638359215)</f>
        <v>0.28321167214088017</v>
      </c>
      <c r="CU48" s="2">
        <f>3958.72528106366*(1/14151.6638359215)</f>
        <v>0.2797356782186371</v>
      </c>
      <c r="CV48" s="2">
        <f>3906.66701400755*(1/14151.6638359215)</f>
        <v>0.27605708129465073</v>
      </c>
      <c r="CW48" s="2">
        <f>3851.27406977691*(1/14151.6638359215)</f>
        <v>0.27214284584694071</v>
      </c>
      <c r="CX48" s="2">
        <f>3792.07496316308*(1/14151.6638359215)</f>
        <v>0.26795965528361176</v>
      </c>
      <c r="CY48" s="2">
        <f>3728.5982089574*(1/14151.6638359215)</f>
        <v>0.2634741930127687</v>
      </c>
      <c r="CZ48" s="2">
        <f>3660.3723219512*(1/14151.6638359215)</f>
        <v>0.25865314244251558</v>
      </c>
      <c r="DA48" s="2">
        <f>3586.9258169358*(1/14151.6638359215)</f>
        <v>0.25346318698095571</v>
      </c>
      <c r="DB48" s="2">
        <f>3507.78720870256*(1/14151.6638359215)</f>
        <v>0.24787101003619527</v>
      </c>
      <c r="DC48" s="2">
        <f>3422.48501204282*(1/14151.6638359215)</f>
        <v>0.24184329501633908</v>
      </c>
      <c r="DD48" s="2">
        <f>3330.5477417479*(1/14151.6638359215)</f>
        <v>0.23534672532949044</v>
      </c>
      <c r="DE48" s="2">
        <f>3231.16062283744*(1/14151.6638359215)</f>
        <v>0.22832372647488341</v>
      </c>
      <c r="DF48" s="2">
        <f>3121.02781004104*(1/14151.6638359215)</f>
        <v>0.22054140391032057</v>
      </c>
      <c r="DG48" s="2">
        <f>3000.98240742169*(1/14151.6638359215)</f>
        <v>0.2120586273258008</v>
      </c>
      <c r="DH48" s="2">
        <f>2872.96835605706*(1/14151.6638359215)</f>
        <v>0.20301276156408812</v>
      </c>
      <c r="DI48" s="2">
        <f>2738.92959702487*(1/14151.6638359215)</f>
        <v>0.19354117146795</v>
      </c>
      <c r="DJ48" s="2">
        <f>2600.81007140279*(1/14151.6638359215)</f>
        <v>0.18378122188015045</v>
      </c>
      <c r="DK48" s="2">
        <f>2460.5537202685*(1/14151.6638359215)</f>
        <v>0.17387027764345411</v>
      </c>
      <c r="DL48" s="2">
        <f>2320.10448469967*(1/14151.6638359215)</f>
        <v>0.16394570360062502</v>
      </c>
      <c r="DM48" s="2">
        <f>2181.40630577396*(1/14151.6638359215)</f>
        <v>0.15414486459442636</v>
      </c>
      <c r="DN48" s="2">
        <f>2046.40312456912*(1/14151.6638359215)</f>
        <v>0.14460512546762785</v>
      </c>
      <c r="DO48" s="2">
        <f>1917.03888216278*(1/14151.6638359215)</f>
        <v>0.13546385106299058</v>
      </c>
      <c r="DP48" s="2">
        <f>1791.18617352819*(1/14151.6638359215)</f>
        <v>0.12657071241203316</v>
      </c>
      <c r="DQ48" s="2">
        <f>1662.51448735777*(1/14151.6638359215)</f>
        <v>0.11747837615657393</v>
      </c>
      <c r="DR48" s="2">
        <f>1532.33674483138*(1/14151.6638359215)</f>
        <v>0.108279617336713</v>
      </c>
      <c r="DS48" s="2">
        <f>1402.18024310409*(1/14151.6638359215)</f>
        <v>9.9082359456907326E-2</v>
      </c>
      <c r="DT48" s="2">
        <f>1273.57227933092*(1/14151.6638359215)</f>
        <v>8.9994526021610385E-2</v>
      </c>
      <c r="DU48" s="2">
        <f>1148.04015066698*(1/14151.6638359215)</f>
        <v>8.1124040535281994E-2</v>
      </c>
      <c r="DV48" s="2">
        <f>1027.11115426729*(1/14151.6638359215)</f>
        <v>7.2578826502375626E-2</v>
      </c>
      <c r="DW48" s="2">
        <f>912.312587286901*(1/14151.6638359215)</f>
        <v>6.4466807427346923E-2</v>
      </c>
      <c r="DX48" s="2">
        <f>805.171746880877*(1/14151.6638359215)</f>
        <v>5.6895906814652474E-2</v>
      </c>
      <c r="DY48" s="2">
        <f>707.21593020425*(1/14151.6638359215)</f>
        <v>4.9974048168746579E-2</v>
      </c>
      <c r="DZ48" s="2">
        <f>619.880490659029*(1/14151.6638359215)</f>
        <v>4.3802657966307244E-2</v>
      </c>
      <c r="EA48" s="2">
        <f>542.078105456099*(1/14151.6638359215)</f>
        <v>3.8304902641916175E-2</v>
      </c>
      <c r="EB48" s="2">
        <f>472.448914302976*(1/14151.6638359215)</f>
        <v>3.3384690293712875E-2</v>
      </c>
      <c r="EC48" s="2">
        <f>410.247482029399*(1/14151.6638359215)</f>
        <v>2.8989346184726223E-2</v>
      </c>
      <c r="ED48" s="2">
        <f>354.728373465108*(1/14151.6638359215)</f>
        <v>2.5066195577985159E-2</v>
      </c>
      <c r="EE48" s="2">
        <f>305.146153439833*(1/14151.6638359215)</f>
        <v>2.1562563736517916E-2</v>
      </c>
      <c r="EF48" s="2">
        <f>260.755386783332*(1/14151.6638359215)</f>
        <v>1.8425775923354717E-2</v>
      </c>
      <c r="EG48" s="2">
        <f>220.810638325335*(1/14151.6638359215)</f>
        <v>1.5603157401523782E-2</v>
      </c>
      <c r="EH48" s="2">
        <f>184.566472895581*(1/14151.6638359215)</f>
        <v>1.3042033434053994E-2</v>
      </c>
      <c r="EI48" s="2">
        <f>151.277455323811*(1/14151.6638359215)</f>
        <v>1.0689729283974363E-2</v>
      </c>
      <c r="EJ48" s="2">
        <f>120.198150439756*(1/14151.6638359215)</f>
        <v>8.4935702143131911E-3</v>
      </c>
      <c r="EK48" s="2">
        <f>91.9064572890546*(1/14151.6638359215)</f>
        <v>6.4943923452849611E-3</v>
      </c>
      <c r="EL48" s="2">
        <f>69.6092226053856*(1/14151.6638359215)</f>
        <v>4.9188013093340215E-3</v>
      </c>
      <c r="EM48" s="2">
        <f>52.7296923144284*(1/14151.6638359215)</f>
        <v>3.7260418934332929E-3</v>
      </c>
      <c r="EN48" s="2">
        <f>40.4159633049116*(1/14151.6638359215)</f>
        <v>2.8559160091354641E-3</v>
      </c>
      <c r="EO48" s="2">
        <f>31.816132465564*(1/14151.6638359215)</f>
        <v>2.2482255679932396E-3</v>
      </c>
      <c r="EP48" s="2">
        <f>26.078296685114*(1/14151.6638359215)</f>
        <v>1.8427724815592956E-3</v>
      </c>
      <c r="EQ48" s="2">
        <f>22.3505528522898*(1/14151.6638359215)</f>
        <v>1.5793586613862935E-3</v>
      </c>
      <c r="ER48" s="2">
        <f>19.7809978558212*(1/14151.6638359215)</f>
        <v>1.3977860190270087E-3</v>
      </c>
      <c r="ES48" s="2">
        <f>17.517728584436*(1/14151.6638359215)</f>
        <v>1.2378564660340742E-3</v>
      </c>
      <c r="ET48" s="2">
        <f>14.7088419268629*(1/14151.6638359215)</f>
        <v>1.0393719139601878E-3</v>
      </c>
      <c r="EU48" s="2">
        <f>10.5324709319836*(1/14151.6638359215)</f>
        <v>7.442567216194595E-4</v>
      </c>
      <c r="EV48" s="2">
        <f>6.6101387653767*(1/14151.6638359215)</f>
        <v>4.6709269256368496E-4</v>
      </c>
      <c r="EW48" s="2">
        <f>4.10187389094191*(1/14151.6638359215)</f>
        <v>2.8985099833491151E-4</v>
      </c>
      <c r="EX48" s="2">
        <f>2.77494136284534*(1/14151.6638359215)</f>
        <v>1.9608587336576223E-4</v>
      </c>
      <c r="EY48" s="2">
        <f>2.39660623525393*(1/14151.6638359215)</f>
        <v>1.6935155208891892E-4</v>
      </c>
      <c r="EZ48" s="2">
        <f>2.73413356233462*(1/14151.6638359215)</f>
        <v>1.9320226893706341E-4</v>
      </c>
      <c r="FA48" s="2">
        <f>3.55478839825438*(1/14151.6638359215)</f>
        <v>2.511922583428796E-4</v>
      </c>
      <c r="FB48" s="2">
        <f>4.62583579718034*(1/14151.6638359215)</f>
        <v>3.2687575473906271E-4</v>
      </c>
      <c r="FC48" s="2">
        <f>5.71454081327904*(1/14151.6638359215)</f>
        <v>4.0380699255826636E-4</v>
      </c>
      <c r="FD48" s="2">
        <f>6.5881685007176*(1/14151.6638359215)</f>
        <v>4.6554020623318495E-4</v>
      </c>
      <c r="FE48" s="2">
        <f>7.01398391366297*(1/14151.6638359215)</f>
        <v>4.9562963019650103E-4</v>
      </c>
      <c r="FF48" s="2">
        <f>6.89579069877151*(1/14151.6638359215)</f>
        <v>4.8727773488144643E-4</v>
      </c>
      <c r="FG48" s="2">
        <f>6.73947674692873*(1/14151.6638359215)</f>
        <v>4.7623211129575862E-4</v>
      </c>
      <c r="FH48" s="2">
        <f>6.62021499107833*(1/14151.6638359215)</f>
        <v>4.678047095970499E-4</v>
      </c>
      <c r="FI48" s="2">
        <f>6.53800543122029*(1/14151.6638359215)</f>
        <v>4.6199552978531879E-4</v>
      </c>
      <c r="FJ48" s="2">
        <f>6.4928480673546*(1/14151.6638359215)</f>
        <v>4.5880457186056465E-4</v>
      </c>
      <c r="FK48" s="2">
        <f>6.48474289948128*(1/14151.6638359215)</f>
        <v>4.5823183582278893E-4</v>
      </c>
      <c r="FL48" s="2">
        <f>6.5136899276003*(1/14151.6638359215)</f>
        <v>4.6027732167198943E-4</v>
      </c>
      <c r="FM48" s="2">
        <f>6.5796891517117*(1/14151.6638359215)</f>
        <v>4.6494102940816906E-4</v>
      </c>
      <c r="FN48" s="2">
        <f>6.68274057181544*(1/14151.6638359215)</f>
        <v>4.722229590313249E-4</v>
      </c>
      <c r="FO48" s="2">
        <f>6.82284418791155*(1/14151.6638359215)</f>
        <v>4.8212311054145912E-4</v>
      </c>
      <c r="FP48" s="2">
        <f t="shared" si="17"/>
        <v>4.9464148393856954E-4</v>
      </c>
      <c r="FQ48" s="2"/>
    </row>
    <row r="49" spans="2:173">
      <c r="B49" s="2">
        <v>9.7355029585798825</v>
      </c>
      <c r="C49" s="2">
        <f t="shared" si="18"/>
        <v>4.9464148393856954E-4</v>
      </c>
      <c r="D49" s="2">
        <f>7.13726920399454*(1/14151.6638359215)</f>
        <v>5.0434134719041601E-4</v>
      </c>
      <c r="E49" s="2">
        <f>7.2458285091144*(1/14151.6638359215)</f>
        <v>5.120124808732485E-4</v>
      </c>
      <c r="F49" s="2">
        <f>7.32567791535961*(1/14151.6638359215)</f>
        <v>5.1765488498706918E-4</v>
      </c>
      <c r="G49" s="2">
        <f>7.37681742273012*(1/14151.6638359215)</f>
        <v>5.2126855953187436E-4</v>
      </c>
      <c r="H49" s="2">
        <f>7.39924703122596*(1/14151.6638359215)</f>
        <v>5.2285350450766632E-4</v>
      </c>
      <c r="I49" s="2">
        <f>7.39296674084712*(1/14151.6638359215)</f>
        <v>5.2240971991444419E-4</v>
      </c>
      <c r="J49" s="2">
        <f>7.35797655159361*(1/14151.6638359215)</f>
        <v>5.1993720575220883E-4</v>
      </c>
      <c r="K49" s="2">
        <f>7.29427646346543*(1/14151.6638359215)</f>
        <v>5.1543596202096014E-4</v>
      </c>
      <c r="L49" s="2">
        <f>7.20186647646255*(1/14151.6638359215)</f>
        <v>5.0890598872069617E-4</v>
      </c>
      <c r="M49" s="2">
        <f>7.08074659058501*(1/14151.6638359215)</f>
        <v>5.0034728585141941E-4</v>
      </c>
      <c r="N49" s="2">
        <f>6.62965515712716*(1/14151.6638359215)</f>
        <v>4.6847178070319554E-4</v>
      </c>
      <c r="O49" s="2">
        <f>3.82120526832255*(1/14151.6638359215)</f>
        <v>2.7001809205099228E-4</v>
      </c>
      <c r="P49" s="2">
        <f>-0.959088358324193*(1/14151.6638359215)</f>
        <v>-6.7772126969955059E-5</v>
      </c>
      <c r="Q49" s="2">
        <f>-6.7785214801087*(1/14151.6638359215)</f>
        <v>-4.7899113197577662E-4</v>
      </c>
      <c r="R49" s="2">
        <f>-12.7043898543277*(1/14151.6638359215)</f>
        <v>-8.9773117858268003E-4</v>
      </c>
      <c r="S49" s="2">
        <f>-17.8039892382744*(1/14151.6638359215)</f>
        <v>-1.2580845224066245E-3</v>
      </c>
      <c r="T49" s="2">
        <f>-21.1446153892456*(1/14151.6638359215)</f>
        <v>-1.4941434190638226E-3</v>
      </c>
      <c r="U49" s="2">
        <f>-21.7935640645369*(1/14151.6638359215)</f>
        <v>-1.5400001241704022E-3</v>
      </c>
      <c r="V49" s="2">
        <f>-18.818131021444*(1/14151.6638359215)</f>
        <v>-1.3297468933424984E-3</v>
      </c>
      <c r="W49" s="2">
        <f>-11.2856120172625*(1/14151.6638359215)</f>
        <v>-7.9747598219623945E-4</v>
      </c>
      <c r="X49" s="2">
        <f>1.73669719071495*(1/14151.6638359215)</f>
        <v>1.227203536524554E-4</v>
      </c>
      <c r="Y49" s="2">
        <f>20.1666148699761*(1/14151.6638359215)</f>
        <v>1.4250349007575145E-3</v>
      </c>
      <c r="Z49" s="2">
        <f>42.6106279100581*(1/14151.6638359215)</f>
        <v>3.0109977458550523E-3</v>
      </c>
      <c r="AA49" s="2">
        <f>68.7709855162155*(1/14151.6638359215)</f>
        <v>4.8595689039512445E-3</v>
      </c>
      <c r="AB49" s="2">
        <f>98.3674902542641*(1/14151.6638359215)</f>
        <v>6.9509487643831386E-3</v>
      </c>
      <c r="AC49" s="2">
        <f>131.119944690019*(1/14151.6638359215)</f>
        <v>9.2653377164877374E-3</v>
      </c>
      <c r="AD49" s="2">
        <f>166.748151389304*(1/14151.6638359215)</f>
        <v>1.1782936149602656E-2</v>
      </c>
      <c r="AE49" s="2">
        <f>204.97191291792*(1/14151.6638359215)</f>
        <v>1.4483944453063887E-2</v>
      </c>
      <c r="AF49" s="2">
        <f>245.511031841689*(1/14151.6638359215)</f>
        <v>1.734856301620892E-2</v>
      </c>
      <c r="AG49" s="2">
        <f>288.085310726428*(1/14151.6638359215)</f>
        <v>2.0356992228374896E-2</v>
      </c>
      <c r="AH49" s="2">
        <f>332.414552137951*(1/14151.6638359215)</f>
        <v>2.3489432478898724E-2</v>
      </c>
      <c r="AI49" s="2">
        <f>378.133837059738*(1/14151.6638359215)</f>
        <v>2.6720097470087727E-2</v>
      </c>
      <c r="AJ49" s="2">
        <f>424.034247813094*(1/14151.6638359215)</f>
        <v>2.9963561368434852E-2</v>
      </c>
      <c r="AK49" s="2">
        <f>470.425351433345*(1/14151.6638359215)</f>
        <v>3.324169913075898E-2</v>
      </c>
      <c r="AL49" s="2">
        <f>518.112264126934*(1/14151.6638359215)</f>
        <v>3.661140273921696E-2</v>
      </c>
      <c r="AM49" s="2">
        <f>567.900102100304*(1/14151.6638359215)</f>
        <v>4.0129564175965651E-2</v>
      </c>
      <c r="AN49" s="2">
        <f>620.593981559897*(1/14151.6638359215)</f>
        <v>4.3853075423161816E-2</v>
      </c>
      <c r="AO49" s="2">
        <f>676.999018712156*(1/14151.6638359215)</f>
        <v>4.7838828462962328E-2</v>
      </c>
      <c r="AP49" s="2">
        <f>737.920329763536*(1/14151.6638359215)</f>
        <v>5.2143715277524857E-2</v>
      </c>
      <c r="AQ49" s="2">
        <f>804.163030920456*(1/14151.6638359215)</f>
        <v>5.6824627849004591E-2</v>
      </c>
      <c r="AR49" s="2">
        <f>876.532238389371*(1/14151.6638359215)</f>
        <v>6.1938458159559208E-2</v>
      </c>
      <c r="AS49" s="2">
        <f>955.833068376724*(1/14151.6638359215)</f>
        <v>6.7542098191345573E-2</v>
      </c>
      <c r="AT49" s="2">
        <f>1043.30908878337*(1/14151.6638359215)</f>
        <v>7.3723422268914707E-2</v>
      </c>
      <c r="AU49" s="2">
        <f>1139.70920361072*(1/14151.6638359215)</f>
        <v>8.0535350247493115E-2</v>
      </c>
      <c r="AV49" s="2">
        <f>1243.70034007746*(1/14151.6638359215)</f>
        <v>8.7883683112974051E-2</v>
      </c>
      <c r="AW49" s="2">
        <f>1353.87768848584*(1/14151.6638359215)</f>
        <v>9.5669152700565183E-2</v>
      </c>
      <c r="AX49" s="2">
        <f>1468.83643913813*(1/14151.6638359215)</f>
        <v>0.10379249084547557</v>
      </c>
      <c r="AY49" s="2">
        <f>1587.17178233659*(1/14151.6638359215)</f>
        <v>0.1121544293829136</v>
      </c>
      <c r="AZ49" s="2">
        <f>1707.47890838346*(1/14151.6638359215)</f>
        <v>0.12065570014808621</v>
      </c>
      <c r="BA49" s="2">
        <f>1828.35300758104*(1/14151.6638359215)</f>
        <v>0.12919703497620461</v>
      </c>
      <c r="BB49" s="2">
        <f>1948.38927023153*(1/14151.6638359215)</f>
        <v>0.13767916570247293</v>
      </c>
      <c r="BC49" s="2">
        <f>2066.18288663722*(1/14151.6638359215)</f>
        <v>0.14600282416210167</v>
      </c>
      <c r="BD49" s="2">
        <f>2180.44981510914*(1/14151.6638359215)</f>
        <v>0.15407727602845211</v>
      </c>
      <c r="BE49" s="2">
        <f>2294.47244344376*(1/14151.6638359215)</f>
        <v>0.16213446489731101</v>
      </c>
      <c r="BF49" s="2">
        <f>2409.89136369871*(1/14151.6638359215)</f>
        <v>0.17029032003866756</v>
      </c>
      <c r="BG49" s="2">
        <f>2526.17555233194*(1/14151.6638359215)</f>
        <v>0.17850731769925804</v>
      </c>
      <c r="BH49" s="2">
        <f>2642.79398580134*(1/14151.6638359215)</f>
        <v>0.18674793412581453</v>
      </c>
      <c r="BI49" s="2">
        <f>2759.21564056487*(1/14151.6638359215)</f>
        <v>0.19497464556507399</v>
      </c>
      <c r="BJ49" s="2">
        <f>2874.90949308045*(1/14151.6638359215)</f>
        <v>0.20314992826377065</v>
      </c>
      <c r="BK49" s="2">
        <f>2989.34451980603*(1/14151.6638359215)</f>
        <v>0.21123625846864075</v>
      </c>
      <c r="BL49" s="2">
        <f>3101.98969719953*(1/14151.6638359215)</f>
        <v>0.21919611242641851</v>
      </c>
      <c r="BM49" s="2">
        <f>3212.31400171891*(1/14151.6638359215)</f>
        <v>0.22699196638384089</v>
      </c>
      <c r="BN49" s="2">
        <f>3319.78640982205*(1/14151.6638359215)</f>
        <v>0.23458629658763927</v>
      </c>
      <c r="BO49" s="2">
        <f>3425.30586028174*(1/14151.6638359215)</f>
        <v>0.24204262481046263</v>
      </c>
      <c r="BP49" s="2">
        <f>3533.24206203346*(1/14151.6638359215)</f>
        <v>0.24966972809691459</v>
      </c>
      <c r="BQ49" s="2">
        <f>3642.52272953798*(1/14151.6638359215)</f>
        <v>0.25739183545980504</v>
      </c>
      <c r="BR49" s="2">
        <f>3751.53544566036*(1/14151.6638359215)</f>
        <v>0.26509500855565477</v>
      </c>
      <c r="BS49" s="2">
        <f>3858.66779326565*(1/14151.6638359215)</f>
        <v>0.27266530904098379</v>
      </c>
      <c r="BT49" s="2">
        <f>3962.30735521892*(1/14151.6638359215)</f>
        <v>0.27998879857231362</v>
      </c>
      <c r="BU49" s="2">
        <f>4060.84171438526*(1/14151.6638359215)</f>
        <v>0.28695153880616708</v>
      </c>
      <c r="BV49" s="2">
        <f>4152.65845362971*(1/14151.6638359215)</f>
        <v>0.29343959139906356</v>
      </c>
      <c r="BW49" s="2">
        <f>4236.14515581736*(1/14151.6638359215)</f>
        <v>0.29933901800752599</v>
      </c>
      <c r="BX49" s="2">
        <f>4309.68940381328*(1/14151.6638359215)</f>
        <v>0.30453588028807566</v>
      </c>
      <c r="BY49" s="2">
        <f>4371.68417648222*(1/14151.6638359215)</f>
        <v>0.30891662119513269</v>
      </c>
      <c r="BZ49" s="2">
        <f>4422.5221617026*(1/14151.6638359215)</f>
        <v>0.3125089892593978</v>
      </c>
      <c r="CA49" s="2">
        <f>4463.90014321279*(1/14151.6638359215)</f>
        <v>0.31543288442748108</v>
      </c>
      <c r="CB49" s="2">
        <f>4496.66037592075*(1/14151.6638359215)</f>
        <v>0.31774782301617227</v>
      </c>
      <c r="CC49" s="2">
        <f>4521.64511473446*(1/14151.6638359215)</f>
        <v>0.3195133213422624</v>
      </c>
      <c r="CD49" s="2">
        <f>4539.6966145619*(1/14151.6638359215)</f>
        <v>0.32078889572254266</v>
      </c>
      <c r="CE49" s="2">
        <f>4551.65713031103*(1/14151.6638359215)</f>
        <v>0.32163406247380272</v>
      </c>
      <c r="CF49" s="2">
        <f>4558.36891688983*(1/14151.6638359215)</f>
        <v>0.32210833791283366</v>
      </c>
      <c r="CG49" s="2">
        <f>4560.67422920627*(1/14151.6638359215)</f>
        <v>0.3222712383564259</v>
      </c>
      <c r="CH49" s="2">
        <f>4559.41532216833*(1/14151.6638359215)</f>
        <v>0.32218228012137057</v>
      </c>
      <c r="CI49" s="2">
        <f>4555.43445068398*(1/14151.6638359215)</f>
        <v>0.32190097952445801</v>
      </c>
      <c r="CJ49" s="2">
        <f>4549.14271192172*(1/14151.6638359215)</f>
        <v>0.32145638595332687</v>
      </c>
      <c r="CK49" s="2">
        <f>4538.51796655701*(1/14151.6638359215)</f>
        <v>0.32070560883708837</v>
      </c>
      <c r="CL49" s="2">
        <f>4523.26227850278*(1/14151.6638359215)</f>
        <v>0.31962759509742433</v>
      </c>
      <c r="CM49" s="2">
        <f>4503.47804187856*(1/14151.6638359215)</f>
        <v>0.31822958021708209</v>
      </c>
      <c r="CN49" s="2">
        <f>4479.26765080392*(1/14151.6638359215)</f>
        <v>0.31651879967881164</v>
      </c>
      <c r="CO49" s="2">
        <f>4450.7334993984*(1/14151.6638359215)</f>
        <v>0.31450248896536104</v>
      </c>
      <c r="CP49" s="2">
        <f>4417.97798178153*(1/14151.6638359215)</f>
        <v>0.31218788355947752</v>
      </c>
      <c r="CQ49" s="2">
        <f>4381.10349207289*(1/14151.6638359215)</f>
        <v>0.30958221894391191</v>
      </c>
      <c r="CR49" s="2">
        <f>4340.21242439201*(1/14151.6638359215)</f>
        <v>0.3066927306014115</v>
      </c>
      <c r="CS49" s="2">
        <f>4295.40717285844*(1/14151.6638359215)</f>
        <v>0.30352665401472495</v>
      </c>
      <c r="CT49" s="2">
        <f>4246.79013159174*(1/14151.6638359215)</f>
        <v>0.3000912246666016</v>
      </c>
      <c r="CU49" s="2">
        <f>4194.93451433661*(1/14151.6638359215)</f>
        <v>0.29642694759951188</v>
      </c>
      <c r="CV49" s="2">
        <f>4140.19164643366*(1/14151.6638359215)</f>
        <v>0.29255864854028785</v>
      </c>
      <c r="CW49" s="2">
        <f>4082.10770766323*(1/14151.6638359215)</f>
        <v>0.28845425915937323</v>
      </c>
      <c r="CX49" s="2">
        <f>4020.22642155613*(1/14151.6638359215)</f>
        <v>0.28408153756108134</v>
      </c>
      <c r="CY49" s="2">
        <f>3954.09151164318*(1/14151.6638359215)</f>
        <v>0.27940824184972635</v>
      </c>
      <c r="CZ49" s="2">
        <f>3883.24670145519*(1/14151.6638359215)</f>
        <v>0.2744021301296215</v>
      </c>
      <c r="DA49" s="2">
        <f>3807.23571452296*(1/14151.6638359215)</f>
        <v>0.26903096050507957</v>
      </c>
      <c r="DB49" s="2">
        <f>3725.60227437734*(1/14151.6638359215)</f>
        <v>0.26326249108041677</v>
      </c>
      <c r="DC49" s="2">
        <f>3637.89010454912*(1/14151.6638359215)</f>
        <v>0.25706447995994497</v>
      </c>
      <c r="DD49" s="2">
        <f>3543.64292856913*(1/14151.6638359215)</f>
        <v>0.25040468524797899</v>
      </c>
      <c r="DE49" s="2">
        <f>3442.0965408481*(1/14151.6638359215)</f>
        <v>0.24322910583213161</v>
      </c>
      <c r="DF49" s="2">
        <f>3330.28302427758*(1/14151.6638359215)</f>
        <v>0.23532801958058419</v>
      </c>
      <c r="DG49" s="2">
        <f>3208.98097804743*(1/14151.6638359215)</f>
        <v>0.2267564447017176</v>
      </c>
      <c r="DH49" s="2">
        <f>3079.96991950785*(1/14151.6638359215)</f>
        <v>0.21764012735307423</v>
      </c>
      <c r="DI49" s="2">
        <f>2945.0293660091*(1/14151.6638359215)</f>
        <v>0.20810481369220085</v>
      </c>
      <c r="DJ49" s="2">
        <f>2805.93883490139*(1/14151.6638359215)</f>
        <v>0.19827624987664061</v>
      </c>
      <c r="DK49" s="2">
        <f>2664.47784353493*(1/14151.6638359215)</f>
        <v>0.18828018206393679</v>
      </c>
      <c r="DL49" s="2">
        <f>2522.42590925993*(1/14151.6638359215)</f>
        <v>0.17824235641163247</v>
      </c>
      <c r="DM49" s="2">
        <f>2381.5625494266*(1/14151.6638359215)</f>
        <v>0.16828851907727091</v>
      </c>
      <c r="DN49" s="2">
        <f>2243.6672813852*(1/14151.6638359215)</f>
        <v>0.15854441621839879</v>
      </c>
      <c r="DO49" s="2">
        <f>2110.51962248593*(1/14151.6638359215)</f>
        <v>0.14913579399255858</v>
      </c>
      <c r="DP49" s="2">
        <f>1979.91984091748*(1/14151.6638359215)</f>
        <v>0.13990721259869127</v>
      </c>
      <c r="DQ49" s="2">
        <f>1845.70306701415*(1/14151.6638359215)</f>
        <v>0.13042304342540689</v>
      </c>
      <c r="DR49" s="2">
        <f>1709.29151888019*(1/14151.6638359215)</f>
        <v>0.12078378476892981</v>
      </c>
      <c r="DS49" s="2">
        <f>1572.31847040179*(1/14151.6638359215)</f>
        <v>0.11110484877479475</v>
      </c>
      <c r="DT49" s="2">
        <f>1436.41719546512*(1/14151.6638359215)</f>
        <v>0.10150164758853503</v>
      </c>
      <c r="DU49" s="2">
        <f>1303.22096795643*(1/14151.6638359215)</f>
        <v>9.2089593355689656E-2</v>
      </c>
      <c r="DV49" s="2">
        <f>1174.36306176187*(1/14151.6638359215)</f>
        <v>8.2984098221790495E-2</v>
      </c>
      <c r="DW49" s="2">
        <f>1051.47675076765*(1/14151.6638359215)</f>
        <v>7.4300574332373692E-2</v>
      </c>
      <c r="DX49" s="2">
        <f>936.195308859956*(1/14151.6638359215)</f>
        <v>6.615443383297373E-2</v>
      </c>
      <c r="DY49" s="2">
        <f>830.152009924963*(1/14151.6638359215)</f>
        <v>5.8661088869124259E-2</v>
      </c>
      <c r="DZ49" s="2">
        <f>734.854044991808*(1/14151.6638359215)</f>
        <v>5.1927042184715465E-2</v>
      </c>
      <c r="EA49" s="2">
        <f>648.595234874282*(1/14151.6638359215)</f>
        <v>4.583172992195713E-2</v>
      </c>
      <c r="EB49" s="2">
        <f>569.905714592067*(1/14151.6638359215)</f>
        <v>4.0271286910127276E-2</v>
      </c>
      <c r="EC49" s="2">
        <f>498.246738000844*(1/14151.6638359215)</f>
        <v>3.5207643693184167E-2</v>
      </c>
      <c r="ED49" s="2">
        <f>433.079558956294*(1/14151.6638359215)</f>
        <v>3.060273081508607E-2</v>
      </c>
      <c r="EE49" s="2">
        <f>373.865431314087*(1/14151.6638359215)</f>
        <v>2.6418478819790477E-2</v>
      </c>
      <c r="EF49" s="2">
        <f>320.065608929926*(1/14151.6638359215)</f>
        <v>2.261681825125721E-2</v>
      </c>
      <c r="EG49" s="2">
        <f>271.141345659482*(1/14151.6638359215)</f>
        <v>1.9159679653443829E-2</v>
      </c>
      <c r="EH49" s="2">
        <f>226.553895358434*(1/14151.6638359215)</f>
        <v>1.6008993570308456E-2</v>
      </c>
      <c r="EI49" s="2">
        <f>185.764511882464*(1/14151.6638359215)</f>
        <v>1.3126690545809434E-2</v>
      </c>
      <c r="EJ49" s="2">
        <f>148.234449087246*(1/14151.6638359215)</f>
        <v>1.0474701123904528E-2</v>
      </c>
      <c r="EK49" s="2">
        <f>114.651070916358*(1/14151.6638359215)</f>
        <v>8.1015965504590698E-3</v>
      </c>
      <c r="EL49" s="2">
        <f>87.9832951085343*(1/14151.6638359215)</f>
        <v>6.2171696648986429E-3</v>
      </c>
      <c r="EM49" s="2">
        <f>67.5289544886598*(1/14151.6638359215)</f>
        <v>4.7718031795844018E-3</v>
      </c>
      <c r="EN49" s="2">
        <f>52.3256580902874*(1/14151.6638359215)</f>
        <v>3.6974915951202823E-3</v>
      </c>
      <c r="EO49" s="2">
        <f>41.4110149469704*(1/14151.6638359215)</f>
        <v>2.9262294121102459E-3</v>
      </c>
      <c r="EP49" s="2">
        <f>33.8226340922623*(1/14151.6638359215)</f>
        <v>2.3900111311582679E-3</v>
      </c>
      <c r="EQ49" s="2">
        <f>28.5981245597156*(1/14151.6638359215)</f>
        <v>2.0208312528682535E-3</v>
      </c>
      <c r="ER49" s="2">
        <f>24.7750953828854*(1/14151.6638359215)</f>
        <v>1.7506842778442909E-3</v>
      </c>
      <c r="ES49" s="2">
        <f>21.3911555953241*(1/14151.6638359215)</f>
        <v>1.5115647066902783E-3</v>
      </c>
      <c r="ET49" s="2">
        <f>17.4839142305848*(1/14151.6638359215)</f>
        <v>1.2354670400101628E-3</v>
      </c>
      <c r="EU49" s="2">
        <f>12.1255469308674*(1/14151.6638359215)</f>
        <v>8.568283610644313E-4</v>
      </c>
      <c r="EV49" s="2">
        <f>7.19247583067748*(1/14151.6638359215)</f>
        <v>5.0824241686837207E-4</v>
      </c>
      <c r="EW49" s="2">
        <f>4.00591211918066*(1/14151.6638359215)</f>
        <v>2.8307004502271739E-4</v>
      </c>
      <c r="EX49" s="2">
        <f>2.27957802235442*(1/14151.6638359215)</f>
        <v>1.6108197939016284E-4</v>
      </c>
      <c r="EY49" s="2">
        <f>1.72719576617729*(1/14151.6638359215)</f>
        <v>1.2204895383347848E-4</v>
      </c>
      <c r="EZ49" s="2">
        <f>2.06248757662782*(1/14151.6638359215)</f>
        <v>1.4574170221543558E-4</v>
      </c>
      <c r="FA49" s="2">
        <f>2.99917567968455*(1/14151.6638359215)</f>
        <v>2.1193095839880483E-4</v>
      </c>
      <c r="FB49" s="2">
        <f>4.25098230132626*(1/14151.6638359215)</f>
        <v>3.0038745624637385E-4</v>
      </c>
      <c r="FC49" s="2">
        <f>5.53162966753098*(1/14151.6638359215)</f>
        <v>3.9088192962087717E-4</v>
      </c>
      <c r="FD49" s="2">
        <f>6.55484000427747*(1/14151.6638359215)</f>
        <v>4.6318511238510108E-4</v>
      </c>
      <c r="FE49" s="2">
        <f>7.03433553754427*(1/14151.6638359215)</f>
        <v>4.9706773840181616E-4</v>
      </c>
      <c r="FF49" s="2">
        <f>6.85178905262958*(1/14151.6638359215)</f>
        <v>4.8416844351810586E-4</v>
      </c>
      <c r="FG49" s="2">
        <f>6.62947263157389*(1/14151.6638359215)</f>
        <v>4.6845888288740608E-4</v>
      </c>
      <c r="FH49" s="2">
        <f>6.45985343624995*(1/14151.6638359215)</f>
        <v>4.5647306996176326E-4</v>
      </c>
      <c r="FI49" s="2">
        <f>6.34293146665772*(1/14151.6638359215)</f>
        <v>4.4821100474117453E-4</v>
      </c>
      <c r="FJ49" s="2">
        <f>6.27870672279719*(1/14151.6638359215)</f>
        <v>4.4367268722563923E-4</v>
      </c>
      <c r="FK49" s="2">
        <f>6.26717920466838*(1/14151.6638359215)</f>
        <v>4.4285811741515878E-4</v>
      </c>
      <c r="FL49" s="2">
        <f>6.30834891227128*(1/14151.6638359215)</f>
        <v>4.4576729530973247E-4</v>
      </c>
      <c r="FM49" s="2">
        <f>6.40221584560591*(1/14151.6638359215)</f>
        <v>4.524002209093616E-4</v>
      </c>
      <c r="FN49" s="2">
        <f>6.54878000467223*(1/14151.6638359215)</f>
        <v>4.6275689421404351E-4</v>
      </c>
      <c r="FO49" s="2">
        <f>6.74804138947026*(1/14151.6638359215)</f>
        <v>4.7683731522377945E-4</v>
      </c>
      <c r="FP49" s="2">
        <f t="shared" si="17"/>
        <v>4.9464148393856954E-4</v>
      </c>
      <c r="FQ49" s="2"/>
    </row>
    <row r="50" spans="2:173">
      <c r="B50" s="2">
        <v>9.7449704142011839</v>
      </c>
      <c r="C50" s="2">
        <f t="shared" si="18"/>
        <v>4.9464148393856954E-4</v>
      </c>
      <c r="D50" s="2">
        <f>7.18791188524806*(1/14151.6638359215)</f>
        <v>5.0791991447696877E-4</v>
      </c>
      <c r="E50" s="2">
        <f>7.33652193828737*(1/14151.6638359215)</f>
        <v>5.1842115692890501E-4</v>
      </c>
      <c r="F50" s="2">
        <f>7.44583015911796*(1/14151.6638359215)</f>
        <v>5.2614521129438043E-4</v>
      </c>
      <c r="G50" s="2">
        <f>7.51583654773978*(1/14151.6638359215)</f>
        <v>5.3109207757339144E-4</v>
      </c>
      <c r="H50" s="2">
        <f>7.54654110415286*(1/14151.6638359215)</f>
        <v>5.3326175576594022E-4</v>
      </c>
      <c r="I50" s="2">
        <f>7.53794382835719*(1/14151.6638359215)</f>
        <v>5.3265424587202611E-4</v>
      </c>
      <c r="J50" s="2">
        <f>7.49004472035279*(1/14151.6638359215)</f>
        <v>5.2926954789165031E-4</v>
      </c>
      <c r="K50" s="2">
        <f>7.40284378013964*(1/14151.6638359215)</f>
        <v>5.2310766182481162E-4</v>
      </c>
      <c r="L50" s="2">
        <f>7.27634100771772*(1/14151.6638359215)</f>
        <v>5.1416858767150853E-4</v>
      </c>
      <c r="M50" s="2">
        <f>7.11053640308708*(1/14151.6638359215)</f>
        <v>5.0245232543174461E-4</v>
      </c>
      <c r="N50" s="2">
        <f>6.57047157873266*(1/14151.6638359215)</f>
        <v>4.6428968741150272E-4</v>
      </c>
      <c r="O50" s="2">
        <f>3.40199220597625*(1/14151.6638359215)</f>
        <v>2.4039521044450573E-4</v>
      </c>
      <c r="P50" s="2">
        <f>-1.96626637877779*(1/14151.6638359215)</f>
        <v>-1.3894241705959478E-4</v>
      </c>
      <c r="Q50" s="2">
        <f>-8.49727503323083*(1/14151.6638359215)</f>
        <v>-6.0044353312449365E-4</v>
      </c>
      <c r="R50" s="2">
        <f>-15.1540046150854*(1/14151.6638359215)</f>
        <v>-1.0708284757739678E-3</v>
      </c>
      <c r="S50" s="2">
        <f>-20.8994259820401*(1/14151.6638359215)</f>
        <v>-1.4768175830315159E-3</v>
      </c>
      <c r="T50" s="2">
        <f>-24.6965099917977*(1/14151.6638359215)</f>
        <v>-1.7451311929209321E-3</v>
      </c>
      <c r="U50" s="2">
        <f>-25.5082275020595*(1/14151.6638359215)</f>
        <v>-1.8024896434659062E-3</v>
      </c>
      <c r="V50" s="2">
        <f>-22.2975493705268*(1/14151.6638359215)</f>
        <v>-1.5756132726901277E-3</v>
      </c>
      <c r="W50" s="2">
        <f>-14.0274464549009*(1/14151.6638359215)</f>
        <v>-9.9122241861728682E-4</v>
      </c>
      <c r="X50" s="2">
        <f>0.339110387120098*(1/14151.6638359215)</f>
        <v>2.396258072915258E-5</v>
      </c>
      <c r="Y50" s="2">
        <f>20.6934418179209*(1/14151.6638359215)</f>
        <v>1.4622621098018349E-3</v>
      </c>
      <c r="Z50" s="2">
        <f>45.4668227126115*(1/14151.6638359215)</f>
        <v>3.2128252366482872E-3</v>
      </c>
      <c r="AA50" s="2">
        <f>74.3418078723053*(1/14151.6638359215)</f>
        <v>5.2532203092333033E-3</v>
      </c>
      <c r="AB50" s="2">
        <f>107.020858466399*(1/14151.6638359215)</f>
        <v>7.5624223205998896E-3</v>
      </c>
      <c r="AC50" s="2">
        <f>143.206435664287*(1/14151.6638359215)</f>
        <v>1.0119406263790888E-2</v>
      </c>
      <c r="AD50" s="2">
        <f>182.601000635376*(1/14151.6638359215)</f>
        <v>1.290314713185001E-2</v>
      </c>
      <c r="AE50" s="2">
        <f>224.907014549046*(1/14151.6638359215)</f>
        <v>1.5892619917819081E-2</v>
      </c>
      <c r="AF50" s="2">
        <f>269.8269385747*(1/14151.6638359215)</f>
        <v>1.9066799614741555E-2</v>
      </c>
      <c r="AG50" s="2">
        <f>317.063233881735*(1/14151.6638359215)</f>
        <v>2.2404661215660451E-2</v>
      </c>
      <c r="AH50" s="2">
        <f>366.318361639547*(1/14151.6638359215)</f>
        <v>2.5885179713618728E-2</v>
      </c>
      <c r="AI50" s="2">
        <f>417.243113312795*(1/14151.6638359215)</f>
        <v>2.9483678961741377E-2</v>
      </c>
      <c r="AJ50" s="2">
        <f>469.048489184263*(1/14151.6638359215)</f>
        <v>3.3144405818463993E-2</v>
      </c>
      <c r="AK50" s="2">
        <f>522.037099848588*(1/14151.6638359215)</f>
        <v>3.6888743677156111E-2</v>
      </c>
      <c r="AL50" s="2">
        <f>576.834342519669*(1/14151.6638359215)</f>
        <v>4.0760885024379738E-2</v>
      </c>
      <c r="AM50" s="2">
        <f>634.065614411405*(1/14151.6638359215)</f>
        <v>4.4805022346696893E-2</v>
      </c>
      <c r="AN50" s="2">
        <f>694.356312737695*(1/14151.6638359215)</f>
        <v>4.9065348130669567E-2</v>
      </c>
      <c r="AO50" s="2">
        <f>758.331834712438*(1/14151.6638359215)</f>
        <v>5.3586054862859764E-2</v>
      </c>
      <c r="AP50" s="2">
        <f>826.617577549547*(1/14151.6638359215)</f>
        <v>5.8411335029830508E-2</v>
      </c>
      <c r="AQ50" s="2">
        <f>899.838938462895*(1/14151.6638359215)</f>
        <v>6.3585381118141937E-2</v>
      </c>
      <c r="AR50" s="2">
        <f>978.621314666395*(1/14151.6638359215)</f>
        <v>6.9152385614357062E-2</v>
      </c>
      <c r="AS50" s="2">
        <f>1063.59010337394*(1/14151.6638359215)</f>
        <v>7.5156541005037478E-2</v>
      </c>
      <c r="AT50" s="2">
        <f>1155.90529362031*(1/14151.6638359215)</f>
        <v>8.1679815675542583E-2</v>
      </c>
      <c r="AU50" s="2">
        <f>1256.5152222692*(1/14151.6638359215)</f>
        <v>8.8789222019234088E-2</v>
      </c>
      <c r="AV50" s="2">
        <f>1364.19724003604*(1/14151.6638359215)</f>
        <v>9.6398363885189686E-2</v>
      </c>
      <c r="AW50" s="2">
        <f>1477.64922017045*(1/14151.6638359215)</f>
        <v>0.10441522900082592</v>
      </c>
      <c r="AX50" s="2">
        <f>1595.56903592205*(1/14151.6638359215)</f>
        <v>0.11274780509355938</v>
      </c>
      <c r="AY50" s="2">
        <f>1716.65456054045*(1/14151.6638359215)</f>
        <v>0.12130407989080587</v>
      </c>
      <c r="AZ50" s="2">
        <f>1839.60366727528*(1/14151.6638359215)</f>
        <v>0.12999204111998272</v>
      </c>
      <c r="BA50" s="2">
        <f>1963.11422937617*(1/14151.6638359215)</f>
        <v>0.13871967650850717</v>
      </c>
      <c r="BB50" s="2">
        <f>2085.88412009269*(1/14151.6638359215)</f>
        <v>0.14739497378379224</v>
      </c>
      <c r="BC50" s="2">
        <f>2206.61121267447*(1/14151.6638359215)</f>
        <v>0.1559259206732552</v>
      </c>
      <c r="BD50" s="2">
        <f>2324.10790407164*(1/14151.6638359215)</f>
        <v>0.16422859750047925</v>
      </c>
      <c r="BE50" s="2">
        <f>2441.50253450773*(1/14151.6638359215)</f>
        <v>0.17252406238695461</v>
      </c>
      <c r="BF50" s="2">
        <f>2560.32646738302*(1/14151.6638359215)</f>
        <v>0.18092052617050466</v>
      </c>
      <c r="BG50" s="2">
        <f>2680.04500239379*(1/14151.6638359215)</f>
        <v>0.18938020528660165</v>
      </c>
      <c r="BH50" s="2">
        <f>2800.12343923629*(1/14151.6638359215)</f>
        <v>0.19786531617071562</v>
      </c>
      <c r="BI50" s="2">
        <f>2920.02707760681*(1/14151.6638359215)</f>
        <v>0.2063380752583196</v>
      </c>
      <c r="BJ50" s="2">
        <f>3039.22121720165*(1/14151.6638359215)</f>
        <v>0.21476069898488709</v>
      </c>
      <c r="BK50" s="2">
        <f>3157.17115771708*(1/14151.6638359215)</f>
        <v>0.22309540378588971</v>
      </c>
      <c r="BL50" s="2">
        <f>3273.34219884938*(1/14151.6638359215)</f>
        <v>0.23130440609679967</v>
      </c>
      <c r="BM50" s="2">
        <f>3387.19964029485*(1/14151.6638359215)</f>
        <v>0.23934992235309049</v>
      </c>
      <c r="BN50" s="2">
        <f>3498.20878174974*(1/14151.6638359215)</f>
        <v>0.24719416899023242</v>
      </c>
      <c r="BO50" s="2">
        <f>3607.24130642122*(1/14151.6638359215)</f>
        <v>0.25489874181895666</v>
      </c>
      <c r="BP50" s="2">
        <f>3718.59406955703*(1/14151.6638359215)</f>
        <v>0.26276726981869336</v>
      </c>
      <c r="BQ50" s="2">
        <f>3831.2258439556*(1/14151.6638359215)</f>
        <v>0.27072617667971377</v>
      </c>
      <c r="BR50" s="2">
        <f>3943.56479655237*(1/14151.6638359215)</f>
        <v>0.27866439185350961</v>
      </c>
      <c r="BS50" s="2">
        <f>4054.03909428272*(1/14151.6638359215)</f>
        <v>0.28647084479156842</v>
      </c>
      <c r="BT50" s="2">
        <f>4161.0769040821*(1/14151.6638359215)</f>
        <v>0.29403446494538266</v>
      </c>
      <c r="BU50" s="2">
        <f>4263.10639288593*(1/14151.6638359215)</f>
        <v>0.30124418176644274</v>
      </c>
      <c r="BV50" s="2">
        <f>4358.55572762964*(1/14151.6638359215)</f>
        <v>0.30798892470623956</v>
      </c>
      <c r="BW50" s="2">
        <f>4445.85307524864*(1/14151.6638359215)</f>
        <v>0.31415762321626289</v>
      </c>
      <c r="BX50" s="2">
        <f>4523.42660267837*(1/14151.6638359215)</f>
        <v>0.31963920674800445</v>
      </c>
      <c r="BY50" s="2">
        <f>4589.71140625779*(1/14151.6638359215)</f>
        <v>0.32432309440587603</v>
      </c>
      <c r="BZ50" s="2">
        <f>4645.52174354474*(1/14151.6638359215)</f>
        <v>0.32826682412798019</v>
      </c>
      <c r="CA50" s="2">
        <f>4692.6788511427*(1/14151.6638359215)</f>
        <v>0.33159909008233812</v>
      </c>
      <c r="CB50" s="2">
        <f>4731.75960166942*(1/14151.6638359215)</f>
        <v>0.33436065585861952</v>
      </c>
      <c r="CC50" s="2">
        <f>4763.34086774263*(1/14151.6638359215)</f>
        <v>0.33659228504649258</v>
      </c>
      <c r="CD50" s="2">
        <f>4787.9995219801*(1/14151.6638359215)</f>
        <v>0.33833474123562834</v>
      </c>
      <c r="CE50" s="2">
        <f>4806.31243699955*(1/14151.6638359215)</f>
        <v>0.33962878801569429</v>
      </c>
      <c r="CF50" s="2">
        <f>4818.85648541875*(1/14151.6638359215)</f>
        <v>0.34051518897636146</v>
      </c>
      <c r="CG50" s="2">
        <f>4826.20853985544*(1/14151.6638359215)</f>
        <v>0.34103470770729882</v>
      </c>
      <c r="CH50" s="2">
        <f>4828.94547292736*(1/14151.6638359215)</f>
        <v>0.34122810779817531</v>
      </c>
      <c r="CI50" s="2">
        <f>4827.64415725226*(1/14151.6638359215)</f>
        <v>0.34113615283866039</v>
      </c>
      <c r="CJ50" s="2">
        <f>4822.47641961839*(1/14151.6638359215)</f>
        <v>0.34077098463697142</v>
      </c>
      <c r="CK50" s="2">
        <f>4811.49698185999*(1/14151.6638359215)</f>
        <v>0.33999514386759633</v>
      </c>
      <c r="CL50" s="2">
        <f>4794.64287703751*(1/14151.6638359215)</f>
        <v>0.33880418109333232</v>
      </c>
      <c r="CM50" s="2">
        <f>4772.24597561792*(1/14151.6638359215)</f>
        <v>0.33722154729993065</v>
      </c>
      <c r="CN50" s="2">
        <f>4744.63814806823*(1/14151.6638359215)</f>
        <v>0.33527069347314514</v>
      </c>
      <c r="CO50" s="2">
        <f>4712.15126485542*(1/14151.6638359215)</f>
        <v>0.3329750705987275</v>
      </c>
      <c r="CP50" s="2">
        <f>4675.11719644645*(1/14151.6638359215)</f>
        <v>0.33035812966242817</v>
      </c>
      <c r="CQ50" s="2">
        <f>4633.86781330835*(1/14151.6638359215)</f>
        <v>0.32744332165000239</v>
      </c>
      <c r="CR50" s="2">
        <f>4588.73498590808*(1/14151.6638359215)</f>
        <v>0.32425409754720053</v>
      </c>
      <c r="CS50" s="2">
        <f>4540.05058471264*(1/14151.6638359215)</f>
        <v>0.3208139083397758</v>
      </c>
      <c r="CT50" s="2">
        <f>4488.14648018901*(1/14151.6638359215)</f>
        <v>0.31714620501347995</v>
      </c>
      <c r="CU50" s="2">
        <f>4433.39801217732*(1/14151.6638359215)</f>
        <v>0.31327751023338485</v>
      </c>
      <c r="CV50" s="2">
        <f>4375.71729733151*(1/14151.6638359215)</f>
        <v>0.30920161389253215</v>
      </c>
      <c r="CW50" s="2">
        <f>4314.67767131172*(1/14151.6638359215)</f>
        <v>0.30488836657917723</v>
      </c>
      <c r="CX50" s="2">
        <f>4249.85178229549*(1/14151.6638359215)</f>
        <v>0.3003075703019451</v>
      </c>
      <c r="CY50" s="2">
        <f>4180.81227846038*(1/14151.6638359215)</f>
        <v>0.29542902706946206</v>
      </c>
      <c r="CZ50" s="2">
        <f>4107.13180798394*(1/14151.6638359215)</f>
        <v>0.29022253889035377</v>
      </c>
      <c r="DA50" s="2">
        <f>4028.38301904371*(1/14151.6638359215)</f>
        <v>0.28465790777324512</v>
      </c>
      <c r="DB50" s="2">
        <f>3944.13855981727*(1/14151.6638359215)</f>
        <v>0.27870493572676386</v>
      </c>
      <c r="DC50" s="2">
        <f>3853.97107848218*(1/14151.6638359215)</f>
        <v>0.27233342475953642</v>
      </c>
      <c r="DD50" s="2">
        <f>3757.45322321597*(1/14151.6638359215)</f>
        <v>0.26551317688018694</v>
      </c>
      <c r="DE50" s="2">
        <f>3653.88727999025*(1/14151.6638359215)</f>
        <v>0.25819488947409158</v>
      </c>
      <c r="DF50" s="2">
        <f>3540.65814528852*(1/14151.6638359215)</f>
        <v>0.250193771300671</v>
      </c>
      <c r="DG50" s="2">
        <f>3418.47452936924*(1/14151.6638359215)</f>
        <v>0.24155990200191485</v>
      </c>
      <c r="DH50" s="2">
        <f>3288.92756005366*(1/14151.6638359215)</f>
        <v>0.23240571555305731</v>
      </c>
      <c r="DI50" s="2">
        <f>3153.60836516311*(1/14151.6638359215)</f>
        <v>0.22284364592933817</v>
      </c>
      <c r="DJ50" s="2">
        <f>3014.10807251885*(1/14151.6638359215)</f>
        <v>0.21298612710599221</v>
      </c>
      <c r="DK50" s="2">
        <f>2872.01780994216*(1/14151.6638359215)</f>
        <v>0.2029455930582558</v>
      </c>
      <c r="DL50" s="2">
        <f>2728.92870525431*(1/14151.6638359215)</f>
        <v>0.19283447776136445</v>
      </c>
      <c r="DM50" s="2">
        <f>2586.43188627657*(1/14151.6638359215)</f>
        <v>0.18276521519055372</v>
      </c>
      <c r="DN50" s="2">
        <f>2446.11848083025*(1/14151.6638359215)</f>
        <v>0.17285023932106205</v>
      </c>
      <c r="DO50" s="2">
        <f>2309.57961673663*(1/14151.6638359215)</f>
        <v>0.16320198412812564</v>
      </c>
      <c r="DP50" s="2">
        <f>2174.56028040731*(1/14151.6638359215)</f>
        <v>0.15366110343064912</v>
      </c>
      <c r="DQ50" s="2">
        <f>2035.12582812089*(1/14151.6638359215)</f>
        <v>0.14380823708906104</v>
      </c>
      <c r="DR50" s="2">
        <f>1892.79960929678*(1/14151.6638359215)</f>
        <v>0.13375102964870056</v>
      </c>
      <c r="DS50" s="2">
        <f>1749.3106051881*(1/14151.6638359215)</f>
        <v>0.12361165623138842</v>
      </c>
      <c r="DT50" s="2">
        <f>1606.3877970479*(1/14151.6638359215)</f>
        <v>0.11351229195894043</v>
      </c>
      <c r="DU50" s="2">
        <f>1465.76016612937*(1/14151.6638359215)</f>
        <v>0.10357511195318225</v>
      </c>
      <c r="DV50" s="2">
        <f>1329.15669368556*(1/14151.6638359215)</f>
        <v>9.3922291335929733E-2</v>
      </c>
      <c r="DW50" s="2">
        <f>1198.30636096959*(1/14151.6638359215)</f>
        <v>8.4676005229003606E-2</v>
      </c>
      <c r="DX50" s="2">
        <f>1074.93814923456*(1/14151.6638359215)</f>
        <v>7.5958428754223178E-2</v>
      </c>
      <c r="DY50" s="2">
        <f>960.781039733558*(1/14151.6638359215)</f>
        <v>6.7891737033406979E-2</v>
      </c>
      <c r="DZ50" s="2">
        <f>857.40235048013*(1/14151.6638359215)</f>
        <v>6.0586681567701292E-2</v>
      </c>
      <c r="EA50" s="2">
        <f>762.444040699365*(1/14151.6638359215)</f>
        <v>5.3876635958807574E-2</v>
      </c>
      <c r="EB50" s="2">
        <f>674.33422345422*(1/14151.6638359215)</f>
        <v>4.7650525851422619E-2</v>
      </c>
      <c r="EC50" s="2">
        <f>592.765025891582*(1/14151.6638359215)</f>
        <v>4.1886596004842389E-2</v>
      </c>
      <c r="ED50" s="2">
        <f>517.428575158335*(1/14151.6638359215)</f>
        <v>3.6563091178362643E-2</v>
      </c>
      <c r="EE50" s="2">
        <f>448.016998401353*(1/14151.6638359215)</f>
        <v>3.1658256131278428E-2</v>
      </c>
      <c r="EF50" s="2">
        <f>384.222422767547*(1/14151.6638359215)</f>
        <v>2.7150335622887413E-2</v>
      </c>
      <c r="EG50" s="2">
        <f>325.736975403788*(1/14151.6638359215)</f>
        <v>2.3017574412484431E-2</v>
      </c>
      <c r="EH50" s="2">
        <f>272.252783456964*(1/14151.6638359215)</f>
        <v>1.9238217259365527E-2</v>
      </c>
      <c r="EI50" s="2">
        <f>223.461974073957*(1/14151.6638359215)</f>
        <v>1.5790508922826321E-2</v>
      </c>
      <c r="EJ50" s="2">
        <f>179.056674401647*(1/14151.6638359215)</f>
        <v>1.2652694162162279E-2</v>
      </c>
      <c r="EK50" s="2">
        <f>139.837545876764*(1/14151.6638359215)</f>
        <v>9.881350171830049E-3</v>
      </c>
      <c r="EL50" s="2">
        <f>108.486064208842*(1/14151.6638359215)</f>
        <v>7.6659582552737922E-3</v>
      </c>
      <c r="EM50" s="2">
        <f>84.1694706524591*(1/14151.6638359215)</f>
        <v>5.9476731236937494E-3</v>
      </c>
      <c r="EN50" s="2">
        <f>65.8134965620485*(1/14151.6638359215)</f>
        <v>4.6505836575196592E-3</v>
      </c>
      <c r="EO50" s="2">
        <f>52.3438732920421*(1/14151.6638359215)</f>
        <v>3.6987787371811657E-3</v>
      </c>
      <c r="EP50" s="2">
        <f>42.6863321968722*(1/14151.6638359215)</f>
        <v>3.0163472431079435E-3</v>
      </c>
      <c r="EQ50" s="2">
        <f>35.7666046309699*(1/14151.6638359215)</f>
        <v>2.5273780557295809E-3</v>
      </c>
      <c r="ER50" s="2">
        <f>30.51042194877*(1/14151.6638359215)</f>
        <v>2.1559600554759278E-3</v>
      </c>
      <c r="ES50" s="2">
        <f>25.8435155047032*(1/14151.6638359215)</f>
        <v>1.8261821227765459E-3</v>
      </c>
      <c r="ET50" s="2">
        <f>20.6916166532019*(1/14151.6638359215)</f>
        <v>1.4621331380611153E-3</v>
      </c>
      <c r="EU50" s="2">
        <f>14.0197117052478*(1/14151.6638359215)</f>
        <v>9.9067585746781517E-4</v>
      </c>
      <c r="EV50" s="2">
        <f>7.96941607316099*(1/14151.6638359215)</f>
        <v>5.6314339893603427E-4</v>
      </c>
      <c r="EW50" s="2">
        <f>4.02685700390457*(1/14151.6638359215)</f>
        <v>2.8455007485996838E-4</v>
      </c>
      <c r="EX50" s="2">
        <f>1.84782782293112*(1/14151.6638359215)</f>
        <v>1.3057318519966079E-4</v>
      </c>
      <c r="EY50" s="2">
        <f>1.08812185569453*(1/14151.6638359215)</f>
        <v>7.6890029915247475E-5</v>
      </c>
      <c r="EZ50" s="2">
        <f>1.40353242764869*(1/14151.6638359215)</f>
        <v>9.917790896686444E-5</v>
      </c>
      <c r="FA50" s="2">
        <f>2.4498528642475*(1/14151.6638359215)</f>
        <v>1.7311412231464836E-4</v>
      </c>
      <c r="FB50" s="2">
        <f>3.88287649094513*(1/14151.6638359215)</f>
        <v>2.7437596991875495E-4</v>
      </c>
      <c r="FC50" s="2">
        <f>5.3583966331949*(1/14151.6638359215)</f>
        <v>3.7864075173928006E-4</v>
      </c>
      <c r="FD50" s="2">
        <f>6.53220661645094*(1/14151.6638359215)</f>
        <v>4.6158576773637646E-4</v>
      </c>
      <c r="FE50" s="2">
        <f>7.06009976616713*(1/14151.6638359215)</f>
        <v>4.9888831787017957E-4</v>
      </c>
      <c r="FF50" s="2">
        <f>6.79980511066213*(1/14151.6638359215)</f>
        <v>4.8049509863299787E-4</v>
      </c>
      <c r="FG50" s="2">
        <f>6.49951277665524*(1/14151.6638359215)</f>
        <v>4.5927552067463436E-4</v>
      </c>
      <c r="FH50" s="2">
        <f>6.27040084774632*(1/14151.6638359215)</f>
        <v>4.430857686027006E-4</v>
      </c>
      <c r="FI50" s="2">
        <f>6.11246932393532*(1/14151.6638359215)</f>
        <v>4.3192584241719313E-4</v>
      </c>
      <c r="FJ50" s="2">
        <f>6.02571820522223*(1/14151.6638359215)</f>
        <v>4.2579574211811113E-4</v>
      </c>
      <c r="FK50" s="2">
        <f>6.01014749160706*(1/14151.6638359215)</f>
        <v>4.2469546770545536E-4</v>
      </c>
      <c r="FL50" s="2">
        <f>6.0657571830898*(1/14151.6638359215)</f>
        <v>4.2862501917922518E-4</v>
      </c>
      <c r="FM50" s="2">
        <f>6.19254727967049*(1/14151.6638359215)</f>
        <v>4.3758439653942329E-4</v>
      </c>
      <c r="FN50" s="2">
        <f>6.39051778134908*(1/14151.6638359215)</f>
        <v>4.5157359978604628E-4</v>
      </c>
      <c r="FO50" s="2">
        <f>6.65966868812558*(1/14151.6638359215)</f>
        <v>4.7059262891909485E-4</v>
      </c>
      <c r="FP50" s="2">
        <f t="shared" si="17"/>
        <v>4.9464148393856954E-4</v>
      </c>
      <c r="FQ50" s="2"/>
    </row>
    <row r="51" spans="2:173">
      <c r="B51" s="2">
        <v>9.7544378698224854</v>
      </c>
      <c r="C51" s="2">
        <f t="shared" si="18"/>
        <v>4.9464148393856954E-4</v>
      </c>
      <c r="D51" s="2">
        <f>7.22798721656715*(1/14151.6638359215)</f>
        <v>5.1075176038454086E-4</v>
      </c>
      <c r="E51" s="2">
        <f>7.40829083228366*(1/14151.6638359215)</f>
        <v>5.2349256724704141E-4</v>
      </c>
      <c r="F51" s="2">
        <f>7.54091084714955*(1/14151.6638359215)</f>
        <v>5.3286390452607271E-4</v>
      </c>
      <c r="G51" s="2">
        <f>7.62584726116475*(1/14151.6638359215)</f>
        <v>5.3886577222162977E-4</v>
      </c>
      <c r="H51" s="2">
        <f>7.66310007432932*(1/14151.6638359215)</f>
        <v>5.4149817033371671E-4</v>
      </c>
      <c r="I51" s="2">
        <f>7.65266928664324*(1/14151.6638359215)</f>
        <v>5.4076109886233245E-4</v>
      </c>
      <c r="J51" s="2">
        <f>7.59455489810651*(1/14151.6638359215)</f>
        <v>5.3665455780747655E-4</v>
      </c>
      <c r="K51" s="2">
        <f>7.48875690871914*(1/14151.6638359215)</f>
        <v>5.291785471691501E-4</v>
      </c>
      <c r="L51" s="2">
        <f>7.3352753184811*(1/14151.6638359215)</f>
        <v>5.1833306694735071E-4</v>
      </c>
      <c r="M51" s="2">
        <f>7.13411012739243*(1/14151.6638359215)</f>
        <v>5.0411811714208131E-4</v>
      </c>
      <c r="N51" s="2">
        <f>6.51527927311996*(1/14151.6638359215)</f>
        <v>4.6038962970432309E-4</v>
      </c>
      <c r="O51" s="2">
        <f>2.98893118476034*(1/14151.6638359215)</f>
        <v>2.1120705094573161E-4</v>
      </c>
      <c r="P51" s="2">
        <f>-2.97148014560024*(1/14151.6638359215)</f>
        <v>-2.0997390695909991E-4</v>
      </c>
      <c r="Q51" s="2">
        <f>-10.2204924902097*(1/14151.6638359215)</f>
        <v>-7.2221136742004746E-4</v>
      </c>
      <c r="R51" s="2">
        <f>-17.6126436213171*(1/14151.6638359215)</f>
        <v>-1.2445634538470675E-3</v>
      </c>
      <c r="S51" s="2">
        <f>-24.0024713111675*(1/14151.6638359215)</f>
        <v>-1.6960882896498337E-3</v>
      </c>
      <c r="T51" s="2">
        <f>-28.24451333201*(1/14151.6638359215)</f>
        <v>-1.9958439982383056E-3</v>
      </c>
      <c r="U51" s="2">
        <f>-29.1933074560926*(1/14151.6638359215)</f>
        <v>-2.0628887030223644E-3</v>
      </c>
      <c r="V51" s="2">
        <f>-25.7033914556632*(1/14151.6638359215)</f>
        <v>-1.816280527411885E-3</v>
      </c>
      <c r="W51" s="2">
        <f>-16.6293031029696*(1/14151.6638359215)</f>
        <v>-1.1750775948167348E-3</v>
      </c>
      <c r="X51" s="2">
        <f>-0.825580170255882*(1/14151.6638359215)</f>
        <v>-5.8338028646518056E-5</v>
      </c>
      <c r="Y51" s="2">
        <f>21.5775068131266*(1/14151.6638359215)</f>
        <v>1.5247328556770767E-3</v>
      </c>
      <c r="Z51" s="2">
        <f>48.8357720663793*(1/14151.6638359215)</f>
        <v>3.4508855377427998E-3</v>
      </c>
      <c r="AA51" s="2">
        <f>80.6066212493325*(1/14151.6638359215)</f>
        <v>5.6959112500062949E-3</v>
      </c>
      <c r="AB51" s="2">
        <f>116.569678096463*(1/14151.6638359215)</f>
        <v>8.2371712222679746E-3</v>
      </c>
      <c r="AC51" s="2">
        <f>156.404566342247*(1/14151.6638359215)</f>
        <v>1.1052026684328215E-2</v>
      </c>
      <c r="AD51" s="2">
        <f>199.790909721171*(1/14151.6638359215)</f>
        <v>1.4117838865988115E-2</v>
      </c>
      <c r="AE51" s="2">
        <f>246.408331967694*(1/14151.6638359215)</f>
        <v>1.7411968997046834E-2</v>
      </c>
      <c r="AF51" s="2">
        <f>295.936456816301*(1/14151.6638359215)</f>
        <v>2.0911778307305364E-2</v>
      </c>
      <c r="AG51" s="2">
        <f>348.05490800147*(1/14151.6638359215)</f>
        <v>2.4594628026564203E-2</v>
      </c>
      <c r="AH51" s="2">
        <f>402.443309257677*(1/14151.6638359215)</f>
        <v>2.8437879384623718E-2</v>
      </c>
      <c r="AI51" s="2">
        <f>458.764328929919*(1/14151.6638359215)</f>
        <v>3.2417695491425307E-2</v>
      </c>
      <c r="AJ51" s="2">
        <f>516.668118442303*(1/14151.6638359215)</f>
        <v>3.65093549728642E-2</v>
      </c>
      <c r="AK51" s="2">
        <f>576.454137098105*(1/14151.6638359215)</f>
        <v>4.0734018542390608E-2</v>
      </c>
      <c r="AL51" s="2">
        <f>638.563929386869*(1/14151.6638359215)</f>
        <v>4.5122887088794972E-2</v>
      </c>
      <c r="AM51" s="2">
        <f>703.439039798142*(1/14151.6638359215)</f>
        <v>4.9707161500867916E-2</v>
      </c>
      <c r="AN51" s="2">
        <f>771.521012821469*(1/14151.6638359215)</f>
        <v>5.4518042667399937E-2</v>
      </c>
      <c r="AO51" s="2">
        <f>843.251392946396*(1/14151.6638359215)</f>
        <v>5.958673147718159E-2</v>
      </c>
      <c r="AP51" s="2">
        <f>919.071724662483*(1/14151.6638359215)</f>
        <v>6.4944428819004432E-2</v>
      </c>
      <c r="AQ51" s="2">
        <f>999.423552459247*(1/14151.6638359215)</f>
        <v>7.0622335581656967E-2</v>
      </c>
      <c r="AR51" s="2">
        <f>1084.74842082625*(1/14151.6638359215)</f>
        <v>7.6651652653930882E-2</v>
      </c>
      <c r="AS51" s="2">
        <f>1175.48787425303*(1/14151.6638359215)</f>
        <v>8.3063580924616201E-2</v>
      </c>
      <c r="AT51" s="2">
        <f>1272.7147592292*(1/14151.6638359215)</f>
        <v>8.9933931019378674E-2</v>
      </c>
      <c r="AU51" s="2">
        <f>1377.57833130625*(1/14151.6638359215)</f>
        <v>9.7343912862705981E-2</v>
      </c>
      <c r="AV51" s="2">
        <f>1488.97048775343*(1/14151.6638359215)</f>
        <v>0.10521522451472748</v>
      </c>
      <c r="AW51" s="2">
        <f>1605.69593073242*(1/14151.6638359215)</f>
        <v>0.11346340256165811</v>
      </c>
      <c r="AX51" s="2">
        <f>1726.5593624049*(1/14151.6638359215)</f>
        <v>0.12200398358971289</v>
      </c>
      <c r="AY51" s="2">
        <f>1850.36548493255*(1/14151.6638359215)</f>
        <v>0.13075250418510678</v>
      </c>
      <c r="AZ51" s="2">
        <f>1975.91900047703*(1/14151.6638359215)</f>
        <v>0.13962450093405332</v>
      </c>
      <c r="BA51" s="2">
        <f>2102.02461120006*(1/14151.6638359215)</f>
        <v>0.14853551042277033</v>
      </c>
      <c r="BB51" s="2">
        <f>2227.48701926326*(1/14151.6638359215)</f>
        <v>0.15740106923746858</v>
      </c>
      <c r="BC51" s="2">
        <f>2351.11092682832*(1/14151.6638359215)</f>
        <v>0.16613671396436369</v>
      </c>
      <c r="BD51" s="2">
        <f>2471.80931582704*(1/14151.6638359215)</f>
        <v>0.17466563257055248</v>
      </c>
      <c r="BE51" s="2">
        <f>2592.55865339929*(1/14151.6638359215)</f>
        <v>0.18319815135931491</v>
      </c>
      <c r="BF51" s="2">
        <f>2714.77770884886*(1/14151.6638359215)</f>
        <v>0.19183452492405001</v>
      </c>
      <c r="BG51" s="2">
        <f>2837.92380307508*(1/14151.6638359215)</f>
        <v>0.20053640589394947</v>
      </c>
      <c r="BH51" s="2">
        <f>2961.45425697719*(1/14151.6638359215)</f>
        <v>0.20926544689819876</v>
      </c>
      <c r="BI51" s="2">
        <f>3084.8263914545*(1/14151.6638359215)</f>
        <v>0.21798330056598808</v>
      </c>
      <c r="BJ51" s="2">
        <f>3207.49752740629*(1/14151.6638359215)</f>
        <v>0.2266516195265057</v>
      </c>
      <c r="BK51" s="2">
        <f>3328.92498573186*(1/14151.6638359215)</f>
        <v>0.23523205640894124</v>
      </c>
      <c r="BL51" s="2">
        <f>3448.5660873305*(1/14151.6638359215)</f>
        <v>0.2436862638424836</v>
      </c>
      <c r="BM51" s="2">
        <f>3565.87815310151*(1/14151.6638359215)</f>
        <v>0.2519758944563224</v>
      </c>
      <c r="BN51" s="2">
        <f>3680.31850394415*(1/14151.6638359215)</f>
        <v>0.26006260087964439</v>
      </c>
      <c r="BO51" s="2">
        <f>3792.71931170351*(1/14151.6638359215)</f>
        <v>0.2680051869290706</v>
      </c>
      <c r="BP51" s="2">
        <f>3907.27980516454*(1/14151.6638359215)</f>
        <v>0.27610038299854184</v>
      </c>
      <c r="BQ51" s="2">
        <f>4023.00358661764*(1/14151.6638359215)</f>
        <v>0.2842777805678196</v>
      </c>
      <c r="BR51" s="2">
        <f>4138.37654405395*(1/14151.6638359215)</f>
        <v>0.29243038783534497</v>
      </c>
      <c r="BS51" s="2">
        <f>4251.88456546457*(1/14151.6638359215)</f>
        <v>0.30045121299955641</v>
      </c>
      <c r="BT51" s="2">
        <f>4362.01353884065*(1/14151.6638359215)</f>
        <v>0.30823326425889574</v>
      </c>
      <c r="BU51" s="2">
        <f>4467.24935217333*(1/14151.6638359215)</f>
        <v>0.31566954981180423</v>
      </c>
      <c r="BV51" s="2">
        <f>4566.07789345373*(1/14151.6638359215)</f>
        <v>0.32265307785672154</v>
      </c>
      <c r="BW51" s="2">
        <f>4656.98505067299*(1/14151.6638359215)</f>
        <v>0.32907685659208891</v>
      </c>
      <c r="BX51" s="2">
        <f>4738.45671182224*(1/14151.6638359215)</f>
        <v>0.33483389421634685</v>
      </c>
      <c r="BY51" s="2">
        <f>4808.98727130043*(1/14151.6638359215)</f>
        <v>0.33981780001681955</v>
      </c>
      <c r="BZ51" s="2">
        <f>4869.83447593705*(1/14151.6638359215)</f>
        <v>0.34411745024467266</v>
      </c>
      <c r="CA51" s="2">
        <f>4922.93609096177*(1/14151.6638359215)</f>
        <v>0.34786977333829583</v>
      </c>
      <c r="CB51" s="2">
        <f>4968.57988758378*(1/14151.6638359215)</f>
        <v>0.35109510409453887</v>
      </c>
      <c r="CC51" s="2">
        <f>5007.05363701227*(1/14151.6638359215)</f>
        <v>0.3538137773102516</v>
      </c>
      <c r="CD51" s="2">
        <f>5038.64511045643*(1/14151.6638359215)</f>
        <v>0.35604612778228378</v>
      </c>
      <c r="CE51" s="2">
        <f>5063.64207912547*(1/14151.6638359215)</f>
        <v>0.35781249030748663</v>
      </c>
      <c r="CF51" s="2">
        <f>5082.33231422857*(1/14151.6638359215)</f>
        <v>0.35913319968270918</v>
      </c>
      <c r="CG51" s="2">
        <f>5095.00358697494*(1/14151.6638359215)</f>
        <v>0.3600285907048027</v>
      </c>
      <c r="CH51" s="2">
        <f>5101.94366857376*(1/14151.6638359215)</f>
        <v>0.36051899817061633</v>
      </c>
      <c r="CI51" s="2">
        <f>5103.44033023423*(1/14151.6638359215)</f>
        <v>0.36062475687700041</v>
      </c>
      <c r="CJ51" s="2">
        <f>5099.40787541875*(1/14151.6638359215)</f>
        <v>0.3603398112435941</v>
      </c>
      <c r="CK51" s="2">
        <f>5088.00074932021*(1/14151.6638359215)</f>
        <v>0.35953374870347182</v>
      </c>
      <c r="CL51" s="2">
        <f>5069.40792769899*(1/14151.6638359215)</f>
        <v>0.35821992286385385</v>
      </c>
      <c r="CM51" s="2">
        <f>5044.20379633608*(1/14151.6638359215)</f>
        <v>0.35643892158689211</v>
      </c>
      <c r="CN51" s="2">
        <f>5012.96274101246*(1/14151.6638359215)</f>
        <v>0.3542313327347375</v>
      </c>
      <c r="CO51" s="2">
        <f>4976.25914750913*(1/14151.6638359215)</f>
        <v>0.35163774416954247</v>
      </c>
      <c r="CP51" s="2">
        <f>4934.66740160708*(1/14151.6638359215)</f>
        <v>0.34869874375345877</v>
      </c>
      <c r="CQ51" s="2">
        <f>4888.76188908731*(1/14151.6638359215)</f>
        <v>0.34545491934863881</v>
      </c>
      <c r="CR51" s="2">
        <f>4839.11699573081*(1/14151.6638359215)</f>
        <v>0.34194685881723436</v>
      </c>
      <c r="CS51" s="2">
        <f>4786.30710731856*(1/14151.6638359215)</f>
        <v>0.3382151500213964</v>
      </c>
      <c r="CT51" s="2">
        <f>4730.90660963156*(1/14151.6638359215)</f>
        <v>0.3343003808232774</v>
      </c>
      <c r="CU51" s="2">
        <f>4673.06991457664*(1/14151.6638359215)</f>
        <v>0.33021346244212485</v>
      </c>
      <c r="CV51" s="2">
        <f>4612.2352023358*(1/14151.6638359215)</f>
        <v>0.3259146949652984</v>
      </c>
      <c r="CW51" s="2">
        <f>4548.01282644057*(1/14151.6638359215)</f>
        <v>0.32137654477745881</v>
      </c>
      <c r="CX51" s="2">
        <f>4480.01438015497*(1/14151.6638359215)</f>
        <v>0.31657156586656932</v>
      </c>
      <c r="CY51" s="2">
        <f>4407.85145674302*(1/14151.6638359215)</f>
        <v>0.31147231222059329</v>
      </c>
      <c r="CZ51" s="2">
        <f>4331.13564946876*(1/14151.6638359215)</f>
        <v>0.30605133782749538</v>
      </c>
      <c r="DA51" s="2">
        <f>4249.47855159618*(1/14151.6638359215)</f>
        <v>0.30028119667523684</v>
      </c>
      <c r="DB51" s="2">
        <f>4162.49175638935*(1/14151.6638359215)</f>
        <v>0.29413444275178435</v>
      </c>
      <c r="DC51" s="2">
        <f>4069.78685711227*(1/14151.6638359215)</f>
        <v>0.28758363004510007</v>
      </c>
      <c r="DD51" s="2">
        <f>3970.97544702897*(1/14151.6638359215)</f>
        <v>0.28060131254314774</v>
      </c>
      <c r="DE51" s="2">
        <f>3865.43652435991*(1/14151.6638359215)</f>
        <v>0.2731436083542475</v>
      </c>
      <c r="DF51" s="2">
        <f>3750.91309941752*(1/14151.6638359215)</f>
        <v>0.2650510316600716</v>
      </c>
      <c r="DG51" s="2">
        <f>3628.0343603385*(1/14151.6638359215)</f>
        <v>0.25636804282542208</v>
      </c>
      <c r="DH51" s="2">
        <f>3498.19144860665*(1/14151.6638359215)</f>
        <v>0.24719294417714394</v>
      </c>
      <c r="DI51" s="2">
        <f>3362.77550570584*(1/14151.6638359215)</f>
        <v>0.23762403804208718</v>
      </c>
      <c r="DJ51" s="2">
        <f>3223.17767311984*(1/14151.6638359215)</f>
        <v>0.22775962674709477</v>
      </c>
      <c r="DK51" s="2">
        <f>3080.78909233249*(1/14151.6638359215)</f>
        <v>0.2176980126190145</v>
      </c>
      <c r="DL51" s="2">
        <f>2937.00090482758*(1/14151.6638359215)</f>
        <v>0.20753749798469082</v>
      </c>
      <c r="DM51" s="2">
        <f>2793.20425208891*(1/14151.6638359215)</f>
        <v>0.19737638517096867</v>
      </c>
      <c r="DN51" s="2">
        <f>2650.79027560036*(1/14151.6638359215)</f>
        <v>0.18731297650469883</v>
      </c>
      <c r="DO51" s="2">
        <f>2511.15011684569*(1/14151.6638359215)</f>
        <v>0.17744557431272348</v>
      </c>
      <c r="DP51" s="2">
        <f>2371.99074087455*(1/14151.6638359215)</f>
        <v>0.16761214570781918</v>
      </c>
      <c r="DQ51" s="2">
        <f>2227.65219338195*(1/14151.6638359215)</f>
        <v>0.15741274094763671</v>
      </c>
      <c r="DR51" s="2">
        <f>2079.74713174672*(1/14151.6638359215)</f>
        <v>0.14696131535202589</v>
      </c>
      <c r="DS51" s="2">
        <f>1930.08687406502*(1/14151.6638359215)</f>
        <v>0.13638586221683952</v>
      </c>
      <c r="DT51" s="2">
        <f>1780.48273843301*(1/14151.6638359215)</f>
        <v>0.12581437483793029</v>
      </c>
      <c r="DU51" s="2">
        <f>1632.74604294692*(1/14151.6638359215)</f>
        <v>0.11537484651115598</v>
      </c>
      <c r="DV51" s="2">
        <f>1488.68810570288*(1/14151.6638359215)</f>
        <v>0.10519527053236723</v>
      </c>
      <c r="DW51" s="2">
        <f>1350.12024479707*(1/14151.6638359215)</f>
        <v>9.5403640197418205E-2</v>
      </c>
      <c r="DX51" s="2">
        <f>1218.85377832566*(1/14151.6638359215)</f>
        <v>8.6127948802162388E-2</v>
      </c>
      <c r="DY51" s="2">
        <f>1096.70002438481*(1/14151.6638359215)</f>
        <v>7.7496189642452543E-2</v>
      </c>
      <c r="DZ51" s="2">
        <f>985.27304735141*(1/14151.6638359215)</f>
        <v>6.9622417460939709E-2</v>
      </c>
      <c r="EA51" s="2">
        <f>881.556509311443*(1/14151.6638359215)</f>
        <v>6.2293488563073943E-2</v>
      </c>
      <c r="EB51" s="2">
        <f>783.887946723318*(1/14151.6638359215)</f>
        <v>5.539192817268291E-2</v>
      </c>
      <c r="EC51" s="2">
        <f>692.204472812766*(1/14151.6638359215)</f>
        <v>4.8913292517288827E-2</v>
      </c>
      <c r="ED51" s="2">
        <f>606.443200805516*(1/14151.6638359215)</f>
        <v>4.2853137824413766E-2</v>
      </c>
      <c r="EE51" s="2">
        <f>526.541243927282*(1/14151.6638359215)</f>
        <v>3.7207020321578729E-2</v>
      </c>
      <c r="EF51" s="2">
        <f>452.435715403825*(1/14151.6638359215)</f>
        <v>3.1970496236308044E-2</v>
      </c>
      <c r="EG51" s="2">
        <f>384.063728460858*(1/14151.6638359215)</f>
        <v>2.713912179612266E-2</v>
      </c>
      <c r="EH51" s="2">
        <f>321.362396324112*(1/14151.6638359215)</f>
        <v>2.2708453228544784E-2</v>
      </c>
      <c r="EI51" s="2">
        <f>264.268832219315*(1/14151.6638359215)</f>
        <v>1.8674046761096404E-2</v>
      </c>
      <c r="EJ51" s="2">
        <f>212.720149372187*(1/14151.6638359215)</f>
        <v>1.5031458621298965E-2</v>
      </c>
      <c r="EK51" s="2">
        <f>167.628602195864*(1/14151.6638359215)</f>
        <v>1.1845151505815761E-2</v>
      </c>
      <c r="EL51" s="2">
        <f>131.349814543419*(1/14151.6638359215)</f>
        <v>9.2815810258303835E-3</v>
      </c>
      <c r="EM51" s="2">
        <f>102.921583633773*(1/14151.6638359215)</f>
        <v>7.2727549797024383E-3</v>
      </c>
      <c r="EN51" s="2">
        <f>81.1620182713238*(1/14151.6638359215)</f>
        <v>5.7351573081681284E-3</v>
      </c>
      <c r="EO51" s="2">
        <f>64.8892272604667*(1/14151.6638359215)</f>
        <v>4.5852719519634752E-3</v>
      </c>
      <c r="EP51" s="2">
        <f>52.921319405598*(1/14151.6638359215)</f>
        <v>3.7395828518245731E-3</v>
      </c>
      <c r="EQ51" s="2">
        <f>44.0764035111125*(1/14151.6638359215)</f>
        <v>3.1145739484874095E-3</v>
      </c>
      <c r="ER51" s="2">
        <f>37.1725883814094*(1/14151.6638359215)</f>
        <v>2.626729182688282E-3</v>
      </c>
      <c r="ES51" s="2">
        <f>31.0279828208831*(1/14151.6638359215)</f>
        <v>2.1925324951631514E-3</v>
      </c>
      <c r="ET51" s="2">
        <f>24.4606956339298*(1/14151.6638359215)</f>
        <v>1.7284678266481035E-3</v>
      </c>
      <c r="EU51" s="2">
        <f>16.3327616266614*(1/14151.6638359215)</f>
        <v>1.1541230639752458E-3</v>
      </c>
      <c r="EV51" s="2">
        <f>9.05221265116076*(1/14151.6638359215)</f>
        <v>6.3965712838537868E-4</v>
      </c>
      <c r="EW51" s="2">
        <f>4.26654142478624*(1/14151.6638359215)</f>
        <v>3.0148691166309208E-4</v>
      </c>
      <c r="EX51" s="2">
        <f>1.56989189906863*(1/14151.6638359215)</f>
        <v>1.1093337979692089E-4</v>
      </c>
      <c r="EY51" s="2">
        <f>0.556408025540378*(1/14151.6638359215)</f>
        <v>3.9317498775517446E-5</v>
      </c>
      <c r="EZ51" s="2">
        <f>0.820233755733956*(1/14151.6638359215)</f>
        <v>5.7960234587535738E-5</v>
      </c>
      <c r="FA51" s="2">
        <f>1.95551304118181*(1/14151.6638359215)</f>
        <v>1.3818255322162794E-4</v>
      </c>
      <c r="FB51" s="2">
        <f>3.55638983341672*(1/14151.6638359215)</f>
        <v>2.5130542066646976E-4</v>
      </c>
      <c r="FC51" s="2">
        <f>5.21700808397047*(1/14151.6638359215)</f>
        <v>3.6864980291066664E-4</v>
      </c>
      <c r="FD51" s="2">
        <f>6.53151174437579*(1/14151.6638359215)</f>
        <v>4.6153666594289086E-4</v>
      </c>
      <c r="FE51" s="2">
        <f>7.09404476616513*(1/14151.6638359215)</f>
        <v>5.0128697575179467E-4</v>
      </c>
      <c r="FF51" s="2">
        <f>6.73685463711783*(1/14151.6638359215)</f>
        <v>4.7604682496891381E-4</v>
      </c>
      <c r="FG51" s="2">
        <f>6.34213659279444*(1/14151.6638359215)</f>
        <v>4.4815483651442075E-4</v>
      </c>
      <c r="FH51" s="2">
        <f>6.04098134416259*(1/14151.6638359215)</f>
        <v>4.2687428236025691E-4</v>
      </c>
      <c r="FI51" s="2">
        <f>5.83338889122219*(1/14151.6638359215)</f>
        <v>4.1220516250641584E-4</v>
      </c>
      <c r="FJ51" s="2">
        <f>5.71935923397323*(1/14151.6638359215)</f>
        <v>4.0414747695289698E-4</v>
      </c>
      <c r="FK51" s="2">
        <f>5.69889237241572*(1/14151.6638359215)</f>
        <v>4.02701225699701E-4</v>
      </c>
      <c r="FL51" s="2">
        <f>5.77198830654967*(1/14151.6638359215)</f>
        <v>4.0786640874682859E-4</v>
      </c>
      <c r="FM51" s="2">
        <f>5.93864703637509*(1/14151.6638359215)</f>
        <v>4.1964302609428042E-4</v>
      </c>
      <c r="FN51" s="2">
        <f>6.19886856189195*(1/14151.6638359215)</f>
        <v>4.3803107774205441E-4</v>
      </c>
      <c r="FO51" s="2">
        <f>6.55265288310025*(1/14151.6638359215)</f>
        <v>4.6303056369015056E-4</v>
      </c>
      <c r="FP51" s="2">
        <f t="shared" si="17"/>
        <v>4.9464148393856954E-4</v>
      </c>
      <c r="FQ51" s="2"/>
    </row>
    <row r="52" spans="2:173">
      <c r="B52" s="2">
        <v>9.7639053254437869</v>
      </c>
      <c r="C52" s="2">
        <f t="shared" si="18"/>
        <v>4.9464148393856954E-4</v>
      </c>
      <c r="D52" s="2">
        <f>7.24889803190349*(1/14151.6638359215)</f>
        <v>5.1222938277430271E-4</v>
      </c>
      <c r="E52" s="2">
        <f>7.44573895909514*(1/14151.6638359215)</f>
        <v>5.2613876682086288E-4</v>
      </c>
      <c r="F52" s="2">
        <f>7.59052278157497*(1/14151.6638359215)</f>
        <v>5.3636963607825168E-4</v>
      </c>
      <c r="G52" s="2">
        <f>7.68324949934293*(1/14151.6638359215)</f>
        <v>5.4292199054646552E-4</v>
      </c>
      <c r="H52" s="2">
        <f>7.72391911239905*(1/14151.6638359215)</f>
        <v>5.4579583022550636E-4</v>
      </c>
      <c r="I52" s="2">
        <f>7.71253162074334*(1/14151.6638359215)</f>
        <v>5.4499115511537518E-4</v>
      </c>
      <c r="J52" s="2">
        <f>7.64908702437578*(1/14151.6638359215)</f>
        <v>5.4050796521607045E-4</v>
      </c>
      <c r="K52" s="2">
        <f>7.53358532329639*(1/14151.6638359215)</f>
        <v>5.3234626052759348E-4</v>
      </c>
      <c r="L52" s="2">
        <f>7.36602651750512*(1/14151.6638359215)</f>
        <v>5.2050604104994091E-4</v>
      </c>
      <c r="M52" s="2">
        <f>7.14641060700204*(1/14151.6638359215)</f>
        <v>5.049873067831175E-4</v>
      </c>
      <c r="N52" s="2">
        <f>6.46859897227362*(1/14151.6638359215)</f>
        <v>4.5709105637841845E-4</v>
      </c>
      <c r="O52" s="2">
        <f>2.59941889293638*(1/14151.6638359215)</f>
        <v>1.8368291694000066E-4</v>
      </c>
      <c r="P52" s="2">
        <f>-3.94140727058915*(1/14151.6638359215)</f>
        <v>-2.7851193444721205E-4</v>
      </c>
      <c r="Q52" s="2">
        <f>-11.8964768081543*(1/14151.6638359215)</f>
        <v>-8.4064156314660296E-4</v>
      </c>
      <c r="R52" s="2">
        <f>-20.0083870096118*(1/14151.6638359215)</f>
        <v>-1.413854034521654E-3</v>
      </c>
      <c r="S52" s="2">
        <f>-27.0197351648099*(1/14151.6638359215)</f>
        <v>-1.9092974139355314E-3</v>
      </c>
      <c r="T52" s="2">
        <f>-31.6731185636012*(1/14151.6638359215)</f>
        <v>-2.2381197667517075E-3</v>
      </c>
      <c r="U52" s="2">
        <f>-32.7111344958372*(1/14151.6638359215)</f>
        <v>-2.311469158333578E-3</v>
      </c>
      <c r="V52" s="2">
        <f>-28.8763802513692*(1/14151.6638359215)</f>
        <v>-2.0404936540445234E-3</v>
      </c>
      <c r="W52" s="2">
        <f>-18.9114531200484*(1/14151.6638359215)</f>
        <v>-1.3363413192479187E-3</v>
      </c>
      <c r="X52" s="2">
        <f>-1.55895039172221*(1/14151.6638359215)</f>
        <v>-1.1016021930686976E-4</v>
      </c>
      <c r="Y52" s="2">
        <f>23.039877325766*(1/14151.6638359215)</f>
        <v>1.6280684443113565E-3</v>
      </c>
      <c r="Z52" s="2">
        <f>52.9723503383005*(1/14151.6638359215)</f>
        <v>3.7431888541501067E-3</v>
      </c>
      <c r="AA52" s="2">
        <f>87.8610174552655*(1/14151.6638359215)</f>
        <v>6.2085291506321551E-3</v>
      </c>
      <c r="AB52" s="2">
        <f>127.352777410538*(1/14151.6638359215)</f>
        <v>8.9991381145781216E-3</v>
      </c>
      <c r="AC52" s="2">
        <f>171.094528937996*(1/14151.6638359215)</f>
        <v>1.2090064526808695E-2</v>
      </c>
      <c r="AD52" s="2">
        <f>218.733170771525*(1/14151.6638359215)</f>
        <v>1.5456357168145097E-2</v>
      </c>
      <c r="AE52" s="2">
        <f>269.915601644985*(1/14151.6638359215)</f>
        <v>1.9073064819406738E-2</v>
      </c>
      <c r="AF52" s="2">
        <f>324.288720292262*(1/14151.6638359215)</f>
        <v>2.2915236261414881E-2</v>
      </c>
      <c r="AG52" s="2">
        <f>381.499425447233*(1/14151.6638359215)</f>
        <v>2.6957920274990145E-2</v>
      </c>
      <c r="AH52" s="2">
        <f>441.194615843776*(1/14151.6638359215)</f>
        <v>3.1176165640953213E-2</v>
      </c>
      <c r="AI52" s="2">
        <f>503.03949242487*(1/14151.6638359215)</f>
        <v>3.5546314430391787E-2</v>
      </c>
      <c r="AJ52" s="2">
        <f>567.12633960472*(1/14151.6638359215)</f>
        <v>4.0074887743246836E-2</v>
      </c>
      <c r="AK52" s="2">
        <f>633.759980067866*(1/14151.6638359215)</f>
        <v>4.4783425285949641E-2</v>
      </c>
      <c r="AL52" s="2">
        <f>703.205339525781*(1/14151.6638359215)</f>
        <v>4.9690647522365426E-2</v>
      </c>
      <c r="AM52" s="2">
        <f>775.727343689935*(1/14151.6638359215)</f>
        <v>5.4815274916359173E-2</v>
      </c>
      <c r="AN52" s="2">
        <f>851.590918271802*(1/14151.6638359215)</f>
        <v>6.0176027931796182E-2</v>
      </c>
      <c r="AO52" s="2">
        <f>931.060988982851*(1/14151.6638359215)</f>
        <v>6.5791627032541364E-2</v>
      </c>
      <c r="AP52" s="2">
        <f>1014.40248153457*(1/14151.6638359215)</f>
        <v>7.1680792682461011E-2</v>
      </c>
      <c r="AQ52" s="2">
        <f>1101.8803216384*(1/14151.6638359215)</f>
        <v>7.7862245345418066E-2</v>
      </c>
      <c r="AR52" s="2">
        <f>1193.75943500583*(1/14151.6638359215)</f>
        <v>8.4354705485278875E-2</v>
      </c>
      <c r="AS52" s="2">
        <f>1290.30474734833*(1/14151.6638359215)</f>
        <v>9.1176893565908426E-2</v>
      </c>
      <c r="AT52" s="2">
        <f>1392.50532057085*(1/14151.6638359215)</f>
        <v>9.8398699737074102E-2</v>
      </c>
      <c r="AU52" s="2">
        <f>1501.70328972387*(1/14151.6638359215)</f>
        <v>0.10611496338063525</v>
      </c>
      <c r="AV52" s="2">
        <f>1616.90065991547*(1/14151.6638359215)</f>
        <v>0.11425516311454864</v>
      </c>
      <c r="AW52" s="2">
        <f>1737.00483583273*(1/14151.6638359215)</f>
        <v>0.12274209280068184</v>
      </c>
      <c r="AX52" s="2">
        <f>1860.92322216271*(1/14151.6638359215)</f>
        <v>0.13149854630090105</v>
      </c>
      <c r="AY52" s="2">
        <f>1987.56322359247*(1/14151.6638359215)</f>
        <v>0.14044731747707231</v>
      </c>
      <c r="AZ52" s="2">
        <f>2115.83224480907*(1/14151.6638359215)</f>
        <v>0.14951120019106187</v>
      </c>
      <c r="BA52" s="2">
        <f>2244.63769049961*(1/14151.6638359215)</f>
        <v>0.15861298830473866</v>
      </c>
      <c r="BB52" s="2">
        <f>2372.88696535109*(1/14151.6638359215)</f>
        <v>0.1676754756799646</v>
      </c>
      <c r="BC52" s="2">
        <f>2499.48747405059*(1/14151.6638359215)</f>
        <v>0.17662145617860725</v>
      </c>
      <c r="BD52" s="2">
        <f>2623.44913526488*(1/14151.6638359215)</f>
        <v>0.1853809676149682</v>
      </c>
      <c r="BE52" s="2">
        <f>2747.61028708687*(1/14151.6638359215)</f>
        <v>0.19415457566993263</v>
      </c>
      <c r="BF52" s="2">
        <f>2873.28243431524*(1/14151.6638359215)</f>
        <v>0.20303495529775942</v>
      </c>
      <c r="BG52" s="2">
        <f>2999.9113292791*(1/14151.6638359215)</f>
        <v>0.21198294165696296</v>
      </c>
      <c r="BH52" s="2">
        <f>3126.94272430754*(1/14151.6638359215)</f>
        <v>0.22095936990605644</v>
      </c>
      <c r="BI52" s="2">
        <f>3253.82237172968*(1/14151.6638359215)</f>
        <v>0.22992507520355498</v>
      </c>
      <c r="BJ52" s="2">
        <f>3379.99602387465*(1/14151.6638359215)</f>
        <v>0.23884089270797451</v>
      </c>
      <c r="BK52" s="2">
        <f>3504.90943307156*(1/14151.6638359215)</f>
        <v>0.24766765757782958</v>
      </c>
      <c r="BL52" s="2">
        <f>3628.00835164952*(1/14151.6638359215)</f>
        <v>0.25636620497163459</v>
      </c>
      <c r="BM52" s="2">
        <f>3748.73853193767*(1/14151.6638359215)</f>
        <v>0.26489737004790626</v>
      </c>
      <c r="BN52" s="2">
        <f>3866.54572626508*(1/14151.6638359215)</f>
        <v>0.27322198796515618</v>
      </c>
      <c r="BO52" s="2">
        <f>3982.21460423563*(1/14151.6638359215)</f>
        <v>0.28139550588585077</v>
      </c>
      <c r="BP52" s="2">
        <f>4099.83298257366*(1/14151.6638359215)</f>
        <v>0.28970678148578954</v>
      </c>
      <c r="BQ52" s="2">
        <f>4218.45821430553*(1/14151.6638359215)</f>
        <v>0.29808920443670511</v>
      </c>
      <c r="BR52" s="2">
        <f>4336.64475241019*(1/14151.6638359215)</f>
        <v>0.30644062794951243</v>
      </c>
      <c r="BS52" s="2">
        <f>4452.94704986652*(1/14151.6638359215)</f>
        <v>0.31465890523512152</v>
      </c>
      <c r="BT52" s="2">
        <f>4565.91955965348*(1/14151.6638359215)</f>
        <v>0.32264188950444822</v>
      </c>
      <c r="BU52" s="2">
        <f>4674.11673474999*(1/14151.6638359215)</f>
        <v>0.33028743396840521</v>
      </c>
      <c r="BV52" s="2">
        <f>4776.09302813498*(1/14151.6638359215)</f>
        <v>0.33749339183790611</v>
      </c>
      <c r="BW52" s="2">
        <f>4870.40289278739*(1/14151.6638359215)</f>
        <v>0.34415761632386516</v>
      </c>
      <c r="BX52" s="2">
        <f>4955.60078168613*(1/14151.6638359215)</f>
        <v>0.35017796063719464</v>
      </c>
      <c r="BY52" s="2">
        <f>5030.25121765136*(1/14151.6638359215)</f>
        <v>0.35545298955469501</v>
      </c>
      <c r="BZ52" s="2">
        <f>5096.05866808235*(1/14151.6638359215)</f>
        <v>0.3601031459740377</v>
      </c>
      <c r="CA52" s="2">
        <f>5155.06829062486*(1/14151.6638359215)</f>
        <v>0.36427294701133517</v>
      </c>
      <c r="CB52" s="2">
        <f>5207.26976727951*(1/14151.6638359215)</f>
        <v>0.36796166356508381</v>
      </c>
      <c r="CC52" s="2">
        <f>5252.6527800469*(1/14151.6638359215)</f>
        <v>0.37116856653377878</v>
      </c>
      <c r="CD52" s="2">
        <f>5291.20701092767*(1/14151.6638359215)</f>
        <v>0.37389292681591796</v>
      </c>
      <c r="CE52" s="2">
        <f>5322.92214192243*(1/14151.6638359215)</f>
        <v>0.37613401530999707</v>
      </c>
      <c r="CF52" s="2">
        <f>5347.78785503179*(1/14151.6638359215)</f>
        <v>0.37789110291451206</v>
      </c>
      <c r="CG52" s="2">
        <f>5365.79383225637*(1/14151.6638359215)</f>
        <v>0.37916346052795924</v>
      </c>
      <c r="CH52" s="2">
        <f>5376.92975559679*(1/14151.6638359215)</f>
        <v>0.37995035904883517</v>
      </c>
      <c r="CI52" s="2">
        <f>5381.18530705367*(1/14151.6638359215)</f>
        <v>0.38025106937563635</v>
      </c>
      <c r="CJ52" s="2">
        <f>5378.21084336874*(1/14151.6638359215)</f>
        <v>0.3800408846426313</v>
      </c>
      <c r="CK52" s="2">
        <f>5366.27171389427*(1/14151.6638359215)</f>
        <v>0.37919722911117609</v>
      </c>
      <c r="CL52" s="2">
        <f>5345.81463479582*(1/14151.6638359215)</f>
        <v>0.37775166911656094</v>
      </c>
      <c r="CM52" s="2">
        <f>5317.66027182063*(1/14151.6638359215)</f>
        <v>0.37576219541921912</v>
      </c>
      <c r="CN52" s="2">
        <f>5282.62929071591*(1/14151.6638359215)</f>
        <v>0.3732867987795816</v>
      </c>
      <c r="CO52" s="2">
        <f>5241.54235722889*(1/14151.6638359215)</f>
        <v>0.37038346995808086</v>
      </c>
      <c r="CP52" s="2">
        <f>5195.22013710679*(1/14151.6638359215)</f>
        <v>0.3671101997151488</v>
      </c>
      <c r="CQ52" s="2">
        <f>5144.48329609686*(1/14151.6638359215)</f>
        <v>0.36352497881121915</v>
      </c>
      <c r="CR52" s="2">
        <f>5090.15249994629*(1/14151.6638359215)</f>
        <v>0.35968579800672179</v>
      </c>
      <c r="CS52" s="2">
        <f>5033.04841440235*(1/14151.6638359215)</f>
        <v>0.3556506480620919</v>
      </c>
      <c r="CT52" s="2">
        <f>4973.99170521222*(1/14151.6638359215)</f>
        <v>0.35147751973775837</v>
      </c>
      <c r="CU52" s="2">
        <f>4912.9043615254*(1/14151.6638359215)</f>
        <v>0.34716090054759924</v>
      </c>
      <c r="CV52" s="2">
        <f>4848.73659708118*(1/14151.6638359215)</f>
        <v>0.34262660937249784</v>
      </c>
      <c r="CW52" s="2">
        <f>4781.14203876794*(1/14151.6638359215)</f>
        <v>0.33785017042532167</v>
      </c>
      <c r="CX52" s="2">
        <f>4709.77754990836*(1/14151.6638359215)</f>
        <v>0.33280733661531881</v>
      </c>
      <c r="CY52" s="2">
        <f>4634.29999382514*(1/14151.6638359215)</f>
        <v>0.32747386085173869</v>
      </c>
      <c r="CZ52" s="2">
        <f>4554.36623384097*(1/14151.6638359215)</f>
        <v>0.32182549604383026</v>
      </c>
      <c r="DA52" s="2">
        <f>4469.63313327853*(1/14151.6638359215)</f>
        <v>0.31583799510084148</v>
      </c>
      <c r="DB52" s="2">
        <f>4379.75755546054*(1/14151.6638359215)</f>
        <v>0.30948711093202336</v>
      </c>
      <c r="DC52" s="2">
        <f>4284.39636370968*(1/14151.6638359215)</f>
        <v>0.30274859644662394</v>
      </c>
      <c r="DD52" s="2">
        <f>4183.20642134866*(1/14151.6638359215)</f>
        <v>0.29559820455389346</v>
      </c>
      <c r="DE52" s="2">
        <f>4075.6479580531*(1/14151.6638359215)</f>
        <v>0.28799779342608373</v>
      </c>
      <c r="DF52" s="2">
        <f>3959.8078130082*(1/14151.6638359215)</f>
        <v>0.27981217324827395</v>
      </c>
      <c r="DG52" s="2">
        <f>3836.23176990658*(1/14151.6638359215)</f>
        <v>0.27107991077126797</v>
      </c>
      <c r="DH52" s="2">
        <f>3706.11175607897*(1/14151.6638359215)</f>
        <v>0.26188523123843993</v>
      </c>
      <c r="DI52" s="2">
        <f>3570.6396988562*(1/14151.6638359215)</f>
        <v>0.25231235989317113</v>
      </c>
      <c r="DJ52" s="2">
        <f>3431.00752556901*(1/14151.6638359215)</f>
        <v>0.24244552197883637</v>
      </c>
      <c r="DK52" s="2">
        <f>3288.40716354819*(1/14151.6638359215)</f>
        <v>0.23236894273881417</v>
      </c>
      <c r="DL52" s="2">
        <f>3144.0305401245*(1/14151.6638359215)</f>
        <v>0.22216684741648071</v>
      </c>
      <c r="DM52" s="2">
        <f>2999.06958262869*(1/14151.6638359215)</f>
        <v>0.21192346125521166</v>
      </c>
      <c r="DN52" s="2">
        <f>2854.71621839159*(1/14151.6638359215)</f>
        <v>0.20172300949838823</v>
      </c>
      <c r="DO52" s="2">
        <f>2712.16237474394*(1/14151.6638359215)</f>
        <v>0.1916497173893853</v>
      </c>
      <c r="DP52" s="2">
        <f>2569.09447119607*(1/14151.6638359215)</f>
        <v>0.1815401002301141</v>
      </c>
      <c r="DQ52" s="2">
        <f>2420.15158550129*(1/14151.6638359215)</f>
        <v>0.17101533880123426</v>
      </c>
      <c r="DR52" s="2">
        <f>2267.02020189554*(1/14151.6638359215)</f>
        <v>0.16019460525490364</v>
      </c>
      <c r="DS52" s="2">
        <f>2111.57750363459*(1/14151.6638359215)</f>
        <v>0.14921054712130197</v>
      </c>
      <c r="DT52" s="2">
        <f>1955.7006739742*(1/14151.6638359215)</f>
        <v>0.13819581193060843</v>
      </c>
      <c r="DU52" s="2">
        <f>1801.2668961702*(1/14151.6638359215)</f>
        <v>0.12728304721300701</v>
      </c>
      <c r="DV52" s="2">
        <f>1650.15335347835*(1/14151.6638359215)</f>
        <v>0.11660490049867685</v>
      </c>
      <c r="DW52" s="2">
        <f>1504.23722915443*(1/14151.6638359215)</f>
        <v>0.10629401931779849</v>
      </c>
      <c r="DX52" s="2">
        <f>1365.39570645423*(1/14151.6638359215)</f>
        <v>9.648305120055313E-2</v>
      </c>
      <c r="DY52" s="2">
        <f>1235.5059686335*(1/14151.6638359215)</f>
        <v>8.7304643677119181E-2</v>
      </c>
      <c r="DZ52" s="2">
        <f>1116.21377583306*(1/14151.6638359215)</f>
        <v>7.8875091210105525E-2</v>
      </c>
      <c r="EA52" s="2">
        <f>1003.86462709061*(1/14151.6638359215)</f>
        <v>7.0936155545362589E-2</v>
      </c>
      <c r="EB52" s="2">
        <f>896.720390233244*(1/14151.6638359215)</f>
        <v>6.3365014928992144E-2</v>
      </c>
      <c r="EC52" s="2">
        <f>794.96720587555*(1/14151.6638359215)</f>
        <v>5.6174822628111486E-2</v>
      </c>
      <c r="ED52" s="2">
        <f>698.791214632119*(1/14151.6638359215)</f>
        <v>4.9378731909838117E-2</v>
      </c>
      <c r="EE52" s="2">
        <f>608.378557117526*(1/14151.6638359215)</f>
        <v>4.298989604128841E-2</v>
      </c>
      <c r="EF52" s="2">
        <f>523.915373946394*(1/14151.6638359215)</f>
        <v>3.7021468289582131E-2</v>
      </c>
      <c r="EG52" s="2">
        <f>445.587805733295*(1/14151.6638359215)</f>
        <v>3.1486601921835444E-2</v>
      </c>
      <c r="EH52" s="2">
        <f>373.581993092821*(1/14151.6638359215)</f>
        <v>2.6398450205165916E-2</v>
      </c>
      <c r="EI52" s="2">
        <f>308.08407663956*(1/14151.6638359215)</f>
        <v>2.1770166406690852E-2</v>
      </c>
      <c r="EJ52" s="2">
        <f>249.280196988093*(1/14151.6638359215)</f>
        <v>1.7614903793527037E-2</v>
      </c>
      <c r="EK52" s="2">
        <f>198.18695989925*(1/14151.6638359215)</f>
        <v>1.4004498848834115E-2</v>
      </c>
      <c r="EL52" s="2">
        <f>156.806830749377*(1/14151.6638359215)</f>
        <v>1.1080451921939424E-2</v>
      </c>
      <c r="EM52" s="2">
        <f>124.05563626055*(1/14151.6638359215)</f>
        <v>8.7661520015516955E-3</v>
      </c>
      <c r="EN52" s="2">
        <f>98.6537627692426*(1/14151.6638359215)</f>
        <v>6.9711776589002523E-3</v>
      </c>
      <c r="EO52" s="2">
        <f>79.3215966119323*(1/14151.6638359215)</f>
        <v>5.6051074652146869E-3</v>
      </c>
      <c r="EP52" s="2">
        <f>64.7795241250946*(1/14151.6638359215)</f>
        <v>4.5775199917244512E-3</v>
      </c>
      <c r="EQ52" s="2">
        <f>53.7479316452035*(1/14151.6638359215)</f>
        <v>3.7979938096588946E-3</v>
      </c>
      <c r="ER52" s="2">
        <f>44.9472055087386*(1/14151.6638359215)</f>
        <v>3.1761074902477582E-3</v>
      </c>
      <c r="ES52" s="2">
        <f>37.0977320521737*(1/14151.6638359215)</f>
        <v>2.6214396047203759E-3</v>
      </c>
      <c r="ET52" s="2">
        <f>28.9198976119845*(1/14151.6638359215)</f>
        <v>2.0435687243062152E-3</v>
      </c>
      <c r="EU52" s="2">
        <f>19.1824930666447*(1/14151.6638359215)</f>
        <v>1.3554938337323509E-3</v>
      </c>
      <c r="EV52" s="2">
        <f>10.5521187230104*(1/14151.6638359215)</f>
        <v>7.4564509483511824E-4</v>
      </c>
      <c r="EW52" s="2">
        <f>4.82679826149833*(1/14151.6638359215)</f>
        <v>3.4107637924852023E-4</v>
      </c>
      <c r="EX52" s="2">
        <f>1.53597138526019*(1/14151.6638359215)</f>
        <v>1.0853645218461152E-4</v>
      </c>
      <c r="EY52" s="2">
        <f>0.209077797449645*(1/14151.6638359215)</f>
        <v>1.4774078855585725E-5</v>
      </c>
      <c r="EZ52" s="2">
        <f>0.375557201220391*(1/14151.6638359215)</f>
        <v>2.6538024473638596E-5</v>
      </c>
      <c r="FA52" s="2">
        <f>1.56484929972609*(1/14151.6638359215)</f>
        <v>1.1057705425096351E-4</v>
      </c>
      <c r="FB52" s="2">
        <f>3.30639379612077*(1/14151.6638359215)</f>
        <v>2.336399333997797E-4</v>
      </c>
      <c r="FC52" s="2">
        <f>5.12963039355737*(1/14151.6638359215)</f>
        <v>3.6247542713222945E-4</v>
      </c>
      <c r="FD52" s="2">
        <f>6.56399879518984*(1/14151.6638359215)</f>
        <v>4.6383230066052644E-4</v>
      </c>
      <c r="FE52" s="2">
        <f>7.13893870417186*(1/14151.6638359215)</f>
        <v>5.0445931919686541E-4</v>
      </c>
      <c r="FF52" s="2">
        <f>6.65995339624533*(1/14151.6638359215)</f>
        <v>4.7061274726864369E-4</v>
      </c>
      <c r="FG52" s="2">
        <f>6.14988349061317*(1/14151.6638359215)</f>
        <v>4.3456964226374403E-4</v>
      </c>
      <c r="FH52" s="2">
        <f>5.76071904409389*(1/14151.6638359215)</f>
        <v>4.0707008807482569E-4</v>
      </c>
      <c r="FI52" s="2">
        <f>5.4924600566874*(1/14151.6638359215)</f>
        <v>3.8811408470188218E-4</v>
      </c>
      <c r="FJ52" s="2">
        <f>5.34510652839369*(1/14151.6638359215)</f>
        <v>3.7770163214491295E-4</v>
      </c>
      <c r="FK52" s="2">
        <f>5.31865845921277*(1/14151.6638359215)</f>
        <v>3.7583273040391865E-4</v>
      </c>
      <c r="FL52" s="2">
        <f>5.41311584914463*(1/14151.6638359215)</f>
        <v>3.8250737947889853E-4</v>
      </c>
      <c r="FM52" s="2">
        <f>5.62847869818932*(1/14151.6638359215)</f>
        <v>3.9772557936985621E-4</v>
      </c>
      <c r="FN52" s="2">
        <f>5.96474700634676*(1/14151.6638359215)</f>
        <v>4.214873300767859E-4</v>
      </c>
      <c r="FO52" s="2">
        <f>6.42192077361699*(1/14151.6638359215)</f>
        <v>4.5379263159969063E-4</v>
      </c>
      <c r="FP52" s="2">
        <f t="shared" si="17"/>
        <v>4.9464148393856954E-4</v>
      </c>
      <c r="FQ52" s="2"/>
    </row>
    <row r="53" spans="2:173">
      <c r="B53" s="2">
        <v>9.7733727810650901</v>
      </c>
      <c r="C53" s="2">
        <f t="shared" si="18"/>
        <v>4.9464148393856954E-4</v>
      </c>
      <c r="D53" s="2">
        <f>7.24204716520872*(1/14151.6638359215)</f>
        <v>5.1174527950742174E-4</v>
      </c>
      <c r="E53" s="2">
        <f>7.43347008671365*(1/14151.6638359215)</f>
        <v>5.2527181064357246E-4</v>
      </c>
      <c r="F53" s="2">
        <f>7.57426876451482*(1/14151.6638359215)</f>
        <v>5.3522107734702376E-4</v>
      </c>
      <c r="G53" s="2">
        <f>7.66444319861218*(1/14151.6638359215)</f>
        <v>5.4159307961777216E-4</v>
      </c>
      <c r="H53" s="2">
        <f>7.70399338900576*(1/14151.6638359215)</f>
        <v>5.4438781745581974E-4</v>
      </c>
      <c r="I53" s="2">
        <f>7.69291933569555*(1/14151.6638359215)</f>
        <v>5.4360529086116595E-4</v>
      </c>
      <c r="J53" s="2">
        <f>7.63122103868157*(1/14151.6638359215)</f>
        <v>5.3924549983381197E-4</v>
      </c>
      <c r="K53" s="2">
        <f>7.5188984979638*(1/14151.6638359215)</f>
        <v>5.3130844437375652E-4</v>
      </c>
      <c r="L53" s="2">
        <f>7.35595171354222*(1/14151.6638359215)</f>
        <v>5.1979412448099817E-4</v>
      </c>
      <c r="M53" s="2">
        <f>7.14238068541687*(1/14151.6638359215)</f>
        <v>5.0470254015553976E-4</v>
      </c>
      <c r="N53" s="2">
        <f>6.43495140817819*(1/14151.6638359215)</f>
        <v>4.5471341623054963E-4</v>
      </c>
      <c r="O53" s="2">
        <f>2.25085201876605*(1/14151.6638359215)</f>
        <v>1.5905211181265201E-4</v>
      </c>
      <c r="P53" s="2">
        <f>-4.84272536554186*(1/14151.6638359215)</f>
        <v>-3.422018373026539E-4</v>
      </c>
      <c r="Q53" s="2">
        <f>-13.4735309441734*(1/14151.6638359215)</f>
        <v>-9.520810485883095E-4</v>
      </c>
      <c r="R53" s="2">
        <f>-22.2693149165581*(1/14151.6638359215)</f>
        <v>-1.5736181395173744E-3</v>
      </c>
      <c r="S53" s="2">
        <f>-29.8578274821201*(1/14151.6638359215)</f>
        <v>-2.1098457275625271E-3</v>
      </c>
      <c r="T53" s="2">
        <f>-34.8668188402892*(1/14151.6638359215)</f>
        <v>-2.4637964301968463E-3</v>
      </c>
      <c r="U53" s="2">
        <f>-35.924039190493*(1/14151.6638359215)</f>
        <v>-2.5385028648932549E-3</v>
      </c>
      <c r="V53" s="2">
        <f>-31.6572387321596*(1/14151.6638359215)</f>
        <v>-2.236997649124712E-3</v>
      </c>
      <c r="W53" s="2">
        <f>-20.6941676647168*(1/14151.6638359215)</f>
        <v>-1.4623134003641544E-3</v>
      </c>
      <c r="X53" s="2">
        <f>-1.66257618758792*(1/14151.6638359215)</f>
        <v>-1.1748273608420261E-4</v>
      </c>
      <c r="Y53" s="2">
        <f>25.3016208260115*(1/14151.6638359215)</f>
        <v>1.7878901816327636E-3</v>
      </c>
      <c r="Z53" s="2">
        <f>58.1314318953129*(1/14151.6638359215)</f>
        <v>4.1077453908816381E-3</v>
      </c>
      <c r="AA53" s="2">
        <f>96.4005882980706*(1/14151.6638359215)</f>
        <v>6.8119614354726779E-3</v>
      </c>
      <c r="AB53" s="2">
        <f>139.708984674702*(1/14151.6638359215)</f>
        <v>9.8722656427207827E-3</v>
      </c>
      <c r="AC53" s="2">
        <f>187.656515665626*(1/14151.6638359215)</f>
        <v>1.3260385339940952E-2</v>
      </c>
      <c r="AD53" s="2">
        <f>239.84307591127*(1/14151.6638359215)</f>
        <v>1.6948047854448797E-2</v>
      </c>
      <c r="AE53" s="2">
        <f>295.868560052033*(1/14151.6638359215)</f>
        <v>2.090698051355791E-2</v>
      </c>
      <c r="AF53" s="2">
        <f>355.332862728341*(1/14151.6638359215)</f>
        <v>2.5108910644583805E-2</v>
      </c>
      <c r="AG53" s="2">
        <f>417.835878580614*(1/14151.6638359215)</f>
        <v>2.9525565574841553E-2</v>
      </c>
      <c r="AH53" s="2">
        <f>482.977502249268*(1/14151.6638359215)</f>
        <v>3.4128672631645963E-2</v>
      </c>
      <c r="AI53" s="2">
        <f>550.410612311394*(1/14151.6638359215)</f>
        <v>3.8893703149892087E-2</v>
      </c>
      <c r="AJ53" s="2">
        <f>620.656356689004*(1/14151.6638359215)</f>
        <v>4.3857483041222153E-2</v>
      </c>
      <c r="AK53" s="2">
        <f>694.038145643828*(1/14151.6638359215)</f>
        <v>4.9042865467319445E-2</v>
      </c>
      <c r="AL53" s="2">
        <f>770.662887733633*(1/14151.6638359215)</f>
        <v>5.4457404914992499E-2</v>
      </c>
      <c r="AM53" s="2">
        <f>850.637491516185*(1/14151.6638359215)</f>
        <v>6.0108655871049736E-2</v>
      </c>
      <c r="AN53" s="2">
        <f>934.068865549251*(1/14151.6638359215)</f>
        <v>6.6004172822299673E-2</v>
      </c>
      <c r="AO53" s="2">
        <f>1021.0639183906*(1/14151.6638359215)</f>
        <v>7.2151510255550971E-2</v>
      </c>
      <c r="AP53" s="2">
        <f>1111.72955859801*(1/14151.6638359215)</f>
        <v>7.8558222657612947E-2</v>
      </c>
      <c r="AQ53" s="2">
        <f>1206.17269472922*(1/14151.6638359215)</f>
        <v>8.5231864515292091E-2</v>
      </c>
      <c r="AR53" s="2">
        <f>1304.50023534201*(1/14151.6638359215)</f>
        <v>9.2179990315397864E-2</v>
      </c>
      <c r="AS53" s="2">
        <f>1406.81908899415*(1/14151.6638359215)</f>
        <v>9.9410154544738991E-2</v>
      </c>
      <c r="AT53" s="2">
        <f>1514.04481260608*(1/14151.6638359215)</f>
        <v>0.1069870532652807</v>
      </c>
      <c r="AU53" s="2">
        <f>1627.69485652402*(1/14151.6638359215)</f>
        <v>0.11501791417574547</v>
      </c>
      <c r="AV53" s="2">
        <f>1746.86833320796*(1/14151.6638359215)</f>
        <v>0.12343907779761155</v>
      </c>
      <c r="AW53" s="2">
        <f>1870.56295113229*(1/14151.6638359215)</f>
        <v>0.13217971913551227</v>
      </c>
      <c r="AX53" s="2">
        <f>1997.77641877143*(1/14151.6638359215)</f>
        <v>0.14116901319408304</v>
      </c>
      <c r="AY53" s="2">
        <f>2127.50644459977*(1/14151.6638359215)</f>
        <v>0.1503361349779572</v>
      </c>
      <c r="AZ53" s="2">
        <f>2258.7507370917*(1/14151.6638359215)</f>
        <v>0.15961025949176805</v>
      </c>
      <c r="BA53" s="2">
        <f>2390.50700472165*(1/14151.6638359215)</f>
        <v>0.16892056174015171</v>
      </c>
      <c r="BB53" s="2">
        <f>2521.77295596397*(1/14151.6638359215)</f>
        <v>0.17819621672773875</v>
      </c>
      <c r="BC53" s="2">
        <f>2651.54629929309*(1/14151.6638359215)</f>
        <v>0.18736639945916522</v>
      </c>
      <c r="BD53" s="2">
        <f>2778.92244727467*(1/14151.6638359215)</f>
        <v>0.19636718901002059</v>
      </c>
      <c r="BE53" s="2">
        <f>2906.62692253892*(1/14151.6638359215)</f>
        <v>0.20539117917434987</v>
      </c>
      <c r="BF53" s="2">
        <f>3035.87799000108*(1/14151.6638359215)</f>
        <v>0.21452445629008229</v>
      </c>
      <c r="BG53" s="2">
        <f>3166.10695590907*(1/14151.6638359215)</f>
        <v>0.22372683471129853</v>
      </c>
      <c r="BH53" s="2">
        <f>3296.74512651076*(1/14151.6638359215)</f>
        <v>0.23295812879207567</v>
      </c>
      <c r="BI53" s="2">
        <f>3427.22380805408*(1/14151.6638359215)</f>
        <v>0.24217815288649505</v>
      </c>
      <c r="BJ53" s="2">
        <f>3556.97430678696*(1/14151.6638359215)</f>
        <v>0.25134672134863806</v>
      </c>
      <c r="BK53" s="2">
        <f>3685.4279289573*(1/14151.6638359215)</f>
        <v>0.26042364853258398</v>
      </c>
      <c r="BL53" s="2">
        <f>3812.01598081301*(1/14151.6638359215)</f>
        <v>0.26936874879241274</v>
      </c>
      <c r="BM53" s="2">
        <f>3936.16976860204*(1/14151.6638359215)</f>
        <v>0.27814183648220703</v>
      </c>
      <c r="BN53" s="2">
        <f>4057.32059857225*(1/14151.6638359215)</f>
        <v>0.28670272595604329</v>
      </c>
      <c r="BO53" s="2">
        <f>4176.20191212449*(1/14151.6638359215)</f>
        <v>0.29510324443433567</v>
      </c>
      <c r="BP53" s="2">
        <f>4296.78731550197*(1/14151.6638359215)</f>
        <v>0.30362417912975959</v>
      </c>
      <c r="BQ53" s="2">
        <f>4418.19198380065*(1/14151.6638359215)</f>
        <v>0.31220300559894942</v>
      </c>
      <c r="BR53" s="2">
        <f>4539.0434858661*(1/14151.6638359215)</f>
        <v>0.3207427436443579</v>
      </c>
      <c r="BS53" s="2">
        <f>4657.96939054383*(1/14151.6638359215)</f>
        <v>0.32914641306843351</v>
      </c>
      <c r="BT53" s="2">
        <f>4773.59726667941*(1/14151.6638359215)</f>
        <v>0.33731703367362897</v>
      </c>
      <c r="BU53" s="2">
        <f>4884.55468311839*(1/14151.6638359215)</f>
        <v>0.34515762526239568</v>
      </c>
      <c r="BV53" s="2">
        <f>4989.46920870632*(1/14151.6638359215)</f>
        <v>0.35257120763718497</v>
      </c>
      <c r="BW53" s="2">
        <f>5086.96841228875*(1/14151.6638359215)</f>
        <v>0.35946080060044805</v>
      </c>
      <c r="BX53" s="2">
        <f>5175.67986271124*(1/14151.6638359215)</f>
        <v>0.36572942395463715</v>
      </c>
      <c r="BY53" s="2">
        <f>5254.24269135174*(1/14151.6638359215)</f>
        <v>0.37128091454622975</v>
      </c>
      <c r="BZ53" s="2">
        <f>5324.79262918338*(1/14151.6638359215)</f>
        <v>0.37626618968063208</v>
      </c>
      <c r="CA53" s="2">
        <f>5389.47187808677*(1/14151.6638359215)</f>
        <v>0.38083662391743273</v>
      </c>
      <c r="CB53" s="2">
        <f>5447.97777437221*(1/14151.6638359215)</f>
        <v>0.38497083011140221</v>
      </c>
      <c r="CC53" s="2">
        <f>5500.00765435001*(1/14151.6638359215)</f>
        <v>0.38864742111731143</v>
      </c>
      <c r="CD53" s="2">
        <f>5545.25885433052*(1/14151.6638359215)</f>
        <v>0.39184500978993436</v>
      </c>
      <c r="CE53" s="2">
        <f>5583.42871062401*(1/14151.6638359215)</f>
        <v>0.39454220898403919</v>
      </c>
      <c r="CF53" s="2">
        <f>5614.21455954082*(1/14151.6638359215)</f>
        <v>0.39671763155439915</v>
      </c>
      <c r="CG53" s="2">
        <f>5637.31373739126*(1/14151.6638359215)</f>
        <v>0.39834989035578516</v>
      </c>
      <c r="CH53" s="2">
        <f>5652.42358048565*(1/14151.6638359215)</f>
        <v>0.39941759824296919</v>
      </c>
      <c r="CI53" s="2">
        <f>5659.24142513429*(1/14151.6638359215)</f>
        <v>0.39989936807072146</v>
      </c>
      <c r="CJ53" s="2">
        <f>5657.15908751419*(1/14151.6638359215)</f>
        <v>0.39975222370351188</v>
      </c>
      <c r="CK53" s="2">
        <f>5644.55232053866*(1/14151.6638359215)</f>
        <v>0.39886139085716271</v>
      </c>
      <c r="CL53" s="2">
        <f>5622.12020263652*(1/14151.6638359215)</f>
        <v>0.39727626855901993</v>
      </c>
      <c r="CM53" s="2">
        <f>5590.92416985912*(1/14151.6638359215)</f>
        <v>0.39507186113816151</v>
      </c>
      <c r="CN53" s="2">
        <f>5552.02565825782*(1/14151.6638359215)</f>
        <v>0.39232317292366597</v>
      </c>
      <c r="CO53" s="2">
        <f>5506.48610388397*(1/14151.6638359215)</f>
        <v>0.38910520824461131</v>
      </c>
      <c r="CP53" s="2">
        <f>5455.3669427889*(1/14151.6638359215)</f>
        <v>0.38549297143007411</v>
      </c>
      <c r="CQ53" s="2">
        <f>5399.729611024*(1/14151.6638359215)</f>
        <v>0.38156146680913522</v>
      </c>
      <c r="CR53" s="2">
        <f>5340.63554464061*(1/14151.6638359215)</f>
        <v>0.37738569871087169</v>
      </c>
      <c r="CS53" s="2">
        <f>5279.14617969007*(1/14151.6638359215)</f>
        <v>0.37304067146436098</v>
      </c>
      <c r="CT53" s="2">
        <f>5216.32295222374*(1/14151.6638359215)</f>
        <v>0.36860138939868153</v>
      </c>
      <c r="CU53" s="2">
        <f>5151.85549301437*(1/14151.6638359215)</f>
        <v>0.36404592087167126</v>
      </c>
      <c r="CV53" s="2">
        <f>5084.21271720229*(1/14151.6638359215)</f>
        <v>0.35926607472804112</v>
      </c>
      <c r="CW53" s="2">
        <f>5013.09417401197*(1/14151.6638359215)</f>
        <v>0.35424062019386832</v>
      </c>
      <c r="CX53" s="2">
        <f>4938.20462632943*(1/14151.6638359215)</f>
        <v>0.3489486949085569</v>
      </c>
      <c r="CY53" s="2">
        <f>4859.2488370407*(1/14151.6638359215)</f>
        <v>0.34336943651151147</v>
      </c>
      <c r="CZ53" s="2">
        <f>4775.93156903183*(1/14151.6638359215)</f>
        <v>0.33748198264213786</v>
      </c>
      <c r="DA53" s="2">
        <f>4687.95758518883*(1/14151.6638359215)</f>
        <v>0.33126547093983943</v>
      </c>
      <c r="DB53" s="2">
        <f>4595.03164839776*(1/14151.6638359215)</f>
        <v>0.32469903904402281</v>
      </c>
      <c r="DC53" s="2">
        <f>4496.85852154465*(1/14151.6638359215)</f>
        <v>0.31776182459409252</v>
      </c>
      <c r="DD53" s="2">
        <f>4393.14296751553*(1/14151.6638359215)</f>
        <v>0.31043296522945324</v>
      </c>
      <c r="DE53" s="2">
        <f>4283.42526516576*(1/14151.6638359215)</f>
        <v>0.30267997564307891</v>
      </c>
      <c r="DF53" s="2">
        <f>4166.10221240416*(1/14151.6638359215)</f>
        <v>0.29438956865476451</v>
      </c>
      <c r="DG53" s="2">
        <f>4041.63805702477*(1/14151.6638359215)</f>
        <v>0.28559454943847562</v>
      </c>
      <c r="DH53" s="2">
        <f>3911.03865338269*(1/14151.6638359215)</f>
        <v>0.27636599475004553</v>
      </c>
      <c r="DI53" s="2">
        <f>3775.30985583306*(1/14151.6638359215)</f>
        <v>0.26677498134531025</v>
      </c>
      <c r="DJ53" s="2">
        <f>3635.45751873096*(1/14151.6638359215)</f>
        <v>0.25689258598010173</v>
      </c>
      <c r="DK53" s="2">
        <f>3492.48749643151*(1/14151.6638359215)</f>
        <v>0.24678988541025454</v>
      </c>
      <c r="DL53" s="2">
        <f>3347.4056432898*(1/14151.6638359215)</f>
        <v>0.23653795639160125</v>
      </c>
      <c r="DM53" s="2">
        <f>3201.2178136609*(1/14151.6638359215)</f>
        <v>0.22620787567997297</v>
      </c>
      <c r="DN53" s="2">
        <f>3054.92986189999*(1/14151.6638359215)</f>
        <v>0.21587072003120863</v>
      </c>
      <c r="DO53" s="2">
        <f>2909.54764236214*(1/14151.6638359215)</f>
        <v>0.20559756620113934</v>
      </c>
      <c r="DP53" s="2">
        <f>2762.75472024869*(1/14151.6638359215)</f>
        <v>0.19522472779744279</v>
      </c>
      <c r="DQ53" s="2">
        <f>2609.49342718283*(1/14151.6638359215)</f>
        <v>0.18439481444995123</v>
      </c>
      <c r="DR53" s="2">
        <f>2451.50493540875*(1/14151.6638359215)</f>
        <v>0.17323086273333019</v>
      </c>
      <c r="DS53" s="2">
        <f>2290.71272049876*(1/14151.6638359215)</f>
        <v>0.16186879133492349</v>
      </c>
      <c r="DT53" s="2">
        <f>2129.04025802515*(1/14151.6638359215)</f>
        <v>0.15044451894207359</v>
      </c>
      <c r="DU53" s="2">
        <f>1968.41102356028*(1/14151.6638359215)</f>
        <v>0.13909396424212792</v>
      </c>
      <c r="DV53" s="2">
        <f>1810.74849267646*(1/14151.6638359215)</f>
        <v>0.12795304592243031</v>
      </c>
      <c r="DW53" s="2">
        <f>1657.97614094599*(1/14151.6638359215)</f>
        <v>0.11715768267032392</v>
      </c>
      <c r="DX53" s="2">
        <f>1512.0174439412*(1/14151.6638359215)</f>
        <v>0.10684379317315401</v>
      </c>
      <c r="DY53" s="2">
        <f>1374.79587723437*(1/14151.6638359215)</f>
        <v>9.7147296118262325E-2</v>
      </c>
      <c r="DZ53" s="2">
        <f>1247.97217615247*(1/14151.6638359215)</f>
        <v>8.8185544160871945E-2</v>
      </c>
      <c r="EA53" s="2">
        <f>1127.30038041694*(1/14151.6638359215)</f>
        <v>7.9658504716278458E-2</v>
      </c>
      <c r="EB53" s="2">
        <f>1010.98505981785*(1/14151.6638359215)</f>
        <v>7.1439307175432121E-2</v>
      </c>
      <c r="EC53" s="2">
        <f>899.45535219106*(1/14151.6638359215)</f>
        <v>6.3558275734896377E-2</v>
      </c>
      <c r="ED53" s="2">
        <f>793.140395372405*(1/14151.6638359215)</f>
        <v>5.6045734591232882E-2</v>
      </c>
      <c r="EE53" s="2">
        <f>692.469327197713*(1/14151.6638359215)</f>
        <v>4.8932007941002803E-2</v>
      </c>
      <c r="EF53" s="2">
        <f>597.871285502865*(1/14151.6638359215)</f>
        <v>4.2247419980771049E-2</v>
      </c>
      <c r="EG53" s="2">
        <f>509.775408123686*(1/14151.6638359215)</f>
        <v>3.6022294907098566E-2</v>
      </c>
      <c r="EH53" s="2">
        <f>428.610832896018*(1/14151.6638359215)</f>
        <v>3.0286956916547515E-2</v>
      </c>
      <c r="EI53" s="2">
        <f>354.806697655705*(1/14151.6638359215)</f>
        <v>2.5071730205680189E-2</v>
      </c>
      <c r="EJ53" s="2">
        <f>288.792140238579*(1/14151.6638359215)</f>
        <v>2.0406938971058029E-2</v>
      </c>
      <c r="EK53" s="2">
        <f>231.675339012507*(1/14151.6638359215)</f>
        <v>1.6370890497302521E-2</v>
      </c>
      <c r="EL53" s="2">
        <f>185.089397463823*(1/14151.6638359215)</f>
        <v>1.3078984888971587E-2</v>
      </c>
      <c r="EM53" s="2">
        <f>147.84197136073*(1/14151.6638359215)</f>
        <v>1.0446967443182142E-2</v>
      </c>
      <c r="EN53" s="2">
        <f>118.571269606929*(1/14151.6638359215)</f>
        <v>8.3786098215502241E-3</v>
      </c>
      <c r="EO53" s="2">
        <f>95.9155011061229*(1/14151.6638359215)</f>
        <v>6.7776836856920201E-3</v>
      </c>
      <c r="EP53" s="2">
        <f>78.5128747620134*(1/14151.6638359215)</f>
        <v>5.5479606972236245E-3</v>
      </c>
      <c r="EQ53" s="2">
        <f>65.0015994783002*(1/14151.6638359215)</f>
        <v>4.593212517760994E-3</v>
      </c>
      <c r="ER53" s="2">
        <f>54.0198841586903*(1/14151.6638359215)</f>
        <v>3.8172108089205995E-3</v>
      </c>
      <c r="ES53" s="2">
        <f>44.2059377068831*(1/14151.6638359215)</f>
        <v>3.1237272323183748E-3</v>
      </c>
      <c r="ET53" s="2">
        <f>34.1979690265805*(1/14151.6638359215)</f>
        <v>2.416533449570431E-3</v>
      </c>
      <c r="EU53" s="2">
        <f>22.6867023967337*(1/14151.6638359215)</f>
        <v>1.6031120198847228E-3</v>
      </c>
      <c r="EV53" s="2">
        <f>12.5803874470432*(1/14151.6638359215)</f>
        <v>8.8896878790394301E-4</v>
      </c>
      <c r="EW53" s="2">
        <f>5.80946039371336*(1/14151.6638359215)</f>
        <v>4.1051430143267473E-4</v>
      </c>
      <c r="EX53" s="2">
        <f>1.83626741599905*(1/14151.6638359215)</f>
        <v>1.2975629136540183E-4</v>
      </c>
      <c r="EY53" s="2">
        <f>0.12315469315721*(1/14151.6638359215)</f>
        <v>8.7024885967545071E-6</v>
      </c>
      <c r="EZ53" s="2">
        <f>0.13246840444488*(1/14151.6638359215)</f>
        <v>9.3606240213700064E-6</v>
      </c>
      <c r="FA53" s="2">
        <f>1.32655472911906*(1/14151.6638359215)</f>
        <v>9.3738428533882712E-5</v>
      </c>
      <c r="FB53" s="2">
        <f>3.16775984643711*(1/14151.6638359215)</f>
        <v>2.2384363302895246E-4</v>
      </c>
      <c r="FC53" s="2">
        <f>5.11842993565528*(1/14151.6638359215)</f>
        <v>3.6168396840116071E-4</v>
      </c>
      <c r="FD53" s="2">
        <f>6.64091117603088*(1/14151.6638359215)</f>
        <v>4.6926716554516361E-4</v>
      </c>
      <c r="FE53" s="2">
        <f>7.19754974682089*(1/14151.6638359215)</f>
        <v>5.0860095535559433E-4</v>
      </c>
      <c r="FF53" s="2">
        <f>6.56611715229333*(1/14151.6638359215)</f>
        <v>4.6398199027498102E-4</v>
      </c>
      <c r="FG53" s="2">
        <f>5.91529288073312*(1/14151.6638359215)</f>
        <v>4.179927497795838E-4</v>
      </c>
      <c r="FH53" s="2">
        <f>5.41873806613544*(1/14151.6638359215)</f>
        <v>3.8290466258680692E-4</v>
      </c>
      <c r="FI53" s="2">
        <f>5.07645270850014*(1/14151.6638359215)</f>
        <v>3.5871772869664002E-4</v>
      </c>
      <c r="FJ53" s="2">
        <f>4.88843680782722*(1/14151.6638359215)</f>
        <v>3.4543194810908283E-4</v>
      </c>
      <c r="FK53" s="2">
        <f>4.8546903641167*(1/14151.6638359215)</f>
        <v>3.4304732082413703E-4</v>
      </c>
      <c r="FL53" s="2">
        <f>4.97521337736856*(1/14151.6638359215)</f>
        <v>3.5156384684180094E-4</v>
      </c>
      <c r="FM53" s="2">
        <f>5.25000584758287*(1/14151.6638359215)</f>
        <v>3.7098152616207983E-4</v>
      </c>
      <c r="FN53" s="2">
        <f>5.67906777475952*(1/14151.6638359215)</f>
        <v>4.013003587849656E-4</v>
      </c>
      <c r="FO53" s="2">
        <f>6.26239915889857*(1/14151.6638359215)</f>
        <v>4.4252034471046266E-4</v>
      </c>
      <c r="FP53" s="2">
        <f t="shared" si="17"/>
        <v>4.9464148393856954E-4</v>
      </c>
      <c r="FQ53" s="2"/>
    </row>
    <row r="54" spans="2:173">
      <c r="B54" s="2">
        <v>9.7828402366863916</v>
      </c>
      <c r="C54" s="2">
        <f t="shared" si="18"/>
        <v>4.9464148393856954E-4</v>
      </c>
      <c r="D54" s="2">
        <f>7.19883745043449*(1/14151.6638359215)</f>
        <v>5.0869194844506643E-4</v>
      </c>
      <c r="E54" s="2">
        <f>7.35608798313105*(1/14151.6638359215)</f>
        <v>5.1980375370837457E-4</v>
      </c>
      <c r="F54" s="2">
        <f>7.47175159808969*(1/14151.6638359215)</f>
        <v>5.2797689972849471E-4</v>
      </c>
      <c r="G54" s="2">
        <f>7.54582829531038*(1/14151.6638359215)</f>
        <v>5.3321138650542469E-4</v>
      </c>
      <c r="H54" s="2">
        <f>7.57831807479314*(1/14151.6638359215)</f>
        <v>5.3550721403916601E-4</v>
      </c>
      <c r="I54" s="2">
        <f>7.56922093653796*(1/14151.6638359215)</f>
        <v>5.3486438232971793E-4</v>
      </c>
      <c r="J54" s="2">
        <f>7.51853688054486*(1/14151.6638359215)</f>
        <v>5.3128289137708196E-4</v>
      </c>
      <c r="K54" s="2">
        <f>7.42626590681382*(1/14151.6638359215)</f>
        <v>5.2476274118125647E-4</v>
      </c>
      <c r="L54" s="2">
        <f>7.29240801534482*(1/14151.6638359215)</f>
        <v>5.1530393174224005E-4</v>
      </c>
      <c r="M54" s="2">
        <f>7.11696320613792*(1/14151.6638359215)</f>
        <v>5.0290646306003727E-4</v>
      </c>
      <c r="N54" s="2">
        <f>6.41885731281823*(1/14151.6638359215)</f>
        <v>4.5357615805747832E-4</v>
      </c>
      <c r="O54" s="2">
        <f>1.96062725051087*(1/14151.6638359215)</f>
        <v>1.3854393894901346E-4</v>
      </c>
      <c r="P54" s="2">
        <f>-5.64211204225608*(1/14151.6638359215)</f>
        <v>-3.9868895330417439E-4</v>
      </c>
      <c r="Q54" s="2">
        <f>-14.8999578553763*(1/14151.6638359215)</f>
        <v>-1.0528767520293543E-3</v>
      </c>
      <c r="R54" s="2">
        <f>-24.323507478745*(1/14151.6638359215)</f>
        <v>-1.7187736905539032E-3</v>
      </c>
      <c r="S54" s="2">
        <f>-32.4233582022521*(1/14151.6638359215)</f>
        <v>-2.2911340022048247E-3</v>
      </c>
      <c r="T54" s="2">
        <f>-37.710107315793*(1/14151.6638359215)</f>
        <v>-2.6647119203095085E-3</v>
      </c>
      <c r="U54" s="2">
        <f>-38.6943521092613*(1/14151.6638359215)</f>
        <v>-2.7342616781952183E-3</v>
      </c>
      <c r="V54" s="2">
        <f>-33.8866898725506*(1/14151.6638359215)</f>
        <v>-2.3945375091892177E-3</v>
      </c>
      <c r="W54" s="2">
        <f>-21.7977178955547*(1/14151.6638359215)</f>
        <v>-1.5402936466187844E-3</v>
      </c>
      <c r="X54" s="2">
        <f>-0.938033468162159*(1/14151.6638359215)</f>
        <v>-6.6284323810824757E-5</v>
      </c>
      <c r="Y54" s="2">
        <f>28.5838047840362*(1/14151.6638359215)</f>
        <v>2.0198193735694358E-3</v>
      </c>
      <c r="Z54" s="2">
        <f>64.5678911043561*(1/14151.6638359215)</f>
        <v>4.5625653529489515E-3</v>
      </c>
      <c r="AA54" s="2">
        <f>106.520925585717*(1/14151.6638359215)</f>
        <v>7.5270955288898565E-3</v>
      </c>
      <c r="AB54" s="2">
        <f>153.977128155038*(1/14151.6638359215)</f>
        <v>1.0880496451886757E-2</v>
      </c>
      <c r="AC54" s="2">
        <f>206.470718739238*(1/14151.6638359215)</f>
        <v>1.4589854672434245E-2</v>
      </c>
      <c r="AD54" s="2">
        <f>263.535917265247*(1/14151.6638359215)</f>
        <v>1.8622256741027698E-2</v>
      </c>
      <c r="AE54" s="2">
        <f>324.706943659961*(1/14151.6638359215)</f>
        <v>2.2944789208160087E-2</v>
      </c>
      <c r="AF54" s="2">
        <f>389.518017850311*(1/14151.6638359215)</f>
        <v>2.7524538624326866E-2</v>
      </c>
      <c r="AG54" s="2">
        <f>457.503359763215*(1/14151.6638359215)</f>
        <v>3.2328591540022558E-2</v>
      </c>
      <c r="AH54" s="2">
        <f>528.197189325592*(1/14151.6638359215)</f>
        <v>3.7324034505741774E-2</v>
      </c>
      <c r="AI54" s="2">
        <f>601.219697103257*(1/14151.6638359215)</f>
        <v>4.2484029021178905E-2</v>
      </c>
      <c r="AJ54" s="2">
        <f>677.491373712668*(1/14151.6638359215)</f>
        <v>4.7873619778402009E-2</v>
      </c>
      <c r="AK54" s="2">
        <f>757.372150711968*(1/14151.6638359215)</f>
        <v>5.3518240645987682E-2</v>
      </c>
      <c r="AL54" s="2">
        <f>840.840888807678*(1/14151.6638359215)</f>
        <v>5.9416397856579373E-2</v>
      </c>
      <c r="AM54" s="2">
        <f>927.876448706318*(1/14151.6638359215)</f>
        <v>6.5566597642820454E-2</v>
      </c>
      <c r="AN54" s="2">
        <f>1018.45769111441*(1/14151.6638359215)</f>
        <v>7.1967346237354429E-2</v>
      </c>
      <c r="AO54" s="2">
        <f>1112.56347673847*(1/14151.6638359215)</f>
        <v>7.8617149872824421E-2</v>
      </c>
      <c r="AP54" s="2">
        <f>1210.17266628504*(1/14151.6638359215)</f>
        <v>8.5514514781875356E-2</v>
      </c>
      <c r="AQ54" s="2">
        <f>1311.2641204606*(1/14151.6638359215)</f>
        <v>9.2657947197147775E-2</v>
      </c>
      <c r="AR54" s="2">
        <f>1415.8166999717*(1/14151.6638359215)</f>
        <v>0.10004595335128717</v>
      </c>
      <c r="AS54" s="2">
        <f>1523.80926552485*(1/14151.6638359215)</f>
        <v>0.10767703947693621</v>
      </c>
      <c r="AT54" s="2">
        <f>1636.10107029571*(1/14151.6638359215)</f>
        <v>0.11561192304065028</v>
      </c>
      <c r="AU54" s="2">
        <f>1754.35779070871*(1/14151.6638359215)</f>
        <v>0.12396830585076381</v>
      </c>
      <c r="AV54" s="2">
        <f>1877.75408431673*(1/14151.6638359215)</f>
        <v>0.13268786667687674</v>
      </c>
      <c r="AW54" s="2">
        <f>2005.35729229209*(1/14151.6638359215)</f>
        <v>0.14170470098377017</v>
      </c>
      <c r="AX54" s="2">
        <f>2136.23475580709*(1/14151.6638359215)</f>
        <v>0.15095290423622382</v>
      </c>
      <c r="AY54" s="2">
        <f>2269.45381603406*(1/14151.6638359215)</f>
        <v>0.16036657189901954</v>
      </c>
      <c r="AZ54" s="2">
        <f>2404.08181414528*(1/14151.6638359215)</f>
        <v>0.16987979943693568</v>
      </c>
      <c r="BA54" s="2">
        <f>2539.18609131311*(1/14151.6638359215)</f>
        <v>0.17942668231475611</v>
      </c>
      <c r="BB54" s="2">
        <f>2673.83398870979*(1/14151.6638359215)</f>
        <v>0.18894131599725641</v>
      </c>
      <c r="BC54" s="2">
        <f>2807.09284750765*(1/14151.6638359215)</f>
        <v>0.19835779594921837</v>
      </c>
      <c r="BD54" s="2">
        <f>2938.12433674596*(1/14151.6638359215)</f>
        <v>0.20761688313200674</v>
      </c>
      <c r="BE54" s="2">
        <f>3069.57804672391*(1/14151.6638359215)</f>
        <v>0.21690580572811011</v>
      </c>
      <c r="BF54" s="2">
        <f>3202.6017221254*(1/14151.6638359215)</f>
        <v>0.22630566689947518</v>
      </c>
      <c r="BG54" s="2">
        <f>3336.61005786828*(1/14151.6638359215)</f>
        <v>0.23577510719261749</v>
      </c>
      <c r="BH54" s="2">
        <f>3471.01774887036*(1/14151.6638359215)</f>
        <v>0.24527276715404969</v>
      </c>
      <c r="BI54" s="2">
        <f>3605.23949004948*(1/14151.6638359215)</f>
        <v>0.25475728733028663</v>
      </c>
      <c r="BJ54" s="2">
        <f>3738.68997632351*(1/14151.6638359215)</f>
        <v>0.2641873082678452</v>
      </c>
      <c r="BK54" s="2">
        <f>3870.78390261028*(1/14151.6638359215)</f>
        <v>0.2735214705132395</v>
      </c>
      <c r="BL54" s="2">
        <f>4000.93596382763*(1/14151.6638359215)</f>
        <v>0.2827184146129843</v>
      </c>
      <c r="BM54" s="2">
        <f>4128.56085489342*(1/14151.6638359215)</f>
        <v>0.2917367811135958</v>
      </c>
      <c r="BN54" s="2">
        <f>4253.07327072545*(1/14151.6638359215)</f>
        <v>0.30053521056158605</v>
      </c>
      <c r="BO54" s="2">
        <f>4375.15596347713*(1/14151.6638359215)</f>
        <v>0.30916194831957283</v>
      </c>
      <c r="BP54" s="2">
        <f>4498.67651766715*(1/14151.6638359215)</f>
        <v>0.31789028977978223</v>
      </c>
      <c r="BQ54" s="2">
        <f>4622.80715188444*(1/14151.6638359215)</f>
        <v>0.32666174136713594</v>
      </c>
      <c r="BR54" s="2">
        <f>4746.24680866677*(1/14151.6638359215)</f>
        <v>0.33538436636823304</v>
      </c>
      <c r="BS54" s="2">
        <f>4867.69443055183*(1/14151.6638359215)</f>
        <v>0.34396622806966676</v>
      </c>
      <c r="BT54" s="2">
        <f>4985.84896007735*(1/14151.6638359215)</f>
        <v>0.35231538975803345</v>
      </c>
      <c r="BU54" s="2">
        <f>5099.40933978108*(1/14151.6638359215)</f>
        <v>0.36033991471993065</v>
      </c>
      <c r="BV54" s="2">
        <f>5207.07451220075*(1/14151.6638359215)</f>
        <v>0.36794786624195464</v>
      </c>
      <c r="BW54" s="2">
        <f>5307.54341987409*(1/14151.6638359215)</f>
        <v>0.37504730761070149</v>
      </c>
      <c r="BX54" s="2">
        <f>5399.51500533884*(1/14151.6638359215)</f>
        <v>0.38154630211276813</v>
      </c>
      <c r="BY54" s="2">
        <f>5481.70113844279*(1/14151.6638359215)</f>
        <v>0.38735382651815536</v>
      </c>
      <c r="BZ54" s="2">
        <f>5556.63466844298*(1/14151.6638359215)</f>
        <v>0.39264885972901958</v>
      </c>
      <c r="CA54" s="2">
        <f>5626.54328130238*(1/14151.6638359215)</f>
        <v>0.39758881687257108</v>
      </c>
      <c r="CB54" s="2">
        <f>5690.85244247759*(1/14151.6638359215)</f>
        <v>0.40213309957464971</v>
      </c>
      <c r="CC54" s="2">
        <f>5748.98761742518*(1/14151.6638359215)</f>
        <v>0.40624110946109321</v>
      </c>
      <c r="CD54" s="2">
        <f>5800.37427160177*(1/14151.6638359215)</f>
        <v>0.4098722481577427</v>
      </c>
      <c r="CE54" s="2">
        <f>5844.43787046391*(1/14151.6638359215)</f>
        <v>0.41298591729043455</v>
      </c>
      <c r="CF54" s="2">
        <f>5880.60387946821*(1/14151.6638359215)</f>
        <v>0.4155415184850092</v>
      </c>
      <c r="CG54" s="2">
        <f>5908.29776407125*(1/14151.6638359215)</f>
        <v>0.41749845336730507</v>
      </c>
      <c r="CH54" s="2">
        <f>5926.94498972961*(1/14151.6638359215)</f>
        <v>0.41881612356316061</v>
      </c>
      <c r="CI54" s="2">
        <f>5935.97102189989*(1/14151.6638359215)</f>
        <v>0.41945393069841552</v>
      </c>
      <c r="CJ54" s="2">
        <f>5934.52637190107*(1/14151.6638359215)</f>
        <v>0.41935184729567437</v>
      </c>
      <c r="CK54" s="2">
        <f>5921.08501421001*(1/14151.6638359215)</f>
        <v>0.41840203970789508</v>
      </c>
      <c r="CL54" s="2">
        <f>5896.58183552971*(1/14151.6638359215)</f>
        <v>0.41667056989880424</v>
      </c>
      <c r="CM54" s="2">
        <f>5862.3042582392*(1/14151.6638359215)</f>
        <v>0.41424841108497618</v>
      </c>
      <c r="CN54" s="2">
        <f>5819.53970471753*(1/14151.6638359215)</f>
        <v>0.41122653648298629</v>
      </c>
      <c r="CO54" s="2">
        <f>5769.57559734373*(1/14151.6638359215)</f>
        <v>0.40769591930940879</v>
      </c>
      <c r="CP54" s="2">
        <f>5713.69935849682*(1/14151.6638359215)</f>
        <v>0.40374753278081715</v>
      </c>
      <c r="CQ54" s="2">
        <f>5653.19841055585*(1/14151.6638359215)</f>
        <v>0.39947235011378696</v>
      </c>
      <c r="CR54" s="2">
        <f>5589.36017589987*(1/14151.6638359215)</f>
        <v>0.39496134452489373</v>
      </c>
      <c r="CS54" s="2">
        <f>5523.47207690789*(1/14151.6638359215)</f>
        <v>0.39030548923071023</v>
      </c>
      <c r="CT54" s="2">
        <f>5456.82153595896*(1/14151.6638359215)</f>
        <v>0.38559575744781205</v>
      </c>
      <c r="CU54" s="2">
        <f>5388.8774490344*(1/14151.6638359215)</f>
        <v>0.38079461973620987</v>
      </c>
      <c r="CV54" s="2">
        <f>5317.65479833382*(1/14151.6638359215)</f>
        <v>0.37576180864584219</v>
      </c>
      <c r="CW54" s="2">
        <f>5242.89809789084*(1/14151.6638359215)</f>
        <v>0.37047927075420412</v>
      </c>
      <c r="CX54" s="2">
        <f>5164.35894419198*(1/14151.6638359215)</f>
        <v>0.36492945310664937</v>
      </c>
      <c r="CY54" s="2">
        <f>5081.78893372375*(1/14151.6638359215)</f>
        <v>0.35909480274853101</v>
      </c>
      <c r="CZ54" s="2">
        <f>4994.93966297267*(1/14151.6638359215)</f>
        <v>0.35295776672520285</v>
      </c>
      <c r="DA54" s="2">
        <f>4903.56272842524*(1/14151.6638359215)</f>
        <v>0.34650079208201734</v>
      </c>
      <c r="DB54" s="2">
        <f>4807.40972656801*(1/14151.6638359215)</f>
        <v>0.33970632586433047</v>
      </c>
      <c r="DC54" s="2">
        <f>4706.23225388747*(1/14151.6638359215)</f>
        <v>0.3325568151174938</v>
      </c>
      <c r="DD54" s="2">
        <f>4599.78190687015*(1/14151.6638359215)</f>
        <v>0.32503470688686203</v>
      </c>
      <c r="DE54" s="2">
        <f>4487.67212979394*(1/14151.6638359215)</f>
        <v>0.31711268595871939</v>
      </c>
      <c r="DF54" s="2">
        <f>4368.55622394904*(1/14151.6638359215)</f>
        <v>0.30869559046903244</v>
      </c>
      <c r="DG54" s="2">
        <f>4242.82452064448*(1/14151.6638359215)</f>
        <v>0.2998110024260765</v>
      </c>
      <c r="DH54" s="2">
        <f>4111.32231142999*(1/14151.6638359215)</f>
        <v>0.29051865272506855</v>
      </c>
      <c r="DI54" s="2">
        <f>3974.89488785537*(1/14151.6638359215)</f>
        <v>0.28087827226123063</v>
      </c>
      <c r="DJ54" s="2">
        <f>3834.38754147037*(1/14151.6638359215)</f>
        <v>0.27094959192978102</v>
      </c>
      <c r="DK54" s="2">
        <f>3690.64556382474*(1/14151.6638359215)</f>
        <v>0.26079234262593831</v>
      </c>
      <c r="DL54" s="2">
        <f>3544.51424646824*(1/14151.6638359215)</f>
        <v>0.25046625524492155</v>
      </c>
      <c r="DM54" s="2">
        <f>3396.83888095061*(1/14151.6638359215)</f>
        <v>0.24003106068194854</v>
      </c>
      <c r="DN54" s="2">
        <f>3248.46475882166*(1/14151.6638359215)</f>
        <v>0.22954648983224191</v>
      </c>
      <c r="DO54" s="2">
        <f>3100.23717163112*(1/14151.6638359215)</f>
        <v>0.21907227359101869</v>
      </c>
      <c r="DP54" s="2">
        <f>2949.85473690929*(1/14151.6638359215)</f>
        <v>0.20844578920971854</v>
      </c>
      <c r="DQ54" s="2">
        <f>2792.54714113055*(1/14151.6638359215)</f>
        <v>0.19732995169388931</v>
      </c>
      <c r="DR54" s="2">
        <f>2630.08744795193*(1/14151.6638359215)</f>
        <v>0.18585005116330683</v>
      </c>
      <c r="DS54" s="2">
        <f>2464.42275125957*(1/14151.6638359215)</f>
        <v>0.17414367524785798</v>
      </c>
      <c r="DT54" s="2">
        <f>2297.50014493963*(1/14151.6638359215)</f>
        <v>0.16234841157743102</v>
      </c>
      <c r="DU54" s="2">
        <f>2131.26672287831*(1/14151.6638359215)</f>
        <v>0.15060184778191704</v>
      </c>
      <c r="DV54" s="2">
        <f>1967.66957896175*(1/14151.6638359215)</f>
        <v>0.13904157149120291</v>
      </c>
      <c r="DW54" s="2">
        <f>1808.65580707611*(1/14151.6638359215)</f>
        <v>0.12780517033517688</v>
      </c>
      <c r="DX54" s="2">
        <f>1656.17250110754*(1/14151.6638359215)</f>
        <v>0.11703023194372654</v>
      </c>
      <c r="DY54" s="2">
        <f>1512.16675494219*(1/14151.6638359215)</f>
        <v>0.10685434394673944</v>
      </c>
      <c r="DZ54" s="2">
        <f>1378.29588853707*(1/14151.6638359215)</f>
        <v>9.7394617658915078E-2</v>
      </c>
      <c r="EA54" s="2">
        <f>1249.79575567053*(1/14151.6638359215)</f>
        <v>8.8314403886428125E-2</v>
      </c>
      <c r="EB54" s="2">
        <f>1124.83546131103*(1/14151.6638359215)</f>
        <v>7.9484325967087613E-2</v>
      </c>
      <c r="EC54" s="2">
        <f>1004.07103887046*(1/14151.6638359215)</f>
        <v>7.095074123523222E-2</v>
      </c>
      <c r="ED54" s="2">
        <f>888.158521760667*(1/14151.6638359215)</f>
        <v>6.2760007025197517E-2</v>
      </c>
      <c r="EE54" s="2">
        <f>777.753943393505*(1/14151.6638359215)</f>
        <v>5.495848067131965E-2</v>
      </c>
      <c r="EF54" s="2">
        <f>673.51333718088*(1/14151.6638359215)</f>
        <v>4.7592519507938372E-2</v>
      </c>
      <c r="EG54" s="2">
        <f>576.09273653464*(1/14151.6638359215)</f>
        <v>4.0708480869389392E-2</v>
      </c>
      <c r="EH54" s="2">
        <f>486.14817486665*(1/14151.6638359215)</f>
        <v>3.4352722090009565E-2</v>
      </c>
      <c r="EI54" s="2">
        <f>404.335685588778*(1/14151.6638359215)</f>
        <v>2.8571600504136006E-2</v>
      </c>
      <c r="EJ54" s="2">
        <f>331.311302112879*(1/14151.6638359215)</f>
        <v>2.3411473446104884E-2</v>
      </c>
      <c r="EK54" s="2">
        <f>268.256459561228*(1/14151.6638359215)</f>
        <v>1.8955824747638954E-2</v>
      </c>
      <c r="EL54" s="2">
        <f>216.429799323871*(1/14151.6638359215)</f>
        <v>1.5293593872298053E-2</v>
      </c>
      <c r="EM54" s="2">
        <f>174.550931762264*(1/14151.6638359215)</f>
        <v>1.2334304558535181E-2</v>
      </c>
      <c r="EN54" s="2">
        <f>141.197078335515*(1/14151.6638359215)</f>
        <v>9.9774189079527981E-3</v>
      </c>
      <c r="EO54" s="2">
        <f>114.945460502729*(1/14151.6638359215)</f>
        <v>8.1223990221531584E-3</v>
      </c>
      <c r="EP54" s="2">
        <f>94.3732997230107*(1/14151.6638359215)</f>
        <v>6.6687070027384868E-3</v>
      </c>
      <c r="EQ54" s="2">
        <f>78.0578174554641*(1/14151.6638359215)</f>
        <v>5.5158049513109632E-3</v>
      </c>
      <c r="ER54" s="2">
        <f>64.5762351592004*(1/14151.6638359215)</f>
        <v>4.5631549694732732E-3</v>
      </c>
      <c r="ES54" s="2">
        <f>52.5057742933219*(1/14151.6638359215)</f>
        <v>3.7102191588274775E-3</v>
      </c>
      <c r="ET54" s="2">
        <f>40.4236563169343*(1/14151.6638359215)</f>
        <v>2.8564596209758731E-3</v>
      </c>
      <c r="EU54" s="2">
        <f>26.9631859884655*(1/14151.6638359215)</f>
        <v>1.9053014755780317E-3</v>
      </c>
      <c r="EV54" s="2">
        <f>15.2482719815929*(1/14151.6638359215)</f>
        <v>1.0774896972105749E-3</v>
      </c>
      <c r="EW54" s="2">
        <f>7.31636070110414*(1/14151.6638359215)</f>
        <v>5.1699650203199782E-4</v>
      </c>
      <c r="EX54" s="2">
        <f>2.56098112577851*(1/14151.6638359215)</f>
        <v>1.8096678634196435E-4</v>
      </c>
      <c r="EY54" s="2">
        <f>0.37566223439789*(1/14151.6638359215)</f>
        <v>2.6545446440321578E-5</v>
      </c>
      <c r="EZ54" s="2">
        <f>0.153933005744185*(1/14151.6638359215)</f>
        <v>1.0877378626918288E-5</v>
      </c>
      <c r="FA54" s="2">
        <f>1.2893224185993*(1/14151.6638359215)</f>
        <v>9.1107479201603332E-5</v>
      </c>
      <c r="FB54" s="2">
        <f>3.1753594517455*(1/14151.6638359215)</f>
        <v>2.2438064446425097E-4</v>
      </c>
      <c r="FC54" s="2">
        <f>5.20557308396391*(1/14151.6638359215)</f>
        <v>3.678417707146549E-4</v>
      </c>
      <c r="FD54" s="2">
        <f>6.77349229403673*(1/14151.6638359215)</f>
        <v>4.7863575425268482E-4</v>
      </c>
      <c r="FE54" s="2">
        <f>7.27264606074582*(1/14151.6638359215)</f>
        <v>5.1390749137818637E-4</v>
      </c>
      <c r="FF54" s="2">
        <f>6.45236166951048*(1/14151.6638359215)</f>
        <v>4.5594367873071567E-4</v>
      </c>
      <c r="FG54" s="2">
        <f>5.63090417377594*(1/14151.6638359215)</f>
        <v>3.9789697091891657E-4</v>
      </c>
      <c r="FH54" s="2">
        <f>5.00416252888232*(1/14151.6638359215)</f>
        <v>3.5360948273659084E-4</v>
      </c>
      <c r="FI54" s="2">
        <f>4.57213673482943*(1/14151.6638359215)</f>
        <v>3.2308121418372503E-4</v>
      </c>
      <c r="FJ54" s="2">
        <f>4.33482679161727*(1/14151.6638359215)</f>
        <v>3.0631216526031925E-4</v>
      </c>
      <c r="FK54" s="2">
        <f>4.29223269924586*(1/14151.6638359215)</f>
        <v>3.0330233596637487E-4</v>
      </c>
      <c r="FL54" s="2">
        <f>4.44435445771517*(1/14151.6638359215)</f>
        <v>3.1405172630188976E-4</v>
      </c>
      <c r="FM54" s="2">
        <f>4.79119206702531*(1/14151.6638359215)</f>
        <v>3.3856033626687167E-4</v>
      </c>
      <c r="FN54" s="2">
        <f>5.33274552717614*(1/14151.6638359215)</f>
        <v>3.7682816586131075E-4</v>
      </c>
      <c r="FO54" s="2">
        <f>6.0690148381677*(1/14151.6638359215)</f>
        <v>4.288552150852098E-4</v>
      </c>
      <c r="FP54" s="2">
        <f t="shared" si="17"/>
        <v>4.9464148393856954E-4</v>
      </c>
      <c r="FQ54" s="2"/>
    </row>
    <row r="55" spans="2:173">
      <c r="B55" s="2">
        <v>9.792307692307693</v>
      </c>
      <c r="C55" s="2">
        <f t="shared" si="18"/>
        <v>4.9464148393856954E-4</v>
      </c>
      <c r="D55" s="2">
        <f>7.11067172153247*(1/14151.6638359215)</f>
        <v>5.0246188744840626E-4</v>
      </c>
      <c r="E55" s="2">
        <f>7.1981964163392*(1/14151.6638359215)</f>
        <v>5.0864665100847355E-4</v>
      </c>
      <c r="F55" s="2">
        <f>7.2625740844202*(1/14151.6638359215)</f>
        <v>5.1319577461877226E-4</v>
      </c>
      <c r="G55" s="2">
        <f>7.30380472577543*(1/14151.6638359215)</f>
        <v>5.1610925827929937E-4</v>
      </c>
      <c r="H55" s="2">
        <f>7.32188834040492*(1/14151.6638359215)</f>
        <v>5.1738710199005715E-4</v>
      </c>
      <c r="I55" s="2">
        <f>7.31682492830866*(1/14151.6638359215)</f>
        <v>5.1702930575104472E-4</v>
      </c>
      <c r="J55" s="2">
        <f>7.28861448948666*(1/14151.6638359215)</f>
        <v>5.1503586956226297E-4</v>
      </c>
      <c r="K55" s="2">
        <f>7.23725702393891*(1/14151.6638359215)</f>
        <v>5.1140679342371112E-4</v>
      </c>
      <c r="L55" s="2">
        <f>7.1627525316654*(1/14151.6638359215)</f>
        <v>5.0614207733538843E-4</v>
      </c>
      <c r="M55" s="2">
        <f>7.06510101266615*(1/14151.6638359215)</f>
        <v>4.992417212972964E-4</v>
      </c>
      <c r="N55" s="2">
        <f>6.42483741817828*(1/14151.6638359215)</f>
        <v>4.539987306559646E-4</v>
      </c>
      <c r="O55" s="2">
        <f>1.74614127643251*(1/14151.6638359215)</f>
        <v>1.2338770173442353E-4</v>
      </c>
      <c r="P55" s="2">
        <f>-6.30624491252917*(1/14151.6638359215)</f>
        <v>-4.456186202304976E-4</v>
      </c>
      <c r="Q55" s="2">
        <f>-16.1240604988715*(1/14151.6638359215)</f>
        <v>-1.1393756017538672E-3</v>
      </c>
      <c r="R55" s="2">
        <f>-26.099044832761*(1/14151.6638359215)</f>
        <v>-1.8442386093508794E-3</v>
      </c>
      <c r="S55" s="2">
        <f>-34.6229372643585*(1/14151.6638359215)</f>
        <v>-2.4465630095363263E-3</v>
      </c>
      <c r="T55" s="2">
        <f>-40.0874771438305*(1/14151.6638359215)</f>
        <v>-2.8327041688254008E-3</v>
      </c>
      <c r="U55" s="2">
        <f>-40.8844038213419*(1/14151.6638359215)</f>
        <v>-2.8890174537331828E-3</v>
      </c>
      <c r="V55" s="2">
        <f>-35.4054566470574*(1/14151.6638359215)</f>
        <v>-2.5018582307747375E-3</v>
      </c>
      <c r="W55" s="2">
        <f>-22.0423749711417*(1/14151.6638359215)</f>
        <v>-1.5575818664651307E-3</v>
      </c>
      <c r="X55" s="2">
        <f>0.813101856245766*(1/14151.6638359215)</f>
        <v>5.7456272680944454E-5</v>
      </c>
      <c r="Y55" s="2">
        <f>33.1074966700122*(1/14151.6638359215)</f>
        <v>2.3394773260494409E-3</v>
      </c>
      <c r="Z55" s="2">
        <f>72.5366023323673*(1/14151.6638359215)</f>
        <v>5.1256589453634377E-3</v>
      </c>
      <c r="AA55" s="2">
        <f>118.517621126171*(1/14151.6638359215)</f>
        <v>8.374818855245483E-3</v>
      </c>
      <c r="AB55" s="2">
        <f>170.496036117623*(1/14151.6638359215)</f>
        <v>1.2047773187266428E-2</v>
      </c>
      <c r="AC55" s="2">
        <f>227.917330372924*(1/14151.6638359215)</f>
        <v>1.6105338072997192E-2</v>
      </c>
      <c r="AD55" s="2">
        <f>290.226986958285*(1/14151.6638359215)</f>
        <v>2.0508329644009424E-2</v>
      </c>
      <c r="AE55" s="2">
        <f>356.870488939883*(1/14151.6638359215)</f>
        <v>2.5217564031872371E-2</v>
      </c>
      <c r="AF55" s="2">
        <f>427.29331938393*(1/14151.6638359215)</f>
        <v>3.0193857368157755E-2</v>
      </c>
      <c r="AG55" s="2">
        <f>500.940961356626*(1/14151.6638359215)</f>
        <v>3.5398025784436446E-2</v>
      </c>
      <c r="AH55" s="2">
        <f>577.258897924171*(1/14151.6638359215)</f>
        <v>4.0790885412279314E-2</v>
      </c>
      <c r="AI55" s="2">
        <f>655.808755314203*(1/14151.6638359215)</f>
        <v>4.6341459415503376E-2</v>
      </c>
      <c r="AJ55" s="2">
        <f>737.864594693202*(1/14151.6638359215)</f>
        <v>5.2139776866396655E-2</v>
      </c>
      <c r="AK55" s="2">
        <f>823.845512158242*(1/14151.6638359215)</f>
        <v>5.8215452381440519E-2</v>
      </c>
      <c r="AL55" s="2">
        <f>913.643657545145*(1/14151.6638359215)</f>
        <v>6.4560864937027534E-2</v>
      </c>
      <c r="AM55" s="2">
        <f>1007.15118068973*(1/14151.6638359215)</f>
        <v>7.1168393509550065E-2</v>
      </c>
      <c r="AN55" s="2">
        <f>1104.26023142783*(1/14151.6638359215)</f>
        <v>7.803041707540144E-2</v>
      </c>
      <c r="AO55" s="2">
        <f>1204.86295959526*(1/14151.6638359215)</f>
        <v>8.5139314610973738E-2</v>
      </c>
      <c r="AP55" s="2">
        <f>1308.85151502786*(1/14151.6638359215)</f>
        <v>9.2487465092660801E-2</v>
      </c>
      <c r="AQ55" s="2">
        <f>1416.11804756141*(1/14151.6638359215)</f>
        <v>0.10006724749685224</v>
      </c>
      <c r="AR55" s="2">
        <f>1526.55470703177*(1/14151.6638359215)</f>
        <v>0.10787104079994329</v>
      </c>
      <c r="AS55" s="2">
        <f>1640.05364327474*(1/14151.6638359215)</f>
        <v>0.11589122397832496</v>
      </c>
      <c r="AT55" s="2">
        <f>1757.44192860055*(1/14151.6638359215)</f>
        <v>0.12418624049983396</v>
      </c>
      <c r="AU55" s="2">
        <f>1880.49685127991*(1/14151.6638359215)</f>
        <v>0.1328816790084146</v>
      </c>
      <c r="AV55" s="2">
        <f>2008.43848992759*(1/14151.6638359215)</f>
        <v>0.14192242786530326</v>
      </c>
      <c r="AW55" s="2">
        <f>2140.37487497304*(1/14151.6638359215)</f>
        <v>0.15124545776307066</v>
      </c>
      <c r="AX55" s="2">
        <f>2275.41403684567*(1/14151.6638359215)</f>
        <v>0.16078773939428476</v>
      </c>
      <c r="AY55" s="2">
        <f>2412.66400597489*(1/14151.6638359215)</f>
        <v>0.17048624345151336</v>
      </c>
      <c r="AZ55" s="2">
        <f>2551.23281279013*(1/14151.6638359215)</f>
        <v>0.18027794062732583</v>
      </c>
      <c r="BA55" s="2">
        <f>2690.22848772082*(1/14151.6638359215)</f>
        <v>0.19009980161429146</v>
      </c>
      <c r="BB55" s="2">
        <f>2828.75906119633*(1/14151.6638359215)</f>
        <v>0.19988879710497537</v>
      </c>
      <c r="BC55" s="2">
        <f>2965.93256364609*(1/14151.6638359215)</f>
        <v>0.20958189779194683</v>
      </c>
      <c r="BD55" s="2">
        <f>3100.94988856826*(1/14151.6638359215)</f>
        <v>0.21912263635722087</v>
      </c>
      <c r="BE55" s="2">
        <f>3236.43314661026*(1/14151.6638359215)</f>
        <v>0.22869629918675327</v>
      </c>
      <c r="BF55" s="2">
        <f>3373.49097690714*(1/14151.6638359215)</f>
        <v>0.23838122612438892</v>
      </c>
      <c r="BG55" s="2">
        <f>3511.52001005997*(1/14151.6638359215)</f>
        <v>0.24813478123657776</v>
      </c>
      <c r="BH55" s="2">
        <f>3649.91687666977*(1/14151.6638359215)</f>
        <v>0.25791432858976626</v>
      </c>
      <c r="BI55" s="2">
        <f>3788.07820733761*(1/14151.6638359215)</f>
        <v>0.26767723225040452</v>
      </c>
      <c r="BJ55" s="2">
        <f>3925.40063266455*(1/14151.6638359215)</f>
        <v>0.2773808562849418</v>
      </c>
      <c r="BK55" s="2">
        <f>4061.28078325164*(1/14151.6638359215)</f>
        <v>0.28698256475982675</v>
      </c>
      <c r="BL55" s="2">
        <f>4195.11528969994*(1/14151.6638359215)</f>
        <v>0.29643972174150862</v>
      </c>
      <c r="BM55" s="2">
        <f>4326.30078261053*(1/14151.6638359215)</f>
        <v>0.30570969129643821</v>
      </c>
      <c r="BN55" s="2">
        <f>4454.23389258441*(1/14151.6638359215)</f>
        <v>0.3147498374910605</v>
      </c>
      <c r="BO55" s="2">
        <f>4579.55148640048*(1/14151.6638359215)</f>
        <v>0.32360516328660216</v>
      </c>
      <c r="BP55" s="2">
        <f>4706.03430278679*(1/14151.6638359215)</f>
        <v>0.33254282728518136</v>
      </c>
      <c r="BQ55" s="2">
        <f>4832.9059753383*(1/14151.6638359215)</f>
        <v>0.34150796905384523</v>
      </c>
      <c r="BR55" s="2">
        <f>4958.92878505724*(1/14151.6638359215)</f>
        <v>0.35041312756948584</v>
      </c>
      <c r="BS55" s="2">
        <f>5082.86501294578*(1/14151.6638359215)</f>
        <v>0.359170841808991</v>
      </c>
      <c r="BT55" s="2">
        <f>5203.47694000614*(1/14151.6638359215)</f>
        <v>0.36769365074925198</v>
      </c>
      <c r="BU55" s="2">
        <f>5319.52684724055*(1/14151.6638359215)</f>
        <v>0.37589409336716084</v>
      </c>
      <c r="BV55" s="2">
        <f>5429.77701565121*(1/14151.6638359215)</f>
        <v>0.38368470863960741</v>
      </c>
      <c r="BW55" s="2">
        <f>5532.98972624033*(1/14151.6638359215)</f>
        <v>0.39097803554348237</v>
      </c>
      <c r="BX55" s="2">
        <f>5627.92726001012*(1/14151.6638359215)</f>
        <v>0.39768661305567626</v>
      </c>
      <c r="BY55" s="2">
        <f>5713.36600496568*(1/14151.6638359215)</f>
        <v>0.40372397699720008</v>
      </c>
      <c r="BZ55" s="2">
        <f>5792.18309506388*(1/14151.6638359215)</f>
        <v>0.40929343448375627</v>
      </c>
      <c r="CA55" s="2">
        <f>5866.67892822648*(1/14151.6638359215)</f>
        <v>0.4145575386927261</v>
      </c>
      <c r="CB55" s="2">
        <f>5936.04230521124*(1/14151.6638359215)</f>
        <v>0.41945896779597358</v>
      </c>
      <c r="CC55" s="2">
        <f>5999.46202677587*(1/14151.6638359215)</f>
        <v>0.4239403999653592</v>
      </c>
      <c r="CD55" s="2">
        <f>6056.12689367812*(1/14151.6638359215)</f>
        <v>0.42794451337274642</v>
      </c>
      <c r="CE55" s="2">
        <f>6105.22570667571*(1/14151.6638359215)</f>
        <v>0.43141398618999649</v>
      </c>
      <c r="CF55" s="2">
        <f>6145.94726652638*(1/14151.6638359215)</f>
        <v>0.43429149658897198</v>
      </c>
      <c r="CG55" s="2">
        <f>6177.48037398786*(1/14151.6638359215)</f>
        <v>0.43651972274153494</v>
      </c>
      <c r="CH55" s="2">
        <f>6199.01382981788*(1/14151.6638359215)</f>
        <v>0.43804134281954732</v>
      </c>
      <c r="CI55" s="2">
        <f>6209.73643477418*(1/14151.6638359215)</f>
        <v>0.43879903499487183</v>
      </c>
      <c r="CJ55" s="2">
        <f>6208.5864605752*(1/14151.6638359215)</f>
        <v>0.43871777428854691</v>
      </c>
      <c r="CK55" s="2">
        <f>6194.11223986481*(1/14151.6638359215)</f>
        <v>0.43769498142982666</v>
      </c>
      <c r="CL55" s="2">
        <f>6167.4567377839*(1/14151.6638359215)</f>
        <v>0.43581142184347965</v>
      </c>
      <c r="CM55" s="2">
        <f>6130.10930474841*(1/14151.6638359215)</f>
        <v>0.43317233760091234</v>
      </c>
      <c r="CN55" s="2">
        <f>6083.55929117428*(1/14151.6638359215)</f>
        <v>0.42988297077353116</v>
      </c>
      <c r="CO55" s="2">
        <f>6029.29604747745*(1/14151.6638359215)</f>
        <v>0.42604856343274256</v>
      </c>
      <c r="CP55" s="2">
        <f>5968.80892407384*(1/14151.6638359215)</f>
        <v>0.42177435764995158</v>
      </c>
      <c r="CQ55" s="2">
        <f>5903.58727137943*(1/14151.6638359215)</f>
        <v>0.4171655954965674</v>
      </c>
      <c r="CR55" s="2">
        <f>5835.12043981012*(1/14151.6638359215)</f>
        <v>0.41232751904399378</v>
      </c>
      <c r="CS55" s="2">
        <f>5764.89777978187*(1/14151.6638359215)</f>
        <v>0.4073653703636384</v>
      </c>
      <c r="CT55" s="2">
        <f>5694.40864171061*(1/14151.6638359215)</f>
        <v>0.40238439152690719</v>
      </c>
      <c r="CU55" s="2">
        <f>5622.92436957627*(1/14151.6638359215)</f>
        <v>0.39733309346307882</v>
      </c>
      <c r="CV55" s="2">
        <f>5548.05407611039*(1/14151.6638359215)</f>
        <v>0.39204252873981044</v>
      </c>
      <c r="CW55" s="2">
        <f>5469.58267612269*(1/14151.6638359215)</f>
        <v>0.38649749877743139</v>
      </c>
      <c r="CX55" s="2">
        <f>5387.30383826978*(1/14151.6638359215)</f>
        <v>0.38068342356995932</v>
      </c>
      <c r="CY55" s="2">
        <f>5301.01123120826*(1/14151.6638359215)</f>
        <v>0.37458572311141108</v>
      </c>
      <c r="CZ55" s="2">
        <f>5210.49852359476*(1/14151.6638359215)</f>
        <v>0.36818981739580536</v>
      </c>
      <c r="DA55" s="2">
        <f>5115.55938408585*(1/14151.6638359215)</f>
        <v>0.36148112641715713</v>
      </c>
      <c r="DB55" s="2">
        <f>5015.98748133819*(1/14151.6638359215)</f>
        <v>0.35444507016948718</v>
      </c>
      <c r="DC55" s="2">
        <f>4911.57648400837*(1/14151.6638359215)</f>
        <v>0.34706706864681175</v>
      </c>
      <c r="DD55" s="2">
        <f>4802.12006075301*(1/14151.6638359215)</f>
        <v>0.33933254184314893</v>
      </c>
      <c r="DE55" s="2">
        <f>4687.2922360336*(1/14151.6638359215)</f>
        <v>0.33121845532648508</v>
      </c>
      <c r="DF55" s="2">
        <f>4565.92977398645*(1/14151.6638359215)</f>
        <v>0.32264261128056498</v>
      </c>
      <c r="DG55" s="2">
        <f>4438.36245971701*(1/14151.6638359215)</f>
        <v>0.31362831333309449</v>
      </c>
      <c r="DH55" s="2">
        <f>4305.31290113295*(1/14151.6638359215)</f>
        <v>0.30422662317661009</v>
      </c>
      <c r="DI55" s="2">
        <f>4167.503706142*(1/14151.6638359215)</f>
        <v>0.29448860250365244</v>
      </c>
      <c r="DJ55" s="2">
        <f>4025.65748265182*(1/14151.6638359215)</f>
        <v>0.28446531300675748</v>
      </c>
      <c r="DK55" s="2">
        <f>3880.49683857012*(1/14151.6638359215)</f>
        <v>0.27420781637846459</v>
      </c>
      <c r="DL55" s="2">
        <f>3732.74438180456*(1/14151.6638359215)</f>
        <v>0.26376717431130942</v>
      </c>
      <c r="DM55" s="2">
        <f>3583.12272026281*(1/14151.6638359215)</f>
        <v>0.25319444849782863</v>
      </c>
      <c r="DN55" s="2">
        <f>3432.35446185263*(1/14151.6638359215)</f>
        <v>0.24254070063056501</v>
      </c>
      <c r="DO55" s="2">
        <f>3281.16221448165*(1/14151.6638359215)</f>
        <v>0.23185699240205235</v>
      </c>
      <c r="DP55" s="2">
        <f>3127.27777005471*(1/14151.6638359215)</f>
        <v>0.22098304526685178</v>
      </c>
      <c r="DQ55" s="2">
        <f>2966.18215004836*(1/14151.6638359215)</f>
        <v>0.20959953433314538</v>
      </c>
      <c r="DR55" s="2">
        <f>2799.65385519056*(1/14151.6638359215)</f>
        <v>0.19783213392082796</v>
      </c>
      <c r="DS55" s="2">
        <f>2629.637822519*(1/14151.6638359215)</f>
        <v>0.18581827925025529</v>
      </c>
      <c r="DT55" s="2">
        <f>2458.07898907134*(1/14151.6638359215)</f>
        <v>0.17369540554178092</v>
      </c>
      <c r="DU55" s="2">
        <f>2286.92229188535*(1/14151.6638359215)</f>
        <v>0.1616009480157663</v>
      </c>
      <c r="DV55" s="2">
        <f>2118.1126679987*(1/14151.6638359215)</f>
        <v>0.14967234189256567</v>
      </c>
      <c r="DW55" s="2">
        <f>1953.59505444909*(1/14151.6638359215)</f>
        <v>0.1380470223925355</v>
      </c>
      <c r="DX55" s="2">
        <f>1795.3143882742*(1/14151.6638359215)</f>
        <v>0.12686242473603079</v>
      </c>
      <c r="DY55" s="2">
        <f>1645.21560651173*(1/14151.6638359215)</f>
        <v>0.11625598414340797</v>
      </c>
      <c r="DZ55" s="2">
        <f>1504.93255321422*(1/14151.6638359215)</f>
        <v>0.10634315304990601</v>
      </c>
      <c r="EA55" s="2">
        <f>1369.28273923144*(1/14151.6638359215)</f>
        <v>9.6757720866415556E-2</v>
      </c>
      <c r="EB55" s="2">
        <f>1236.42510054665*(1/14151.6638359215)</f>
        <v>8.7369592359041418E-2</v>
      </c>
      <c r="EC55" s="2">
        <f>1107.21639302487*(1/14151.6638359215)</f>
        <v>7.823930852670459E-2</v>
      </c>
      <c r="ED55" s="2">
        <f>982.513372531164*(1/14151.6638359215)</f>
        <v>6.9427410368329084E-2</v>
      </c>
      <c r="EE55" s="2">
        <f>863.172794930528*(1/14151.6638359215)</f>
        <v>6.0994438882834137E-2</v>
      </c>
      <c r="EF55" s="2">
        <f>750.05141608805*(1/14151.6638359215)</f>
        <v>5.3000935069145508E-2</v>
      </c>
      <c r="EG55" s="2">
        <f>644.005991868743*(1/14151.6638359215)</f>
        <v>4.5507439926183627E-2</v>
      </c>
      <c r="EH55" s="2">
        <f>545.893278137644*(1/14151.6638359215)</f>
        <v>3.8574494452870645E-2</v>
      </c>
      <c r="EI55" s="2">
        <f>456.570030759791*(1/14151.6638359215)</f>
        <v>3.2262639648128769E-2</v>
      </c>
      <c r="EJ55" s="2">
        <f>376.893005600205*(1/14151.6638359215)</f>
        <v>2.6632416510879001E-2</v>
      </c>
      <c r="EK55" s="2">
        <f>308.093041570998*(1/14151.6638359215)</f>
        <v>2.1770799896260837E-2</v>
      </c>
      <c r="EL55" s="2">
        <f>251.060320966624*(1/14151.6638359215)</f>
        <v>1.7740692817289211E-2</v>
      </c>
      <c r="EM55" s="2">
        <f>204.452860293093*(1/14151.6638359215)</f>
        <v>1.444726660155151E-2</v>
      </c>
      <c r="EN55" s="2">
        <f>166.813728506124*(1/14151.6638359215)</f>
        <v>1.1787570029942119E-2</v>
      </c>
      <c r="EO55" s="2">
        <f>136.685994561433*(1/14151.6638359215)</f>
        <v>9.6586518833552092E-3</v>
      </c>
      <c r="EP55" s="2">
        <f>112.612727414737*(1/14151.6638359215)</f>
        <v>7.9575609426850193E-3</v>
      </c>
      <c r="EQ55" s="2">
        <f>93.1369960217519*(1/14151.6638359215)</f>
        <v>6.5813459888257155E-3</v>
      </c>
      <c r="ER55" s="2">
        <f>76.8018693382009*(1/14151.6638359215)</f>
        <v>5.4270558026719741E-3</v>
      </c>
      <c r="ES55" s="2">
        <f>62.1504163197979*(1/14151.6638359215)</f>
        <v>4.3917391651178174E-3</v>
      </c>
      <c r="ET55" s="2">
        <f>47.7257059222602*(1/14151.6638359215)</f>
        <v>3.3724448570575088E-3</v>
      </c>
      <c r="EU55" s="2">
        <f>32.1297402133755*(1/14151.6638359215)</f>
        <v>2.270386053957827E-3</v>
      </c>
      <c r="EV55" s="2">
        <f>18.6670254849926*(1/14151.6638359215)</f>
        <v>1.3190693123736907E-3</v>
      </c>
      <c r="EW55" s="2">
        <f>9.449332063343*(1/14151.6638359215)</f>
        <v>6.677188048628981E-4</v>
      </c>
      <c r="EX55" s="2">
        <f>3.8003136490917*(1/14151.6638359215)</f>
        <v>2.6854182611695985E-4</v>
      </c>
      <c r="EY55" s="2">
        <f>1.04362394290646*(1/14151.6638359215)</f>
        <v>7.3745670827581763E-5</v>
      </c>
      <c r="EZ55" s="2">
        <f>0.502916645455108*(1/14151.6638359215)</f>
        <v>3.5537633686474579E-5</v>
      </c>
      <c r="FA55" s="2">
        <f>1.50184545740546*(1/14151.6638359215)</f>
        <v>1.0612500938534807E-4</v>
      </c>
      <c r="FB55" s="2">
        <f>3.36406407942573*(1/14151.6638359215)</f>
        <v>2.3771509261594014E-4</v>
      </c>
      <c r="FC55" s="2">
        <f>5.41322621218292*(1/14151.6638359215)</f>
        <v>3.8251517806990305E-4</v>
      </c>
      <c r="FD55" s="2">
        <f>6.97298555634515*(1/14151.6638359215)</f>
        <v>4.9273256043896809E-4</v>
      </c>
      <c r="FE55" s="2">
        <f>7.36699581258021*(1/14151.6638359215)</f>
        <v>5.2057453441484332E-4</v>
      </c>
      <c r="FF55" s="2">
        <f>6.31570271214547*(1/14151.6638359215)</f>
        <v>4.4628693737864048E-4</v>
      </c>
      <c r="FG55" s="2">
        <f>5.28925678036336*(1/14151.6638359215)</f>
        <v>3.7375511753872471E-4</v>
      </c>
      <c r="FH55" s="2">
        <f>4.50611655092977*(1/14151.6638359215)</f>
        <v>3.1841602536457857E-4</v>
      </c>
      <c r="FI55" s="2">
        <f>3.96628202384447*(1/14151.6638359215)</f>
        <v>2.8026966085618595E-4</v>
      </c>
      <c r="FJ55" s="2">
        <f>3.66975319910747*(1/14151.6638359215)</f>
        <v>2.5931602401354744E-4</v>
      </c>
      <c r="FK55" s="2">
        <f>3.61653007671878*(1/14151.6638359215)</f>
        <v>2.555551148366637E-4</v>
      </c>
      <c r="FL55" s="2">
        <f>3.80661265667838*(1/14151.6638359215)</f>
        <v>2.6898693332553348E-4</v>
      </c>
      <c r="FM55" s="2">
        <f>4.24000093898638*(1/14151.6638359215)</f>
        <v>2.9961147948016448E-4</v>
      </c>
      <c r="FN55" s="2">
        <f>4.91669492364262*(1/14151.6638359215)</f>
        <v>3.4742875330054536E-4</v>
      </c>
      <c r="FO55" s="2">
        <f>5.83669461064716*(1/14151.6638359215)</f>
        <v>4.1243875478668037E-4</v>
      </c>
      <c r="FP55" s="2">
        <f t="shared" si="17"/>
        <v>4.9464148393856954E-4</v>
      </c>
      <c r="FQ55" s="2"/>
    </row>
    <row r="56" spans="2:173">
      <c r="B56" s="2">
        <v>9.8017751479289945</v>
      </c>
      <c r="C56" s="2">
        <f t="shared" si="18"/>
        <v>4.9464148393856954E-4</v>
      </c>
      <c r="D56" s="2">
        <f>6.97004879898061*(1/14151.6638359215)</f>
        <v>4.9252504015028767E-4</v>
      </c>
      <c r="E56" s="2">
        <f>6.9463619014424*(1/14151.6638359215)</f>
        <v>4.9085125127197322E-4</v>
      </c>
      <c r="F56" s="2">
        <f>6.92893930738537*(1/14151.6638359215)</f>
        <v>4.896201173036263E-4</v>
      </c>
      <c r="G56" s="2">
        <f>6.91778101680952*(1/14151.6638359215)</f>
        <v>4.8883163824524681E-4</v>
      </c>
      <c r="H56" s="2">
        <f>6.91288702971485*(1/14151.6638359215)</f>
        <v>4.8848581409683485E-4</v>
      </c>
      <c r="I56" s="2">
        <f>6.91425734610135*(1/14151.6638359215)</f>
        <v>4.8858264485838966E-4</v>
      </c>
      <c r="J56" s="2">
        <f>6.92189196596904*(1/14151.6638359215)</f>
        <v>4.8912213052991265E-4</v>
      </c>
      <c r="K56" s="2">
        <f>6.93579088931791*(1/14151.6638359215)</f>
        <v>4.9010427111140318E-4</v>
      </c>
      <c r="L56" s="2">
        <f>6.95595411614796*(1/14151.6638359215)</f>
        <v>4.9152906660286113E-4</v>
      </c>
      <c r="M56" s="2">
        <f>6.98238164645919*(1/14151.6638359215)</f>
        <v>4.9339651700428661E-4</v>
      </c>
      <c r="N56" s="2">
        <f>6.45673668483805*(1/14151.6638359215)</f>
        <v>4.5625283074127041E-4</v>
      </c>
      <c r="O56" s="2">
        <f>1.62160532211577*(1/14151.6638359215)</f>
        <v>1.1458760898486093E-4</v>
      </c>
      <c r="P56" s="2">
        <f>-6.8085270338202*(1/14151.6638359215)</f>
        <v>-4.8111141649209873E-4</v>
      </c>
      <c r="Q56" s="2">
        <f>-17.1050530405564*(1/14151.6638359215)</f>
        <v>-1.2086955455469655E-3</v>
      </c>
      <c r="R56" s="2">
        <f>-27.539365355681*(1/14151.6638359215)</f>
        <v>-1.9460160780372117E-3</v>
      </c>
      <c r="S56" s="2">
        <f>-36.3828566367765*(1/14151.6638359215)</f>
        <v>-2.5709243138199089E-3</v>
      </c>
      <c r="T56" s="2">
        <f>-41.9069195414314*(1/14151.6638359215)</f>
        <v>-2.9612715527525522E-3</v>
      </c>
      <c r="U56" s="2">
        <f>-42.382946727232*(1/14151.6638359215)</f>
        <v>-2.9949090946924826E-3</v>
      </c>
      <c r="V56" s="2">
        <f>-36.082330851765*(1/14151.6638359215)</f>
        <v>-2.5496882394970672E-3</v>
      </c>
      <c r="W56" s="2">
        <f>-21.2764645726167*(1/14151.6638359215)</f>
        <v>-1.5034602870236467E-3</v>
      </c>
      <c r="X56" s="2">
        <f>3.76325945263208*(1/14151.6638359215)</f>
        <v>2.6592346287082586E-4</v>
      </c>
      <c r="Y56" s="2">
        <f>39.0722242720068*(1/14151.6638359215)</f>
        <v>2.7609632849551484E-3</v>
      </c>
      <c r="Z56" s="2">
        <f>82.2776029829797*(1/14151.6638359215)</f>
        <v>5.8139879477727939E-3</v>
      </c>
      <c r="AA56" s="2">
        <f>132.679956726526*(1/14151.6638359215)</f>
        <v>9.3755729548734307E-3</v>
      </c>
      <c r="AB56" s="2">
        <f>189.60815291874*(1/14151.6638359215)</f>
        <v>1.3398294018082395E-2</v>
      </c>
      <c r="AC56" s="2">
        <f>252.391058975717*(1/14151.6638359215)</f>
        <v>1.7834726849225095E-2</v>
      </c>
      <c r="AD56" s="2">
        <f>320.357542313563*(1/14151.6638359215)</f>
        <v>2.2637447160127697E-2</v>
      </c>
      <c r="AE56" s="2">
        <f>392.836470348349*(1/14151.6638359215)</f>
        <v>2.7759030662613888E-2</v>
      </c>
      <c r="AF56" s="2">
        <f>469.156710496181*(1/14151.6638359215)</f>
        <v>3.3152053068509837E-2</v>
      </c>
      <c r="AG56" s="2">
        <f>548.647130173153*(1/14151.6638359215)</f>
        <v>3.8769090089640842E-2</v>
      </c>
      <c r="AH56" s="2">
        <f>630.63659679536*(1/14151.6638359215)</f>
        <v>4.4562717437832321E-2</v>
      </c>
      <c r="AI56" s="2">
        <f>714.596434487552*(1/14151.6638359215)</f>
        <v>5.0495577253161929E-2</v>
      </c>
      <c r="AJ56" s="2">
        <f>802.093038568805*(1/14151.6638359215)</f>
        <v>5.6678355836352862E-2</v>
      </c>
      <c r="AK56" s="2">
        <f>893.63235374882*(1/14151.6638359215)</f>
        <v>6.3146804793404718E-2</v>
      </c>
      <c r="AL56" s="2">
        <f>989.072528971128*(1/14151.6638359215)</f>
        <v>6.9890900493307512E-2</v>
      </c>
      <c r="AM56" s="2">
        <f>1088.27171317926*(1/14151.6638359215)</f>
        <v>7.690061930505121E-2</v>
      </c>
      <c r="AN56" s="2">
        <f>1191.08805531675*(1/14151.6638359215)</f>
        <v>8.4165937597626028E-2</v>
      </c>
      <c r="AO56" s="2">
        <f>1297.37970432714*(1/14151.6638359215)</f>
        <v>9.1676831740022724E-2</v>
      </c>
      <c r="AP56" s="2">
        <f>1407.00480915396*(1/14151.6638359215)</f>
        <v>9.9423278101231236E-2</v>
      </c>
      <c r="AQ56" s="2">
        <f>1519.82151874072*(1/14151.6638359215)</f>
        <v>0.10739525305024003</v>
      </c>
      <c r="AR56" s="2">
        <f>1635.68798203097*(1/14151.6638359215)</f>
        <v>0.11558273295604048</v>
      </c>
      <c r="AS56" s="2">
        <f>1754.46234796824*(1/14151.6638359215)</f>
        <v>0.12397569418762246</v>
      </c>
      <c r="AT56" s="2">
        <f>1876.97072564383*(1/14151.6638359215)</f>
        <v>0.13263251214881683</v>
      </c>
      <c r="AU56" s="2">
        <f>2005.05619249163*(1/14151.6638359215)</f>
        <v>0.14168342434775402</v>
      </c>
      <c r="AV56" s="2">
        <f>2137.94539450182*(1/14151.6638359215)</f>
        <v>0.15107378321657297</v>
      </c>
      <c r="AW56" s="2">
        <f>2274.74964702049*(1/14151.6638359215)</f>
        <v>0.16074079157013607</v>
      </c>
      <c r="AX56" s="2">
        <f>2414.58026539372*(1/14151.6638359215)</f>
        <v>0.17062165222330494</v>
      </c>
      <c r="AY56" s="2">
        <f>2556.54856496758*(1/14151.6638359215)</f>
        <v>0.18065356799094062</v>
      </c>
      <c r="AZ56" s="2">
        <f>2699.76586108813*(1/14151.6638359215)</f>
        <v>0.19077374168790323</v>
      </c>
      <c r="BA56" s="2">
        <f>2843.34346910146*(1/14151.6638359215)</f>
        <v>0.20091937612905519</v>
      </c>
      <c r="BB56" s="2">
        <f>2986.39270435362*(1/14151.6638359215)</f>
        <v>0.21102767412925608</v>
      </c>
      <c r="BC56" s="2">
        <f>3128.02488219067*(1/14151.6638359215)</f>
        <v>0.22103583850336603</v>
      </c>
      <c r="BD56" s="2">
        <f>3267.44510550686*(1/14151.6638359215)</f>
        <v>0.23088769938224701</v>
      </c>
      <c r="BE56" s="2">
        <f>3407.30793217933*(1/14151.6638359215)</f>
        <v>0.2407708359726918</v>
      </c>
      <c r="BF56" s="2">
        <f>3548.72315900036*(1/14151.6638359215)</f>
        <v>0.25076366992215804</v>
      </c>
      <c r="BG56" s="2">
        <f>3691.06880542146*(1/14151.6638359215)</f>
        <v>0.26082225017614774</v>
      </c>
      <c r="BH56" s="2">
        <f>3833.72289089407*(1/14151.6638359215)</f>
        <v>0.27090262568015794</v>
      </c>
      <c r="BI56" s="2">
        <f>3976.06343486971*(1/14151.6638359215)</f>
        <v>0.28096084537969135</v>
      </c>
      <c r="BJ56" s="2">
        <f>4117.46845679987*(1/14151.6638359215)</f>
        <v>0.29095295822024853</v>
      </c>
      <c r="BK56" s="2">
        <f>4257.31597613604*(1/14151.6638359215)</f>
        <v>0.30083501314733008</v>
      </c>
      <c r="BL56" s="2">
        <f>4394.9840123297*(1/14151.6638359215)</f>
        <v>0.31056305910643589</v>
      </c>
      <c r="BM56" s="2">
        <f>4529.85058483238*(1/14151.6638359215)</f>
        <v>0.3200931450430694</v>
      </c>
      <c r="BN56" s="2">
        <f>4661.29371309551*(1/14151.6638359215)</f>
        <v>0.32938131990272684</v>
      </c>
      <c r="BO56" s="2">
        <f>4789.91302202441*(1/14151.6638359215)</f>
        <v>0.33846995502154748</v>
      </c>
      <c r="BP56" s="2">
        <f>4919.43067323843*(1/14151.6638359215)</f>
        <v>0.34762206976336762</v>
      </c>
      <c r="BQ56" s="2">
        <f>5049.1117400287*(1/14151.6638359215)</f>
        <v>0.35678573195134988</v>
      </c>
      <c r="BR56" s="2">
        <f>5177.76825234403*(1/14151.6638359215)</f>
        <v>0.36587699597563783</v>
      </c>
      <c r="BS56" s="2">
        <f>5304.21224013316*(1/14151.6638359215)</f>
        <v>0.37481191622637006</v>
      </c>
      <c r="BT56" s="2">
        <f>5427.25573334489*(1/14151.6638359215)</f>
        <v>0.38350654709368942</v>
      </c>
      <c r="BU56" s="2">
        <f>5545.71076192802*(1/14151.6638359215)</f>
        <v>0.39187694296773867</v>
      </c>
      <c r="BV56" s="2">
        <f>5658.38935583133*(1/14151.6638359215)</f>
        <v>0.3998391582386594</v>
      </c>
      <c r="BW56" s="2">
        <f>5764.10354500361*(1/14151.6638359215)</f>
        <v>0.40730924729659357</v>
      </c>
      <c r="BX56" s="2">
        <f>5861.66535939364*(1/14151.6638359215)</f>
        <v>0.41420326453168266</v>
      </c>
      <c r="BY56" s="2">
        <f>5949.90187513426*(1/14151.6638359215)</f>
        <v>0.42043832754361254</v>
      </c>
      <c r="BZ56" s="2">
        <f>6031.96389903415*(1/14151.6638359215)</f>
        <v>0.4262370820117331</v>
      </c>
      <c r="CA56" s="2">
        <f>6110.21020174641*(1/14151.6638359215)</f>
        <v>0.43176620590977582</v>
      </c>
      <c r="CB56" s="2">
        <f>6183.64185404521*(1/14151.6638359215)</f>
        <v>0.43695511183279573</v>
      </c>
      <c r="CC56" s="2">
        <f>6251.25992670468*(1/14151.6638359215)</f>
        <v>0.44173321237584517</v>
      </c>
      <c r="CD56" s="2">
        <f>6312.06549049903*(1/14151.6638359215)</f>
        <v>0.44602992013398213</v>
      </c>
      <c r="CE56" s="2">
        <f>6365.05961620235*(1/14151.6638359215)</f>
        <v>0.44977464770225606</v>
      </c>
      <c r="CF56" s="2">
        <f>6409.24337458884*(1/14151.6638359215)</f>
        <v>0.45289680767572416</v>
      </c>
      <c r="CG56" s="2">
        <f>6443.61783643263*(1/14151.6638359215)</f>
        <v>0.45532581264943872</v>
      </c>
      <c r="CH56" s="2">
        <f>6467.18407250789*(1/14151.6638359215)</f>
        <v>0.45699107521845489</v>
      </c>
      <c r="CI56" s="2">
        <f>6478.94315358878*(1/14151.6638359215)</f>
        <v>0.45782200797782707</v>
      </c>
      <c r="CJ56" s="2">
        <f>6477.6612525111*(1/14151.6638359215)</f>
        <v>0.45773142491335195</v>
      </c>
      <c r="CK56" s="2">
        <f>6461.92657156482*(1/14151.6638359215)</f>
        <v>0.45661956406584225</v>
      </c>
      <c r="CL56" s="2">
        <f>6433.05194362542*(1/14151.6638359215)</f>
        <v>0.45457919423553955</v>
      </c>
      <c r="CM56" s="2">
        <f>6392.69582385627*(1/14151.6638359215)</f>
        <v>0.45172750695430886</v>
      </c>
      <c r="CN56" s="2">
        <f>6342.51666742073*(1/14151.6638359215)</f>
        <v>0.4481816937540144</v>
      </c>
      <c r="CO56" s="2">
        <f>6284.17292948217*(1/14151.6638359215)</f>
        <v>0.4440589461665212</v>
      </c>
      <c r="CP56" s="2">
        <f>6219.32306520396*(1/14151.6638359215)</f>
        <v>0.43947645572369426</v>
      </c>
      <c r="CQ56" s="2">
        <f>6149.62552974947*(1/14151.6638359215)</f>
        <v>0.43455141395739855</v>
      </c>
      <c r="CR56" s="2">
        <f>6076.73877828209*(1/14151.6638359215)</f>
        <v>0.42940101239950046</v>
      </c>
      <c r="CS56" s="2">
        <f>6002.32126596516*(1/14151.6638359215)</f>
        <v>0.4241424425818629</v>
      </c>
      <c r="CT56" s="2">
        <f>5928.03144796206*(1/14151.6638359215)</f>
        <v>0.41889289603635149</v>
      </c>
      <c r="CU56" s="2">
        <f>5852.97748802539*(1/14151.6638359215)</f>
        <v>0.41358935287656001</v>
      </c>
      <c r="CV56" s="2">
        <f>5774.43047294581*(1/14151.6638359215)</f>
        <v>0.40803897971971592</v>
      </c>
      <c r="CW56" s="2">
        <f>5692.20755947295*(1/14151.6638359215)</f>
        <v>0.40222885630057764</v>
      </c>
      <c r="CX56" s="2">
        <f>5606.13604682607*(1/14151.6638359215)</f>
        <v>0.39614677905193618</v>
      </c>
      <c r="CY56" s="2">
        <f>5516.04323422443*(1/14151.6638359215)</f>
        <v>0.38978054440658266</v>
      </c>
      <c r="CZ56" s="2">
        <f>5421.7564208873*(1/14151.6638359215)</f>
        <v>0.38311794879730882</v>
      </c>
      <c r="DA56" s="2">
        <f>5323.10290603393*(1/14151.6638359215)</f>
        <v>0.37614678865690498</v>
      </c>
      <c r="DB56" s="2">
        <f>5219.90998888364*(1/14151.6638359215)</f>
        <v>0.36885486041816651</v>
      </c>
      <c r="DC56" s="2">
        <f>5112.00496865567*(1/14151.6638359215)</f>
        <v>0.36122996051388306</v>
      </c>
      <c r="DD56" s="2">
        <f>4999.21514456928*(1/14151.6638359215)</f>
        <v>0.35325988537684561</v>
      </c>
      <c r="DE56" s="2">
        <f>4881.25692536187*(1/14151.6638359215)</f>
        <v>0.34492459557805927</v>
      </c>
      <c r="DF56" s="2">
        <f>4757.05860671007*(1/14151.6638359215)</f>
        <v>0.33614836120083047</v>
      </c>
      <c r="DG56" s="2">
        <f>4626.90844839168*(1/14151.6638359215)</f>
        <v>0.32695155156576644</v>
      </c>
      <c r="DH56" s="2">
        <f>4491.45629011384*(1/14151.6638359215)</f>
        <v>0.31738008634101889</v>
      </c>
      <c r="DI56" s="2">
        <f>4351.35197158379*(1/14151.6638359215)</f>
        <v>0.30747988519474662</v>
      </c>
      <c r="DJ56" s="2">
        <f>4207.24533250868*(1/14151.6638359215)</f>
        <v>0.297296867795102</v>
      </c>
      <c r="DK56" s="2">
        <f>4059.7862125957*(1/14151.6638359215)</f>
        <v>0.28687695381024031</v>
      </c>
      <c r="DL56" s="2">
        <f>3909.62445155201*(1/14151.6638359215)</f>
        <v>0.27626606290831462</v>
      </c>
      <c r="DM56" s="2">
        <f>3757.40988908477*(1/14151.6638359215)</f>
        <v>0.2655101147574781</v>
      </c>
      <c r="DN56" s="2">
        <f>3603.79236490122*(1/14151.6638359215)</f>
        <v>0.25465502902588949</v>
      </c>
      <c r="DO56" s="2">
        <f>3449.4217187085*(1/14151.6638359215)</f>
        <v>0.2437467253817005</v>
      </c>
      <c r="DP56" s="2">
        <f>3292.08169194659*(1/14151.6638359215)</f>
        <v>0.23262859619306545</v>
      </c>
      <c r="DQ56" s="2">
        <f>3127.4496917932*(1/14151.6638359215)</f>
        <v>0.22099519378454435</v>
      </c>
      <c r="DR56" s="2">
        <f>2957.27925496606*(1/14151.6638359215)</f>
        <v>0.20897042844245131</v>
      </c>
      <c r="DS56" s="2">
        <f>2783.48395532733*(1/14151.6638359215)</f>
        <v>0.19668951916890137</v>
      </c>
      <c r="DT56" s="2">
        <f>2607.97736673911*(1/14151.6638359215)</f>
        <v>0.1842876849660052</v>
      </c>
      <c r="DU56" s="2">
        <f>2432.6730630636*(1/14151.6638359215)</f>
        <v>0.17190014483588062</v>
      </c>
      <c r="DV56" s="2">
        <f>2259.48461816293*(1/14151.6638359215)</f>
        <v>0.15966211778064054</v>
      </c>
      <c r="DW56" s="2">
        <f>2090.32560589924*(1/14151.6638359215)</f>
        <v>0.14770882280239853</v>
      </c>
      <c r="DX56" s="2">
        <f>1927.10960013467*(1/14151.6638359215)</f>
        <v>0.13617547890326809</v>
      </c>
      <c r="DY56" s="2">
        <f>1771.75017473133*(1/14151.6638359215)</f>
        <v>0.1251973050853607</v>
      </c>
      <c r="DZ56" s="2">
        <f>1625.83559408863*(1/14151.6638359215)</f>
        <v>0.1148865329857351</v>
      </c>
      <c r="EA56" s="2">
        <f>1483.89043854831*(1/14151.6638359215)</f>
        <v>0.10485625264654154</v>
      </c>
      <c r="EB56" s="2">
        <f>1344.09249182895*(1/14151.6638359215)</f>
        <v>9.4977700672708776E-2</v>
      </c>
      <c r="EC56" s="2">
        <f>1207.4637360925*(1/14151.6638359215)</f>
        <v>8.5323093460400512E-2</v>
      </c>
      <c r="ED56" s="2">
        <f>1075.02615350091*(1/14151.6638359215)</f>
        <v>7.5964647405780364E-2</v>
      </c>
      <c r="EE56" s="2">
        <f>947.801726216096*(1/14151.6638359215)</f>
        <v>6.6974578905009644E-2</v>
      </c>
      <c r="EF56" s="2">
        <f>826.812436400065*(1/14151.6638359215)</f>
        <v>5.8425104354256047E-2</v>
      </c>
      <c r="EG56" s="2">
        <f>713.080266214739*(1/14151.6638359215)</f>
        <v>5.0388440149681246E-2</v>
      </c>
      <c r="EH56" s="2">
        <f>607.627197822068*(1/14151.6638359215)</f>
        <v>4.293680268744892E-2</v>
      </c>
      <c r="EI56" s="2">
        <f>511.475213383999*(1/14151.6638359215)</f>
        <v>3.6142408363722539E-2</v>
      </c>
      <c r="EJ56" s="2">
        <f>425.646295062467*(1/14151.6638359215)</f>
        <v>3.0077473574664702E-2</v>
      </c>
      <c r="EK56" s="2">
        <f>351.39144744177*(1/14151.6638359215)</f>
        <v>2.4830398143702713E-2</v>
      </c>
      <c r="EL56" s="2">
        <f>289.248048148794*(1/14151.6638359215)</f>
        <v>2.0439154823236324E-2</v>
      </c>
      <c r="EM56" s="2">
        <f>237.845101846326*(1/14151.6638359215)</f>
        <v>1.6806864874969556E-2</v>
      </c>
      <c r="EN56" s="2">
        <f>195.723918998953*(1/14151.6638359215)</f>
        <v>1.3830452819416356E-2</v>
      </c>
      <c r="EO56" s="2">
        <f>161.425810071258*(1/14151.6638359215)</f>
        <v>1.1406843177090393E-2</v>
      </c>
      <c r="EP56" s="2">
        <f>133.492085527826*(1/14151.6638359215)</f>
        <v>9.4329604685054712E-3</v>
      </c>
      <c r="EQ56" s="2">
        <f>110.464055833239*(1/14151.6638359215)</f>
        <v>7.8057292141751914E-3</v>
      </c>
      <c r="ER56" s="2">
        <f>90.8830314520888*(1/14151.6638359215)</f>
        <v>6.4220739346138424E-3</v>
      </c>
      <c r="ES56" s="2">
        <f>73.2903228489564*(1/14151.6638359215)</f>
        <v>5.1789191503349491E-3</v>
      </c>
      <c r="ET56" s="2">
        <f>56.2272404884264*(1/14151.6638359215)</f>
        <v>3.9731893818522939E-3</v>
      </c>
      <c r="EU56" s="2">
        <f>38.2959917190385*(1/14151.6638359215)</f>
        <v>2.7061123104006246E-3</v>
      </c>
      <c r="EV56" s="2">
        <f>22.9380094860152*(1/14151.6638359215)</f>
        <v>1.6208701501085063E-3</v>
      </c>
      <c r="EW56" s="2">
        <f>12.2996065462827*(1/14151.6638359215)</f>
        <v>8.6912794770197411E-4</v>
      </c>
      <c r="EX56" s="2">
        <f>5.63398922040221*(1/14151.6638359215)</f>
        <v>3.9811496978195052E-4</v>
      </c>
      <c r="EY56" s="2">
        <f>2.19436382893814*(1/14151.6638359215)</f>
        <v>1.5506048294958329E-4</v>
      </c>
      <c r="EZ56" s="2">
        <f>1.23393669245496*(1/14151.6638359215)</f>
        <v>8.7193753806024535E-5</v>
      </c>
      <c r="FA56" s="2">
        <f>2.00591413151715*(1/14151.6638359215)</f>
        <v>1.4174404895242714E-4</v>
      </c>
      <c r="FB56" s="2">
        <f>3.76350246668954*(1/14151.6638359215)</f>
        <v>2.6594063498996869E-4</v>
      </c>
      <c r="FC56" s="2">
        <f>5.75990801853582*(1/14151.6638359215)</f>
        <v>4.0701277851974628E-4</v>
      </c>
      <c r="FD56" s="2">
        <f>7.24833710762073*(1/14151.6638359215)</f>
        <v>5.1218974614293099E-4</v>
      </c>
      <c r="FE56" s="2">
        <f>7.48199605450868*(1/14151.6638359215)</f>
        <v>5.2870080446067082E-4</v>
      </c>
      <c r="FF56" s="2">
        <f>6.15221256933524*(1/14151.6638359215)</f>
        <v>4.3473422211450039E-4</v>
      </c>
      <c r="FG56" s="2">
        <f>4.8822662075791*(1/14151.6638359215)</f>
        <v>3.4499591455715121E-4</v>
      </c>
      <c r="FH56" s="2">
        <f>3.91336986911707*(1/14151.6638359215)</f>
        <v>2.7653072560865046E-4</v>
      </c>
      <c r="FI56" s="2">
        <f>3.2455235539489*(1/14151.6638359215)</f>
        <v>2.2933865526898056E-4</v>
      </c>
      <c r="FJ56" s="2">
        <f>2.87872726207459*(1/14151.6638359215)</f>
        <v>2.0341970353814152E-4</v>
      </c>
      <c r="FK56" s="2">
        <f>2.81298099349414*(1/14151.6638359215)</f>
        <v>1.9877387041613328E-4</v>
      </c>
      <c r="FL56" s="2">
        <f>3.04828474820754*(1/14151.6638359215)</f>
        <v>2.1540115590295523E-4</v>
      </c>
      <c r="FM56" s="2">
        <f>3.58463852621492*(1/14151.6638359215)</f>
        <v>2.5330155999861643E-4</v>
      </c>
      <c r="FN56" s="2">
        <f>4.42204232751609*(1/14151.6638359215)</f>
        <v>3.1247508270310353E-4</v>
      </c>
      <c r="FO56" s="2">
        <f>5.56049615211112*(1/14151.6638359215)</f>
        <v>3.9292172401642148E-4</v>
      </c>
      <c r="FP56" s="2">
        <f t="shared" si="17"/>
        <v>4.9464148393856954E-4</v>
      </c>
      <c r="FQ56" s="2"/>
    </row>
    <row r="57" spans="2:173">
      <c r="B57" s="2">
        <v>9.811242603550296</v>
      </c>
      <c r="C57" s="2">
        <f t="shared" si="18"/>
        <v>4.9464148393856954E-4</v>
      </c>
      <c r="D57" s="2">
        <f>6.80892171481427*(1/14151.6638359215)</f>
        <v>4.811393058624686E-4</v>
      </c>
      <c r="E57" s="2">
        <f>6.65780751541902*(1/14151.6638359215)</f>
        <v>4.7046111274346071E-4</v>
      </c>
      <c r="F57" s="2">
        <f>6.54665740181422*(1/14151.6638359215)</f>
        <v>4.6260690458154369E-4</v>
      </c>
      <c r="G57" s="2">
        <f>6.47547137399994*(1/14151.6638359215)</f>
        <v>4.5757668137672263E-4</v>
      </c>
      <c r="H57" s="2">
        <f>6.44424943197613*(1/14151.6638359215)</f>
        <v>4.5537044312899381E-4</v>
      </c>
      <c r="I57" s="2">
        <f>6.4529915757428*(1/14151.6638359215)</f>
        <v>4.5598818983835814E-4</v>
      </c>
      <c r="J57" s="2">
        <f>6.50169780529994*(1/14151.6638359215)</f>
        <v>4.594299215048147E-4</v>
      </c>
      <c r="K57" s="2">
        <f>6.59036812064757*(1/14151.6638359215)</f>
        <v>4.6569563812836511E-4</v>
      </c>
      <c r="L57" s="2">
        <f>6.7190025217857*(1/14151.6638359215)</f>
        <v>4.7478533970900992E-4</v>
      </c>
      <c r="M57" s="2">
        <f>6.88760100871429*(1/14151.6638359215)</f>
        <v>4.8669902624674642E-4</v>
      </c>
      <c r="N57" s="2">
        <f>6.49444645526633*(1/14151.6638359215)</f>
        <v>4.5891751885607435E-4</v>
      </c>
      <c r="O57" s="2">
        <f>1.49019030011243*(1/14151.6638359215)</f>
        <v>1.0530142019978209E-4</v>
      </c>
      <c r="P57" s="2">
        <f>-7.35516965281635*(1/14151.6638359215)</f>
        <v>-5.19738861669859E-4</v>
      </c>
      <c r="Q57" s="2">
        <f>-18.1787208194087*(1/14151.6638359215)</f>
        <v>-1.2845642060310412E-3</v>
      </c>
      <c r="R57" s="2">
        <f>-29.1175506155551*(1/14151.6638359215)</f>
        <v>-2.0575354921620833E-3</v>
      </c>
      <c r="S57" s="2">
        <f>-38.30874645714*(1/14151.6638359215)</f>
        <v>-2.7070135993408784E-3</v>
      </c>
      <c r="T57" s="2">
        <f>-43.889395760054*(1/14151.6638359215)</f>
        <v>-3.1013594068457534E-3</v>
      </c>
      <c r="U57" s="2">
        <f>-43.9965859401858*(1/14151.6638359215)</f>
        <v>-3.1089337939549013E-3</v>
      </c>
      <c r="V57" s="2">
        <f>-36.767404413424*(1/14151.6638359215)</f>
        <v>-2.5980976399465087E-3</v>
      </c>
      <c r="W57" s="2">
        <f>-20.3389385956574*(1/14151.6638359215)</f>
        <v>-1.4372118240987746E-3</v>
      </c>
      <c r="X57" s="2">
        <f>7.15172409723184*(1/14151.6638359215)</f>
        <v>5.053627743105692E-4</v>
      </c>
      <c r="Y57" s="2">
        <f>45.8771775863525*(1/14151.6638359215)</f>
        <v>3.2418221714609549E-3</v>
      </c>
      <c r="Z57" s="2">
        <f>93.4305435121477*(1/14151.6638359215)</f>
        <v>6.6020889554336895E-3</v>
      </c>
      <c r="AA57" s="2">
        <f>148.952293769309*(1/14151.6638359215)</f>
        <v>1.0525426232300678E-2</v>
      </c>
      <c r="AB57" s="2">
        <f>211.610378420207*(1/14151.6638359215)</f>
        <v>1.4953038799796207E-2</v>
      </c>
      <c r="AC57" s="2">
        <f>280.57274752721*(1/14151.6638359215)</f>
        <v>1.98261314556544E-2</v>
      </c>
      <c r="AD57" s="2">
        <f>355.007351152701*(1/14151.6638359215)</f>
        <v>2.5085908997610411E-2</v>
      </c>
      <c r="AE57" s="2">
        <f>434.082139359023*(1/14151.6638359215)</f>
        <v>3.0673576223396583E-2</v>
      </c>
      <c r="AF57" s="2">
        <f>516.965062208558*(1/14151.6638359215)</f>
        <v>3.6530337930748009E-2</v>
      </c>
      <c r="AG57" s="2">
        <f>602.824069763676*(1/14151.6638359215)</f>
        <v>4.2597398917398922E-2</v>
      </c>
      <c r="AH57" s="2">
        <f>690.827112086745*(1/14151.6638359215)</f>
        <v>4.8815963981083441E-2</v>
      </c>
      <c r="AI57" s="2">
        <f>780.308938987412*(1/14151.6638359215)</f>
        <v>5.5139024501609173E-2</v>
      </c>
      <c r="AJ57" s="2">
        <f>873.084735629288*(1/14151.6638359215)</f>
        <v>6.1694847033683532E-2</v>
      </c>
      <c r="AK57" s="2">
        <f>969.788449527184*(1/14151.6638359215)</f>
        <v>6.8528228254372978E-2</v>
      </c>
      <c r="AL57" s="2">
        <f>1070.30304327623*(1/14151.6638359215)</f>
        <v>7.5630897941445924E-2</v>
      </c>
      <c r="AM57" s="2">
        <f>1174.51147947157*(1/14151.6638359215)</f>
        <v>8.2994585872671736E-2</v>
      </c>
      <c r="AN57" s="2">
        <f>1282.29672070834*(1/14151.6638359215)</f>
        <v>9.0611021825819246E-2</v>
      </c>
      <c r="AO57" s="2">
        <f>1393.54172958165*(1/14151.6638359215)</f>
        <v>9.8471935578655453E-2</v>
      </c>
      <c r="AP57" s="2">
        <f>1508.12946868668*(1/14151.6638359215)</f>
        <v>0.10656905690895226</v>
      </c>
      <c r="AQ57" s="2">
        <f>1625.94290061852*(1/14151.6638359215)</f>
        <v>0.11489411559447527</v>
      </c>
      <c r="AR57" s="2">
        <f>1746.86498797231*(1/14151.6638359215)</f>
        <v>0.12343884141299355</v>
      </c>
      <c r="AS57" s="2">
        <f>1870.7786933432*(1/14151.6638359215)</f>
        <v>0.13219496414227694</v>
      </c>
      <c r="AT57" s="2">
        <f>1998.54974518301*(1/14151.6638359215)</f>
        <v>0.14122365881176774</v>
      </c>
      <c r="AU57" s="2">
        <f>2132.04674469482*(1/14151.6638359215)</f>
        <v>0.15065696651746319</v>
      </c>
      <c r="AV57" s="2">
        <f>2270.45400571232*(1/14151.6638359215)</f>
        <v>0.16043724837140164</v>
      </c>
      <c r="AW57" s="2">
        <f>2412.83814223172*(1/14151.6638359215)</f>
        <v>0.1704985484538685</v>
      </c>
      <c r="AX57" s="2">
        <f>2558.26576824922*(1/14151.6638359215)</f>
        <v>0.18077491084514841</v>
      </c>
      <c r="AY57" s="2">
        <f>2705.80349776103*(1/14151.6638359215)</f>
        <v>0.19120037962552683</v>
      </c>
      <c r="AZ57" s="2">
        <f>2854.51794476334*(1/14151.6638359215)</f>
        <v>0.20170899887528773</v>
      </c>
      <c r="BA57" s="2">
        <f>3003.47572325237*(1/14151.6638359215)</f>
        <v>0.21223481267471722</v>
      </c>
      <c r="BB57" s="2">
        <f>3151.74344722428*(1/14151.6638359215)</f>
        <v>0.22271186510409721</v>
      </c>
      <c r="BC57" s="2">
        <f>3298.38773067528*(1/14151.6638359215)</f>
        <v>0.23307420024371306</v>
      </c>
      <c r="BD57" s="2">
        <f>3442.57254101115*(1/14151.6638359215)</f>
        <v>0.24326274146456103</v>
      </c>
      <c r="BE57" s="2">
        <f>3587.04767344691*(1/14151.6638359215)</f>
        <v>0.25347179773602468</v>
      </c>
      <c r="BF57" s="2">
        <f>3732.9739825646*(1/14151.6638359215)</f>
        <v>0.26378339860568939</v>
      </c>
      <c r="BG57" s="2">
        <f>3879.71714717298*(1/14151.6638359215)</f>
        <v>0.27415272099136517</v>
      </c>
      <c r="BH57" s="2">
        <f>4026.64284608068*(1/14151.6638359215)</f>
        <v>0.28453494181085326</v>
      </c>
      <c r="BI57" s="2">
        <f>4173.11675809644*(1/14151.6638359215)</f>
        <v>0.29488523798196226</v>
      </c>
      <c r="BJ57" s="2">
        <f>4318.50456202897*(1/14151.6638359215)</f>
        <v>0.30515878642249888</v>
      </c>
      <c r="BK57" s="2">
        <f>4462.17193668698*(1/14151.6638359215)</f>
        <v>0.31531076405026981</v>
      </c>
      <c r="BL57" s="2">
        <f>4603.48456087917*(1/14151.6638359215)</f>
        <v>0.32529634778308097</v>
      </c>
      <c r="BM57" s="2">
        <f>4741.80811341426*(1/14151.6638359215)</f>
        <v>0.33507071453873982</v>
      </c>
      <c r="BN57" s="2">
        <f>4876.50827310092*(1/14151.6638359215)</f>
        <v>0.34458904123505002</v>
      </c>
      <c r="BO57" s="2">
        <f>5008.14415168971*(1/14151.6638359215)</f>
        <v>0.35389083642429525</v>
      </c>
      <c r="BP57" s="2">
        <f>5140.35035141021*(1/14151.6638359215)</f>
        <v>0.36323293225509912</v>
      </c>
      <c r="BQ57" s="2">
        <f>5272.43760607123*(1/14151.6638359215)</f>
        <v>0.3725666230629418</v>
      </c>
      <c r="BR57" s="2">
        <f>5403.27538368198*(1/14151.6638359215)</f>
        <v>0.38181202198759978</v>
      </c>
      <c r="BS57" s="2">
        <f>5531.73315225157*(1/14151.6638359215)</f>
        <v>0.39088924216884252</v>
      </c>
      <c r="BT57" s="2">
        <f>5656.68037978918*(1/14151.6638359215)</f>
        <v>0.39971839674644444</v>
      </c>
      <c r="BU57" s="2">
        <f>5776.986534304*(1/14151.6638359215)</f>
        <v>0.40821959886018067</v>
      </c>
      <c r="BV57" s="2">
        <f>5891.52108380517*(1/14151.6638359215)</f>
        <v>0.41631296164982268</v>
      </c>
      <c r="BW57" s="2">
        <f>5999.15349630187*(1/14151.6638359215)</f>
        <v>0.423918598255145</v>
      </c>
      <c r="BX57" s="2">
        <f>6098.75323980326*(1/14151.6638359215)</f>
        <v>0.43095662181592048</v>
      </c>
      <c r="BY57" s="2">
        <f>6189.20555535683*(1/14151.6638359215)</f>
        <v>0.43734826004322008</v>
      </c>
      <c r="BZ57" s="2">
        <f>6273.88481963998*(1/14151.6638359215)</f>
        <v>0.4433319567494835</v>
      </c>
      <c r="CA57" s="2">
        <f>6355.18139844408*(1/14151.6638359215)</f>
        <v>0.44907662251788188</v>
      </c>
      <c r="CB57" s="2">
        <f>6431.93191229898*(1/14151.6638359215)</f>
        <v>0.45450004938448696</v>
      </c>
      <c r="CC57" s="2">
        <f>6502.97298173454*(1/14151.6638359215)</f>
        <v>0.45952002938537101</v>
      </c>
      <c r="CD57" s="2">
        <f>6567.14122728063*(1/14151.6638359215)</f>
        <v>0.4640543545566071</v>
      </c>
      <c r="CE57" s="2">
        <f>6623.27326946708*(1/14151.6638359215)</f>
        <v>0.46802081693426539</v>
      </c>
      <c r="CF57" s="2">
        <f>6670.20572882377*(1/14151.6638359215)</f>
        <v>0.47133720855441963</v>
      </c>
      <c r="CG57" s="2">
        <f>6706.77522588056*(1/14151.6638359215)</f>
        <v>0.4739213214531422</v>
      </c>
      <c r="CH57" s="2">
        <f>6731.81838116729*(1/14151.6638359215)</f>
        <v>0.47569094766650388</v>
      </c>
      <c r="CI57" s="2">
        <f>6744.17181521383*(1/14151.6638359215)</f>
        <v>0.47656387923057786</v>
      </c>
      <c r="CJ57" s="2">
        <f>6742.45084152665*(1/14151.6638359215)</f>
        <v>0.47644226994794275</v>
      </c>
      <c r="CK57" s="2">
        <f>6725.27806805556*(1/14151.6638359215)</f>
        <v>0.47522878906893118</v>
      </c>
      <c r="CL57" s="2">
        <f>6694.11526162782*(1/14151.6638359215)</f>
        <v>0.47302672952391578</v>
      </c>
      <c r="CM57" s="2">
        <f>6650.76925493409*(1/14151.6638359215)</f>
        <v>0.46996376765623044</v>
      </c>
      <c r="CN57" s="2">
        <f>6597.04688066501*(1/14151.6638359215)</f>
        <v>0.46616757980920737</v>
      </c>
      <c r="CO57" s="2">
        <f>6534.75497151127*(1/14151.6638359215)</f>
        <v>0.46176584232618278</v>
      </c>
      <c r="CP57" s="2">
        <f>6465.7003601635*(1/14151.6638359215)</f>
        <v>0.45688623155048813</v>
      </c>
      <c r="CQ57" s="2">
        <f>6391.68987931239*(1/14151.6638359215)</f>
        <v>0.45165642382545962</v>
      </c>
      <c r="CR57" s="2">
        <f>6314.5303616486*(1/14151.6638359215)</f>
        <v>0.4462040954944308</v>
      </c>
      <c r="CS57" s="2">
        <f>6236.02863986278*(1/14151.6638359215)</f>
        <v>0.44065692290073505</v>
      </c>
      <c r="CT57" s="2">
        <f>6157.99154664559*(1/14151.6638359215)</f>
        <v>0.43514258238770592</v>
      </c>
      <c r="CU57" s="2">
        <f>6079.39215690174*(1/14151.6638359215)</f>
        <v>0.42958850827633971</v>
      </c>
      <c r="CV57" s="2">
        <f>5997.21165703248*(1/14151.6638359215)</f>
        <v>0.42378138193260478</v>
      </c>
      <c r="CW57" s="2">
        <f>5911.28979533574*(1/14151.6638359215)</f>
        <v>0.41770987947939903</v>
      </c>
      <c r="CX57" s="2">
        <f>5821.47764130514*(1/14151.6638359215)</f>
        <v>0.41136347703005405</v>
      </c>
      <c r="CY57" s="2">
        <f>5727.62626443431*(1/14151.6638359215)</f>
        <v>0.40473165069790179</v>
      </c>
      <c r="CZ57" s="2">
        <f>5629.58673421688*(1/14151.6638359215)</f>
        <v>0.39780387659627475</v>
      </c>
      <c r="DA57" s="2">
        <f>5527.21012014647*(1/14151.6638359215)</f>
        <v>0.39056963083850421</v>
      </c>
      <c r="DB57" s="2">
        <f>5420.34749171674*(1/14151.6638359215)</f>
        <v>0.3830183895379245</v>
      </c>
      <c r="DC57" s="2">
        <f>5308.84991842131*(1/14151.6638359215)</f>
        <v>0.37513962880786722</v>
      </c>
      <c r="DD57" s="2">
        <f>5192.5684697538*(1/14151.6638359215)</f>
        <v>0.36692282476166382</v>
      </c>
      <c r="DE57" s="2">
        <f>5071.24378883887*(1/14151.6638359215)</f>
        <v>0.3583496504465018</v>
      </c>
      <c r="DF57" s="2">
        <f>4943.81664489497*(1/14151.6638359215)</f>
        <v>0.34934525736443539</v>
      </c>
      <c r="DG57" s="2">
        <f>4810.5524584647*(1/14151.6638359215)</f>
        <v>0.33992840094561616</v>
      </c>
      <c r="DH57" s="2">
        <f>4672.07360525254*(1/14151.6638359215)</f>
        <v>0.33014306016747702</v>
      </c>
      <c r="DI57" s="2">
        <f>4529.00246096309*(1/14151.6638359215)</f>
        <v>0.32003321400745949</v>
      </c>
      <c r="DJ57" s="2">
        <f>4381.96140130083*(1/14151.6638359215)</f>
        <v>0.30964284144299664</v>
      </c>
      <c r="DK57" s="2">
        <f>4231.57280197031*(1/14151.6638359215)</f>
        <v>0.29901592145152639</v>
      </c>
      <c r="DL57" s="2">
        <f>4078.45903867603*(1/14151.6638359215)</f>
        <v>0.28819643301048331</v>
      </c>
      <c r="DM57" s="2">
        <f>3923.2424871225*(1/14151.6638359215)</f>
        <v>0.27722835509730254</v>
      </c>
      <c r="DN57" s="2">
        <f>3766.54552301431*(1/14151.6638359215)</f>
        <v>0.26615566668942486</v>
      </c>
      <c r="DO57" s="2">
        <f>3608.99052205594*(1/14151.6638359215)</f>
        <v>0.25502234676428326</v>
      </c>
      <c r="DP57" s="2">
        <f>3448.44661428355*(1/14151.6638359215)</f>
        <v>0.24367782151030731</v>
      </c>
      <c r="DQ57" s="2">
        <f>3280.76175855325*(1/14151.6638359215)</f>
        <v>0.23182869495709865</v>
      </c>
      <c r="DR57" s="2">
        <f>3107.62261159366*(1/14151.6638359215)</f>
        <v>0.21959415144567729</v>
      </c>
      <c r="DS57" s="2">
        <f>2930.86958964004*(1/14151.6638359215)</f>
        <v>0.20710424043571082</v>
      </c>
      <c r="DT57" s="2">
        <f>2752.3431089276*(1/14151.6638359215)</f>
        <v>0.19448901138686345</v>
      </c>
      <c r="DU57" s="2">
        <f>2573.88358569166*(1/14151.6638359215)</f>
        <v>0.18187851375880701</v>
      </c>
      <c r="DV57" s="2">
        <f>2397.33143616744*(1/14151.6638359215)</f>
        <v>0.16940279701120639</v>
      </c>
      <c r="DW57" s="2">
        <f>2224.5270765902*(1/14151.6638359215)</f>
        <v>0.15719191060372922</v>
      </c>
      <c r="DX57" s="2">
        <f>2057.31092319518*(1/14151.6638359215)</f>
        <v>0.14537590399604175</v>
      </c>
      <c r="DY57" s="2">
        <f>1897.52339221761*(1/14151.6638359215)</f>
        <v>0.13408482664780957</v>
      </c>
      <c r="DZ57" s="2">
        <f>1746.67178561974*(1/14151.6638359215)</f>
        <v>0.12342518914179702</v>
      </c>
      <c r="EA57" s="2">
        <f>1599.09376768121*(1/14151.6638359215)</f>
        <v>0.11299687345753599</v>
      </c>
      <c r="EB57" s="2">
        <f>1453.02537811934*(1/14151.6638359215)</f>
        <v>0.10267523274762165</v>
      </c>
      <c r="EC57" s="2">
        <f>1309.63795944757*(1/14151.6638359215)</f>
        <v>9.2543037669060885E-2</v>
      </c>
      <c r="ED57" s="2">
        <f>1170.10285417929*(1/14151.6638359215)</f>
        <v>8.2683058878857102E-2</v>
      </c>
      <c r="EE57" s="2">
        <f>1035.59140482791*(1/14151.6638359215)</f>
        <v>7.3178067034015054E-2</v>
      </c>
      <c r="EF57" s="2">
        <f>907.274953906886*(1/14151.6638359215)</f>
        <v>6.4110832791542768E-2</v>
      </c>
      <c r="EG57" s="2">
        <f>786.324843929603*(1/14151.6638359215)</f>
        <v>5.5564126808443276E-2</v>
      </c>
      <c r="EH57" s="2">
        <f>673.912417409478*(1/14151.6638359215)</f>
        <v>4.7620719741721843E-2</v>
      </c>
      <c r="EI57" s="2">
        <f>571.209016859925*(1/14151.6638359215)</f>
        <v>4.0363382248383525E-2</v>
      </c>
      <c r="EJ57" s="2">
        <f>479.385984794341*(1/14151.6638359215)</f>
        <v>3.3874884985432195E-2</v>
      </c>
      <c r="EK57" s="2">
        <f>399.687417878331*(1/14151.6638359215)</f>
        <v>2.8243139641558973E-2</v>
      </c>
      <c r="EL57" s="2">
        <f>332.271068913388*(1/14151.6638359215)</f>
        <v>2.3479293513881849E-2</v>
      </c>
      <c r="EM57" s="2">
        <f>275.766310614572*(1/14151.6638359215)</f>
        <v>1.9486493871808057E-2</v>
      </c>
      <c r="EN57" s="2">
        <f>228.745177400466*(1/14151.6638359215)</f>
        <v>1.6163836284736836E-2</v>
      </c>
      <c r="EO57" s="2">
        <f>189.779703689654*(1/14151.6638359215)</f>
        <v>1.3410416322067497E-2</v>
      </c>
      <c r="EP57" s="2">
        <f>157.441923900719*(1/14151.6638359215)</f>
        <v>1.1125329553199283E-2</v>
      </c>
      <c r="EQ57" s="2">
        <f>130.30387245224*(1/14151.6638359215)</f>
        <v>9.2076715475311547E-3</v>
      </c>
      <c r="ER57" s="2">
        <f>106.937583762811*(1/14151.6638359215)</f>
        <v>7.5565378744631307E-3</v>
      </c>
      <c r="ES57" s="2">
        <f>85.9150922510098*(1/14151.6638359215)</f>
        <v>6.0710241033940836E-3</v>
      </c>
      <c r="ET57" s="2">
        <f>65.8084323354205*(1/14151.6638359215)</f>
        <v>4.6502258037233344E-3</v>
      </c>
      <c r="EU57" s="2">
        <f>45.2517634676522*(1/14151.6638359215)</f>
        <v>3.1976284903538045E-3</v>
      </c>
      <c r="EV57" s="2">
        <f>27.7903902516599*(1/14151.6638359215)</f>
        <v>1.9637542676161444E-3</v>
      </c>
      <c r="EW57" s="2">
        <f>15.5678613678997*(1/14151.6638359215)</f>
        <v>1.100072864109691E-3</v>
      </c>
      <c r="EX57" s="2">
        <f>7.76073916074268*(1/14151.6638359215)</f>
        <v>5.4839764784713255E-4</v>
      </c>
      <c r="EY57" s="2">
        <f>3.54558597456335*(1/14151.6638359215)</f>
        <v>2.5054198684139925E-4</v>
      </c>
      <c r="EZ57" s="2">
        <f>2.09896415373644*(1/14151.6638359215)</f>
        <v>1.4831924910543666E-4</v>
      </c>
      <c r="FA57" s="2">
        <f>2.59743604263663*(1/14151.6638359215)</f>
        <v>1.8354280265218687E-4</v>
      </c>
      <c r="FB57" s="2">
        <f>4.21756398563896*(1/14151.6638359215)</f>
        <v>2.9802601549461759E-4</v>
      </c>
      <c r="FC57" s="2">
        <f>6.1359103271174*(1/14151.6638359215)</f>
        <v>4.3358225564562062E-4</v>
      </c>
      <c r="FD57" s="2">
        <f>7.52903741144685*(1/14151.6638359215)</f>
        <v>5.3202489111815374E-4</v>
      </c>
      <c r="FE57" s="2">
        <f>7.57350758300195*(1/14151.6638359215)</f>
        <v>5.3516728992515628E-4</v>
      </c>
      <c r="FF57" s="2">
        <f>5.92896929125191*(1/14151.6638359215)</f>
        <v>4.189591669215791E-4</v>
      </c>
      <c r="FG57" s="2">
        <f>4.38530044812307*(1/14151.6638359215)</f>
        <v>3.0987878873943848E-4</v>
      </c>
      <c r="FH57" s="2">
        <f>3.20846980810641*(1/14151.6638359215)</f>
        <v>2.2672032386483602E-4</v>
      </c>
      <c r="FI57" s="2">
        <f>2.39847737120159*(1/14151.6638359215)</f>
        <v>1.694837722977477E-4</v>
      </c>
      <c r="FJ57" s="2">
        <f>1.95532313740863*(1/14151.6638359215)</f>
        <v>1.381691340381749E-4</v>
      </c>
      <c r="FK57" s="2">
        <f>1.87900710672751*(1/14151.6638359215)</f>
        <v>1.3277640908611625E-4</v>
      </c>
      <c r="FL57" s="2">
        <f>2.16952927915824*(1/14151.6638359215)</f>
        <v>1.5330559744157241E-4</v>
      </c>
      <c r="FM57" s="2">
        <f>2.82688965470097*(1/14151.6638359215)</f>
        <v>1.9975669910455402E-4</v>
      </c>
      <c r="FN57" s="2">
        <f>3.85108823335546*(1/14151.6638359215)</f>
        <v>2.7212971407504413E-4</v>
      </c>
      <c r="FO57" s="2">
        <f>5.24212501512181*(1/14151.6638359215)</f>
        <v>3.7042464235304977E-4</v>
      </c>
      <c r="FP57" s="2">
        <f t="shared" si="17"/>
        <v>4.9464148393856954E-4</v>
      </c>
      <c r="FQ57" s="2"/>
    </row>
    <row r="58" spans="2:173">
      <c r="B58" s="2">
        <v>9.8207100591715975</v>
      </c>
      <c r="C58" s="2">
        <f t="shared" si="18"/>
        <v>4.9464148393856954E-4</v>
      </c>
      <c r="D58" s="2">
        <f>6.63880742819573*(1/14151.6638359215)</f>
        <v>4.6911850826644779E-4</v>
      </c>
      <c r="E58" s="2">
        <f>6.3531584008211*(1/14151.6638359215)</f>
        <v>4.4893367129699124E-4</v>
      </c>
      <c r="F58" s="2">
        <f>6.14305291787609*(1/14151.6638359215)</f>
        <v>4.3408697303019838E-4</v>
      </c>
      <c r="G58" s="2">
        <f>6.00849097936078*(1/14151.6638359215)</f>
        <v>4.2457841346607507E-4</v>
      </c>
      <c r="H58" s="2">
        <f>5.94947258527512*(1/14151.6638359215)</f>
        <v>4.2040799260461762E-4</v>
      </c>
      <c r="I58" s="2">
        <f>5.96599773561911*(1/14151.6638359215)</f>
        <v>4.2157571044582607E-4</v>
      </c>
      <c r="J58" s="2">
        <f>6.05806643039275*(1/14151.6638359215)</f>
        <v>4.2808156698970039E-4</v>
      </c>
      <c r="K58" s="2">
        <f>6.22567866959603*(1/14151.6638359215)</f>
        <v>4.3992556223623991E-4</v>
      </c>
      <c r="L58" s="2">
        <f>6.46883445322903*(1/14151.6638359215)</f>
        <v>4.5710769618545033E-4</v>
      </c>
      <c r="M58" s="2">
        <f>6.78753378129163*(1/14151.6638359215)</f>
        <v>4.7962796883732319E-4</v>
      </c>
      <c r="N58" s="2">
        <f>6.53149910799493*(1/14151.6638359215)</f>
        <v>4.6153577301743647E-4</v>
      </c>
      <c r="O58" s="2">
        <f>1.32458700980223*(1/14151.6638359215)</f>
        <v>9.3599383447761102E-5</v>
      </c>
      <c r="P58" s="2">
        <f>-8.00106352234117*(1/14151.6638359215)</f>
        <v>-5.6537970482537067E-4</v>
      </c>
      <c r="Q58" s="2">
        <f>-19.4321971388127*(1/14151.6638359215)</f>
        <v>-1.3731386898470199E-3</v>
      </c>
      <c r="R58" s="2">
        <f>-30.9555584899919*(1/14151.6638359215)</f>
        <v>-2.1874147696623971E-3</v>
      </c>
      <c r="S58" s="2">
        <f>-40.5578922262516*(1/14151.6638359215)</f>
        <v>-2.8659451423162382E-3</v>
      </c>
      <c r="T58" s="2">
        <f>-46.2259429979716*(1/14151.6638359215)</f>
        <v>-3.2664670058537718E-3</v>
      </c>
      <c r="U58" s="2">
        <f>-45.9464554555291*(1/14151.6638359215)</f>
        <v>-3.2467175583200426E-3</v>
      </c>
      <c r="V58" s="2">
        <f>-37.7061742493018*(1/14151.6638359215)</f>
        <v>-2.6644339977601318E-3</v>
      </c>
      <c r="W58" s="2">
        <f>-19.491844029667*(1/14151.6638359215)</f>
        <v>-1.3773535222190902E-3</v>
      </c>
      <c r="X58" s="2">
        <f>10.7097905530046*(1/14151.6638359215)</f>
        <v>7.5678667025849558E-4</v>
      </c>
      <c r="Y58" s="2">
        <f>53.253695536044*(1/14151.6638359215)</f>
        <v>3.7630695693087971E-3</v>
      </c>
      <c r="Z58" s="2">
        <f>105.727042811649*(1/14151.6638359215)</f>
        <v>7.4709973355415338E-3</v>
      </c>
      <c r="AA58" s="2">
        <f>167.068467464065*(1/14151.6638359215)</f>
        <v>1.180557066653825E-2</v>
      </c>
      <c r="AB58" s="2">
        <f>236.242507849392*(1/14151.6638359215)</f>
        <v>1.6693620664570346E-2</v>
      </c>
      <c r="AC58" s="2">
        <f>312.21370232373*(1/14151.6638359215)</f>
        <v>2.2061978431909234E-2</v>
      </c>
      <c r="AD58" s="2">
        <f>393.946589243196*(1/14151.6638359215)</f>
        <v>2.7837475070827514E-2</v>
      </c>
      <c r="AE58" s="2">
        <f>480.405706963858*(1/14151.6638359215)</f>
        <v>3.3946941683594328E-2</v>
      </c>
      <c r="AF58" s="2">
        <f>570.555593841833*(1/14151.6638359215)</f>
        <v>4.0317209372482295E-2</v>
      </c>
      <c r="AG58" s="2">
        <f>663.360788233221*(1/14151.6638359215)</f>
        <v>4.6875109239762805E-2</v>
      </c>
      <c r="AH58" s="2">
        <f>757.785828494121*(1/14151.6638359215)</f>
        <v>5.3547472387707198E-2</v>
      </c>
      <c r="AI58" s="2">
        <f>852.985641828383*(1/14151.6638359215)</f>
        <v>6.0274583378897795E-2</v>
      </c>
      <c r="AJ58" s="2">
        <f>950.997113734829*(1/14151.6638359215)</f>
        <v>6.7200374794156054E-2</v>
      </c>
      <c r="AK58" s="2">
        <f>1052.62089496215*(1/14151.6638359215)</f>
        <v>7.438142307268901E-2</v>
      </c>
      <c r="AL58" s="2">
        <f>1157.81436644428*(1/14151.6638359215)</f>
        <v>8.181471662048477E-2</v>
      </c>
      <c r="AM58" s="2">
        <f>1266.53490911518*(1/14151.6638359215)</f>
        <v>8.9497243843533414E-2</v>
      </c>
      <c r="AN58" s="2">
        <f>1378.73990390877*(1/14151.6638359215)</f>
        <v>9.7425993147822104E-2</v>
      </c>
      <c r="AO58" s="2">
        <f>1494.38673175901*(1/14151.6638359215)</f>
        <v>0.10559795293934082</v>
      </c>
      <c r="AP58" s="2">
        <f>1613.43277359985*(1/14151.6638359215)</f>
        <v>0.11401011162407884</v>
      </c>
      <c r="AQ58" s="2">
        <f>1735.83541036519*(1/14151.6638359215)</f>
        <v>0.12265945760802191</v>
      </c>
      <c r="AR58" s="2">
        <f>1861.552022989*(1/14151.6638359215)</f>
        <v>0.13154297929716074</v>
      </c>
      <c r="AS58" s="2">
        <f>1990.53999240523*(1/14151.6638359215)</f>
        <v>0.14065766509748456</v>
      </c>
      <c r="AT58" s="2">
        <f>2123.74034421584*(1/14151.6638359215)</f>
        <v>0.15007001076616167</v>
      </c>
      <c r="AU58" s="2">
        <f>2263.01598331433*(1/14151.6638359215)</f>
        <v>0.1599116548804716</v>
      </c>
      <c r="AV58" s="2">
        <f>2407.4662503124*(1/14151.6638359215)</f>
        <v>0.17011895408379277</v>
      </c>
      <c r="AW58" s="2">
        <f>2556.07100950485*(1/14151.6638359215)</f>
        <v>0.18061982245626235</v>
      </c>
      <c r="AX58" s="2">
        <f>2707.81012518643*(1/14151.6638359215)</f>
        <v>0.19134217407801421</v>
      </c>
      <c r="AY58" s="2">
        <f>2861.6634616519*(1/14151.6638359215)</f>
        <v>0.20221392302918281</v>
      </c>
      <c r="AZ58" s="2">
        <f>3016.61088319602*(1/14151.6638359215)</f>
        <v>0.21316298338990261</v>
      </c>
      <c r="BA58" s="2">
        <f>3171.63225411359*(1/14151.6638359215)</f>
        <v>0.22411726924031092</v>
      </c>
      <c r="BB58" s="2">
        <f>3325.7074386993*(1/14151.6638359215)</f>
        <v>0.23500469466053731</v>
      </c>
      <c r="BC58" s="2">
        <f>3477.81630124795*(1/14151.6638359215)</f>
        <v>0.24575317373071903</v>
      </c>
      <c r="BD58" s="2">
        <f>3627.04187907935*(1/14151.6638359215)</f>
        <v>0.25629791105359251</v>
      </c>
      <c r="BE58" s="2">
        <f>3776.28220451659*(1/14151.6638359215)</f>
        <v>0.26684369048755696</v>
      </c>
      <c r="BF58" s="2">
        <f>3926.79266383079*(1/14151.6638359215)</f>
        <v>0.27747922147947862</v>
      </c>
      <c r="BG58" s="2">
        <f>4077.93308955732*(1/14151.6638359215)</f>
        <v>0.28815926783154688</v>
      </c>
      <c r="BH58" s="2">
        <f>4229.06331423142*(1/14151.6638359215)</f>
        <v>0.29883859334594209</v>
      </c>
      <c r="BI58" s="2">
        <f>4379.54317038846*(1/14151.6638359215)</f>
        <v>0.30947196182485359</v>
      </c>
      <c r="BJ58" s="2">
        <f>4528.73249056376*(1/14151.6638359215)</f>
        <v>0.32001413707046744</v>
      </c>
      <c r="BK58" s="2">
        <f>4675.99110729263*(1/14151.6638359215)</f>
        <v>0.33041988288496876</v>
      </c>
      <c r="BL58" s="2">
        <f>4820.67885311039*(1/14151.6638359215)</f>
        <v>0.34064396307054357</v>
      </c>
      <c r="BM58" s="2">
        <f>4962.1555605524*(1/14151.6638359215)</f>
        <v>0.35064114142938052</v>
      </c>
      <c r="BN58" s="2">
        <f>5099.78106215391*(1/14151.6638359215)</f>
        <v>0.36036618176366064</v>
      </c>
      <c r="BO58" s="2">
        <f>5234.06546182505*(1/14151.6638359215)</f>
        <v>0.369855129581251</v>
      </c>
      <c r="BP58" s="2">
        <f>5368.51005833616*(1/14151.6638359215)</f>
        <v>0.37935539739921925</v>
      </c>
      <c r="BQ58" s="2">
        <f>5502.48148724128*(1/14151.6638359215)</f>
        <v>0.38882222974193342</v>
      </c>
      <c r="BR58" s="2">
        <f>5634.92251132732*(1/14151.6638359215)</f>
        <v>0.39818091898311375</v>
      </c>
      <c r="BS58" s="2">
        <f>5764.77589338114*(1/14151.6638359215)</f>
        <v>0.40735675749647715</v>
      </c>
      <c r="BT58" s="2">
        <f>5890.98439618964*(1/14151.6638359215)</f>
        <v>0.41627503765574314</v>
      </c>
      <c r="BU58" s="2">
        <f>6012.49078253973*(1/14151.6638359215)</f>
        <v>0.42486105183463191</v>
      </c>
      <c r="BV58" s="2">
        <f>6128.2378152183*(1/14151.6638359215)</f>
        <v>0.43304009240686248</v>
      </c>
      <c r="BW58" s="2">
        <f>6237.16825701224*(1/14151.6638359215)</f>
        <v>0.4407374517461537</v>
      </c>
      <c r="BX58" s="2">
        <f>6338.22487070844*(1/14151.6638359215)</f>
        <v>0.44787842222622443</v>
      </c>
      <c r="BY58" s="2">
        <f>6430.36676030792*(1/14151.6638359215)</f>
        <v>0.45438945094113736</v>
      </c>
      <c r="BZ58" s="2">
        <f>6517.16071202948*(1/14151.6638359215)</f>
        <v>0.46052257795205809</v>
      </c>
      <c r="CA58" s="2">
        <f>6601.00142397221*(1/14151.6638359215)</f>
        <v>0.46644701997631782</v>
      </c>
      <c r="CB58" s="2">
        <f>6680.56823333009*(1/14151.6638359215)</f>
        <v>0.47206945492675195</v>
      </c>
      <c r="CC58" s="2">
        <f>6754.54047729708*(1/14151.6638359215)</f>
        <v>0.47729656071619447</v>
      </c>
      <c r="CD58" s="2">
        <f>6821.59749306717*(1/14151.6638359215)</f>
        <v>0.48203501525748155</v>
      </c>
      <c r="CE58" s="2">
        <f>6880.4186178343*(1/14151.6638359215)</f>
        <v>0.48619149646344567</v>
      </c>
      <c r="CF58" s="2">
        <f>6929.68318879245*(1/14151.6638359215)</f>
        <v>0.48967268224692229</v>
      </c>
      <c r="CG58" s="2">
        <f>6968.07054313561*(1/14151.6638359215)</f>
        <v>0.4923852505207475</v>
      </c>
      <c r="CH58" s="2">
        <f>6994.26001805773*(1/14151.6638359215)</f>
        <v>0.49423587919775458</v>
      </c>
      <c r="CI58" s="2">
        <f>7006.93095075279*(1/14151.6638359215)</f>
        <v>0.49513124619077886</v>
      </c>
      <c r="CJ58" s="2">
        <f>7004.55630764878*(1/14151.6638359215)</f>
        <v>0.49496344662095143</v>
      </c>
      <c r="CK58" s="2">
        <f>6985.80149575971*(1/14151.6638359215)</f>
        <v>0.49363817405183735</v>
      </c>
      <c r="CL58" s="2">
        <f>6952.26823390985*(1/14151.6638359215)</f>
        <v>0.49126861085144952</v>
      </c>
      <c r="CM58" s="2">
        <f>6905.90064440234*(1/14151.6638359215)</f>
        <v>0.48799213466849961</v>
      </c>
      <c r="CN58" s="2">
        <f>6848.6428495403*(1/14151.6638359215)</f>
        <v>0.48394612315169822</v>
      </c>
      <c r="CO58" s="2">
        <f>6782.43897162687*(1/14151.6638359215)</f>
        <v>0.47926795394975719</v>
      </c>
      <c r="CP58" s="2">
        <f>6709.23313296516*(1/14151.6638359215)</f>
        <v>0.47409500471138638</v>
      </c>
      <c r="CQ58" s="2">
        <f>6630.96945585834*(1/14151.6638359215)</f>
        <v>0.46856465308529976</v>
      </c>
      <c r="CR58" s="2">
        <f>6549.59206260951*(1/14151.6638359215)</f>
        <v>0.46281427672020636</v>
      </c>
      <c r="CS58" s="2">
        <f>6467.04507552182*(1/14151.6638359215)</f>
        <v>0.45698125326481881</v>
      </c>
      <c r="CT58" s="2">
        <f>6385.2726168984*(1/14151.6638359215)</f>
        <v>0.45120296036784829</v>
      </c>
      <c r="CU58" s="2">
        <f>6303.12984483423*(1/14151.6638359215)</f>
        <v>0.44539849998661279</v>
      </c>
      <c r="CV58" s="2">
        <f>6217.33556428822*(1/14151.6638359215)</f>
        <v>0.43933601280908124</v>
      </c>
      <c r="CW58" s="2">
        <f>6127.74544204109*(1/14151.6638359215)</f>
        <v>0.43300529980700153</v>
      </c>
      <c r="CX58" s="2">
        <f>6034.22752198981*(1/14151.6638359215)</f>
        <v>0.42639703655714245</v>
      </c>
      <c r="CY58" s="2">
        <f>5936.64984803132*(1/14151.6638359215)</f>
        <v>0.4195018986362708</v>
      </c>
      <c r="CZ58" s="2">
        <f>5834.8804640626*(1/14151.6638359215)</f>
        <v>0.41231056162115626</v>
      </c>
      <c r="DA58" s="2">
        <f>5728.7874139806*(1/14151.6638359215)</f>
        <v>0.40481370108856635</v>
      </c>
      <c r="DB58" s="2">
        <f>5618.2387416823*(1/14151.6638359215)</f>
        <v>0.39700199261527069</v>
      </c>
      <c r="DC58" s="2">
        <f>5503.10249106466*(1/14151.6638359215)</f>
        <v>0.38886611177803748</v>
      </c>
      <c r="DD58" s="2">
        <f>5383.24670602465*(1/14151.6638359215)</f>
        <v>0.38039673415363562</v>
      </c>
      <c r="DE58" s="2">
        <f>5258.42312022158*(1/14151.6638359215)</f>
        <v>0.37157631648046935</v>
      </c>
      <c r="DF58" s="2">
        <f>5127.52469729965*(1/14151.6638359215)</f>
        <v>0.36232663217199479</v>
      </c>
      <c r="DG58" s="2">
        <f>4990.80761936863*(1/14151.6638359215)</f>
        <v>0.35266578384234554</v>
      </c>
      <c r="DH58" s="2">
        <f>4848.90068054052*(1/14151.6638359215)</f>
        <v>0.3426382040133289</v>
      </c>
      <c r="DI58" s="2">
        <f>4702.43267492739*(1/14151.6638359215)</f>
        <v>0.33228832520675727</v>
      </c>
      <c r="DJ58" s="2">
        <f>4552.03239664124*(1/14151.6638359215)</f>
        <v>0.32166057994443803</v>
      </c>
      <c r="DK58" s="2">
        <f>4398.3286397941*(1/14151.6638359215)</f>
        <v>0.31079940074818058</v>
      </c>
      <c r="DL58" s="2">
        <f>4241.95019849797*(1/14151.6638359215)</f>
        <v>0.29974922013979222</v>
      </c>
      <c r="DM58" s="2">
        <f>4083.52586686485*(1/14151.6638359215)</f>
        <v>0.28855447064108042</v>
      </c>
      <c r="DN58" s="2">
        <f>3923.68443900682*(1/14151.6638359215)</f>
        <v>0.27725958477385815</v>
      </c>
      <c r="DO58" s="2">
        <f>3763.05470903587*(1/14151.6638359215)</f>
        <v>0.2659089950599321</v>
      </c>
      <c r="DP58" s="2">
        <f>3599.62627089252*(1/14151.6638359215)</f>
        <v>0.25436064003693365</v>
      </c>
      <c r="DQ58" s="2">
        <f>3429.41307131561*(1/14151.6638359215)</f>
        <v>0.24233285294769727</v>
      </c>
      <c r="DR58" s="2">
        <f>3253.99474576069*(1/14151.6638359215)</f>
        <v>0.22993725568162515</v>
      </c>
      <c r="DS58" s="2">
        <f>3075.09791136165*(1/14151.6638359215)</f>
        <v>0.21729585630461748</v>
      </c>
      <c r="DT58" s="2">
        <f>2894.44918525232*(1/14151.6638359215)</f>
        <v>0.20453066288257019</v>
      </c>
      <c r="DU58" s="2">
        <f>2713.77518456665*(1/14151.6638359215)</f>
        <v>0.19176368348138759</v>
      </c>
      <c r="DV58" s="2">
        <f>2534.80252643847*(1/14151.6638359215)</f>
        <v>0.17911692616696573</v>
      </c>
      <c r="DW58" s="2">
        <f>2359.25782800167*(1/14151.6638359215)</f>
        <v>0.16671239900520465</v>
      </c>
      <c r="DX58" s="2">
        <f>2188.86770639012*(1/14151.6638359215)</f>
        <v>0.15467211006200315</v>
      </c>
      <c r="DY58" s="2">
        <f>2025.35877873767*(1/14151.6638359215)</f>
        <v>0.14311806740325858</v>
      </c>
      <c r="DZ58" s="2">
        <f>1870.12181359383*(1/14151.6638359215)</f>
        <v>0.13214854700313444</v>
      </c>
      <c r="EA58" s="2">
        <f>1717.38785714309*(1/14151.6638359215)</f>
        <v>0.12135589687933403</v>
      </c>
      <c r="EB58" s="2">
        <f>1565.4888699789*(1/14151.6638359215)</f>
        <v>0.11062224824795393</v>
      </c>
      <c r="EC58" s="2">
        <f>1415.7409652013*(1/14151.6638359215)</f>
        <v>0.10004060169997055</v>
      </c>
      <c r="ED58" s="2">
        <f>1269.46025591032*(1/14151.6638359215)</f>
        <v>8.9703957826359565E-2</v>
      </c>
      <c r="EE58" s="2">
        <f>1127.96285520599*(1/14151.6638359215)</f>
        <v>7.9705317218096691E-2</v>
      </c>
      <c r="EF58" s="2">
        <f>992.564876188388*(1/14151.6638359215)</f>
        <v>7.0137680466160965E-2</v>
      </c>
      <c r="EG58" s="2">
        <f>864.582431957534*(1/14151.6638359215)</f>
        <v>6.1094048161527421E-2</v>
      </c>
      <c r="EH58" s="2">
        <f>745.331635613466*(1/14151.6638359215)</f>
        <v>5.266742089517229E-2</v>
      </c>
      <c r="EI58" s="2">
        <f>636.128600256225*(1/14151.6638359215)</f>
        <v>4.4950799258072036E-2</v>
      </c>
      <c r="EJ58" s="2">
        <f>538.289438985834*(1/14151.6638359215)</f>
        <v>3.803718384120186E-2</v>
      </c>
      <c r="EK58" s="2">
        <f>453.02939252201*(1/14151.6638359215)</f>
        <v>3.201244728355368E-2</v>
      </c>
      <c r="EL58" s="2">
        <f>380.084744297682*(1/14151.6638359215)</f>
        <v>2.6857954563116741E-2</v>
      </c>
      <c r="EM58" s="2">
        <f>318.108668393335*(1/14151.6638359215)</f>
        <v>2.2478534826828794E-2</v>
      </c>
      <c r="EN58" s="2">
        <f>265.73146590222*(1/14151.6638359215)</f>
        <v>1.8777400946149356E-2</v>
      </c>
      <c r="EO58" s="2">
        <f>221.583437917593*(1/14151.6638359215)</f>
        <v>1.5657765792538299E-2</v>
      </c>
      <c r="EP58" s="2">
        <f>184.294885532707*(1/14151.6638359215)</f>
        <v>1.3022842237455288E-2</v>
      </c>
      <c r="EQ58" s="2">
        <f>152.49610984081*(1/14151.6638359215)</f>
        <v>1.0775843152359622E-2</v>
      </c>
      <c r="ER58" s="2">
        <f>124.817411935168*(1/14151.6638359215)</f>
        <v>8.8199814087118883E-3</v>
      </c>
      <c r="ES58" s="2">
        <f>99.8890929090265*(1/14151.6638359215)</f>
        <v>7.0584698779712161E-3</v>
      </c>
      <c r="ET58" s="2">
        <f>76.3414538556407*(1/14151.6638359215)</f>
        <v>5.3945214315974203E-3</v>
      </c>
      <c r="EU58" s="2">
        <f>52.8675858051693*(1/14151.6638359215)</f>
        <v>3.7357858707026568E-3</v>
      </c>
      <c r="EV58" s="2">
        <f>33.0928869265946*(1/14151.6638359215)</f>
        <v>2.3384449567402919E-3</v>
      </c>
      <c r="EW58" s="2">
        <f>19.1275315057723*(1/14151.6638359215)</f>
        <v>1.3516100811567075E-3</v>
      </c>
      <c r="EX58" s="2">
        <f>10.0639575109877*(1/14151.6638359215)</f>
        <v>7.1115012536138134E-4</v>
      </c>
      <c r="EY58" s="2">
        <f>4.99460291053028*(1/14151.6638359215)</f>
        <v>3.5293397076408516E-4</v>
      </c>
      <c r="EZ58" s="2">
        <f>3.01190567268982*(1/14151.6638359215)</f>
        <v>2.1283049877461257E-4</v>
      </c>
      <c r="FA58" s="2">
        <f>3.20830376575587*(1/14151.6638359215)</f>
        <v>2.2670859080274063E-4</v>
      </c>
      <c r="FB58" s="2">
        <f>4.67623515801841*(1/14151.6638359215)</f>
        <v>3.3043712825827682E-4</v>
      </c>
      <c r="FC58" s="2">
        <f>6.50813781776635*(1/14151.6638359215)</f>
        <v>4.5988499255095302E-4</v>
      </c>
      <c r="FD58" s="2">
        <f>7.79644971328952*(1/14151.6638359215)</f>
        <v>5.5092106509056619E-4</v>
      </c>
      <c r="FE58" s="2">
        <f>7.63360881287749*(1/14151.6638359215)</f>
        <v>5.3941422728689492E-4</v>
      </c>
      <c r="FF58" s="2">
        <f>5.64449243105998*(1/14151.6638359215)</f>
        <v>3.9885715888279035E-4</v>
      </c>
      <c r="FG58" s="2">
        <f>3.8018367223766*(1/14151.6638359215)</f>
        <v>2.68649451149787E-4</v>
      </c>
      <c r="FH58" s="2">
        <f>2.39878245048849*(1/14151.6638359215)</f>
        <v>1.6950533013648927E-4</v>
      </c>
      <c r="FI58" s="2">
        <f>1.43532961539527*(1/14151.6638359215)</f>
        <v>1.0142479584287037E-4</v>
      </c>
      <c r="FJ58" s="2">
        <f>0.911478217096939*(1/14151.6638359215)</f>
        <v>6.4407848268930218E-5</v>
      </c>
      <c r="FK58" s="2">
        <f>0.827228255593495*(1/14151.6638359215)</f>
        <v>5.8454487414668664E-5</v>
      </c>
      <c r="FL58" s="2">
        <f>1.18257973088493*(1/14151.6638359215)</f>
        <v>8.3564713280085144E-5</v>
      </c>
      <c r="FM58" s="2">
        <f>1.97753264297145*(1/14151.6638359215)</f>
        <v>1.397385258651942E-4</v>
      </c>
      <c r="FN58" s="2">
        <f>3.21208699185275*(1/14151.6638359215)</f>
        <v>2.2697592516997432E-4</v>
      </c>
      <c r="FO58" s="2">
        <f>4.88624277752893*(1/14151.6638359215)</f>
        <v>3.4527691119443256E-4</v>
      </c>
      <c r="FP58" s="2">
        <f t="shared" si="17"/>
        <v>4.9464148393856954E-4</v>
      </c>
      <c r="FQ58" s="2"/>
    </row>
    <row r="59" spans="2:173">
      <c r="B59" s="2">
        <v>9.8301775147929007</v>
      </c>
      <c r="C59" s="2">
        <f t="shared" si="18"/>
        <v>4.9464148393856954E-4</v>
      </c>
      <c r="D59" s="2">
        <f>6.45058508783515*(1/14151.6638359215)</f>
        <v>4.5581814001696951E-4</v>
      </c>
      <c r="E59" s="2">
        <f>6.01608048409693*(1/14151.6638359215)</f>
        <v>4.2511471116393908E-4</v>
      </c>
      <c r="F59" s="2">
        <f>5.69648618878529*(1/14151.6638359215)</f>
        <v>4.0253119737947461E-4</v>
      </c>
      <c r="G59" s="2">
        <f>5.49180220190035*(1/14151.6638359215)</f>
        <v>3.8806759866358466E-4</v>
      </c>
      <c r="H59" s="2">
        <f>5.40202852344205*(1/14151.6638359215)</f>
        <v>3.8172391501626506E-4</v>
      </c>
      <c r="I59" s="2">
        <f>5.42716515341038*(1/14151.6638359215)</f>
        <v>3.83500146437515E-4</v>
      </c>
      <c r="J59" s="2">
        <f>5.56721209180535*(1/14151.6638359215)</f>
        <v>3.9339629292733512E-4</v>
      </c>
      <c r="K59" s="2">
        <f>5.82216933862694*(1/14151.6638359215)</f>
        <v>4.1141235448572425E-4</v>
      </c>
      <c r="L59" s="2">
        <f>6.19203689387524*(1/14151.6638359215)</f>
        <v>4.3754833111268854E-4</v>
      </c>
      <c r="M59" s="2">
        <f>6.67681475755012*(1/14151.6638359215)</f>
        <v>4.718042228082188E-4</v>
      </c>
      <c r="N59" s="2">
        <f>6.57432681500076*(1/14151.6638359215)</f>
        <v>4.6456211023844366E-4</v>
      </c>
      <c r="O59" s="2">
        <f>1.15917018834379*(1/14151.6638359215)</f>
        <v>8.1910523157103338E-5</v>
      </c>
      <c r="P59" s="2">
        <f>-8.67010322362719*(1/14151.6638359215)</f>
        <v>-6.1265610349078988E-4</v>
      </c>
      <c r="Q59" s="2">
        <f>-20.7395604159167*(1/14151.6638359215)</f>
        <v>-1.465520991480379E-3</v>
      </c>
      <c r="R59" s="2">
        <f>-32.8752683835314*(1/14151.6638359215)</f>
        <v>-2.3230673625869586E-3</v>
      </c>
      <c r="S59" s="2">
        <f>-42.903294121471*(1/14151.6638359215)</f>
        <v>-3.031678438585332E-3</v>
      </c>
      <c r="T59" s="2">
        <f>-48.6497046247422*(1/14151.6638359215)</f>
        <v>-3.4377374412507961E-3</v>
      </c>
      <c r="U59" s="2">
        <f>-47.9405668883497*(1/14151.6638359215)</f>
        <v>-3.3876275923585067E-3</v>
      </c>
      <c r="V59" s="2">
        <f>-38.6019479072979*(1/14151.6638359215)</f>
        <v>-2.7277321136835986E-3</v>
      </c>
      <c r="W59" s="2">
        <f>-18.4599146765914*(1/14151.6638359215)</f>
        <v>-1.3044342270012214E-3</v>
      </c>
      <c r="X59" s="2">
        <f>14.6594658087729*(1/14151.6638359215)</f>
        <v>1.0358828459140215E-3</v>
      </c>
      <c r="Y59" s="2">
        <f>61.3270437058206*(1/14151.6638359215)</f>
        <v>4.3335571291732303E-3</v>
      </c>
      <c r="Z59" s="2">
        <f>119.147079255103*(1/14151.6638359215)</f>
        <v>8.4192982985272138E-3</v>
      </c>
      <c r="AA59" s="2">
        <f>186.826000208886*(1/14151.6638359215)</f>
        <v>1.3201698568804411E-2</v>
      </c>
      <c r="AB59" s="2">
        <f>263.09398217771*(1/14151.6638359215)</f>
        <v>1.8591028251384294E-2</v>
      </c>
      <c r="AC59" s="2">
        <f>346.681200772116*(1/14151.6638359215)</f>
        <v>2.4497557657646371E-2</v>
      </c>
      <c r="AD59" s="2">
        <f>436.317831602661*(1/14151.6638359215)</f>
        <v>3.0831557098971306E-2</v>
      </c>
      <c r="AE59" s="2">
        <f>530.734050279851*(1/14151.6638359215)</f>
        <v>3.7503296886736127E-2</v>
      </c>
      <c r="AF59" s="2">
        <f>628.660032414243*(1/14151.6638359215)</f>
        <v>4.4423047332321483E-2</v>
      </c>
      <c r="AG59" s="2">
        <f>728.825953616378*(1/14151.6638359215)</f>
        <v>5.1501078747106896E-2</v>
      </c>
      <c r="AH59" s="2">
        <f>829.961989496796*(1/14151.6638359215)</f>
        <v>5.8647661442471813E-2</v>
      </c>
      <c r="AI59" s="2">
        <f>931.011476096301*(1/14151.6638359215)</f>
        <v>6.5788128300016055E-2</v>
      </c>
      <c r="AJ59" s="2">
        <f>1034.20980119195*(1/14151.6638359215)</f>
        <v>7.3080438680771298E-2</v>
      </c>
      <c r="AK59" s="2">
        <f>1140.55268949999*(1/14151.6638359215)</f>
        <v>8.0594953549200238E-2</v>
      </c>
      <c r="AL59" s="2">
        <f>1250.10967891321*(1/14151.6638359215)</f>
        <v>8.8336586666228414E-2</v>
      </c>
      <c r="AM59" s="2">
        <f>1362.95030732438*(1/14151.6638359215)</f>
        <v>9.6310251792780105E-2</v>
      </c>
      <c r="AN59" s="2">
        <f>1479.14411262631*(1/14151.6638359215)</f>
        <v>0.10452086268978238</v>
      </c>
      <c r="AO59" s="2">
        <f>1598.76063271177*(1/14151.6638359215)</f>
        <v>0.11297333311815948</v>
      </c>
      <c r="AP59" s="2">
        <f>1721.86940547358*(1/14151.6638359215)</f>
        <v>0.12167257683883916</v>
      </c>
      <c r="AQ59" s="2">
        <f>1848.53996880447*(1/14151.6638359215)</f>
        <v>0.13062350761274286</v>
      </c>
      <c r="AR59" s="2">
        <f>1978.84186059725*(1/14151.6638359215)</f>
        <v>0.13983103920079767</v>
      </c>
      <c r="AS59" s="2">
        <f>2112.84461874472*(1/14151.6638359215)</f>
        <v>0.14930008536392991</v>
      </c>
      <c r="AT59" s="2">
        <f>2251.59022405522*(1/14151.6638359215)</f>
        <v>0.15910427566403576</v>
      </c>
      <c r="AU59" s="2">
        <f>2396.90932692518*(1/14151.6638359215)</f>
        <v>0.16937296947663841</v>
      </c>
      <c r="AV59" s="2">
        <f>2547.78528656244*(1/14151.6638359215)</f>
        <v>0.18003432784315701</v>
      </c>
      <c r="AW59" s="2">
        <f>2703.08084214207*(1/14151.6638359215)</f>
        <v>0.19100798842329597</v>
      </c>
      <c r="AX59" s="2">
        <f>2861.65873283913*(1/14151.6638359215)</f>
        <v>0.20221358887675914</v>
      </c>
      <c r="AY59" s="2">
        <f>3022.38169782868*(1/14151.6638359215)</f>
        <v>0.21357076686325022</v>
      </c>
      <c r="AZ59" s="2">
        <f>3184.11247628576*(1/14151.6638359215)</f>
        <v>0.22499916004247167</v>
      </c>
      <c r="BA59" s="2">
        <f>3345.71380738547*(1/14151.6638359215)</f>
        <v>0.23641840607413003</v>
      </c>
      <c r="BB59" s="2">
        <f>3506.0484303028*(1/14151.6638359215)</f>
        <v>0.24774814261792422</v>
      </c>
      <c r="BC59" s="2">
        <f>3663.97908421284*(1/14151.6638359215)</f>
        <v>0.25890800733356006</v>
      </c>
      <c r="BD59" s="2">
        <f>3818.47925818322*(1/14151.6638359215)</f>
        <v>0.26982546380805661</v>
      </c>
      <c r="BE59" s="2">
        <f>3972.63780210042*(1/14151.6638359215)</f>
        <v>0.28071877965448699</v>
      </c>
      <c r="BF59" s="2">
        <f>4127.83657358379*(1/14151.6638359215)</f>
        <v>0.29168560117334086</v>
      </c>
      <c r="BG59" s="2">
        <f>4283.43212577728*(1/14151.6638359215)</f>
        <v>0.30268046043494501</v>
      </c>
      <c r="BH59" s="2">
        <f>4438.78101182475*(1/14151.6638359215)</f>
        <v>0.31365788950961992</v>
      </c>
      <c r="BI59" s="2">
        <f>4593.23978487015*(1/14151.6638359215)</f>
        <v>0.32457242046769247</v>
      </c>
      <c r="BJ59" s="2">
        <f>4746.16499805742*(1/14151.6638359215)</f>
        <v>0.33537858537948861</v>
      </c>
      <c r="BK59" s="2">
        <f>4896.91320453046*(1/14151.6638359215)</f>
        <v>0.34603091631533178</v>
      </c>
      <c r="BL59" s="2">
        <f>5044.8409574332*(1/14151.6638359215)</f>
        <v>0.35648394534554745</v>
      </c>
      <c r="BM59" s="2">
        <f>5189.30480990959*(1/14151.6638359215)</f>
        <v>0.36669220454046236</v>
      </c>
      <c r="BN59" s="2">
        <f>5329.66131510349*(1/14151.6638359215)</f>
        <v>0.37661022597039689</v>
      </c>
      <c r="BO59" s="2">
        <f>5466.36565125236*(1/14151.6638359215)</f>
        <v>0.38627017392661323</v>
      </c>
      <c r="BP59" s="2">
        <f>5602.75984827313*(1/14151.6638359215)</f>
        <v>0.39590820650017938</v>
      </c>
      <c r="BQ59" s="2">
        <f>5738.27343421352*(1/14151.6638359215)</f>
        <v>0.40548401239209247</v>
      </c>
      <c r="BR59" s="2">
        <f>5871.9326913645*(1/14151.6638359215)</f>
        <v>0.41492878572056213</v>
      </c>
      <c r="BS59" s="2">
        <f>6002.76390201699*(1/14151.6638359215)</f>
        <v>0.4241737206037946</v>
      </c>
      <c r="BT59" s="2">
        <f>6129.79334846193*(1/14151.6638359215)</f>
        <v>0.43315001115999746</v>
      </c>
      <c r="BU59" s="2">
        <f>6252.04731299029*(1/14151.6638359215)</f>
        <v>0.44178885150738051</v>
      </c>
      <c r="BV59" s="2">
        <f>6368.55207789301*(1/14151.6638359215)</f>
        <v>0.45002143576415132</v>
      </c>
      <c r="BW59" s="2">
        <f>6478.33392546103*(1/14151.6638359215)</f>
        <v>0.45777895804851748</v>
      </c>
      <c r="BX59" s="2">
        <f>6580.41913798531*(1/14151.6638359215)</f>
        <v>0.46499261247868806</v>
      </c>
      <c r="BY59" s="2">
        <f>6673.85077900876*(1/14151.6638359215)</f>
        <v>0.47159477898763874</v>
      </c>
      <c r="BZ59" s="2">
        <f>6762.36127792672*(1/14151.6638359215)</f>
        <v>0.4778492024917706</v>
      </c>
      <c r="CA59" s="2">
        <f>6848.32949995444*(1/14151.6638359215)</f>
        <v>0.48392398090824945</v>
      </c>
      <c r="CB59" s="2">
        <f>6930.28589724889*(1/14151.6638359215)</f>
        <v>0.48971527147624744</v>
      </c>
      <c r="CC59" s="2">
        <f>7006.760921967*(1/14151.6638359215)</f>
        <v>0.4951192314349338</v>
      </c>
      <c r="CD59" s="2">
        <f>7076.28502626571*(1/14151.6638359215)</f>
        <v>0.50003201802347863</v>
      </c>
      <c r="CE59" s="2">
        <f>7137.38866230195*(1/14151.6638359215)</f>
        <v>0.50434978848105116</v>
      </c>
      <c r="CF59" s="2">
        <f>7188.60228223266*(1/14151.6638359215)</f>
        <v>0.5079687000468216</v>
      </c>
      <c r="CG59" s="2">
        <f>7228.45633821478*(1/14151.6638359215)</f>
        <v>0.51078490995995962</v>
      </c>
      <c r="CH59" s="2">
        <f>7255.48128240525*(1/14151.6638359215)</f>
        <v>0.51269457545963548</v>
      </c>
      <c r="CI59" s="2">
        <f>7268.20756696101*(1/14151.6638359215)</f>
        <v>0.51359385378501921</v>
      </c>
      <c r="CJ59" s="2">
        <f>7264.97447099273*(1/14151.6638359215)</f>
        <v>0.51336539330109543</v>
      </c>
      <c r="CK59" s="2">
        <f>7244.49332209264*(1/14151.6638359215)</f>
        <v>0.51191813246042295</v>
      </c>
      <c r="CL59" s="2">
        <f>7208.49695663759*(1/14151.6638359215)</f>
        <v>0.5093745187996972</v>
      </c>
      <c r="CM59" s="2">
        <f>7159.05693001881*(1/14151.6638359215)</f>
        <v>0.50588093478074347</v>
      </c>
      <c r="CN59" s="2">
        <f>7098.24479762753*(1/14151.6638359215)</f>
        <v>0.50158376286538753</v>
      </c>
      <c r="CO59" s="2">
        <f>7028.13211485496*(1/14151.6638359215)</f>
        <v>0.49662938551545349</v>
      </c>
      <c r="CP59" s="2">
        <f>6950.79043709231*(1/14151.6638359215)</f>
        <v>0.4911641851927655</v>
      </c>
      <c r="CQ59" s="2">
        <f>6868.29131973084*(1/14151.6638359215)</f>
        <v>0.4853345443591513</v>
      </c>
      <c r="CR59" s="2">
        <f>6782.70631816174*(1/14151.6638359215)</f>
        <v>0.47928684547643347</v>
      </c>
      <c r="CS59" s="2">
        <f>6696.10698777626*(1/14151.6638359215)</f>
        <v>0.47316747100643919</v>
      </c>
      <c r="CT59" s="2">
        <f>6610.5648839656*(1/14151.6638359215)</f>
        <v>0.46712280341099172</v>
      </c>
      <c r="CU59" s="2">
        <f>6524.82853310056*(1/14151.6638359215)</f>
        <v>0.46106440972251156</v>
      </c>
      <c r="CV59" s="2">
        <f>6435.37552868447*(1/14151.6638359215)</f>
        <v>0.45474338588720609</v>
      </c>
      <c r="CW59" s="2">
        <f>6342.07432726409*(1/14151.6638359215)</f>
        <v>0.44815043664094495</v>
      </c>
      <c r="CX59" s="2">
        <f>6244.80672878195*(1/14151.6638359215)</f>
        <v>0.44127720960489547</v>
      </c>
      <c r="CY59" s="2">
        <f>6143.45453318062*(1/14151.6638359215)</f>
        <v>0.43411535240022775</v>
      </c>
      <c r="CZ59" s="2">
        <f>6037.89954040265*(1/14151.6638359215)</f>
        <v>0.42665651264811055</v>
      </c>
      <c r="DA59" s="2">
        <f>5928.02355039057*(1/14151.6638359215)</f>
        <v>0.41889233796971131</v>
      </c>
      <c r="DB59" s="2">
        <f>5813.70836308699*(1/14151.6638359215)</f>
        <v>0.41081447598620296</v>
      </c>
      <c r="DC59" s="2">
        <f>5694.83577843443*(1/14151.6638359215)</f>
        <v>0.40241457431875216</v>
      </c>
      <c r="DD59" s="2">
        <f>5571.28759637546*(1/14151.6638359215)</f>
        <v>0.39368428058852917</v>
      </c>
      <c r="DE59" s="2">
        <f>5442.81791095646*(1/14151.6638359215)</f>
        <v>0.38460621832613262</v>
      </c>
      <c r="DF59" s="2">
        <f>5308.22047111081*(1/14151.6638359215)</f>
        <v>0.37509515012904909</v>
      </c>
      <c r="DG59" s="2">
        <f>5167.75151206632*(1/14151.6638359215)</f>
        <v>0.36516918236489587</v>
      </c>
      <c r="DH59" s="2">
        <f>5022.07278577696*(1/14151.6638359215)</f>
        <v>0.35487507645774591</v>
      </c>
      <c r="DI59" s="2">
        <f>4871.84604419683*(1/14151.6638359215)</f>
        <v>0.34425959383168142</v>
      </c>
      <c r="DJ59" s="2">
        <f>4717.73303927991*(1/14151.6638359215)</f>
        <v>0.33336949591077608</v>
      </c>
      <c r="DK59" s="2">
        <f>4560.39552298023*(1/14151.6638359215)</f>
        <v>0.32225154411910717</v>
      </c>
      <c r="DL59" s="2">
        <f>4400.49524725181*(1/14151.6638359215)</f>
        <v>0.31095249988075113</v>
      </c>
      <c r="DM59" s="2">
        <f>4238.69396404863*(1/14151.6638359215)</f>
        <v>0.2995191246197817</v>
      </c>
      <c r="DN59" s="2">
        <f>4075.65342532478*(1/14151.6638359215)</f>
        <v>0.28799817976028047</v>
      </c>
      <c r="DO59" s="2">
        <f>3912.03538303426*(1/14151.6638359215)</f>
        <v>0.2764364267263224</v>
      </c>
      <c r="DP59" s="2">
        <f>3745.97754693697*(1/14151.6638359215)</f>
        <v>0.26470227037392363</v>
      </c>
      <c r="DQ59" s="2">
        <f>3573.65653801535*(1/14151.6638359215)</f>
        <v>0.25252553900724056</v>
      </c>
      <c r="DR59" s="2">
        <f>3396.51337299318*(1/14151.6638359215)</f>
        <v>0.24000805929064895</v>
      </c>
      <c r="DS59" s="2">
        <f>3216.12887019699*(1/14151.6638359215)</f>
        <v>0.22726153669884491</v>
      </c>
      <c r="DT59" s="2">
        <f>3034.08384795328*(1/14151.6638359215)</f>
        <v>0.21439767670652224</v>
      </c>
      <c r="DU59" s="2">
        <f>2851.95912458864*(1/14151.6638359215)</f>
        <v>0.20152818478838122</v>
      </c>
      <c r="DV59" s="2">
        <f>2671.33551842955*(1/14151.6638359215)</f>
        <v>0.18876476641911438</v>
      </c>
      <c r="DW59" s="2">
        <f>2493.79384780255*(1/14151.6638359215)</f>
        <v>0.17621912707341836</v>
      </c>
      <c r="DX59" s="2">
        <f>2320.91493103416*(1/14151.6638359215)</f>
        <v>0.16400297222598853</v>
      </c>
      <c r="DY59" s="2">
        <f>2154.27958645087*(1/14151.6638359215)</f>
        <v>0.15222800735151804</v>
      </c>
      <c r="DZ59" s="2">
        <f>1995.13434820849*(1/14151.6638359215)</f>
        <v>0.14098231637923689</v>
      </c>
      <c r="EA59" s="2">
        <f>1837.67286603925*(1/14151.6638359215)</f>
        <v>0.12985560477875696</v>
      </c>
      <c r="EB59" s="2">
        <f>1680.35285013922*(1/14151.6638359215)</f>
        <v>0.11873888961903836</v>
      </c>
      <c r="EC59" s="2">
        <f>1524.62871818003*(1/14151.6638359215)</f>
        <v>0.10773494451656132</v>
      </c>
      <c r="ED59" s="2">
        <f>1371.95488783336*(1/14151.6638359215)</f>
        <v>9.6946543087809561E-2</v>
      </c>
      <c r="EE59" s="2">
        <f>1223.78577677082*(1/14151.6638359215)</f>
        <v>8.6476458949261911E-2</v>
      </c>
      <c r="EF59" s="2">
        <f>1081.57580266411*(1/14151.6638359215)</f>
        <v>7.6427465717403539E-2</v>
      </c>
      <c r="EG59" s="2">
        <f>946.77938318487*(1/14151.6638359215)</f>
        <v>6.6902337008715382E-2</v>
      </c>
      <c r="EH59" s="2">
        <f>820.850936004745*(1/14151.6638359215)</f>
        <v>5.8003846439678694E-2</v>
      </c>
      <c r="EI59" s="2">
        <f>705.244878795388*(1/14151.6638359215)</f>
        <v>4.9834767626775335E-2</v>
      </c>
      <c r="EJ59" s="2">
        <f>601.415629228432*(1/14151.6638359215)</f>
        <v>4.2497874186485735E-2</v>
      </c>
      <c r="EK59" s="2">
        <f>510.530861605752*(1/14151.6638359215)</f>
        <v>3.6075677568729383E-2</v>
      </c>
      <c r="EL59" s="2">
        <f>431.875922405075*(1/14151.6638359215)</f>
        <v>3.0517678162254976E-2</v>
      </c>
      <c r="EM59" s="2">
        <f>364.147882377339*(1/14151.6638359215)</f>
        <v>2.5731806987459235E-2</v>
      </c>
      <c r="EN59" s="2">
        <f>306.058415765042*(1/14151.6638359215)</f>
        <v>2.1627026992272581E-2</v>
      </c>
      <c r="EO59" s="2">
        <f>256.319196810683*(1/14151.6638359215)</f>
        <v>1.8112301124625502E-2</v>
      </c>
      <c r="EP59" s="2">
        <f>213.64189975676*(1/14151.6638359215)</f>
        <v>1.5096592332448413E-2</v>
      </c>
      <c r="EQ59" s="2">
        <f>176.738198845767*(1/14151.6638359215)</f>
        <v>1.2488863563671453E-2</v>
      </c>
      <c r="ER59" s="2">
        <f>144.319768320215*(1/14151.6638359215)</f>
        <v>1.0198077766225958E-2</v>
      </c>
      <c r="ES59" s="2">
        <f>115.098282422596*(1/14151.6638359215)</f>
        <v>8.133197888041923E-3</v>
      </c>
      <c r="ET59" s="2">
        <f>87.7854153954083*(1/14151.6638359215)</f>
        <v>6.2031868770497864E-3</v>
      </c>
      <c r="EU59" s="2">
        <f>61.1557949785462*(1/14151.6638359215)</f>
        <v>4.3214561685187159E-3</v>
      </c>
      <c r="EV59" s="2">
        <f>38.8929404739931*(1/14151.6638359215)</f>
        <v>2.7482945415414858E-3</v>
      </c>
      <c r="EW59" s="2">
        <f>23.0474846323936*(1/14151.6638359215)</f>
        <v>1.6286059999455068E-3</v>
      </c>
      <c r="EX59" s="2">
        <f>12.6225257563668*(1/14151.6638359215)</f>
        <v>8.919464101688698E-4</v>
      </c>
      <c r="EY59" s="2">
        <f>6.62116214853696*(1/14151.6638359215)</f>
        <v>4.6787163865002991E-4</v>
      </c>
      <c r="EZ59" s="2">
        <f>4.04649211152826*(1/14151.6638359215)</f>
        <v>2.8593755182743634E-4</v>
      </c>
      <c r="FA59" s="2">
        <f>3.90161394796486*(1/14151.6638359215)</f>
        <v>2.7570001613953706E-4</v>
      </c>
      <c r="FB59" s="2">
        <f>5.18962596047124*(1/14151.6638359215)</f>
        <v>3.667148980248026E-4</v>
      </c>
      <c r="FC59" s="2">
        <f>6.91362645167094*(1/14151.6638359215)</f>
        <v>4.8853806392163725E-4</v>
      </c>
      <c r="FD59" s="2">
        <f>8.07671372418828*(1/14151.6638359215)</f>
        <v>5.7072538026850029E-4</v>
      </c>
      <c r="FE59" s="2">
        <f>7.68198608064736*(1/14151.6638359215)</f>
        <v>5.4283271350383515E-4</v>
      </c>
      <c r="FF59" s="2">
        <f>5.31739406458875*(1/14151.6638359215)</f>
        <v>3.7574338439918875E-4</v>
      </c>
      <c r="FG59" s="2">
        <f>3.14986836749247*(1/14151.6638359215)</f>
        <v>2.2257936621537639E-4</v>
      </c>
      <c r="FH59" s="2">
        <f>1.50140629053818*(1/14151.6638359215)</f>
        <v>1.0609397650664406E-4</v>
      </c>
      <c r="FI59" s="2">
        <f>0.37200783372543*(1/14151.6638359215)</f>
        <v>2.6287215272959907E-5</v>
      </c>
      <c r="FJ59" s="2">
        <f>-0.23832700294577*(1/14151.6638359215)</f>
        <v>-1.6840917485675359E-5</v>
      </c>
      <c r="FK59" s="2">
        <f>-0.329598219475421*(1/14151.6638359215)</f>
        <v>-2.3290421769261798E-5</v>
      </c>
      <c r="FL59" s="2">
        <f>0.0981941841364687*(1/14151.6638359215)</f>
        <v>6.9387024222000038E-6</v>
      </c>
      <c r="FM59" s="2">
        <f>1.04505020789013*(1/14151.6638359215)</f>
        <v>7.3846455088726358E-5</v>
      </c>
      <c r="FN59" s="2">
        <f>2.51096985178521*(1/14151.6638359215)</f>
        <v>1.7743283623029233E-4</v>
      </c>
      <c r="FO59" s="2">
        <f>4.49595311582184*(1/14151.6638359215)</f>
        <v>3.176978458469072E-4</v>
      </c>
      <c r="FP59" s="2">
        <f t="shared" si="17"/>
        <v>4.9464148393856954E-4</v>
      </c>
      <c r="FQ59" s="2"/>
    </row>
    <row r="60" spans="2:173">
      <c r="B60" s="2">
        <v>9.8396449704142022</v>
      </c>
      <c r="C60" s="2">
        <f t="shared" si="18"/>
        <v>4.9464148393856954E-4</v>
      </c>
      <c r="D60" s="2">
        <f>6.23513384244263*(1/14151.6638359215)</f>
        <v>4.405936937687739E-4</v>
      </c>
      <c r="E60" s="2">
        <f>5.63023969169464*(1/14151.6638359215)</f>
        <v>3.9785001657566727E-4</v>
      </c>
      <c r="F60" s="2">
        <f>5.18531754775596*(1/14151.6638359215)</f>
        <v>3.6641045235924464E-4</v>
      </c>
      <c r="G60" s="2">
        <f>4.90036741062676*(1/14151.6638359215)</f>
        <v>3.4627500111951805E-4</v>
      </c>
      <c r="H60" s="2">
        <f>4.77538928030694*(1/14151.6638359215)</f>
        <v>3.3744366285648036E-4</v>
      </c>
      <c r="I60" s="2">
        <f>4.81038315679649*(1/14151.6638359215)</f>
        <v>3.3991643757013096E-4</v>
      </c>
      <c r="J60" s="2">
        <f>5.00534904009543*(1/14151.6638359215)</f>
        <v>3.5369332526047115E-4</v>
      </c>
      <c r="K60" s="2">
        <f>5.36028693020374*(1/14151.6638359215)</f>
        <v>3.7877432592749969E-4</v>
      </c>
      <c r="L60" s="2">
        <f>5.87519682712155*(1/14151.6638359215)</f>
        <v>4.1515943957122557E-4</v>
      </c>
      <c r="M60" s="2">
        <f>6.55007873084866*(1/14151.6638359215)</f>
        <v>4.6284866619163476E-4</v>
      </c>
      <c r="N60" s="2">
        <f>6.6293617482607*(1/14151.6638359215)</f>
        <v>4.6845104753218033E-4</v>
      </c>
      <c r="O60" s="2">
        <f>1.02831457289569*(1/14151.6638359215)</f>
        <v>7.2663863756111495E-5</v>
      </c>
      <c r="P60" s="2">
        <f>-9.28618333790723*(1/14151.6638359215)</f>
        <v>-6.5619021519829307E-4</v>
      </c>
      <c r="Q60" s="2">
        <f>-21.9748890678694*(1/14151.6638359215)</f>
        <v>-1.5528131054166243E-3</v>
      </c>
      <c r="R60" s="2">
        <f>-34.6985597007144*(1/14151.6638359215)</f>
        <v>-2.4519067229846312E-3</v>
      </c>
      <c r="S60" s="2">
        <f>-45.1179523201584*(1/14151.6638359215)</f>
        <v>-3.1881729839875399E-3</v>
      </c>
      <c r="T60" s="2">
        <f>-50.8938240099252*(1/14151.6638359215)</f>
        <v>-3.5963138045111143E-3</v>
      </c>
      <c r="U60" s="2">
        <f>-49.6869318537362*(1/14151.6638359215)</f>
        <v>-3.5110311006409504E-3</v>
      </c>
      <c r="V60" s="2">
        <f>-39.1580329353127*(1/14151.6638359215)</f>
        <v>-2.767026788462636E-3</v>
      </c>
      <c r="W60" s="2">
        <f>-16.9678843383759*(1/14151.6638359215)</f>
        <v>-1.1990027840617526E-3</v>
      </c>
      <c r="X60" s="2">
        <f>19.2227568533609*(1/14151.6638359215)</f>
        <v>1.3583389964766776E-3</v>
      </c>
      <c r="Y60" s="2">
        <f>70.2224876804245*(1/14151.6638359215)</f>
        <v>4.962136501729014E-3</v>
      </c>
      <c r="Z60" s="2">
        <f>133.670631216133*(1/14151.6638359215)</f>
        <v>9.4455770548219006E-3</v>
      </c>
      <c r="AA60" s="2">
        <f>208.022414401874*(1/14151.6638359215)</f>
        <v>1.4699502250318144E-2</v>
      </c>
      <c r="AB60" s="2">
        <f>291.754242376588*(1/14151.6638359215)</f>
        <v>2.061625019921837E-2</v>
      </c>
      <c r="AC60" s="2">
        <f>383.342520279219*(1/14151.6638359215)</f>
        <v>2.7088159012523441E-2</v>
      </c>
      <c r="AD60" s="2">
        <f>481.263653248726*(1/14151.6638359215)</f>
        <v>3.4007566801235282E-2</v>
      </c>
      <c r="AE60" s="2">
        <f>583.994046424016*(1/14151.6638359215)</f>
        <v>4.1266811676352162E-2</v>
      </c>
      <c r="AF60" s="2">
        <f>690.010104944046*(1/14151.6638359215)</f>
        <v>4.8758231748875863E-2</v>
      </c>
      <c r="AG60" s="2">
        <f>797.788233947761*(1/14151.6638359215)</f>
        <v>5.6374165129807315E-2</v>
      </c>
      <c r="AH60" s="2">
        <f>905.804838574101*(1/14151.6638359215)</f>
        <v>6.4006949930147106E-2</v>
      </c>
      <c r="AI60" s="2">
        <f>1012.77137487703*(1/14151.6638359215)</f>
        <v>7.1565533679954205E-2</v>
      </c>
      <c r="AJ60" s="2">
        <f>1121.10242630722*(1/14151.6638359215)</f>
        <v>7.922053825653344E-2</v>
      </c>
      <c r="AK60" s="2">
        <f>1232.00683258703*(1/14151.6638359215)</f>
        <v>8.7057383984757902E-2</v>
      </c>
      <c r="AL60" s="2">
        <f>1345.69216112097*(1/14151.6638359215)</f>
        <v>9.5090738214482468E-2</v>
      </c>
      <c r="AM60" s="2">
        <f>1462.36597931353*(1/14151.6638359215)</f>
        <v>0.10333526829556057</v>
      </c>
      <c r="AN60" s="2">
        <f>1582.23585456923*(1/14151.6638359215)</f>
        <v>0.11180564157784781</v>
      </c>
      <c r="AO60" s="2">
        <f>1705.50935429255*(1/14151.6638359215)</f>
        <v>0.12051652541119692</v>
      </c>
      <c r="AP60" s="2">
        <f>1832.39404588803*(1/14151.6638359215)</f>
        <v>0.12948258714546493</v>
      </c>
      <c r="AQ60" s="2">
        <f>1963.0974967601*(1/14151.6638359215)</f>
        <v>0.13871849413050102</v>
      </c>
      <c r="AR60" s="2">
        <f>2097.82727431331*(1/14151.6638359215)</f>
        <v>0.14823891371616291</v>
      </c>
      <c r="AS60" s="2">
        <f>2236.79094595214*(1/14151.6638359215)</f>
        <v>0.15805851325230333</v>
      </c>
      <c r="AT60" s="2">
        <f>2381.14708601412*(1/14151.6638359215)</f>
        <v>0.16825916115743214</v>
      </c>
      <c r="AU60" s="2">
        <f>2532.67219410249*(1/14151.6638359215)</f>
        <v>0.17896639034582978</v>
      </c>
      <c r="AV60" s="2">
        <f>2690.21427272285*(1/14151.6638359215)</f>
        <v>0.19009879713890718</v>
      </c>
      <c r="AW60" s="2">
        <f>2852.50023344562*(1/14151.6638359215)</f>
        <v>0.20156642120095106</v>
      </c>
      <c r="AX60" s="2">
        <f>3018.25698784118*(1/14151.6638359215)</f>
        <v>0.21327930219624547</v>
      </c>
      <c r="AY60" s="2">
        <f>3186.21144747991*(1/14151.6638359215)</f>
        <v>0.22514747978907435</v>
      </c>
      <c r="AZ60" s="2">
        <f>3355.09052393219*(1/14151.6638359215)</f>
        <v>0.23708099364372162</v>
      </c>
      <c r="BA60" s="2">
        <f>3523.62112876844*(1/14151.6638359215)</f>
        <v>0.24898988342447409</v>
      </c>
      <c r="BB60" s="2">
        <f>3690.53017355897*(1/14151.6638359215)</f>
        <v>0.26078418879561083</v>
      </c>
      <c r="BC60" s="2">
        <f>3854.5445698742*(1/14151.6638359215)</f>
        <v>0.27237394942141852</v>
      </c>
      <c r="BD60" s="2">
        <f>4014.51081679458*(1/14151.6638359215)</f>
        <v>0.28367765538667283</v>
      </c>
      <c r="BE60" s="2">
        <f>4173.74074291051*(1/14151.6638359215)</f>
        <v>0.29492933066401744</v>
      </c>
      <c r="BF60" s="2">
        <f>4333.76308260852*(1/14151.6638359215)</f>
        <v>0.30623700031709539</v>
      </c>
      <c r="BG60" s="2">
        <f>4493.92974903573*(1/14151.6638359215)</f>
        <v>0.31755486853981674</v>
      </c>
      <c r="BH60" s="2">
        <f>4653.59265533917*(1/14151.6638359215)</f>
        <v>0.32883713952608506</v>
      </c>
      <c r="BI60" s="2">
        <f>4812.10371466597*(1/14151.6638359215)</f>
        <v>0.34003801746981122</v>
      </c>
      <c r="BJ60" s="2">
        <f>4968.81484016323*(1/14151.6638359215)</f>
        <v>0.35111170656490376</v>
      </c>
      <c r="BK60" s="2">
        <f>5123.07794497804*(1/14151.6638359215)</f>
        <v>0.36201241100527076</v>
      </c>
      <c r="BL60" s="2">
        <f>5274.2449422575*(1/14151.6638359215)</f>
        <v>0.37269433498482069</v>
      </c>
      <c r="BM60" s="2">
        <f>5421.66774514872*(1/14151.6638359215)</f>
        <v>0.38311168269746304</v>
      </c>
      <c r="BN60" s="2">
        <f>5564.69826679876*(1/14151.6638359215)</f>
        <v>0.39321865833710357</v>
      </c>
      <c r="BO60" s="2">
        <f>5703.73341879367*(1/14151.6638359215)</f>
        <v>0.40304330889458739</v>
      </c>
      <c r="BP60" s="2">
        <f>5841.94977547802*(1/14151.6638359215)</f>
        <v>0.41281010086243441</v>
      </c>
      <c r="BQ60" s="2">
        <f>5978.8434976627*(1/14151.6638359215)</f>
        <v>0.42248343141719225</v>
      </c>
      <c r="BR60" s="2">
        <f>6113.52897987805*(1/14151.6638359215)</f>
        <v>0.43200072095833258</v>
      </c>
      <c r="BS60" s="2">
        <f>6245.12061665431*(1/14151.6638359215)</f>
        <v>0.44129938988532036</v>
      </c>
      <c r="BT60" s="2">
        <f>6372.7328025218*(1/14151.6638359215)</f>
        <v>0.45031685859762605</v>
      </c>
      <c r="BU60" s="2">
        <f>6495.47993201083*(1/14151.6638359215)</f>
        <v>0.45899054749471946</v>
      </c>
      <c r="BV60" s="2">
        <f>6612.47639965168*(1/14151.6638359215)</f>
        <v>0.46725787697606813</v>
      </c>
      <c r="BW60" s="2">
        <f>6722.83659997466*(1/14151.6638359215)</f>
        <v>0.47505626744114193</v>
      </c>
      <c r="BX60" s="2">
        <f>6825.67492751007*(1/14151.6638359215)</f>
        <v>0.4823231392894099</v>
      </c>
      <c r="BY60" s="2">
        <f>6920.12290048068*(1/14151.6638359215)</f>
        <v>0.48899712293300596</v>
      </c>
      <c r="BZ60" s="2">
        <f>7010.05621905583*(1/14151.6638359215)</f>
        <v>0.49535208724093915</v>
      </c>
      <c r="CA60" s="2">
        <f>7097.82484801447*(1/14151.6638359215)</f>
        <v>0.50155408793684708</v>
      </c>
      <c r="CB60" s="2">
        <f>7181.81998416582*(1/14151.6638359215)</f>
        <v>0.50748944204963642</v>
      </c>
      <c r="CC60" s="2">
        <f>7260.43282431906*(1/14151.6638359215)</f>
        <v>0.51304446660821135</v>
      </c>
      <c r="CD60" s="2">
        <f>7332.05456528342*(1/14151.6638359215)</f>
        <v>0.51810547864147916</v>
      </c>
      <c r="CE60" s="2">
        <f>7395.07640386808*(1/14151.6638359215)</f>
        <v>0.52255879517834392</v>
      </c>
      <c r="CF60" s="2">
        <f>7447.88953688226*(1/14151.6638359215)</f>
        <v>0.52629073324771236</v>
      </c>
      <c r="CG60" s="2">
        <f>7488.88516113515*(1/14151.6638359215)</f>
        <v>0.52918760987848923</v>
      </c>
      <c r="CH60" s="2">
        <f>7516.45447343597*(1/14151.6638359215)</f>
        <v>0.53113574209958103</v>
      </c>
      <c r="CI60" s="2">
        <f>7528.98867059391*(1/14151.6638359215)</f>
        <v>0.53202144693989284</v>
      </c>
      <c r="CJ60" s="2">
        <f>7524.70215167382*(1/14151.6638359215)</f>
        <v>0.53171854835709786</v>
      </c>
      <c r="CK60" s="2">
        <f>7502.3500144698*(1/14151.6638359215)</f>
        <v>0.5301390777405558</v>
      </c>
      <c r="CL60" s="2">
        <f>7463.7875259772*(1/14151.6638359215)</f>
        <v>0.52741413395022096</v>
      </c>
      <c r="CM60" s="2">
        <f>7411.20504954138*(1/14151.6638359215)</f>
        <v>0.52369849478259545</v>
      </c>
      <c r="CN60" s="2">
        <f>7346.79294850772*(1/14151.6638359215)</f>
        <v>0.51914693803418255</v>
      </c>
      <c r="CO60" s="2">
        <f>7272.74158622161*(1/14151.6638359215)</f>
        <v>0.51391424150148624</v>
      </c>
      <c r="CP60" s="2">
        <f>7191.24132602841*(1/14151.6638359215)</f>
        <v>0.50815518298100848</v>
      </c>
      <c r="CQ60" s="2">
        <f>7104.48253127351*(1/14151.6638359215)</f>
        <v>0.50202454026925347</v>
      </c>
      <c r="CR60" s="2">
        <f>7014.65556530229*(1/14151.6638359215)</f>
        <v>0.49567709116272429</v>
      </c>
      <c r="CS60" s="2">
        <f>6923.95079146012*(1/14151.6638359215)</f>
        <v>0.48926761345792386</v>
      </c>
      <c r="CT60" s="2">
        <f>6834.55857309238*(1/14151.6638359215)</f>
        <v>0.48295088495135535</v>
      </c>
      <c r="CU60" s="2">
        <f>6745.12620297854*(1/14151.6638359215)</f>
        <v>0.47663131919917634</v>
      </c>
      <c r="CV60" s="2">
        <f>6651.90488419276*(1/14151.6638359215)</f>
        <v>0.47004401470504648</v>
      </c>
      <c r="CW60" s="2">
        <f>6554.77627867986*(1/14151.6638359215)</f>
        <v>0.46318060933879157</v>
      </c>
      <c r="CX60" s="2">
        <f>6453.63630158352*(1/14151.6638359215)</f>
        <v>0.45603374814501346</v>
      </c>
      <c r="CY60" s="2">
        <f>6348.38086804742*(1/14151.6638359215)</f>
        <v>0.44859607616831432</v>
      </c>
      <c r="CZ60" s="2">
        <f>6238.90589321526*(1/14151.6638359215)</f>
        <v>0.44086023845329758</v>
      </c>
      <c r="DA60" s="2">
        <f>6125.10729223072*(1/14151.6638359215)</f>
        <v>0.43281888004456531</v>
      </c>
      <c r="DB60" s="2">
        <f>6006.88098023754*(1/14151.6638359215)</f>
        <v>0.42446464598672373</v>
      </c>
      <c r="DC60" s="2">
        <f>5884.12287237937*(1/14151.6638359215)</f>
        <v>0.41579018132437284</v>
      </c>
      <c r="DD60" s="2">
        <f>5756.72888379993*(1/14151.6638359215)</f>
        <v>0.40678813110211753</v>
      </c>
      <c r="DE60" s="2">
        <f>5624.45115249003*(1/14151.6638359215)</f>
        <v>0.3974409806296666</v>
      </c>
      <c r="DF60" s="2">
        <f>5485.94167351526*(1/14151.6638359215)</f>
        <v>0.38765347574114684</v>
      </c>
      <c r="DG60" s="2">
        <f>5341.46171752068*(1/14151.6638359215)</f>
        <v>0.3774440786222128</v>
      </c>
      <c r="DH60" s="2">
        <f>5191.72519076115*(1/14151.6638359215)</f>
        <v>0.3668632360799069</v>
      </c>
      <c r="DI60" s="2">
        <f>5037.4459994916*(1/14151.6638359215)</f>
        <v>0.35596139492127649</v>
      </c>
      <c r="DJ60" s="2">
        <f>4879.3380499669*(1/14151.6638359215)</f>
        <v>0.34478900195336482</v>
      </c>
      <c r="DK60" s="2">
        <f>4718.11524844194*(1/14151.6638359215)</f>
        <v>0.3333965039832163</v>
      </c>
      <c r="DL60" s="2">
        <f>4554.4915011716*(1/14151.6638359215)</f>
        <v>0.32183434781787479</v>
      </c>
      <c r="DM60" s="2">
        <f>4389.18071441072*(1/14151.6638359215)</f>
        <v>0.31015298026438132</v>
      </c>
      <c r="DN60" s="2">
        <f>4222.89679441428*(1/14151.6638359215)</f>
        <v>0.29840284812978685</v>
      </c>
      <c r="DO60" s="2">
        <f>4056.35364743711*(1/14151.6638359215)</f>
        <v>0.28663439822113163</v>
      </c>
      <c r="DP60" s="2">
        <f>3887.85732758046*(1/14151.6638359215)</f>
        <v>0.27472793112226285</v>
      </c>
      <c r="DQ60" s="2">
        <f>3713.74506658759*(1/14151.6638359215)</f>
        <v>0.26242462438663244</v>
      </c>
      <c r="DR60" s="2">
        <f>3535.29620881718*(1/14151.6638359215)</f>
        <v>0.24981488041310412</v>
      </c>
      <c r="DS60" s="2">
        <f>3353.92241585094*(1/14151.6638359215)</f>
        <v>0.23699845154162016</v>
      </c>
      <c r="DT60" s="2">
        <f>3171.03534927053*(1/14151.6638359215)</f>
        <v>0.22407509011211929</v>
      </c>
      <c r="DU60" s="2">
        <f>2988.04667065775*(1/14151.6638359215)</f>
        <v>0.21114454846455025</v>
      </c>
      <c r="DV60" s="2">
        <f>2806.36804159426*(1/14151.6638359215)</f>
        <v>0.1983065789388517</v>
      </c>
      <c r="DW60" s="2">
        <f>2627.41112366177*(1/14151.6638359215)</f>
        <v>0.18566093387496604</v>
      </c>
      <c r="DX60" s="2">
        <f>2452.58757844199*(1/14151.6638359215)</f>
        <v>0.17330736561283555</v>
      </c>
      <c r="DY60" s="2">
        <f>2283.30906751661*(1/14151.6638359215)</f>
        <v>0.16134562649240106</v>
      </c>
      <c r="DZ60" s="2">
        <f>2120.65805966138*(1/14151.6638359215)</f>
        <v>0.14985220707959893</v>
      </c>
      <c r="EA60" s="2">
        <f>1958.84895347501*(1/14151.6638359215)</f>
        <v>0.13841827902262754</v>
      </c>
      <c r="EB60" s="2">
        <f>1796.48720133191*(1/14151.6638359215)</f>
        <v>0.1269452993062091</v>
      </c>
      <c r="EC60" s="2">
        <f>1635.15718321015*(1/14151.6638359215)</f>
        <v>0.11554522508226857</v>
      </c>
      <c r="ED60" s="2">
        <f>1476.4432790878*(1/14151.6638359215)</f>
        <v>0.10433001350273099</v>
      </c>
      <c r="EE60" s="2">
        <f>1321.92986894291*(1/14151.6638359215)</f>
        <v>9.3411621719519958E-2</v>
      </c>
      <c r="EF60" s="2">
        <f>1173.20133275362*(1/14151.6638359215)</f>
        <v>8.2902006884565435E-2</v>
      </c>
      <c r="EG60" s="2">
        <f>1031.84205049798*(1/14151.6638359215)</f>
        <v>7.2913126149791035E-2</v>
      </c>
      <c r="EH60" s="2">
        <f>899.436402154054*(1/14151.6638359215)</f>
        <v>6.3556936667121325E-2</v>
      </c>
      <c r="EI60" s="2">
        <f>777.568767699924*(1/14151.6638359215)</f>
        <v>5.4945395588482181E-2</v>
      </c>
      <c r="EJ60" s="2">
        <f>667.823527113646*(1/14151.6638359215)</f>
        <v>4.7190460065797628E-2</v>
      </c>
      <c r="EK60" s="2">
        <f>571.305315362518*(1/14151.6638359215)</f>
        <v>4.0370186996129764E-2</v>
      </c>
      <c r="EL60" s="2">
        <f>486.831451338984*(1/14151.6638359215)</f>
        <v>3.4401004502611791E-2</v>
      </c>
      <c r="EM60" s="2">
        <f>413.159659761327*(1/14151.6638359215)</f>
        <v>2.9195129601128186E-2</v>
      </c>
      <c r="EN60" s="2">
        <f>349.101658249772*(1/14151.6638359215)</f>
        <v>2.4668594611726085E-2</v>
      </c>
      <c r="EO60" s="2">
        <f>293.46916442454*(1/14151.6638359215)</f>
        <v>2.073743185445236E-2</v>
      </c>
      <c r="EP60" s="2">
        <f>245.073895905856*(1/14151.6638359215)</f>
        <v>1.7317673649354163E-2</v>
      </c>
      <c r="EQ60" s="2">
        <f>202.727570313934*(1/14151.6638359215)</f>
        <v>1.4325352316477859E-2</v>
      </c>
      <c r="ER60" s="2">
        <f>165.241905269015*(1/14151.6638359215)</f>
        <v>1.1676500175871731E-2</v>
      </c>
      <c r="ES60" s="2">
        <f>131.428618391312*(1/14151.6638359215)</f>
        <v>9.2871495475820767E-3</v>
      </c>
      <c r="ET60" s="2">
        <f>100.099427301049*(1/14151.6638359215)</f>
        <v>7.0733327516559778E-3</v>
      </c>
      <c r="EU60" s="2">
        <f>70.128727234742*(1/14151.6638359215)</f>
        <v>4.9555111008737088E-3</v>
      </c>
      <c r="EV60" s="2">
        <f>45.2379918570312*(1/14151.6638359215)</f>
        <v>3.1966553460804053E-3</v>
      </c>
      <c r="EW60" s="2">
        <f>27.3965884202581*(1/14151.6638359215)</f>
        <v>1.9359270215786712E-3</v>
      </c>
      <c r="EX60" s="2">
        <f>15.5153253821106*(1/14151.6638359215)</f>
        <v>1.0963605101138487E-3</v>
      </c>
      <c r="EY60" s="2">
        <f>8.50501120028197*(1/14151.6638359215)</f>
        <v>6.0099019443166123E-4</v>
      </c>
      <c r="EZ60" s="2">
        <f>5.27645433246529*(1/14151.6638359215)</f>
        <v>3.7285045727781792E-4</v>
      </c>
      <c r="FA60" s="2">
        <f>4.74046323635381*(1/14151.6638359215)</f>
        <v>3.3497568139804037E-4</v>
      </c>
      <c r="FB60" s="2">
        <f>5.80784636964102*(1/14151.6638359215)</f>
        <v>4.1040024953806686E-4</v>
      </c>
      <c r="FC60" s="2">
        <f>7.38941219001956*(1/14151.6638359215)</f>
        <v>5.2215854444357572E-4</v>
      </c>
      <c r="FD60" s="2">
        <f>8.39596915518273*(1/14151.6638359215)</f>
        <v>5.932849488602919E-4</v>
      </c>
      <c r="FE60" s="2">
        <f>7.73832572282365*(1/14151.6638359215)</f>
        <v>5.4681384553392776E-4</v>
      </c>
      <c r="FF60" s="2">
        <f>4.96628626766743*(1/14151.6638359215)</f>
        <v>3.5093302987182251E-4</v>
      </c>
      <c r="FG60" s="2">
        <f>2.44738872062324*(1/14151.6638359215)</f>
        <v>1.7293999836337094E-4</v>
      </c>
      <c r="FH60" s="2">
        <f>0.533439822530004*(1/14151.6638359215)</f>
        <v>3.7694495058309764E-5</v>
      </c>
      <c r="FI60" s="2">
        <f>-0.77556042661281*(1/14151.6638359215)</f>
        <v>-5.4803480043398631E-5</v>
      </c>
      <c r="FJ60" s="2">
        <f>-1.4796120268052*(1/14151.6638359215)</f>
        <v>-1.0455392694175409E-4</v>
      </c>
      <c r="FK60" s="2">
        <f>-1.57871497804716*(1/14151.6638359215)</f>
        <v>-1.1155684563675622E-4</v>
      </c>
      <c r="FL60" s="2">
        <f>-1.0728692803387*(1/14151.6638359215)</f>
        <v>-7.5812236128405686E-5</v>
      </c>
      <c r="FM60" s="2">
        <f>0.0379250663204518*(1/14151.6638359215)</f>
        <v>2.6799015833167059E-6</v>
      </c>
      <c r="FN60" s="2">
        <f>1.75366806192987*(1/14151.6638359215)</f>
        <v>1.2391956749838087E-4</v>
      </c>
      <c r="FO60" s="2">
        <f>4.07435970648973*(1/14151.6638359215)</f>
        <v>2.8790676161679924E-4</v>
      </c>
      <c r="FP60" s="2">
        <f t="shared" si="17"/>
        <v>4.9464148393856954E-4</v>
      </c>
      <c r="FQ60" s="2"/>
    </row>
    <row r="61" spans="2:173">
      <c r="B61" s="2">
        <v>9.8491124260355036</v>
      </c>
      <c r="C61" s="2">
        <f t="shared" si="18"/>
        <v>4.9464148393856954E-4</v>
      </c>
      <c r="D61" s="2">
        <f>5.98333284072835*(1/14151.6638359215)</f>
        <v>4.2280066217660682E-4</v>
      </c>
      <c r="E61" s="2">
        <f>5.17930195006253*(1/14151.6638359215)</f>
        <v>3.6598537176355097E-4</v>
      </c>
      <c r="F61" s="2">
        <f>4.58790732800244*(1/14151.6638359215)</f>
        <v>3.241956126993949E-4</v>
      </c>
      <c r="G61" s="2">
        <f>4.20914897454832*(1/14151.6638359215)</f>
        <v>2.9743138498415563E-4</v>
      </c>
      <c r="H61" s="2">
        <f>4.04302688970002*(1/14151.6638359215)</f>
        <v>2.8569268861782242E-4</v>
      </c>
      <c r="I61" s="2">
        <f>4.08954107345755*(1/14151.6638359215)</f>
        <v>2.8897952360039614E-4</v>
      </c>
      <c r="J61" s="2">
        <f>4.34869152582092*(1/14151.6638359215)</f>
        <v>3.0729188993187744E-4</v>
      </c>
      <c r="K61" s="2">
        <f>4.8204782467901*(1/14151.6638359215)</f>
        <v>3.4062978761226415E-4</v>
      </c>
      <c r="L61" s="2">
        <f>5.50490123636527*(1/14151.6638359215)</f>
        <v>3.8899321664156902E-4</v>
      </c>
      <c r="M61" s="2">
        <f>6.40196049454616*(1/14151.6638359215)</f>
        <v>4.5238217701977306E-4</v>
      </c>
      <c r="N61" s="2">
        <f>6.70303607975163*(1/14151.6638359215)</f>
        <v>4.7365710191173117E-4</v>
      </c>
      <c r="O61" s="2">
        <f>0.966394900616558*(1/14151.6638359215)</f>
        <v>6.8288429673091521E-5</v>
      </c>
      <c r="P61" s="2">
        <f>-9.77319844641383*(1/14151.6638359215)</f>
        <v>-6.9060419748003703E-4</v>
      </c>
      <c r="Q61" s="2">
        <f>-23.012261511819*(1/14151.6638359215)</f>
        <v>-1.6261170261412255E-3</v>
      </c>
      <c r="R61" s="2">
        <f>-36.2473118460808*(1/14151.6638359215)</f>
        <v>-2.5613463029042138E-3</v>
      </c>
      <c r="S61" s="2">
        <f>-46.9748669996734*(1/14151.6638359215)</f>
        <v>-3.3193882743621987E-3</v>
      </c>
      <c r="T61" s="2">
        <f>-52.6914445230788*(1/14151.6638359215)</f>
        <v>-3.7233391871089303E-3</v>
      </c>
      <c r="U61" s="2">
        <f>-50.8935619667764*(1/14151.6638359215)</f>
        <v>-3.5962952877379747E-3</v>
      </c>
      <c r="V61" s="2">
        <f>-39.0777368812458*(1/14151.6638359215)</f>
        <v>-2.7613528228429131E-3</v>
      </c>
      <c r="W61" s="2">
        <f>-14.7404868169664*(1/14151.6638359215)</f>
        <v>-1.0416080390173116E-3</v>
      </c>
      <c r="X61" s="2">
        <f>24.6216706755911*(1/14151.6638359215)</f>
        <v>1.7398428171458778E-3</v>
      </c>
      <c r="Y61" s="2">
        <f>80.0652930445946*(1/14151.6638359215)</f>
        <v>5.657659337650672E-3</v>
      </c>
      <c r="Z61" s="2">
        <f>149.277677068358*(1/14151.6638359215)</f>
        <v>1.0548418814856454E-2</v>
      </c>
      <c r="AA61" s="2">
        <f>230.455232441121*(1/14151.6638359215)</f>
        <v>1.6284674022297725E-2</v>
      </c>
      <c r="AB61" s="2">
        <f>321.812729417441*(1/14151.6638359215)</f>
        <v>2.2740275147052052E-2</v>
      </c>
      <c r="AC61" s="2">
        <f>421.564938251876*(1/14151.6638359215)</f>
        <v>2.9789072376197056E-2</v>
      </c>
      <c r="AD61" s="2">
        <f>527.926629199006*(1/14151.6638359215)</f>
        <v>3.7304915896811897E-2</v>
      </c>
      <c r="AE61" s="2">
        <f>639.112572513348*(1/14151.6638359215)</f>
        <v>4.5161655895971299E-2</v>
      </c>
      <c r="AF61" s="2">
        <f>753.337538449479*(1/14151.6638359215)</f>
        <v>5.3233142560754211E-2</v>
      </c>
      <c r="AG61" s="2">
        <f>868.816297261958*(1/14151.6638359215)</f>
        <v>6.1393226078238321E-2</v>
      </c>
      <c r="AH61" s="2">
        <f>983.763619205343*(1/14151.6638359215)</f>
        <v>6.9515756635501247E-2</v>
      </c>
      <c r="AI61" s="2">
        <f>1096.65027125642*(1/14151.6638359215)</f>
        <v>7.7492673933701489E-2</v>
      </c>
      <c r="AJ61" s="2">
        <f>1210.05461738714*(1/14151.6638359215)</f>
        <v>8.5506173084441847E-2</v>
      </c>
      <c r="AK61" s="2">
        <f>1325.40632366953*(1/14151.6638359215)</f>
        <v>9.3657278680208608E-2</v>
      </c>
      <c r="AL61" s="2">
        <f>1443.06499350549*(1/14151.6638359215)</f>
        <v>0.10197140140105113</v>
      </c>
      <c r="AM61" s="2">
        <f>1563.39023029693*(1/14151.6638359215)</f>
        <v>0.11047395192701935</v>
      </c>
      <c r="AN61" s="2">
        <f>1686.74163744577*(1/14151.6638359215)</f>
        <v>0.11919034093816405</v>
      </c>
      <c r="AO61" s="2">
        <f>1813.47881835392*(1/14151.6638359215)</f>
        <v>0.12814597911453524</v>
      </c>
      <c r="AP61" s="2">
        <f>1943.96137642332*(1/14151.6638359215)</f>
        <v>0.13736627713618502</v>
      </c>
      <c r="AQ61" s="2">
        <f>2078.54891505582*(1/14151.6638359215)</f>
        <v>0.14687664568315922</v>
      </c>
      <c r="AR61" s="2">
        <f>2217.60103765337*(1/14151.6638359215)</f>
        <v>0.15670249543551065</v>
      </c>
      <c r="AS61" s="2">
        <f>2361.47734761788*(1/14151.6638359215)</f>
        <v>0.16686923707328932</v>
      </c>
      <c r="AT61" s="2">
        <f>2511.45863140545*(1/14151.6638359215)</f>
        <v>0.17746737489838868</v>
      </c>
      <c r="AU61" s="2">
        <f>2669.25000342128*(1/14151.6638359215)</f>
        <v>0.18861739752790482</v>
      </c>
      <c r="AV61" s="2">
        <f>2833.556367054*(1/14151.6638359215)</f>
        <v>0.20022778946045325</v>
      </c>
      <c r="AW61" s="2">
        <f>3002.96177671768*(1/14151.6638359215)</f>
        <v>0.21219849563520524</v>
      </c>
      <c r="AX61" s="2">
        <f>3176.05028682635*(1/14151.6638359215)</f>
        <v>0.22442946099132932</v>
      </c>
      <c r="AY61" s="2">
        <f>3351.40595179407*(1/14151.6638359215)</f>
        <v>0.23682063046799612</v>
      </c>
      <c r="AZ61" s="2">
        <f>3527.61282603487*(1/14151.6638359215)</f>
        <v>0.24927194900437416</v>
      </c>
      <c r="BA61" s="2">
        <f>3703.25496396282*(1/14151.6638359215)</f>
        <v>0.26168336153963473</v>
      </c>
      <c r="BB61" s="2">
        <f>3876.91641999191*(1/14151.6638359215)</f>
        <v>0.27395481301294355</v>
      </c>
      <c r="BC61" s="2">
        <f>4047.1812485362*(1/14151.6638359215)</f>
        <v>0.28598624836347125</v>
      </c>
      <c r="BD61" s="2">
        <f>4212.76269338519*(1/14151.6638359215)</f>
        <v>0.29768674144815649</v>
      </c>
      <c r="BE61" s="2">
        <f>4377.21730365891*(1/14151.6638359215)</f>
        <v>0.3093076089433468</v>
      </c>
      <c r="BF61" s="2">
        <f>4542.22956168985*(1/14151.6638359215)</f>
        <v>0.32096788154055794</v>
      </c>
      <c r="BG61" s="2">
        <f>4707.14145253547*(1/14151.6638359215)</f>
        <v>0.33262106188441409</v>
      </c>
      <c r="BH61" s="2">
        <f>4871.29496125313*(1/14151.6638359215)</f>
        <v>0.34422065261953216</v>
      </c>
      <c r="BI61" s="2">
        <f>5034.03207290029*(1/14151.6638359215)</f>
        <v>0.35572015639053611</v>
      </c>
      <c r="BJ61" s="2">
        <f>5194.69477253439*(1/14151.6638359215)</f>
        <v>0.36707307584204868</v>
      </c>
      <c r="BK61" s="2">
        <f>5352.62504521285*(1/14151.6638359215)</f>
        <v>0.37823291361869099</v>
      </c>
      <c r="BL61" s="2">
        <f>5507.1648759931*(1/14151.6638359215)</f>
        <v>0.38915317236508506</v>
      </c>
      <c r="BM61" s="2">
        <f>5657.6562499326*(1/14151.6638359215)</f>
        <v>0.39978735472585486</v>
      </c>
      <c r="BN61" s="2">
        <f>5803.44115208873*(1/14151.6638359215)</f>
        <v>0.41008896334561873</v>
      </c>
      <c r="BO61" s="2">
        <f>5944.85746327092*(1/14151.6638359215)</f>
        <v>0.42008187391937257</v>
      </c>
      <c r="BP61" s="2">
        <f>6084.92989420765*(1/14151.6638359215)</f>
        <v>0.42997982179043359</v>
      </c>
      <c r="BQ61" s="2">
        <f>6223.2217282635*(1/14151.6638359215)</f>
        <v>0.43975194722100103</v>
      </c>
      <c r="BR61" s="2">
        <f>6358.9344329524*(1/14151.6638359215)</f>
        <v>0.44934182345480594</v>
      </c>
      <c r="BS61" s="2">
        <f>6491.26947578822*(1/14151.6638359215)</f>
        <v>0.45869302373557508</v>
      </c>
      <c r="BT61" s="2">
        <f>6619.42832428492*(1/14151.6638359215)</f>
        <v>0.46774912130704166</v>
      </c>
      <c r="BU61" s="2">
        <f>6742.61244595641*(1/14151.6638359215)</f>
        <v>0.47645368941293526</v>
      </c>
      <c r="BV61" s="2">
        <f>6860.02330831661*(1/14151.6638359215)</f>
        <v>0.48475030129698621</v>
      </c>
      <c r="BW61" s="2">
        <f>6970.86237887946*(1/14151.6638359215)</f>
        <v>0.49258253020292619</v>
      </c>
      <c r="BX61" s="2">
        <f>7074.33112515886*(1/14151.6638359215)</f>
        <v>0.49989394937448417</v>
      </c>
      <c r="BY61" s="2">
        <f>7169.64841374491*(1/14151.6638359215)</f>
        <v>0.50662936152751337</v>
      </c>
      <c r="BZ61" s="2">
        <f>7260.8152371409*(1/14151.6638359215)</f>
        <v>0.51307148907187872</v>
      </c>
      <c r="CA61" s="2">
        <f>7350.14668977593*(1/14151.6638359215)</f>
        <v>0.51938392368527586</v>
      </c>
      <c r="CB61" s="2">
        <f>7435.90557419121*(1/14151.6638359215)</f>
        <v>0.52544390966357446</v>
      </c>
      <c r="CC61" s="2">
        <f>7516.35469292795*(1/14151.6638359215)</f>
        <v>0.53112869130264462</v>
      </c>
      <c r="CD61" s="2">
        <f>7589.75684852737*(1/14151.6638359215)</f>
        <v>0.53631551289835699</v>
      </c>
      <c r="CE61" s="2">
        <f>7654.37484353066*(1/14151.6638359215)</f>
        <v>0.54088161874658025</v>
      </c>
      <c r="CF61" s="2">
        <f>7708.47148047905*(1/14151.6638359215)</f>
        <v>0.5447042531431856</v>
      </c>
      <c r="CG61" s="2">
        <f>7750.30956191373*(1/14151.6638359215)</f>
        <v>0.54766066038404182</v>
      </c>
      <c r="CH61" s="2">
        <f>7778.15189037593*(1/14151.6638359215)</f>
        <v>0.54962808476502001</v>
      </c>
      <c r="CI61" s="2">
        <f>7790.26126840685*(1/14151.6638359215)</f>
        <v>0.55048377058198961</v>
      </c>
      <c r="CJ61" s="2">
        <f>7784.7361698073*(1/14151.6638359215)</f>
        <v>0.55009335015767702</v>
      </c>
      <c r="CK61" s="2">
        <f>7760.36804030659*(1/14151.6638359215)</f>
        <v>0.54837142333810007</v>
      </c>
      <c r="CL61" s="2">
        <f>7719.12603809476*(1/14151.6638359215)</f>
        <v>0.54545713688457753</v>
      </c>
      <c r="CM61" s="2">
        <f>7663.31194072783*(1/14151.6638359215)</f>
        <v>0.5415131414636819</v>
      </c>
      <c r="CN61" s="2">
        <f>7595.22752576184*(1/14151.6638359215)</f>
        <v>0.53670208774198669</v>
      </c>
      <c r="CO61" s="2">
        <f>7517.17457075283*(1/14151.6638359215)</f>
        <v>0.53118662638606562</v>
      </c>
      <c r="CP61" s="2">
        <f>7431.45485325683*(1/14151.6638359215)</f>
        <v>0.52512940806249186</v>
      </c>
      <c r="CQ61" s="2">
        <f>7340.3701508299*(1/14151.6638359215)</f>
        <v>0.51869308343784049</v>
      </c>
      <c r="CR61" s="2">
        <f>7246.22224102807*(1/14151.6638359215)</f>
        <v>0.51204030317868454</v>
      </c>
      <c r="CS61" s="2">
        <f>7151.31290140737*(1/14151.6638359215)</f>
        <v>0.50533371795159698</v>
      </c>
      <c r="CT61" s="2">
        <f>7057.94390952385*(1/14151.6638359215)</f>
        <v>0.49873597842315237</v>
      </c>
      <c r="CU61" s="2">
        <f>6964.6608357459*(1/14151.6638359215)</f>
        <v>0.49214431013174142</v>
      </c>
      <c r="CV61" s="2">
        <f>6867.49696478455*(1/14151.6638359215)</f>
        <v>0.48527841280066458</v>
      </c>
      <c r="CW61" s="2">
        <f>6766.35112396349*(1/14151.6638359215)</f>
        <v>0.47813113725810125</v>
      </c>
      <c r="CX61" s="2">
        <f>6661.13728029638*(1/14151.6638359215)</f>
        <v>0.47069640414918978</v>
      </c>
      <c r="CY61" s="2">
        <f>6551.76940079688*(1/14151.6638359215)</f>
        <v>0.46296813411906879</v>
      </c>
      <c r="CZ61" s="2">
        <f>6438.16145247864*(1/14151.6638359215)</f>
        <v>0.45494024781287584</v>
      </c>
      <c r="DA61" s="2">
        <f>6320.22740235532*(1/14151.6638359215)</f>
        <v>0.44660666587574943</v>
      </c>
      <c r="DB61" s="2">
        <f>6197.88121744062*(1/14151.6638359215)</f>
        <v>0.43796130895283092</v>
      </c>
      <c r="DC61" s="2">
        <f>6071.03686474818*(1/14151.6638359215)</f>
        <v>0.42899809768925723</v>
      </c>
      <c r="DD61" s="2">
        <f>5939.60831129168*(1/14151.6638359215)</f>
        <v>0.41971095273016829</v>
      </c>
      <c r="DE61" s="2">
        <f>5803.34583626874*(1/14151.6638359215)</f>
        <v>0.4100822280372412</v>
      </c>
      <c r="DF61" s="2">
        <f>5660.72601169971*(1/14151.6638359215)</f>
        <v>0.40000427351382933</v>
      </c>
      <c r="DG61" s="2">
        <f>5512.01581669457*(1/14151.6638359215)</f>
        <v>0.38949595472323839</v>
      </c>
      <c r="DH61" s="2">
        <f>5357.99316529227*(1/14151.6638359215)</f>
        <v>0.37861224145898309</v>
      </c>
      <c r="DI61" s="2">
        <f>5199.43597153184*(1/14151.6638359215)</f>
        <v>0.36740810351458392</v>
      </c>
      <c r="DJ61" s="2">
        <f>5037.12214945222*(1/14151.6638359215)</f>
        <v>0.3559385106835547</v>
      </c>
      <c r="DK61" s="2">
        <f>4871.82961309239*(1/14151.6638359215)</f>
        <v>0.34425843275941242</v>
      </c>
      <c r="DL61" s="2">
        <f>4704.33627649132*(1/14151.6638359215)</f>
        <v>0.33242283953567303</v>
      </c>
      <c r="DM61" s="2">
        <f>4535.42005368796*(1/14151.6638359215)</f>
        <v>0.32048670080585134</v>
      </c>
      <c r="DN61" s="2">
        <f>4365.85885872133*(1/14151.6638359215)</f>
        <v>0.3085049863634669</v>
      </c>
      <c r="DO61" s="2">
        <f>4196.43060563039*(1/14151.6638359215)</f>
        <v>0.29653266600203521</v>
      </c>
      <c r="DP61" s="2">
        <f>4025.62249798649*(1/14151.6638359215)</f>
        <v>0.28446284088293267</v>
      </c>
      <c r="DQ61" s="2">
        <f>3849.93156496743*(1/14151.6638359215)</f>
        <v>0.27204798033677557</v>
      </c>
      <c r="DR61" s="2">
        <f>3670.46096875873*(1/14151.6638359215)</f>
        <v>0.25936603718934537</v>
      </c>
      <c r="DS61" s="2">
        <f>3488.43849802831*(1/14151.6638359215)</f>
        <v>0.24650377075616542</v>
      </c>
      <c r="DT61" s="2">
        <f>3305.09194144409*(1/14151.6638359215)</f>
        <v>0.23354794035275894</v>
      </c>
      <c r="DU61" s="2">
        <f>3121.64908767406*(1/14151.6638359215)</f>
        <v>0.22058530529465412</v>
      </c>
      <c r="DV61" s="2">
        <f>2939.33772538613*(1/14151.6638359215)</f>
        <v>0.20770262489737357</v>
      </c>
      <c r="DW61" s="2">
        <f>2759.38564324823*(1/14151.6638359215)</f>
        <v>0.19498665847644125</v>
      </c>
      <c r="DX61" s="2">
        <f>2583.0206299283*(1/14151.6638359215)</f>
        <v>0.18252416534738186</v>
      </c>
      <c r="DY61" s="2">
        <f>2411.47047409425*(1/14151.6638359215)</f>
        <v>0.17040190482571796</v>
      </c>
      <c r="DZ61" s="2">
        <f>2245.6416181501*(1/14151.6638359215)</f>
        <v>0.15868392891371086</v>
      </c>
      <c r="EA61" s="2">
        <f>2079.81627855566*(1/14151.6638359215)</f>
        <v>0.14696620147776643</v>
      </c>
      <c r="EB61" s="2">
        <f>1912.76180628857*(1/14151.6638359215)</f>
        <v>0.13516161975479957</v>
      </c>
      <c r="EC61" s="2">
        <f>1746.18232511797*(1/14151.6638359215)</f>
        <v>0.12339060236052206</v>
      </c>
      <c r="ED61" s="2">
        <f>1581.781958813*(1/14151.6638359215)</f>
        <v>0.11177356791064566</v>
      </c>
      <c r="EE61" s="2">
        <f>1421.26483114277*(1/14151.6638359215)</f>
        <v>0.10043093502088003</v>
      </c>
      <c r="EF61" s="2">
        <f>1266.33506587647*(1/14151.6638359215)</f>
        <v>8.9483122306940485E-2</v>
      </c>
      <c r="EG61" s="2">
        <f>1118.6967867832*(1/14151.6638359215)</f>
        <v>7.9050548384535943E-2</v>
      </c>
      <c r="EH61" s="2">
        <f>980.054117632108*(1/14151.6638359215)</f>
        <v>6.9253631869378759E-2</v>
      </c>
      <c r="EI61" s="2">
        <f>852.111182192323*(1/14151.6638359215)</f>
        <v>6.0212791377179921E-2</v>
      </c>
      <c r="EJ61" s="2">
        <f>736.572104232962*(1/14151.6638359215)</f>
        <v>5.2048445523649581E-2</v>
      </c>
      <c r="EK61" s="2">
        <f>634.466244025249*(1/14151.6638359215)</f>
        <v>4.4833332064797109E-2</v>
      </c>
      <c r="EL61" s="2">
        <f>544.138179202805*(1/14151.6638359215)</f>
        <v>3.8450473775500961E-2</v>
      </c>
      <c r="EM61" s="2">
        <f>464.419707740023*(1/14151.6638359215)</f>
        <v>3.2817321915263105E-2</v>
      </c>
      <c r="EN61" s="2">
        <f>394.236824617235*(1/14151.6638359215)</f>
        <v>2.7857983993128388E-2</v>
      </c>
      <c r="EO61" s="2">
        <f>332.51552481477*(1/14151.6638359215)</f>
        <v>2.3496567518141439E-2</v>
      </c>
      <c r="EP61" s="2">
        <f>278.181803312961*(1/14151.6638359215)</f>
        <v>1.9657179999347189E-2</v>
      </c>
      <c r="EQ61" s="2">
        <f>230.161655092129*(1/14151.6638359215)</f>
        <v>1.62639289457897E-2</v>
      </c>
      <c r="ER61" s="2">
        <f>187.381075132623*(1/14151.6638359215)</f>
        <v>1.3240921866515034E-2</v>
      </c>
      <c r="ES61" s="2">
        <f>148.766058414764*(1/14151.6638359215)</f>
        <v>1.0512266270567255E-2</v>
      </c>
      <c r="ET61" s="2">
        <f>113.242599918884*(1/14151.6638359215)</f>
        <v>8.0020696669912163E-3</v>
      </c>
      <c r="EU61" s="2">
        <f>79.798718820713*(1/14151.6638359215)</f>
        <v>5.6388223848391631E-3</v>
      </c>
      <c r="EV61" s="2">
        <f>52.1754820388823*(1/14151.6638359215)</f>
        <v>3.6868796944175605E-3</v>
      </c>
      <c r="EW61" s="2">
        <f>32.243710541859*(1/14151.6638359215)</f>
        <v>2.2784395471586909E-3</v>
      </c>
      <c r="EX61" s="2">
        <f>18.8212378734488*(1/14151.6638359215)</f>
        <v>1.3299664330405031E-3</v>
      </c>
      <c r="EY61" s="2">
        <f>10.7258975774633*(1/14151.6638359215)</f>
        <v>7.5792484204136501E-4</v>
      </c>
      <c r="EZ61" s="2">
        <f>6.77552319771401*(1/14151.6638359215)</f>
        <v>4.7877926413963717E-4</v>
      </c>
      <c r="FA61" s="2">
        <f>5.78794827801267*(1/14151.6638359215)</f>
        <v>4.0899418931369648E-4</v>
      </c>
      <c r="FB61" s="2">
        <f>6.5810063621711*(1/14151.6638359215)</f>
        <v>4.6503410754192574E-4</v>
      </c>
      <c r="FC61" s="2">
        <f>7.97253099400045*(1/14151.6638359215)</f>
        <v>5.6336350880266026E-4</v>
      </c>
      <c r="FD61" s="2">
        <f>8.78035571731237*(1/14151.6638359215)</f>
        <v>6.2044688307427058E-4</v>
      </c>
      <c r="FE61" s="2">
        <f>7.82231407591842*(1/14151.6638359215)</f>
        <v>5.5274872033512113E-4</v>
      </c>
      <c r="FF61" s="2">
        <f>4.60978111612533*(1/14151.6638359215)</f>
        <v>3.2574128170174694E-4</v>
      </c>
      <c r="FG61" s="2">
        <f>1.71239111892174*(1/14151.6638359215)</f>
        <v>1.2100281202095386E-4</v>
      </c>
      <c r="FH61" s="2">
        <f>-0.488018459261138*(1/14151.6638359215)</f>
        <v>-3.4484882125477668E-5</v>
      </c>
      <c r="FI61" s="2">
        <f>-1.99144761842392*(1/14151.6638359215)</f>
        <v>-1.4072180073759115E-4</v>
      </c>
      <c r="FJ61" s="2">
        <f>-2.79789635856661*(1/14151.6638359215)</f>
        <v>-1.9770794381538686E-4</v>
      </c>
      <c r="FK61" s="2">
        <f>-2.9073646796892*(1/14151.6638359215)</f>
        <v>-2.0544331135886426E-4</v>
      </c>
      <c r="FL61" s="2">
        <f>-2.31985258179169*(1/14151.6638359215)</f>
        <v>-1.6392790336802333E-4</v>
      </c>
      <c r="FM61" s="2">
        <f>-1.03536006487378*(1/14151.6638359215)</f>
        <v>-7.3161719842842885E-5</v>
      </c>
      <c r="FN61" s="2">
        <f>0.946112871064044*(1/14151.6638359215)</f>
        <v>6.6855239216642747E-5</v>
      </c>
      <c r="FO61" s="2">
        <f>3.62456622602198*(1/14151.6638359215)</f>
        <v>2.5612297381044755E-4</v>
      </c>
      <c r="FP61" s="2">
        <f t="shared" si="17"/>
        <v>4.9464148393856954E-4</v>
      </c>
      <c r="FQ61" s="2"/>
    </row>
    <row r="62" spans="2:173">
      <c r="B62" s="2">
        <v>9.8585798816568051</v>
      </c>
      <c r="C62" s="2">
        <f t="shared" si="18"/>
        <v>4.9464148393856954E-4</v>
      </c>
      <c r="D62" s="2">
        <f>5.68606123140242*(1/14151.6638359215)</f>
        <v>4.0179453789520903E-4</v>
      </c>
      <c r="E62" s="2">
        <f>4.64693318564877*(1/14151.6638359215)</f>
        <v>3.2836656095895596E-4</v>
      </c>
      <c r="F62" s="2">
        <f>3.88261586273893*(1/14151.6638359215)</f>
        <v>2.7435755312980197E-4</v>
      </c>
      <c r="G62" s="2">
        <f>3.39310926267319*(1/14151.6638359215)</f>
        <v>2.3976751440776746E-4</v>
      </c>
      <c r="H62" s="2">
        <f>3.17841338545138*(1/14151.6638359215)</f>
        <v>2.2459644479284047E-4</v>
      </c>
      <c r="I62" s="2">
        <f>3.2385282310735*(1/14151.6638359215)</f>
        <v>2.2884434428502095E-4</v>
      </c>
      <c r="J62" s="2">
        <f>3.57345379953955*(1/14151.6638359215)</f>
        <v>2.5251121288430894E-4</v>
      </c>
      <c r="K62" s="2">
        <f>4.18319009084952*(1/14151.6638359215)</f>
        <v>2.955970505907037E-4</v>
      </c>
      <c r="L62" s="2">
        <f>5.06773710500362*(1/14151.6638359215)</f>
        <v>3.5810185740422015E-4</v>
      </c>
      <c r="M62" s="2">
        <f>6.22709484200151*(1/14151.6638359215)</f>
        <v>4.4002563332483423E-4</v>
      </c>
      <c r="N62" s="2">
        <f>6.80178198145045*(1/14151.6638359215)</f>
        <v>4.8063479039018209E-4</v>
      </c>
      <c r="O62" s="2">
        <f>1.00778590866498*(1/14151.6638359215)</f>
        <v>7.1213245336346491E-5</v>
      </c>
      <c r="P62" s="2">
        <f>-10.0550431303797*(1/14151.6638359215)</f>
        <v>-7.1052020786819062E-4</v>
      </c>
      <c r="Q62" s="2">
        <f>-23.7257561649143*(1/14151.6638359215)</f>
        <v>-1.6765347481396964E-3</v>
      </c>
      <c r="R62" s="2">
        <f>-37.3434042241714*(1/14151.6638359215)</f>
        <v>-2.6387995543945696E-3</v>
      </c>
      <c r="S62" s="2">
        <f>-48.2470383373762*(1/14151.6638359215)</f>
        <v>-3.4092838055486889E-3</v>
      </c>
      <c r="T62" s="2">
        <f>-53.7757095337618*(1/14151.6638359215)</f>
        <v>-3.7999566805184885E-3</v>
      </c>
      <c r="U62" s="2">
        <f>-51.2684688425587*(1/14151.6638359215)</f>
        <v>-3.6227873582202214E-3</v>
      </c>
      <c r="V62" s="2">
        <f>-38.0643672929974*(1/14151.6638359215)</f>
        <v>-2.689745017570141E-3</v>
      </c>
      <c r="W62" s="2">
        <f>-11.5024559143085*(1/14151.6638359215)</f>
        <v>-8.1279883748450459E-4</v>
      </c>
      <c r="X62" s="2">
        <f>31.0782142642873*(1/14151.6638359215)</f>
        <v>2.1960820031211273E-3</v>
      </c>
      <c r="Y62" s="2">
        <f>90.9807253830724*(1/14151.6638359215)</f>
        <v>6.4289772876129159E-3</v>
      </c>
      <c r="Z62" s="2">
        <f>165.948195185401*(1/14151.6638359215)</f>
        <v>1.172640878906202E-2</v>
      </c>
      <c r="AA62" s="2">
        <f>253.921976724726*(1/14151.6638359215)</f>
        <v>1.7942906195961911E-2</v>
      </c>
      <c r="AB62" s="2">
        <f>352.858884271691*(1/14151.6638359215)</f>
        <v>2.4934091733865318E-2</v>
      </c>
      <c r="AC62" s="2">
        <f>460.715732096936*(1/14151.6638359215)</f>
        <v>3.2555587628324695E-2</v>
      </c>
      <c r="AD62" s="2">
        <f>575.449334471125*(1/14151.6638359215)</f>
        <v>4.0663016104894215E-2</v>
      </c>
      <c r="AE62" s="2">
        <f>695.016505664857*(1/14151.6638359215)</f>
        <v>4.9111999389123445E-2</v>
      </c>
      <c r="AF62" s="2">
        <f>817.374059948794*(1/14151.6638359215)</f>
        <v>5.7758159706566392E-2</v>
      </c>
      <c r="AG62" s="2">
        <f>940.478811593577*(1/14151.6638359215)</f>
        <v>6.6457119282775617E-2</v>
      </c>
      <c r="AH62" s="2">
        <f>1062.28757486985*(1/14151.6638359215)</f>
        <v>7.506450034330385E-2</v>
      </c>
      <c r="AI62" s="2">
        <f>1181.03309832031*(1/14151.6638359215)</f>
        <v>8.3455423476246376E-2</v>
      </c>
      <c r="AJ62" s="2">
        <f>1299.44600273828*(1/14151.6638359215)</f>
        <v>9.1822842727500756E-2</v>
      </c>
      <c r="AK62" s="2">
        <f>1419.1741621938*(1/14151.6638359215)</f>
        <v>0.10028320193640249</v>
      </c>
      <c r="AL62" s="2">
        <f>1540.73135650473*(1/14151.6638359215)</f>
        <v>0.1088728063617407</v>
      </c>
      <c r="AM62" s="2">
        <f>1664.63136548891*(1/14151.6638359215)</f>
        <v>0.11762796126230311</v>
      </c>
      <c r="AN62" s="2">
        <f>1791.38796896421*(1/14151.6638359215)</f>
        <v>0.12658497189687956</v>
      </c>
      <c r="AO62" s="2">
        <f>1921.51494674848*(1/14151.6638359215)</f>
        <v>0.13578014352425852</v>
      </c>
      <c r="AP62" s="2">
        <f>2055.5260786596*(1/14151.6638359215)</f>
        <v>0.14524978140323047</v>
      </c>
      <c r="AQ62" s="2">
        <f>2193.93514451537*(1/14151.6638359215)</f>
        <v>0.1550301907925804</v>
      </c>
      <c r="AR62" s="2">
        <f>2337.25592413368*(1/14151.6638359215)</f>
        <v>0.16515767695109945</v>
      </c>
      <c r="AS62" s="2">
        <f>2486.00219733237*(1/14151.6638359215)</f>
        <v>0.17566854513757546</v>
      </c>
      <c r="AT62" s="2">
        <f>2641.57256154216*(1/14151.6638359215)</f>
        <v>0.18666162453894605</v>
      </c>
      <c r="AU62" s="2">
        <f>2805.58817345664*(1/14151.6638359215)</f>
        <v>0.19825147106272761</v>
      </c>
      <c r="AV62" s="2">
        <f>2976.61472781628*(1/14151.6638359215)</f>
        <v>0.21033673229720656</v>
      </c>
      <c r="AW62" s="2">
        <f>3153.09806526045*(1/14151.6638359215)</f>
        <v>0.22280758657203736</v>
      </c>
      <c r="AX62" s="2">
        <f>3333.48402642848*(1/14151.6638359215)</f>
        <v>0.23555421221687159</v>
      </c>
      <c r="AY62" s="2">
        <f>3516.21845195969*(1/14151.6638359215)</f>
        <v>0.24846678756136012</v>
      </c>
      <c r="AZ62" s="2">
        <f>3699.74718249342*(1/14151.6638359215)</f>
        <v>0.26143549093515528</v>
      </c>
      <c r="BA62" s="2">
        <f>3882.51605866903*(1/14151.6638359215)</f>
        <v>0.27435050066791078</v>
      </c>
      <c r="BB62" s="2">
        <f>4062.97092112579*(1/14151.6638359215)</f>
        <v>0.28710199508927392</v>
      </c>
      <c r="BC62" s="2">
        <f>4239.55761050305*(1/14151.6638359215)</f>
        <v>0.2995801525288978</v>
      </c>
      <c r="BD62" s="2">
        <f>4410.86102642686*(1/14151.6638359215)</f>
        <v>0.31168497765122632</v>
      </c>
      <c r="BE62" s="2">
        <f>4580.69376105772*(1/14151.6638359215)</f>
        <v>0.32368587991967684</v>
      </c>
      <c r="BF62" s="2">
        <f>4750.8933816127*(1/14151.6638359215)</f>
        <v>0.33571270747354781</v>
      </c>
      <c r="BG62" s="2">
        <f>4920.78272947936*(1/14151.6638359215)</f>
        <v>0.3477176102069936</v>
      </c>
      <c r="BH62" s="2">
        <f>5089.68464604513*(1/14151.6638359215)</f>
        <v>0.35965273801415942</v>
      </c>
      <c r="BI62" s="2">
        <f>5256.92197269755*(1/14151.6638359215)</f>
        <v>0.37147024078919832</v>
      </c>
      <c r="BJ62" s="2">
        <f>5421.81755082415*(1/14151.6638359215)</f>
        <v>0.38312226842626262</v>
      </c>
      <c r="BK62" s="2">
        <f>5583.69422181243*(1/14151.6638359215)</f>
        <v>0.39456097081950242</v>
      </c>
      <c r="BL62" s="2">
        <f>5741.8748270499*(1/14151.6638359215)</f>
        <v>0.40573849786306854</v>
      </c>
      <c r="BM62" s="2">
        <f>5895.6822079241*(1/14151.6638359215)</f>
        <v>0.41660699945111412</v>
      </c>
      <c r="BN62" s="2">
        <f>6044.43920582248*(1/14151.6638359215)</f>
        <v>0.42711862547778578</v>
      </c>
      <c r="BO62" s="2">
        <f>6188.42648350613*(1/14151.6638359215)</f>
        <v>0.43729320843517372</v>
      </c>
      <c r="BP62" s="2">
        <f>6330.55025871894*(1/14151.6638359215)</f>
        <v>0.44733611058863315</v>
      </c>
      <c r="BQ62" s="2">
        <f>6470.43817669064*(1/14151.6638359215)</f>
        <v>0.45722102020729005</v>
      </c>
      <c r="BR62" s="2">
        <f>6607.37210667205*(1/14151.6638359215)</f>
        <v>0.46689719196836788</v>
      </c>
      <c r="BS62" s="2">
        <f>6740.6339179139*(1/14151.6638359215)</f>
        <v>0.47631388054908369</v>
      </c>
      <c r="BT62" s="2">
        <f>6869.50547966701*(1/14151.6638359215)</f>
        <v>0.48542034062666073</v>
      </c>
      <c r="BU62" s="2">
        <f>6993.26866118217*(1/14151.6638359215)</f>
        <v>0.49416582687832034</v>
      </c>
      <c r="BV62" s="2">
        <f>7111.20533171017*(1/14151.6638359215)</f>
        <v>0.50249959398128374</v>
      </c>
      <c r="BW62" s="2">
        <f>7222.5973605018*(1/14151.6638359215)</f>
        <v>0.51037089661277224</v>
      </c>
      <c r="BX62" s="2">
        <f>7326.72661680785*(1/14151.6638359215)</f>
        <v>0.51772898945000723</v>
      </c>
      <c r="BY62" s="2">
        <f>7422.89260782275*(1/14151.6638359215)</f>
        <v>0.52452437352144043</v>
      </c>
      <c r="BZ62" s="2">
        <f>7515.20803390605*(1/14151.6638359215)</f>
        <v>0.53104766485690691</v>
      </c>
      <c r="CA62" s="2">
        <f>7605.95424686249*(1/14151.6638359215)</f>
        <v>0.53746007077670388</v>
      </c>
      <c r="CB62" s="2">
        <f>7693.27774743548*(1/14151.6638359215)</f>
        <v>0.54363061733472307</v>
      </c>
      <c r="CC62" s="2">
        <f>7775.32503636841*(1/14151.6638359215)</f>
        <v>0.54942833058485463</v>
      </c>
      <c r="CD62" s="2">
        <f>7850.24261440469*(1/14151.6638359215)</f>
        <v>0.55472223658099029</v>
      </c>
      <c r="CE62" s="2">
        <f>7916.17698228771*(1/14151.6638359215)</f>
        <v>0.5593813613770201</v>
      </c>
      <c r="CF62" s="2">
        <f>7971.27464076087*(1/14151.6638359215)</f>
        <v>0.56327473102683501</v>
      </c>
      <c r="CG62" s="2">
        <f>8013.68209056758*(1/14151.6638359215)</f>
        <v>0.56627137158432661</v>
      </c>
      <c r="CH62" s="2">
        <f>8041.54583245123*(1/14151.6638359215)</f>
        <v>0.56824030910338519</v>
      </c>
      <c r="CI62" s="2">
        <f>8053.01236715523*(1/14151.6638359215)</f>
        <v>0.56905056963790224</v>
      </c>
      <c r="CJ62" s="2">
        <f>8046.07334550845*(1/14151.6638359215)</f>
        <v>0.5685602370715529</v>
      </c>
      <c r="CK62" s="2">
        <f>8019.54386701844*(1/14151.6638359215)</f>
        <v>0.56668558269892222</v>
      </c>
      <c r="CL62" s="2">
        <f>7975.49858915641*(1/14151.6638359215)</f>
        <v>0.56357320818432777</v>
      </c>
      <c r="CM62" s="2">
        <f>7916.34454133601*(1/14151.6638359215)</f>
        <v>0.55939320161363404</v>
      </c>
      <c r="CN62" s="2">
        <f>7844.48875297088*(1/14151.6638359215)</f>
        <v>0.55431565107270508</v>
      </c>
      <c r="CO62" s="2">
        <f>7762.33825347467*(1/14151.6638359215)</f>
        <v>0.54851064464740495</v>
      </c>
      <c r="CP62" s="2">
        <f>7672.30007226101*(1/14151.6638359215)</f>
        <v>0.54214827042359726</v>
      </c>
      <c r="CQ62" s="2">
        <f>7576.7812387436*(1/14151.6638359215)</f>
        <v>0.53539861648714959</v>
      </c>
      <c r="CR62" s="2">
        <f>7478.18878233605*(1/14151.6638359215)</f>
        <v>0.52843177092392402</v>
      </c>
      <c r="CS62" s="2">
        <f>7378.92973245203*(1/14151.6638359215)</f>
        <v>0.52141782181978635</v>
      </c>
      <c r="CT62" s="2">
        <f>7281.41111850518*(1/14151.6638359215)</f>
        <v>0.51452685726060021</v>
      </c>
      <c r="CU62" s="2">
        <f>7184.0704126804*(1/14151.6638359215)</f>
        <v>0.5076484642353436</v>
      </c>
      <c r="CV62" s="2">
        <f>7082.72510443133*(1/14151.6638359215)</f>
        <v>0.50048709371212474</v>
      </c>
      <c r="CW62" s="2">
        <f>6977.2986907901*(1/14151.6638359215)</f>
        <v>0.49303733975643627</v>
      </c>
      <c r="CX62" s="2">
        <f>6867.73070482247*(1/14151.6638359215)</f>
        <v>0.48529492958912357</v>
      </c>
      <c r="CY62" s="2">
        <f>6753.96067959419*(1/14151.6638359215)</f>
        <v>0.47725559043103138</v>
      </c>
      <c r="CZ62" s="2">
        <f>6635.928148171*(1/14151.6638359215)</f>
        <v>0.46891504950300394</v>
      </c>
      <c r="DA62" s="2">
        <f>6513.57264361865*(1/14151.6638359215)</f>
        <v>0.46026903402588576</v>
      </c>
      <c r="DB62" s="2">
        <f>6386.83369900294*(1/14151.6638359215)</f>
        <v>0.45131327122052539</v>
      </c>
      <c r="DC62" s="2">
        <f>6255.6508473896*(1/14151.6638359215)</f>
        <v>0.44204348830776596</v>
      </c>
      <c r="DD62" s="2">
        <f>6119.96362184438*(1/14151.6638359215)</f>
        <v>0.43245541250845243</v>
      </c>
      <c r="DE62" s="2">
        <f>5979.5249537391*(1/14151.6638359215)</f>
        <v>0.4225315851950307</v>
      </c>
      <c r="DF62" s="2">
        <f>5832.61119285093*(1/14151.6638359215)</f>
        <v>0.41215020795264201</v>
      </c>
      <c r="DG62" s="2">
        <f>5679.49139055088*(1/14151.6638359215)</f>
        <v>0.40133029277691673</v>
      </c>
      <c r="DH62" s="2">
        <f>5521.01197916958*(1/14151.6638359215)</f>
        <v>0.39013165117415138</v>
      </c>
      <c r="DI62" s="2">
        <f>5358.01939103772*(1/14151.6638359215)</f>
        <v>0.37861409465064694</v>
      </c>
      <c r="DJ62" s="2">
        <f>5191.36005848591*(1/14151.6638359215)</f>
        <v>0.36683743471269853</v>
      </c>
      <c r="DK62" s="2">
        <f>5021.88041384479*(1/14151.6638359215)</f>
        <v>0.35486148286660357</v>
      </c>
      <c r="DL62" s="2">
        <f>4850.42688944501*(1/14151.6638359215)</f>
        <v>0.34274605061865993</v>
      </c>
      <c r="DM62" s="2">
        <f>4677.84591761718*(1/14151.6638359215)</f>
        <v>0.33055094947516306</v>
      </c>
      <c r="DN62" s="2">
        <f>4504.98393069201*(1/14151.6638359215)</f>
        <v>0.31833599094241516</v>
      </c>
      <c r="DO62" s="2">
        <f>4332.6873610001*(1/14151.6638359215)</f>
        <v>0.30616098652671064</v>
      </c>
      <c r="DP62" s="2">
        <f>4159.62994331859*(1/14151.6638359215)</f>
        <v>0.29393221825691651</v>
      </c>
      <c r="DQ62" s="2">
        <f>3982.46894108997*(1/14151.6638359215)</f>
        <v>0.28141347810857237</v>
      </c>
      <c r="DR62" s="2">
        <f>3802.12536834386*(1/14151.6638359215)</f>
        <v>0.26866984775972674</v>
      </c>
      <c r="DS62" s="2">
        <f>3619.63706643397*(1/14151.6638359215)</f>
        <v>0.25577466426570711</v>
      </c>
      <c r="DT62" s="2">
        <f>3436.04187671398*(1/14151.6638359215)</f>
        <v>0.24280126468183863</v>
      </c>
      <c r="DU62" s="2">
        <f>3252.37764053767*(1/14151.6638359215)</f>
        <v>0.22982298606345378</v>
      </c>
      <c r="DV62" s="2">
        <f>3069.68219925872*(1/14151.6638359215)</f>
        <v>0.21691316546587788</v>
      </c>
      <c r="DW62" s="2">
        <f>2888.99339423086*(1/14151.6638359215)</f>
        <v>0.20414513994443964</v>
      </c>
      <c r="DX62" s="2">
        <f>2711.34906680779*(1/14151.6638359215)</f>
        <v>0.19159224655446588</v>
      </c>
      <c r="DY62" s="2">
        <f>2537.7870583432*(1/14151.6638359215)</f>
        <v>0.17932782235128253</v>
      </c>
      <c r="DZ62" s="2">
        <f>2369.0336938723*(1/14151.6638359215)</f>
        <v>0.16740319169106646</v>
      </c>
      <c r="EA62" s="2">
        <f>2199.4750003865*(1/14151.6638359215)</f>
        <v>0.15542165401099489</v>
      </c>
      <c r="EB62" s="2">
        <f>2028.04654774081*(1/14151.6638359215)</f>
        <v>0.14330799341014389</v>
      </c>
      <c r="EC62" s="2">
        <f>1856.56010872988*(1/14151.6638359215)</f>
        <v>0.13119023531475713</v>
      </c>
      <c r="ED62" s="2">
        <f>1686.82745614836*(1/14151.6638359215)</f>
        <v>0.11919640515107816</v>
      </c>
      <c r="EE62" s="2">
        <f>1520.6603627909*(1/14151.6638359215)</f>
        <v>0.10745452834535062</v>
      </c>
      <c r="EF62" s="2">
        <f>1359.8706014522*(1/14151.6638359215)</f>
        <v>9.6092630323821607E-2</v>
      </c>
      <c r="EG62" s="2">
        <f>1206.26994492689*(1/14151.6638359215)</f>
        <v>8.5238736512733351E-2</v>
      </c>
      <c r="EH62" s="2">
        <f>1061.67016600964*(1/14151.6638359215)</f>
        <v>7.5020872338330838E-2</v>
      </c>
      <c r="EI62" s="2">
        <f>927.883037495089*(1/14151.6638359215)</f>
        <v>6.5567063226856875E-2</v>
      </c>
      <c r="EJ62" s="2">
        <f>806.720332177882*(1/14151.6638359215)</f>
        <v>5.7005334604554758E-2</v>
      </c>
      <c r="EK62" s="2">
        <f>699.127137826904*(1/14151.6638359215)</f>
        <v>4.9402469273774952E-2</v>
      </c>
      <c r="EL62" s="2">
        <f>602.982954099951*(1/14151.6638359215)</f>
        <v>4.260862617223745E-2</v>
      </c>
      <c r="EM62" s="2">
        <f>517.203733508164*(1/14151.6638359215)</f>
        <v>3.6547203177292382E-2</v>
      </c>
      <c r="EN62" s="2">
        <f>440.839546128268*(1/14151.6638359215)</f>
        <v>3.1151075325098854E-2</v>
      </c>
      <c r="EO62" s="2">
        <f>372.940462036989*(1/14151.6638359215)</f>
        <v>2.6353117651815999E-2</v>
      </c>
      <c r="EP62" s="2">
        <f>312.556551311052*(1/14151.6638359215)</f>
        <v>2.2086205193602916E-2</v>
      </c>
      <c r="EQ62" s="2">
        <f>258.737884027174*(1/14151.6638359215)</f>
        <v>1.8283212986618124E-2</v>
      </c>
      <c r="ER62" s="2">
        <f>210.5345302621*(1/14151.6638359215)</f>
        <v>1.4877016067022117E-2</v>
      </c>
      <c r="ES62" s="2">
        <f>166.996560092546*(1/14151.6638359215)</f>
        <v>1.180048947097335E-2</v>
      </c>
      <c r="ET62" s="2">
        <f>127.174043595237*(1/14151.6638359215)</f>
        <v>8.9865082346309091E-3</v>
      </c>
      <c r="EU62" s="2">
        <f>90.1781059834174*(1/14151.6638359215)</f>
        <v>6.3722617374867398E-3</v>
      </c>
      <c r="EV62" s="2">
        <f>59.7528519827217*(1/14151.6638359215)</f>
        <v>4.2223199106135945E-3</v>
      </c>
      <c r="EW62" s="2">
        <f>37.6577186696905*(1/14151.6638359215)</f>
        <v>2.6610099777881267E-3</v>
      </c>
      <c r="EX62" s="2">
        <f>22.6191447156116*(1/14151.6638359215)</f>
        <v>1.5983381867930536E-3</v>
      </c>
      <c r="EY62" s="2">
        <f>13.3635687917793*(1/14151.6638359215)</f>
        <v>9.4431078541155292E-4</v>
      </c>
      <c r="EZ62" s="2">
        <f>8.61742956948784*(1/14151.6638359215)</f>
        <v>6.089340214267962E-4</v>
      </c>
      <c r="FA62" s="2">
        <f>7.10716572003157*(1/14151.6638359215)</f>
        <v>5.02214142621964E-4</v>
      </c>
      <c r="FB62" s="2">
        <f>7.55921591470495*(1/14151.6638359215)</f>
        <v>5.3415739678024403E-4</v>
      </c>
      <c r="FC62" s="2">
        <f>8.70001882480195*(1/14151.6638359215)</f>
        <v>6.147700316847895E-4</v>
      </c>
      <c r="FD62" s="2">
        <f>9.25601312161681*(1/14151.6638359215)</f>
        <v>6.5405829511877296E-4</v>
      </c>
      <c r="FE62" s="2">
        <f>7.95363747644374*(1/14151.6638359215)</f>
        <v>5.6202843486536443E-4</v>
      </c>
      <c r="FF62" s="2">
        <f>4.26649068579167*(1/14151.6638359215)</f>
        <v>3.0148332629001097E-4</v>
      </c>
      <c r="FG62" s="2">
        <f>0.962868899540595*(1/14151.6638359215)</f>
        <v>6.8039271615293899E-5</v>
      </c>
      <c r="FH62" s="2">
        <f>-1.54587006056063*(1/14151.6638359215)</f>
        <v>-1.0923592296170234E-4</v>
      </c>
      <c r="FI62" s="2">
        <f>-3.2597261945127*(1/14151.6638359215)</f>
        <v>-2.3034225744102685E-4</v>
      </c>
      <c r="FJ62" s="2">
        <f>-4.17869950231561*(1/14151.6638359215)</f>
        <v>-2.9527973182267935E-4</v>
      </c>
      <c r="FK62" s="2">
        <f>-4.30278998396936*(1/14151.6638359215)</f>
        <v>-3.0404834610665973E-4</v>
      </c>
      <c r="FL62" s="2">
        <f>-3.63199763947396*(1/14151.6638359215)</f>
        <v>-2.5664810029296875E-4</v>
      </c>
      <c r="FM62" s="2">
        <f>-2.16632246882905*(1/14151.6638359215)</f>
        <v>-1.5307899438158097E-4</v>
      </c>
      <c r="FN62" s="2">
        <f>0.0942355279648068*(1/14151.6638359215)</f>
        <v>6.6589716274638011E-6</v>
      </c>
      <c r="FO62" s="2">
        <f>3.14967635090783*(1/14151.6638359215)</f>
        <v>2.225657977341811E-4</v>
      </c>
      <c r="FP62" s="2">
        <f t="shared" si="17"/>
        <v>4.9464148393856954E-4</v>
      </c>
      <c r="FQ62" s="2"/>
    </row>
    <row r="63" spans="2:173">
      <c r="B63" s="2">
        <v>9.8680473372781066</v>
      </c>
      <c r="C63" s="2">
        <f t="shared" si="18"/>
        <v>4.9464148393856954E-4</v>
      </c>
      <c r="D63" s="2">
        <f>5.33419816317498*(1/14151.6638359215)</f>
        <v>3.7693081357932342E-4</v>
      </c>
      <c r="E63" s="2">
        <f>4.01679932490158*(1/14151.6638359215)</f>
        <v>2.838393683932517E-4</v>
      </c>
      <c r="F63" s="2">
        <f>3.04780348517966*(1/14151.6638359215)</f>
        <v>2.1536714838034444E-4</v>
      </c>
      <c r="G63" s="2">
        <f>2.42721064400959*(1/14151.6638359215)</f>
        <v>1.7151415354062783E-4</v>
      </c>
      <c r="H63" s="2">
        <f>2.15502080139114*(1/14151.6638359215)</f>
        <v>1.5228038387408557E-4</v>
      </c>
      <c r="I63" s="2">
        <f>2.23123395732432*(1/14151.6638359215)</f>
        <v>1.5766583938071836E-4</v>
      </c>
      <c r="J63" s="2">
        <f>2.65585011180913*(1/14151.6638359215)</f>
        <v>1.8767052006052627E-4</v>
      </c>
      <c r="K63" s="2">
        <f>3.42886926484556*(1/14151.6638359215)</f>
        <v>2.4229442591350853E-4</v>
      </c>
      <c r="L63" s="2">
        <f>4.55029141643387*(1/14151.6638359215)</f>
        <v>3.215375569396836E-4</v>
      </c>
      <c r="M63" s="2">
        <f>6.02011656657363*(1/14151.6638359215)</f>
        <v>4.2539991313902091E-4</v>
      </c>
      <c r="N63" s="2">
        <f>6.93203162533405*(1/14151.6638359215)</f>
        <v>4.8983862998061838E-4</v>
      </c>
      <c r="O63" s="2">
        <f>1.18686233419955*(1/14151.6638359215)</f>
        <v>8.3867335174179971E-5</v>
      </c>
      <c r="P63" s="2">
        <f>-10.0556119710377*(1/14151.6638359215)</f>
        <v>-7.1056040389493318E-4</v>
      </c>
      <c r="Q63" s="2">
        <f>-23.9894514443035*(1/14151.6638359215)</f>
        <v>-1.6951682658975064E-3</v>
      </c>
      <c r="R63" s="2">
        <f>-37.8087162395264*(1/14151.6638359215)</f>
        <v>-2.6716799295045186E-3</v>
      </c>
      <c r="S63" s="2">
        <f>-48.7074665106267*(1/14151.6638359215)</f>
        <v>-3.4418190733863673E-3</v>
      </c>
      <c r="T63" s="2">
        <f>-53.879762411533*(1/14151.6638359215)</f>
        <v>-3.8073093762140348E-3</v>
      </c>
      <c r="U63" s="2">
        <f>-50.5196640961713*(1/14151.6638359215)</f>
        <v>-3.5698745166583205E-3</v>
      </c>
      <c r="V63" s="2">
        <f>-35.8212317184676*(1/14151.6638359215)</f>
        <v>-2.5312381733900245E-3</v>
      </c>
      <c r="W63" s="2">
        <f>-6.97852543234768*(1/14151.6638359215)</f>
        <v>-4.9312402507992919E-4</v>
      </c>
      <c r="X63" s="2">
        <f>38.8143946082726*(1/14151.6638359215)</f>
        <v>2.7427442496018818E-3</v>
      </c>
      <c r="Y63" s="2">
        <f>103.094050280598*(1/14151.6638359215)</f>
        <v>7.2849420022903563E-3</v>
      </c>
      <c r="Z63" s="2">
        <f>183.662163940882*(1/14151.6638359215)</f>
        <v>1.2978132187869531E-2</v>
      </c>
      <c r="AA63" s="2">
        <f>278.220169650787*(1/14151.6638359215)</f>
        <v>1.9659891082529409E-2</v>
      </c>
      <c r="AB63" s="2">
        <f>384.482147910759*(1/14151.6638359215)</f>
        <v>2.7168688598638063E-2</v>
      </c>
      <c r="AC63" s="2">
        <f>500.162179221243*(1/14151.6638359215)</f>
        <v>3.5342994648563483E-2</v>
      </c>
      <c r="AD63" s="2">
        <f>622.974344082707*(1/14151.6638359215)</f>
        <v>4.4021279144675317E-2</v>
      </c>
      <c r="AE63" s="2">
        <f>750.63272299555*(1/14151.6638359215)</f>
        <v>5.30420119993383E-2</v>
      </c>
      <c r="AF63" s="2">
        <f>880.851396460239*(1/14151.6638359215)</f>
        <v>6.224366312492198E-2</v>
      </c>
      <c r="AG63" s="2">
        <f>1011.34444497722*(1/14151.6638359215)</f>
        <v>7.1464702433794436E-2</v>
      </c>
      <c r="AH63" s="2">
        <f>1139.82594904694*(1/14151.6638359215)</f>
        <v>8.0543599838323821E-2</v>
      </c>
      <c r="AI63" s="2">
        <f>1264.30478915456*(1/14151.6638359215)</f>
        <v>8.9339656722578834E-2</v>
      </c>
      <c r="AJ63" s="2">
        <f>1387.65621066717*(1/14151.6638359215)</f>
        <v>9.8056046748711601E-2</v>
      </c>
      <c r="AK63" s="2">
        <f>1511.73334760614*(1/14151.6638359215)</f>
        <v>0.10682371805418892</v>
      </c>
      <c r="AL63" s="2">
        <f>1637.19443055663*(1/14151.6638359215)</f>
        <v>0.11568918323235612</v>
      </c>
      <c r="AM63" s="2">
        <f>1764.6976901038*(1/14151.6638359215)</f>
        <v>0.12469895487655851</v>
      </c>
      <c r="AN63" s="2">
        <f>1894.90135683281*(1/14151.6638359215)</f>
        <v>0.13389954558014144</v>
      </c>
      <c r="AO63" s="2">
        <f>2028.46366132882*(1/14151.6638359215)</f>
        <v>0.14333746793645022</v>
      </c>
      <c r="AP63" s="2">
        <f>2166.04283417701*(1/14151.6638359215)</f>
        <v>0.15305923453883158</v>
      </c>
      <c r="AQ63" s="2">
        <f>2308.29710596249*(1/14151.6638359215)</f>
        <v>0.16311135798062737</v>
      </c>
      <c r="AR63" s="2">
        <f>2455.88470727045*(1/14151.6638359215)</f>
        <v>0.17354035085518496</v>
      </c>
      <c r="AS63" s="2">
        <f>2609.46386868604*(1/14151.6638359215)</f>
        <v>0.18439272575584906</v>
      </c>
      <c r="AT63" s="2">
        <f>2770.53657773719*(1/14151.6638359215)</f>
        <v>0.19577461773114424</v>
      </c>
      <c r="AU63" s="2">
        <f>2940.63212278363*(1/14151.6638359215)</f>
        <v>0.20779409099016011</v>
      </c>
      <c r="AV63" s="2">
        <f>3118.1925132701*(1/14151.6638359215)</f>
        <v>0.22034105313857999</v>
      </c>
      <c r="AW63" s="2">
        <f>3301.54169237616*(1/14151.6638359215)</f>
        <v>0.23329706885742857</v>
      </c>
      <c r="AX63" s="2">
        <f>3489.00360328138*(1/14151.6638359215)</f>
        <v>0.24654370282773114</v>
      </c>
      <c r="AY63" s="2">
        <f>3678.90218916529*(1/14151.6638359215)</f>
        <v>0.25996251973051016</v>
      </c>
      <c r="AZ63" s="2">
        <f>3869.56139320745*(1/14151.6638359215)</f>
        <v>0.27343508424679025</v>
      </c>
      <c r="BA63" s="2">
        <f>4059.30515858745*(1/14151.6638359215)</f>
        <v>0.2868429610575981</v>
      </c>
      <c r="BB63" s="2">
        <f>4246.45742848476*(1/14151.6638359215)</f>
        <v>0.300067714843952</v>
      </c>
      <c r="BC63" s="2">
        <f>4429.34214607897*(1/14151.6638359215)</f>
        <v>0.31299091028687853</v>
      </c>
      <c r="BD63" s="2">
        <f>4606.4319543914*(1/14151.6638359215)</f>
        <v>0.32550461965460104</v>
      </c>
      <c r="BE63" s="2">
        <f>4781.79639181901*(1/14151.6638359215)</f>
        <v>0.33789640902020751</v>
      </c>
      <c r="BF63" s="2">
        <f>4957.41191316197*(1/14151.6638359215)</f>
        <v>0.35030594074588284</v>
      </c>
      <c r="BG63" s="2">
        <f>5132.56907307022*(1/14151.6638359215)</f>
        <v>0.36268308324580883</v>
      </c>
      <c r="BH63" s="2">
        <f>5306.55842619364*(1/14151.6638359215)</f>
        <v>0.37497770493416321</v>
      </c>
      <c r="BI63" s="2">
        <f>5478.67052718217*(1/14151.6638359215)</f>
        <v>0.38713967422512768</v>
      </c>
      <c r="BJ63" s="2">
        <f>5648.19593068576*(1/14151.6638359215)</f>
        <v>0.3991188595328849</v>
      </c>
      <c r="BK63" s="2">
        <f>5814.42519135431*(1/14151.6638359215)</f>
        <v>0.41086512927161389</v>
      </c>
      <c r="BL63" s="2">
        <f>5976.64886383776*(1/14151.6638359215)</f>
        <v>0.42232835185549644</v>
      </c>
      <c r="BM63" s="2">
        <f>6134.15750278606*(1/14151.6638359215)</f>
        <v>0.43345839569871525</v>
      </c>
      <c r="BN63" s="2">
        <f>6286.24166284908*(1/14151.6638359215)</f>
        <v>0.44420512921544714</v>
      </c>
      <c r="BO63" s="2">
        <f>6433.12917832127*(1/14151.6638359215)</f>
        <v>0.45458465187619196</v>
      </c>
      <c r="BP63" s="2">
        <f>6577.66092326873*(1/14151.6638359215)</f>
        <v>0.46479770856148372</v>
      </c>
      <c r="BQ63" s="2">
        <f>6719.52289361883*(1/14151.6638359215)</f>
        <v>0.47482211077982983</v>
      </c>
      <c r="BR63" s="2">
        <f>6858.06505712147*(1/14151.6638359215)</f>
        <v>0.4846119252574021</v>
      </c>
      <c r="BS63" s="2">
        <f>6992.63738152649*(1/14151.6638359215)</f>
        <v>0.49412121872036802</v>
      </c>
      <c r="BT63" s="2">
        <f>7122.58983458377*(1/14151.6638359215)</f>
        <v>0.50330405789489807</v>
      </c>
      <c r="BU63" s="2">
        <f>7247.27238404321*(1/14151.6638359215)</f>
        <v>0.51211450950716397</v>
      </c>
      <c r="BV63" s="2">
        <f>7366.03499765467*(1/14151.6638359215)</f>
        <v>0.52050664028333482</v>
      </c>
      <c r="BW63" s="2">
        <f>7478.22764316805*(1/14151.6638359215)</f>
        <v>0.52843451694958232</v>
      </c>
      <c r="BX63" s="2">
        <f>7583.20028833322*(1/14151.6638359215)</f>
        <v>0.53585220623207608</v>
      </c>
      <c r="BY63" s="2">
        <f>7680.32077173549*(1/14151.6638359215)</f>
        <v>0.54271503766506601</v>
      </c>
      <c r="BZ63" s="2">
        <f>7773.80431107539*(1/14151.6638359215)</f>
        <v>0.54932087146833997</v>
      </c>
      <c r="CA63" s="2">
        <f>7865.90674089783*(1/14151.6638359215)</f>
        <v>0.55582911183429995</v>
      </c>
      <c r="CB63" s="2">
        <f>7954.67158400901*(1/14151.6638359215)</f>
        <v>0.56210150807974124</v>
      </c>
      <c r="CC63" s="2">
        <f>8038.14236321516*(1/14151.6638359215)</f>
        <v>0.56799980952146101</v>
      </c>
      <c r="CD63" s="2">
        <f>8114.3626013225*(1/14151.6638359215)</f>
        <v>0.57338576547625619</v>
      </c>
      <c r="CE63" s="2">
        <f>8181.37582113723*(1/14151.6638359215)</f>
        <v>0.57812112526092174</v>
      </c>
      <c r="CF63" s="2">
        <f>8237.22554546557*(1/14151.6638359215)</f>
        <v>0.5820676381922546</v>
      </c>
      <c r="CG63" s="2">
        <f>8279.95529711375*(1/14151.6638359215)</f>
        <v>0.58508705358705204</v>
      </c>
      <c r="CH63" s="2">
        <f>8307.60859888797*(1/14151.6638359215)</f>
        <v>0.58704112076210946</v>
      </c>
      <c r="CI63" s="2">
        <f>8318.22897359445*(1/14151.6638359215)</f>
        <v>0.58779158903422335</v>
      </c>
      <c r="CJ63" s="2">
        <f>8309.71049889256*(1/14151.6638359215)</f>
        <v>0.58718964746744673</v>
      </c>
      <c r="CK63" s="2">
        <f>8280.87396202077*(1/14151.6638359215)</f>
        <v>0.58515196926888802</v>
      </c>
      <c r="CL63" s="2">
        <f>8233.89127532829*(1/14151.6638359215)</f>
        <v>0.58183202843103232</v>
      </c>
      <c r="CM63" s="2">
        <f>8171.26978912375*(1/14151.6638359215)</f>
        <v>0.57740700202208206</v>
      </c>
      <c r="CN63" s="2">
        <f>8095.51685371582*(1/14151.6638359215)</f>
        <v>0.57205406711024187</v>
      </c>
      <c r="CO63" s="2">
        <f>8009.13981941316*(1/14151.6638359215)</f>
        <v>0.56595040076371605</v>
      </c>
      <c r="CP63" s="2">
        <f>7914.64603652438*(1/14151.6638359215)</f>
        <v>0.55927318005070537</v>
      </c>
      <c r="CQ63" s="2">
        <f>7814.54285535818*(1/14151.6638359215)</f>
        <v>0.55219958203941666</v>
      </c>
      <c r="CR63" s="2">
        <f>7711.33762622321*(1/14151.6638359215)</f>
        <v>0.54490678379805357</v>
      </c>
      <c r="CS63" s="2">
        <f>7607.5376994281*(1/14151.6638359215)</f>
        <v>0.53757196239481808</v>
      </c>
      <c r="CT63" s="2">
        <f>7505.65042528152*(1/14151.6638359215)</f>
        <v>0.53037229489791526</v>
      </c>
      <c r="CU63" s="2">
        <f>7403.99291505983*(1/14151.6638359215)</f>
        <v>0.52318886322512137</v>
      </c>
      <c r="CV63" s="2">
        <f>7298.16263710459*(1/14151.6638359215)</f>
        <v>0.51571057097749129</v>
      </c>
      <c r="CW63" s="2">
        <f>7188.1188068348*(1/14151.6638359215)</f>
        <v>0.50793453619135798</v>
      </c>
      <c r="CX63" s="2">
        <f>7073.8376150637*(1/14151.6638359215)</f>
        <v>0.49985907643651145</v>
      </c>
      <c r="CY63" s="2">
        <f>6955.29525260454*(1/14151.6638359215)</f>
        <v>0.49148250928274251</v>
      </c>
      <c r="CZ63" s="2">
        <f>6832.46791027058*(1/14151.6638359215)</f>
        <v>0.48280315229984244</v>
      </c>
      <c r="DA63" s="2">
        <f>6705.33177887504*(1/14151.6638359215)</f>
        <v>0.47381932305759972</v>
      </c>
      <c r="DB63" s="2">
        <f>6573.86304923122*(1/14151.6638359215)</f>
        <v>0.46452933912580868</v>
      </c>
      <c r="DC63" s="2">
        <f>6438.03791215235*(1/14151.6638359215)</f>
        <v>0.45493151807425836</v>
      </c>
      <c r="DD63" s="2">
        <f>6297.8325584517*(1/14151.6638359215)</f>
        <v>0.44502417747274098</v>
      </c>
      <c r="DE63" s="2">
        <f>6153.01149634759*(1/14151.6638359215)</f>
        <v>0.43479067674920718</v>
      </c>
      <c r="DF63" s="2">
        <f>6001.63492415567*(1/14151.6638359215)</f>
        <v>0.42409394356312929</v>
      </c>
      <c r="DG63" s="2">
        <f>5843.9660200525*(1/14151.6638359215)</f>
        <v>0.41295257489219217</v>
      </c>
      <c r="DH63" s="2">
        <f>5680.91690219231*(1/14151.6638359215)</f>
        <v>0.40143102380458651</v>
      </c>
      <c r="DI63" s="2">
        <f>5513.3996887294*(1/14151.6638359215)</f>
        <v>0.38959374336850827</v>
      </c>
      <c r="DJ63" s="2">
        <f>5342.32649781799*(1/14151.6638359215)</f>
        <v>0.37750518665214738</v>
      </c>
      <c r="DK63" s="2">
        <f>5168.60944761234*(1/14151.6638359215)</f>
        <v>0.36522980672369687</v>
      </c>
      <c r="DL63" s="2">
        <f>4993.16065626669*(1/14151.6638359215)</f>
        <v>0.3528320566513482</v>
      </c>
      <c r="DM63" s="2">
        <f>4816.89224193526*(1/14151.6638359215)</f>
        <v>0.34037638950329147</v>
      </c>
      <c r="DN63" s="2">
        <f>4640.71632277237*(1/14151.6638359215)</f>
        <v>0.32792725834772385</v>
      </c>
      <c r="DO63" s="2">
        <f>4465.54501693223*(1/14151.6638359215)</f>
        <v>0.31554911625283472</v>
      </c>
      <c r="DP63" s="2">
        <f>4290.23654874028*(1/14151.6638359215)</f>
        <v>0.30316128184519708</v>
      </c>
      <c r="DQ63" s="2">
        <f>4111.61010289033*(1/14151.6638359215)</f>
        <v>0.29053898895292679</v>
      </c>
      <c r="DR63" s="2">
        <f>3930.40712309864*(1/14151.6638359215)</f>
        <v>0.27773463026460504</v>
      </c>
      <c r="DS63" s="2">
        <f>3747.47807077277*(1/14151.6638359215)</f>
        <v>0.26480830199347011</v>
      </c>
      <c r="DT63" s="2">
        <f>3563.67340732024*(1/14151.6638359215)</f>
        <v>0.25182010035275743</v>
      </c>
      <c r="DU63" s="2">
        <f>3379.84359414868*(1/14151.6638359215)</f>
        <v>0.23883012155571021</v>
      </c>
      <c r="DV63" s="2">
        <f>3196.8390926656*(1/14151.6638359215)</f>
        <v>0.22589846181556325</v>
      </c>
      <c r="DW63" s="2">
        <f>3015.51036427857*(1/14151.6638359215)</f>
        <v>0.21308521734555547</v>
      </c>
      <c r="DX63" s="2">
        <f>2836.70787039513*(1/14151.6638359215)</f>
        <v>0.20045048435892379</v>
      </c>
      <c r="DY63" s="2">
        <f>2661.28207242282*(1/14151.6638359215)</f>
        <v>0.18805435906890505</v>
      </c>
      <c r="DZ63" s="2">
        <f>2489.7829570256*(1/14151.6638359215)</f>
        <v>0.17593570522115751</v>
      </c>
      <c r="EA63" s="2">
        <f>2316.72527807285*(1/14151.6638359215)</f>
        <v>0.16370691848913568</v>
      </c>
      <c r="EB63" s="2">
        <f>2141.21130842023*(1/14151.6638359215)</f>
        <v>0.15130456271757553</v>
      </c>
      <c r="EC63" s="2">
        <f>1965.14649887222*(1/14151.6638359215)</f>
        <v>0.13886328290840563</v>
      </c>
      <c r="ED63" s="2">
        <f>1790.43630023326*(1/14151.6638359215)</f>
        <v>0.12651772406355172</v>
      </c>
      <c r="EE63" s="2">
        <f>1618.98616330781*(1/14151.6638359215)</f>
        <v>0.11440253118494093</v>
      </c>
      <c r="EF63" s="2">
        <f>1452.70153890038*(1/14151.6638359215)</f>
        <v>0.10265234927450394</v>
      </c>
      <c r="EG63" s="2">
        <f>1293.48787781541*(1/14151.6638359215)</f>
        <v>9.1401823334166507E-2</v>
      </c>
      <c r="EH63" s="2">
        <f>1143.25063085737*(1/14151.6638359215)</f>
        <v>8.078559836585647E-2</v>
      </c>
      <c r="EI63" s="2">
        <f>1003.89524883072*(1/14151.6638359215)</f>
        <v>7.0938319371500982E-2</v>
      </c>
      <c r="EJ63" s="2">
        <f>877.327182539905*(1/14151.6638359215)</f>
        <v>6.1994631353026131E-2</v>
      </c>
      <c r="EK63" s="2">
        <f>764.401487000433*(1/14151.6638359215)</f>
        <v>5.4014955122106197E-2</v>
      </c>
      <c r="EL63" s="2">
        <f>662.55262413383*(1/14151.6638359215)</f>
        <v>4.6818001884135853E-2</v>
      </c>
      <c r="EM63" s="2">
        <f>570.787444260484*(1/14151.6638359215)</f>
        <v>4.0333592634644193E-2</v>
      </c>
      <c r="EN63" s="2">
        <f>488.285454043706*(1/14151.6638359215)</f>
        <v>3.4503748796256707E-2</v>
      </c>
      <c r="EO63" s="2">
        <f>414.226160146808*(1/14151.6638359215)</f>
        <v>2.9270491791598952E-2</v>
      </c>
      <c r="EP63" s="2">
        <f>347.789069233102*(1/14151.6638359215)</f>
        <v>2.4575843043296495E-2</v>
      </c>
      <c r="EQ63" s="2">
        <f>288.15368796589*(1/14151.6638359215)</f>
        <v>2.0361823973974194E-2</v>
      </c>
      <c r="ER63" s="2">
        <f>234.499523008505*(1/14151.6638359215)</f>
        <v>1.6570456006259095E-2</v>
      </c>
      <c r="ES63" s="2">
        <f>186.006081024249*(1/14151.6638359215)</f>
        <v>1.3143760562776047E-2</v>
      </c>
      <c r="ET63" s="2">
        <f>141.852868676432*(1/14151.6638359215)</f>
        <v>1.0023759066150479E-2</v>
      </c>
      <c r="EU63" s="2">
        <f>101.279224969813*(1/14151.6638359215)</f>
        <v>7.1567008758880758E-3</v>
      </c>
      <c r="EV63" s="2">
        <f>68.017542651724*(1/14151.6638359215)</f>
        <v>4.8063283187291007E-3</v>
      </c>
      <c r="EW63" s="2">
        <f>43.7074804762464*(1/14151.6638359215)</f>
        <v>3.0885047145695109E-3</v>
      </c>
      <c r="EX63" s="2">
        <f>26.9879273938291*(1/14151.6638359215)</f>
        <v>1.9070497792157139E-3</v>
      </c>
      <c r="EY63" s="2">
        <f>16.4977723549283*(1/14151.6638359215)</f>
        <v>1.1657832284746349E-3</v>
      </c>
      <c r="EZ63" s="2">
        <f>10.8759043100001*(1/14151.6638359215)</f>
        <v>7.6852477815319057E-4</v>
      </c>
      <c r="FA63" s="2">
        <f>8.7612122095006*(1/14151.6638359215)</f>
        <v>6.1909414405829865E-4</v>
      </c>
      <c r="FB63" s="2">
        <f>8.79258500388606*(1/14151.6638359215)</f>
        <v>6.2131104199688778E-4</v>
      </c>
      <c r="FC63" s="2">
        <f>9.60891164361239*(1/14151.6638359215)</f>
        <v>6.7899518777586165E-4</v>
      </c>
      <c r="FD63" s="2">
        <f>9.84908107913559*(1/14151.6638359215)</f>
        <v>6.9596629720213097E-4</v>
      </c>
      <c r="FE63" s="2">
        <f>8.15198226091168*(1/14151.6638359215)</f>
        <v>5.7604408608260692E-4</v>
      </c>
      <c r="FF63" s="2">
        <f>3.95502705249569*(1/14151.6638359215)</f>
        <v>2.7947435003766497E-4</v>
      </c>
      <c r="FG63" s="2">
        <f>0.216815399632479*(1/14151.6638359215)</f>
        <v>1.5320841573563342E-5</v>
      </c>
      <c r="FH63" s="2">
        <f>-2.62301648709376*(1/14151.6638359215)</f>
        <v>-1.853503953673416E-4</v>
      </c>
      <c r="FI63" s="2">
        <f>-4.56446860768382*(1/14151.6638359215)</f>
        <v>-3.2253936078510589E-4</v>
      </c>
      <c r="FJ63" s="2">
        <f>-5.60754096213768*(1/14151.6638359215)</f>
        <v>-3.9624605467972803E-4</v>
      </c>
      <c r="FK63" s="2">
        <f>-5.75223355045535*(1/14151.6638359215)</f>
        <v>-4.0647047705120873E-4</v>
      </c>
      <c r="FL63" s="2">
        <f>-4.99854637263684*(1/14151.6638359215)</f>
        <v>-3.5321262789954865E-4</v>
      </c>
      <c r="FM63" s="2">
        <f>-3.34647942868174*(1/14151.6638359215)</f>
        <v>-2.364725072247189E-4</v>
      </c>
      <c r="FN63" s="2">
        <f>-0.796032718590684*(1/14151.6638359215)</f>
        <v>-5.6250115026764242E-5</v>
      </c>
      <c r="FO63" s="2">
        <f>2.65279375763657*(1/14151.6638359215)</f>
        <v>1.8745454869433241E-4</v>
      </c>
      <c r="FP63" s="2">
        <f t="shared" si="17"/>
        <v>4.9464148393856954E-4</v>
      </c>
      <c r="FQ63" s="2"/>
    </row>
    <row r="64" spans="2:173">
      <c r="B64" s="2">
        <v>9.877514792899408</v>
      </c>
      <c r="C64" s="2">
        <f t="shared" si="18"/>
        <v>4.9464148393856954E-4</v>
      </c>
      <c r="D64" s="2">
        <f>4.91862278475611*(1/14151.6638359215)</f>
        <v>3.475649818836888E-4</v>
      </c>
      <c r="E64" s="2">
        <f>3.2725662942691*(1/14151.6638359215)</f>
        <v>2.3124957829780187E-4</v>
      </c>
      <c r="F64" s="2">
        <f>2.06183052853878*(1/14151.6638359215)</f>
        <v>1.4569527318089532E-4</v>
      </c>
      <c r="G64" s="2">
        <f>1.28641548756561*(1/14151.6638359215)</f>
        <v>9.0902066533001688E-5</v>
      </c>
      <c r="H64" s="2">
        <f>0.946321171349313*(1/14151.6638359215)</f>
        <v>6.6869958354101358E-5</v>
      </c>
      <c r="I64" s="2">
        <f>1.0415475798899*(1/14151.6638359215)</f>
        <v>7.3598948644195149E-5</v>
      </c>
      <c r="J64" s="2">
        <f>1.57209471318736*(1/14151.6638359215)</f>
        <v>1.1108903740328223E-4</v>
      </c>
      <c r="K64" s="2">
        <f>2.53796257124169*(1/14151.6638359215)</f>
        <v>1.7934022463136242E-4</v>
      </c>
      <c r="L64" s="2">
        <f>3.93915115405321*(1/14151.6638359215)</f>
        <v>2.7835251032845836E-4</v>
      </c>
      <c r="M64" s="2">
        <f>5.77566046162139*(1/14151.6638359215)</f>
        <v>4.081258944945326E-4</v>
      </c>
      <c r="N64" s="2">
        <f>7.10021718337934*(1/14151.6638359215)</f>
        <v>5.0172313769612678E-4</v>
      </c>
      <c r="O64" s="2">
        <f>1.53799891437892*(1/14151.6638359215)</f>
        <v>1.086797236148997E-4</v>
      </c>
      <c r="P64" s="2">
        <f>-9.69879954962018*(1/14151.6638359215)</f>
        <v>-6.8534694309240797E-4</v>
      </c>
      <c r="Q64" s="2">
        <f>-23.6774257671354*(1/14151.6638359215)</f>
        <v>-1.6731195739001683E-3</v>
      </c>
      <c r="R64" s="2">
        <f>-37.4651272966863*(1/14151.6638359215)</f>
        <v>-2.6474008802829028E-3</v>
      </c>
      <c r="S64" s="2">
        <f>-48.1291516967848*(1/14151.6638359215)</f>
        <v>-3.400953573714594E-3</v>
      </c>
      <c r="T64" s="2">
        <f>-52.736746525951*(1/14151.6638359215)</f>
        <v>-3.7265403656698008E-3</v>
      </c>
      <c r="U64" s="2">
        <f>-48.3551593427022*(1/14151.6638359215)</f>
        <v>-3.416923967622886E-3</v>
      </c>
      <c r="V64" s="2">
        <f>-32.0516377055558*(1/14151.6638359215)</f>
        <v>-2.2648670910482183E-3</v>
      </c>
      <c r="W64" s="2">
        <f>-0.89342917302907*(1/14151.6638359215)</f>
        <v>-6.3132447420158314E-5</v>
      </c>
      <c r="X64" s="2">
        <f>48.0522186963715*(1/14151.6638359215)</f>
        <v>3.3955172517876964E-3</v>
      </c>
      <c r="Y64" s="2">
        <f>116.530533321915*(1/14151.6638359215)</f>
        <v>8.2344051323578523E-3</v>
      </c>
      <c r="Z64" s="2">
        <f>202.399561708425*(1/14151.6638359215)</f>
        <v>1.4302174221710203E-2</v>
      </c>
      <c r="AA64" s="2">
        <f>303.147333617403*(1/14151.6638359215)</f>
        <v>2.1421320993218973E-2</v>
      </c>
      <c r="AB64" s="2">
        <f>416.271961306069*(1/14151.6638359215)</f>
        <v>2.9415054380350397E-2</v>
      </c>
      <c r="AC64" s="2">
        <f>539.271557031645*(1/14151.6638359215)</f>
        <v>3.8106583316570831E-2</v>
      </c>
      <c r="AD64" s="2">
        <f>669.644233051376*(1/14151.6638359215)</f>
        <v>4.7319116735348277E-2</v>
      </c>
      <c r="AE64" s="2">
        <f>804.888101622436*(1/14151.6638359215)</f>
        <v>5.68758635701457E-2</v>
      </c>
      <c r="AF64" s="2">
        <f>942.501275002068*(1/14151.6638359215)</f>
        <v>6.6600032754430966E-2</v>
      </c>
      <c r="AG64" s="2">
        <f>1079.98186544749*(1/14151.6638359215)</f>
        <v>7.6314833221670139E-2</v>
      </c>
      <c r="AH64" s="2">
        <f>1214.82798521594*(1/14151.6638359215)</f>
        <v>8.5843473905330744E-2</v>
      </c>
      <c r="AI64" s="2">
        <f>1344.85027684503*(1/14151.6638359215)</f>
        <v>9.5031248087688827E-2</v>
      </c>
      <c r="AJ64" s="2">
        <f>1473.06486948035*(1/14151.6638359215)</f>
        <v>0.10409128471107651</v>
      </c>
      <c r="AK64" s="2">
        <f>1601.50687935284*(1/14151.6638359215)</f>
        <v>0.11316739133441664</v>
      </c>
      <c r="AL64" s="2">
        <f>1730.95739609915*(1/14151.6638359215)</f>
        <v>0.1223147621487037</v>
      </c>
      <c r="AM64" s="2">
        <f>1862.19750935593*(1/14151.6638359215)</f>
        <v>0.1315885913449322</v>
      </c>
      <c r="AN64" s="2">
        <f>1996.00830875984*(1/14151.6638359215)</f>
        <v>0.14104407311409739</v>
      </c>
      <c r="AO64" s="2">
        <f>2133.17088394753*(1/14151.6638359215)</f>
        <v>0.15073640164719376</v>
      </c>
      <c r="AP64" s="2">
        <f>2274.4663245557*(1/14151.6638359215)</f>
        <v>0.16072077113521938</v>
      </c>
      <c r="AQ64" s="2">
        <f>2420.67572022094*(1/14151.6638359215)</f>
        <v>0.17105237576916449</v>
      </c>
      <c r="AR64" s="2">
        <f>2572.58016057993*(1/14151.6638359215)</f>
        <v>0.18178640974002575</v>
      </c>
      <c r="AS64" s="2">
        <f>2730.96073526934*(1/14151.6638359215)</f>
        <v>0.19297806723879907</v>
      </c>
      <c r="AT64" s="2">
        <f>2897.39838130348*(1/14151.6638359215)</f>
        <v>0.20473906212702325</v>
      </c>
      <c r="AU64" s="2">
        <f>3073.32726997734*(1/14151.6638359215)</f>
        <v>0.21717073735006634</v>
      </c>
      <c r="AV64" s="2">
        <f>3257.09288167585*(1/14151.6638359215)</f>
        <v>0.2301561794739849</v>
      </c>
      <c r="AW64" s="2">
        <f>3446.92525136702*(1/14151.6638359215)</f>
        <v>0.24357031733735851</v>
      </c>
      <c r="AX64" s="2">
        <f>3641.05441401887*(1/14151.6638359215)</f>
        <v>0.2572880797787675</v>
      </c>
      <c r="AY64" s="2">
        <f>3837.71040459938*(1/14151.6638359215)</f>
        <v>0.27118439563678937</v>
      </c>
      <c r="AZ64" s="2">
        <f>4035.12325807657*(1/14151.6638359215)</f>
        <v>0.28513419375000432</v>
      </c>
      <c r="BA64" s="2">
        <f>4231.52300941846*(1/14151.6638359215)</f>
        <v>0.29901240295699266</v>
      </c>
      <c r="BB64" s="2">
        <f>4425.13969359299*(1/14151.6638359215)</f>
        <v>0.31269395209632905</v>
      </c>
      <c r="BC64" s="2">
        <f>4614.20334556818*(1/14151.6638359215)</f>
        <v>0.32605377000659386</v>
      </c>
      <c r="BD64" s="2">
        <f>4797.10161575059*(1/14151.6638359215)</f>
        <v>0.33897792311699737</v>
      </c>
      <c r="BE64" s="2">
        <f>4978.15147265488*(1/14151.6638359215)</f>
        <v>0.35177146167214074</v>
      </c>
      <c r="BF64" s="2">
        <f>5159.44252712256*(1/14151.6638359215)</f>
        <v>0.36458204398738092</v>
      </c>
      <c r="BG64" s="2">
        <f>5340.21597651092*(1/14151.6638359215)</f>
        <v>0.37735605073911699</v>
      </c>
      <c r="BH64" s="2">
        <f>5519.71301817717*(1/14151.6638359215)</f>
        <v>0.39003986260374229</v>
      </c>
      <c r="BI64" s="2">
        <f>5697.17484947859*(1/14151.6638359215)</f>
        <v>0.40257986025765519</v>
      </c>
      <c r="BJ64" s="2">
        <f>5871.84266777246*(1/14151.6638359215)</f>
        <v>0.41492242437725413</v>
      </c>
      <c r="BK64" s="2">
        <f>6042.95767041602*(1/14151.6638359215)</f>
        <v>0.42701393563893447</v>
      </c>
      <c r="BL64" s="2">
        <f>6209.76105476655*(1/14151.6638359215)</f>
        <v>0.43880077471909473</v>
      </c>
      <c r="BM64" s="2">
        <f>6371.49401818134*(1/14151.6638359215)</f>
        <v>0.45022932229413387</v>
      </c>
      <c r="BN64" s="2">
        <f>6527.39775801759*(1/14151.6638359215)</f>
        <v>0.46124595904044463</v>
      </c>
      <c r="BO64" s="2">
        <f>6677.65424653837*(1/14151.6638359215)</f>
        <v>0.47186354367663286</v>
      </c>
      <c r="BP64" s="2">
        <f>6825.11194211394*(1/14151.6638359215)</f>
        <v>0.48228335701344166</v>
      </c>
      <c r="BQ64" s="2">
        <f>6969.50592972282*(1/14151.6638359215)</f>
        <v>0.49248667934239365</v>
      </c>
      <c r="BR64" s="2">
        <f>7110.23634038519*(1/14151.6638359215)</f>
        <v>0.50243112208029628</v>
      </c>
      <c r="BS64" s="2">
        <f>7246.70330512117*(1/14151.6638359215)</f>
        <v>0.51207429664395321</v>
      </c>
      <c r="BT64" s="2">
        <f>7378.30695495094*(1/14151.6638359215)</f>
        <v>0.52137381445017161</v>
      </c>
      <c r="BU64" s="2">
        <f>7504.44742089466*(1/14151.6638359215)</f>
        <v>0.53028728691575799</v>
      </c>
      <c r="BV64" s="2">
        <f>7624.5248339725*(1/14151.6638359215)</f>
        <v>0.53877232545751907</v>
      </c>
      <c r="BW64" s="2">
        <f>7737.93932520462*(1/14151.6638359215)</f>
        <v>0.54678654149226102</v>
      </c>
      <c r="BX64" s="2">
        <f>7844.09102561116*(1/14151.6638359215)</f>
        <v>0.55428754643678857</v>
      </c>
      <c r="BY64" s="2">
        <f>7942.39819450442*(1/14151.6638359215)</f>
        <v>0.56123423270866879</v>
      </c>
      <c r="BZ64" s="2">
        <f>8037.17377037306*(1/14151.6638359215)</f>
        <v>0.5679313657784969</v>
      </c>
      <c r="CA64" s="2">
        <f>8130.66339350562*(1/14151.6638359215)</f>
        <v>0.57453762948123221</v>
      </c>
      <c r="CB64" s="2">
        <f>8220.82216402222*(1/14151.6638359215)</f>
        <v>0.58090852491529055</v>
      </c>
      <c r="CC64" s="2">
        <f>8305.60518204296*(1/14151.6638359215)</f>
        <v>0.58689955317908615</v>
      </c>
      <c r="CD64" s="2">
        <f>8382.96754768794*(1/14151.6638359215)</f>
        <v>0.5923662153710334</v>
      </c>
      <c r="CE64" s="2">
        <f>8450.86436107724*(1/14151.6638359215)</f>
        <v>0.59716401258954532</v>
      </c>
      <c r="CF64" s="2">
        <f>8507.25072233099*(1/14151.6638359215)</f>
        <v>0.60114844593303829</v>
      </c>
      <c r="CG64" s="2">
        <f>8550.08173156929*(1/14151.6638359215)</f>
        <v>0.60417501649992678</v>
      </c>
      <c r="CH64" s="2">
        <f>8577.31248891223*(1/14151.6638359215)</f>
        <v>0.60609922538862437</v>
      </c>
      <c r="CI64" s="2">
        <f>8586.89809447992*(1/14151.6638359215)</f>
        <v>0.60677657369754612</v>
      </c>
      <c r="CJ64" s="2">
        <f>8576.64445007494*(1/14151.6638359215)</f>
        <v>0.60605201971408074</v>
      </c>
      <c r="CK64" s="2">
        <f>8545.35479272903*(1/14151.6638359215)</f>
        <v>0.60384099649386491</v>
      </c>
      <c r="CL64" s="2">
        <f>8495.29019277653*(1/14151.6638359215)</f>
        <v>0.6003032782062514</v>
      </c>
      <c r="CM64" s="2">
        <f>8429.05462184892*(1/14151.6638359215)</f>
        <v>0.59562286947865828</v>
      </c>
      <c r="CN64" s="2">
        <f>8349.25205157769*(1/14151.6638359215)</f>
        <v>0.58998377493850496</v>
      </c>
      <c r="CO64" s="2">
        <f>8258.48645359435*(1/14151.6638359215)</f>
        <v>0.58356999921321207</v>
      </c>
      <c r="CP64" s="2">
        <f>8159.36179953036*(1/14151.6638359215)</f>
        <v>0.57656554693019635</v>
      </c>
      <c r="CQ64" s="2">
        <f>8054.48206101725*(1/14151.6638359215)</f>
        <v>0.5691544227168801</v>
      </c>
      <c r="CR64" s="2">
        <f>7946.4512096865*(1/14151.6638359215)</f>
        <v>0.56152063120068163</v>
      </c>
      <c r="CS64" s="2">
        <f>7837.8732171696*(1/14151.6638359215)</f>
        <v>0.55384817700902023</v>
      </c>
      <c r="CT64" s="2">
        <f>7731.35205509804*(1/14151.6638359215)</f>
        <v>0.54632106476931486</v>
      </c>
      <c r="CU64" s="2">
        <f>7625.06632416194*(1/14151.6638359215)</f>
        <v>0.53881058881621091</v>
      </c>
      <c r="CV64" s="2">
        <f>7514.38289677583*(1/14151.6638359215)</f>
        <v>0.53098935813482906</v>
      </c>
      <c r="CW64" s="2">
        <f>7399.31129977271*(1/14151.6638359215)</f>
        <v>0.5228580459204285</v>
      </c>
      <c r="CX64" s="2">
        <f>7279.879050922*(1/14151.6638359215)</f>
        <v>0.5144185966630519</v>
      </c>
      <c r="CY64" s="2">
        <f>7156.11366799315*(1/14151.6638359215)</f>
        <v>0.50567295485274455</v>
      </c>
      <c r="CZ64" s="2">
        <f>7028.0426687556*(1/14151.6638359215)</f>
        <v>0.49662306497955067</v>
      </c>
      <c r="DA64" s="2">
        <f>6895.69357097877*(1/14151.6638359215)</f>
        <v>0.48727087153351323</v>
      </c>
      <c r="DB64" s="2">
        <f>6759.09389243216*(1/14151.6638359215)</f>
        <v>0.47761831900468082</v>
      </c>
      <c r="DC64" s="2">
        <f>6618.27115088519*(1/14151.6638359215)</f>
        <v>0.46766735188309638</v>
      </c>
      <c r="DD64" s="2">
        <f>6473.2528641073*(1/14151.6638359215)</f>
        <v>0.45741991465880438</v>
      </c>
      <c r="DE64" s="2">
        <f>6323.82845554072*(1/14151.6638359215)</f>
        <v>0.44686112734594485</v>
      </c>
      <c r="DF64" s="2">
        <f>6167.83491280071*(1/14151.6638359215)</f>
        <v>0.43583814485083727</v>
      </c>
      <c r="DG64" s="2">
        <f>6005.51728616233*(1/14151.6638359215)</f>
        <v>0.4243682831780094</v>
      </c>
      <c r="DH64" s="2">
        <f>5837.84320415971*(1/14151.6638359215)</f>
        <v>0.41251991792946463</v>
      </c>
      <c r="DI64" s="2">
        <f>5665.78029532706*(1/14151.6638359215)</f>
        <v>0.40036142470721198</v>
      </c>
      <c r="DJ64" s="2">
        <f>5490.29618819852*(1/14151.6638359215)</f>
        <v>0.38796117911325545</v>
      </c>
      <c r="DK64" s="2">
        <f>5312.35851130824*(1/14151.6638359215)</f>
        <v>0.37538755674959973</v>
      </c>
      <c r="DL64" s="2">
        <f>5132.93489319037*(1/14151.6638359215)</f>
        <v>0.36270893321824965</v>
      </c>
      <c r="DM64" s="2">
        <f>4952.99296237904*(1/14151.6638359215)</f>
        <v>0.34999368412120857</v>
      </c>
      <c r="DN64" s="2">
        <f>4773.50034740846*(1/14151.6638359215)</f>
        <v>0.33731018506048538</v>
      </c>
      <c r="DO64" s="2">
        <f>4595.42467681277*(1/14151.6638359215)</f>
        <v>0.32472681163808426</v>
      </c>
      <c r="DP64" s="2">
        <f>4417.79919941509*(1/14151.6638359215)</f>
        <v>0.31217525024875781</v>
      </c>
      <c r="DQ64" s="2">
        <f>4237.6079583036*(1/14151.6638359215)</f>
        <v>0.29944238412074065</v>
      </c>
      <c r="DR64" s="2">
        <f>4055.4239485491*(1/14151.6638359215)</f>
        <v>0.28656870284433428</v>
      </c>
      <c r="DS64" s="2">
        <f>3871.92146074957*(1/14151.6638359215)</f>
        <v>0.27360185386268016</v>
      </c>
      <c r="DT64" s="2">
        <f>3687.77478550292*(1/14151.6638359215)</f>
        <v>0.2605894846189149</v>
      </c>
      <c r="DU64" s="2">
        <f>3503.6582134072*(1/14151.6638359215)</f>
        <v>0.24757924255618496</v>
      </c>
      <c r="DV64" s="2">
        <f>3320.24603506033*(1/14151.6638359215)</f>
        <v>0.23461877511762763</v>
      </c>
      <c r="DW64" s="2">
        <f>3138.21254106029*(1/14151.6638359215)</f>
        <v>0.22175572974638441</v>
      </c>
      <c r="DX64" s="2">
        <f>2958.23202200504*(1/14151.6638359215)</f>
        <v>0.20903775388559545</v>
      </c>
      <c r="DY64" s="2">
        <f>2780.97876849252*(1/14151.6638359215)</f>
        <v>0.1965124949783994</v>
      </c>
      <c r="DZ64" s="2">
        <f>2606.83807780765*(1/14151.6638359215)</f>
        <v>0.18420717931347774</v>
      </c>
      <c r="EA64" s="2">
        <f>2430.46727072002*(1/14151.6638359215)</f>
        <v>0.17174427677901083</v>
      </c>
      <c r="EB64" s="2">
        <f>2251.12597105846*(1/14151.6638359215)</f>
        <v>0.15907147012243</v>
      </c>
      <c r="EC64" s="2">
        <f>2070.79746037135*(1/14151.6638359215)</f>
        <v>0.14632890410490082</v>
      </c>
      <c r="ED64" s="2">
        <f>1891.46502020709*(1/14151.6638359215)</f>
        <v>0.1336567234875902</v>
      </c>
      <c r="EE64" s="2">
        <f>1715.11193211401*(1/14151.6638359215)</f>
        <v>0.12119507303166015</v>
      </c>
      <c r="EF64" s="2">
        <f>1543.72147764057*(1/14151.6638359215)</f>
        <v>0.10908409749828184</v>
      </c>
      <c r="EG64" s="2">
        <f>1379.27693833512*(1/14151.6638359215)</f>
        <v>9.7463941648618657E-2</v>
      </c>
      <c r="EH64" s="2">
        <f>1223.76159574605*(1/14151.6638359215)</f>
        <v>8.647475024383687E-2</v>
      </c>
      <c r="EI64" s="2">
        <f>1079.15873142173*(1/14151.6638359215)</f>
        <v>7.6256668045101242E-2</v>
      </c>
      <c r="EJ64" s="2">
        <f>947.451626910535*(1/14151.6638359215)</f>
        <v>6.6949839813576995E-2</v>
      </c>
      <c r="EK64" s="2">
        <f>829.402781778797*(1/14151.6638359215)</f>
        <v>5.8608146108834532E-2</v>
      </c>
      <c r="EL64" s="2">
        <f>722.034037407855*(1/14151.6638359215)</f>
        <v>5.1021141102511144E-2</v>
      </c>
      <c r="EM64" s="2">
        <f>624.44654719172*(1/14151.6638359215)</f>
        <v>4.4125309534746915E-2</v>
      </c>
      <c r="EN64" s="2">
        <f>535.950179624385*(1/14151.6638359215)</f>
        <v>3.7871884595221242E-2</v>
      </c>
      <c r="EO64" s="2">
        <f>455.854803199843*(1/14151.6638359215)</f>
        <v>3.2212099473613559E-2</v>
      </c>
      <c r="EP64" s="2">
        <f>383.470286412087*(1/14151.6638359215)</f>
        <v>2.7097187359603283E-2</v>
      </c>
      <c r="EQ64" s="2">
        <f>318.1064977551*(1/14151.6638359215)</f>
        <v>2.2478381442869129E-2</v>
      </c>
      <c r="ER64" s="2">
        <f>259.073305722899*(1/14151.6638359215)</f>
        <v>1.830691491309221E-2</v>
      </c>
      <c r="ES64" s="2">
        <f>205.680578809466*(1/14151.6638359215)</f>
        <v>1.4534020959951167E-2</v>
      </c>
      <c r="ET64" s="2">
        <f>157.238185508794*(1/14151.6638359215)</f>
        <v>1.1110932773125422E-2</v>
      </c>
      <c r="EU64" s="2">
        <f>113.114412026859*(1/14151.6638359215)</f>
        <v>7.9930115171149025E-3</v>
      </c>
      <c r="EV64" s="2">
        <f>77.0169950090648*(1/14151.6638359215)</f>
        <v>5.4422572428247454E-3</v>
      </c>
      <c r="EW64" s="2">
        <f>50.4618636340212*(1/14151.6638359215)</f>
        <v>3.5657901586054262E-3</v>
      </c>
      <c r="EX64" s="2">
        <f>32.0064673933319*(1/14151.6638359215)</f>
        <v>2.2616752181527332E-3</v>
      </c>
      <c r="EY64" s="2">
        <f>20.208255778609*(1/14151.6638359215)</f>
        <v>1.4279773751630471E-3</v>
      </c>
      <c r="EZ64" s="2">
        <f>13.6246782814644*(1/14151.6638359215)</f>
        <v>9.6276158333273576E-4</v>
      </c>
      <c r="FA64" s="2">
        <f>10.8131843935101*(1/14151.6638359215)</f>
        <v>7.6409279635817392E-4</v>
      </c>
      <c r="FB64" s="2">
        <f>10.331223606358*(1/14151.6638359215)</f>
        <v>7.3003596793572872E-4</v>
      </c>
      <c r="FC64" s="2">
        <f>10.7362454116202*(1/14151.6638359215)</f>
        <v>7.5865605176178195E-4</v>
      </c>
      <c r="FD64" s="2">
        <f>10.5856993009084*(1/14151.6638359215)</f>
        <v>7.480180015326871E-4</v>
      </c>
      <c r="FE64" s="2">
        <f>8.43703476583432*(1/14151.6638359215)</f>
        <v>5.9618677094479852E-4</v>
      </c>
      <c r="FF64" s="2">
        <f>3.69400229206663*(1/14151.6638359215)</f>
        <v>2.6102953934575927E-4</v>
      </c>
      <c r="FG64" s="2">
        <f>-0.507776043649983*(1/14151.6638359215)</f>
        <v>-3.5881013677069064E-5</v>
      </c>
      <c r="FH64" s="2">
        <f>-3.70235924458593*(1/14151.6638359215)</f>
        <v>-2.6162006725938085E-4</v>
      </c>
      <c r="FI64" s="2">
        <f>-5.88974731074209*(1/14151.6638359215)</f>
        <v>-4.1618762140123807E-4</v>
      </c>
      <c r="FJ64" s="2">
        <f>-7.06994024211845*(1/14151.6638359215)</f>
        <v>-4.9958367610263997E-4</v>
      </c>
      <c r="FK64" s="2">
        <f>-7.24293803871502*(1/14151.6638359215)</f>
        <v>-5.1180823136358713E-4</v>
      </c>
      <c r="FL64" s="2">
        <f>-6.4087407005318*(1/14151.6638359215)</f>
        <v>-4.5286128718407956E-4</v>
      </c>
      <c r="FM64" s="2">
        <f>-4.56734822756835*(1/14151.6638359215)</f>
        <v>-3.2274284356408631E-4</v>
      </c>
      <c r="FN64" s="2">
        <f>-1.71876061982536*(1/14151.6638359215)</f>
        <v>-1.2145290050365595E-4</v>
      </c>
      <c r="FO64" s="2">
        <f>2.13702212269743*(1/14151.6638359215)</f>
        <v>1.5100854199722981E-4</v>
      </c>
      <c r="FP64" s="2">
        <f t="shared" si="17"/>
        <v>4.9464148393856954E-4</v>
      </c>
      <c r="FQ64" s="2"/>
    </row>
    <row r="65" spans="2:173">
      <c r="B65" s="2">
        <v>9.8869822485207113</v>
      </c>
      <c r="C65" s="2">
        <f t="shared" si="18"/>
        <v>4.9464148393856954E-4</v>
      </c>
      <c r="D65" s="2">
        <f>4.43021424485604*(1/14151.6638359215)</f>
        <v>3.130525354630544E-4</v>
      </c>
      <c r="E65" s="2">
        <f>2.39790002019968*(1/14151.6638359215)</f>
        <v>1.694429749039851E-4</v>
      </c>
      <c r="F65" s="2">
        <f>0.903057326030707*(1/14151.6638359215)</f>
        <v>6.3812802261346499E-5</v>
      </c>
      <c r="G65" s="2">
        <f>-0.0543138376503258*(1/14151.6638359215)</f>
        <v>-3.8379824648222431E-6</v>
      </c>
      <c r="H65" s="2">
        <f>-0.474213470843753*(1/14151.6638359215)</f>
        <v>-3.3509379274544795E-5</v>
      </c>
      <c r="I65" s="2">
        <f>-0.356641573549569*(1/14151.6638359215)</f>
        <v>-2.5201388167820757E-5</v>
      </c>
      <c r="J65" s="2">
        <f>0.298401854232226*(1/14151.6638359215)</f>
        <v>2.1085990855349856E-5</v>
      </c>
      <c r="K65" s="2">
        <f>1.49091681250162*(1/14151.6638359215)</f>
        <v>1.0535275779496619E-4</v>
      </c>
      <c r="L65" s="2">
        <f>3.22090330125901*(1/14151.6638359215)</f>
        <v>2.2759891265105632E-4</v>
      </c>
      <c r="M65" s="2">
        <f>5.48836132050373*(1/14151.6638359215)</f>
        <v>3.8782445542357314E-4</v>
      </c>
      <c r="N65" s="2">
        <f>7.31277082756317*(1/14151.6638359215)</f>
        <v>5.1674283054978969E-4</v>
      </c>
      <c r="O65" s="2">
        <f>2.09557038636161*(1/14151.6638359215)</f>
        <v>1.4807943508680406E-4</v>
      </c>
      <c r="P65" s="2">
        <f>-8.90850044736007*(1/14151.6638359215)</f>
        <v>-6.2950198299279944E-4</v>
      </c>
      <c r="Q65" s="2">
        <f>-22.6637575505582*(1/14151.6638359215)</f>
        <v>-1.6014906666331524E-3</v>
      </c>
      <c r="R65" s="2">
        <f>-36.1345168001915*(1/14151.6638359215)</f>
        <v>-2.5533758587785566E-3</v>
      </c>
      <c r="S65" s="2">
        <f>-46.2850940732106*(1/14151.6638359215)</f>
        <v>-3.2706468023727402E-3</v>
      </c>
      <c r="T65" s="2">
        <f>-50.0798052465747*(1/14151.6638359215)</f>
        <v>-3.5387927403600387E-3</v>
      </c>
      <c r="U65" s="2">
        <f>-44.4829661972399*(1/14151.6638359215)</f>
        <v>-3.1433029156845674E-3</v>
      </c>
      <c r="V65" s="2">
        <f>-26.4588928021627*(1/14151.6638359215)</f>
        <v>-1.8696665712904707E-3</v>
      </c>
      <c r="W65" s="2">
        <f>7.02809906170064*(1/14151.6638359215)</f>
        <v>4.9662704987812466E-4</v>
      </c>
      <c r="X65" s="2">
        <f>59.0136935174054*(1/14151.6638359215)</f>
        <v>4.1700887048779067E-3</v>
      </c>
      <c r="Y65" s="2">
        <f>131.415440091759*(1/14151.6638359215)</f>
        <v>9.2862183284896944E-3</v>
      </c>
      <c r="Z65" s="2">
        <f>222.140366861648*(1/14151.6638359215)</f>
        <v>1.569712010101483E-2</v>
      </c>
      <c r="AA65" s="2">
        <f>328.500991022666*(1/14151.6638359215)</f>
        <v>2.3212888239248892E-2</v>
      </c>
      <c r="AB65" s="2">
        <f>447.817765429035*(1/14151.6638359215)</f>
        <v>3.1644177717981732E-2</v>
      </c>
      <c r="AC65" s="2">
        <f>577.411142934979*(1/14151.6638359215)</f>
        <v>4.0801643512003355E-2</v>
      </c>
      <c r="AD65" s="2">
        <f>714.601576394747*(1/14151.6638359215)</f>
        <v>5.0495940596105529E-2</v>
      </c>
      <c r="AE65" s="2">
        <f>856.70951866251*(1/14151.6638359215)</f>
        <v>6.0537723945074513E-2</v>
      </c>
      <c r="AF65" s="2">
        <f>1001.05542259252*(1/14151.6638359215)</f>
        <v>7.0737648533702277E-2</v>
      </c>
      <c r="AG65" s="2">
        <f>1144.95974103899*(1/14151.6638359215)</f>
        <v>8.0906369336778042E-2</v>
      </c>
      <c r="AH65" s="2">
        <f>1285.74292685615*(1/14151.6638359215)</f>
        <v>9.085454132909225E-2</v>
      </c>
      <c r="AI65" s="2">
        <f>1421.05449447755*(1/14151.6638359215)</f>
        <v>0.10041607198656416</v>
      </c>
      <c r="AJ65" s="2">
        <f>1554.05160748436*(1/14151.6638359215)</f>
        <v>0.1098140561775976</v>
      </c>
      <c r="AK65" s="2">
        <f>1686.91775688019*(1/14151.6638359215)</f>
        <v>0.11920278607793432</v>
      </c>
      <c r="AL65" s="2">
        <f>1820.52343357021*(1/14151.6638359215)</f>
        <v>0.12864377324658693</v>
      </c>
      <c r="AM65" s="2">
        <f>1955.7391284596*(1/14151.6638359215)</f>
        <v>0.13819852924256873</v>
      </c>
      <c r="AN65" s="2">
        <f>2093.43533245354*(1/14151.6638359215)</f>
        <v>0.14792856562489309</v>
      </c>
      <c r="AO65" s="2">
        <f>2234.4825364572*(1/14151.6638359215)</f>
        <v>0.1578953939525726</v>
      </c>
      <c r="AP65" s="2">
        <f>2379.75123137578*(1/14151.6638359215)</f>
        <v>0.16816052578462201</v>
      </c>
      <c r="AQ65" s="2">
        <f>2530.11190811442*(1/14151.6638359215)</f>
        <v>0.17878547268005179</v>
      </c>
      <c r="AR65" s="2">
        <f>2686.43505757832*(1/14151.6638359215)</f>
        <v>0.18983174619787668</v>
      </c>
      <c r="AS65" s="2">
        <f>2849.59117067264*(1/14151.6638359215)</f>
        <v>0.20136085789710861</v>
      </c>
      <c r="AT65" s="2">
        <f>3021.20567355395*(1/14151.6638359215)</f>
        <v>0.21348766537862163</v>
      </c>
      <c r="AU65" s="2">
        <f>3202.61903361281*(1/14151.6638359215)</f>
        <v>0.22630689018230685</v>
      </c>
      <c r="AV65" s="2">
        <f>3392.11899129389*(1/14151.6638359215)</f>
        <v>0.23969753879283048</v>
      </c>
      <c r="AW65" s="2">
        <f>3587.88133553521*(1/14151.6638359215)</f>
        <v>0.25353070685780471</v>
      </c>
      <c r="AX65" s="2">
        <f>3788.08185527474*(1/14151.6638359215)</f>
        <v>0.26767749002483815</v>
      </c>
      <c r="AY65" s="2">
        <f>3990.89633945046*(1/14151.6638359215)</f>
        <v>0.28200898394154011</v>
      </c>
      <c r="AZ65" s="2">
        <f>4194.50057700035*(1/14151.6638359215)</f>
        <v>0.29639628425551989</v>
      </c>
      <c r="BA65" s="2">
        <f>4397.07035686243*(1/14151.6638359215)</f>
        <v>0.31071048661438971</v>
      </c>
      <c r="BB65" s="2">
        <f>4596.78146797459*(1/14151.6638359215)</f>
        <v>0.32482268666575248</v>
      </c>
      <c r="BC65" s="2">
        <f>4791.80969927485*(1/14151.6638359215)</f>
        <v>0.33860398005722031</v>
      </c>
      <c r="BD65" s="2">
        <f>4980.49614897621*(1/14151.6638359215)</f>
        <v>0.35193714369713192</v>
      </c>
      <c r="BE65" s="2">
        <f>5167.38528027737*(1/14151.6638359215)</f>
        <v>0.36514330330267419</v>
      </c>
      <c r="BF65" s="2">
        <f>5354.64259427934*(1/14151.6638359215)</f>
        <v>0.3783754798278578</v>
      </c>
      <c r="BG65" s="2">
        <f>5541.43893300425*(1/14151.6638359215)</f>
        <v>0.39157508242516942</v>
      </c>
      <c r="BH65" s="2">
        <f>5726.94513847415*(1/14151.6638359215)</f>
        <v>0.40468352024709003</v>
      </c>
      <c r="BI65" s="2">
        <f>5910.33205271118*(1/14151.6638359215)</f>
        <v>0.41764220244610711</v>
      </c>
      <c r="BJ65" s="2">
        <f>6090.77051773745*(1/14151.6638359215)</f>
        <v>0.43039253817470596</v>
      </c>
      <c r="BK65" s="2">
        <f>6267.43137557505*(1/14151.6638359215)</f>
        <v>0.44287593658537044</v>
      </c>
      <c r="BL65" s="2">
        <f>6439.48546824611*(1/14151.6638359215)</f>
        <v>0.4550338068305872</v>
      </c>
      <c r="BM65" s="2">
        <f>6606.10363777275*(1/14151.6638359215)</f>
        <v>0.46680755806284219</v>
      </c>
      <c r="BN65" s="2">
        <f>6766.45672617703*(1/14151.6638359215)</f>
        <v>0.47813859943461734</v>
      </c>
      <c r="BO65" s="2">
        <f>6920.69038697936*(1/14151.6638359215)</f>
        <v>0.48903722327069482</v>
      </c>
      <c r="BP65" s="2">
        <f>7071.75336951137*(1/14151.6638359215)</f>
        <v>0.49971179724895476</v>
      </c>
      <c r="BQ65" s="2">
        <f>7219.41733567725*(1/14151.6638359215)</f>
        <v>0.51014618629874697</v>
      </c>
      <c r="BR65" s="2">
        <f>7363.10901254763*(1/14151.6638359215)</f>
        <v>0.5202998811954308</v>
      </c>
      <c r="BS65" s="2">
        <f>7502.25512719306*(1/14151.6638359215)</f>
        <v>0.53013237271435953</v>
      </c>
      <c r="BT65" s="2">
        <f>7636.28240668418*(1/14151.6638359215)</f>
        <v>0.53960315163089345</v>
      </c>
      <c r="BU65" s="2">
        <f>7764.6175780916*(1/14151.6638359215)</f>
        <v>0.54867170872039017</v>
      </c>
      <c r="BV65" s="2">
        <f>7886.68736848594*(1/14151.6638359215)</f>
        <v>0.5572975347582082</v>
      </c>
      <c r="BW65" s="2">
        <f>8001.9185049378*(1/14151.6638359215)</f>
        <v>0.56544012051970471</v>
      </c>
      <c r="BX65" s="2">
        <f>8109.7377145178*(1/14151.6638359215)</f>
        <v>0.57305895678023833</v>
      </c>
      <c r="BY65" s="2">
        <f>8209.59016515078*(1/14151.6638359215)</f>
        <v>0.58011483740252401</v>
      </c>
      <c r="BZ65" s="2">
        <f>8305.88611352311*(1/14151.6638359215)</f>
        <v>0.58691940465968995</v>
      </c>
      <c r="CA65" s="2">
        <f>8400.8834263095*(1/14151.6638359215)</f>
        <v>0.59363220634066649</v>
      </c>
      <c r="CB65" s="2">
        <f>8492.46456758545*(1/14151.6638359215)</f>
        <v>0.6001036108580271</v>
      </c>
      <c r="CC65" s="2">
        <f>8578.51200142647*(1/14151.6638359215)</f>
        <v>0.60618398662434536</v>
      </c>
      <c r="CD65" s="2">
        <f>8656.90819190807*(1/14151.6638359215)</f>
        <v>0.61172370205219528</v>
      </c>
      <c r="CE65" s="2">
        <f>8725.53560310571*(1/14151.6638359215)</f>
        <v>0.61657312555414723</v>
      </c>
      <c r="CF65" s="2">
        <f>8782.27669909492*(1/14151.6638359215)</f>
        <v>0.62058262554277621</v>
      </c>
      <c r="CG65" s="2">
        <f>8825.01394395121*(1/14151.6638359215)</f>
        <v>0.62360257043065637</v>
      </c>
      <c r="CH65" s="2">
        <f>8851.62980175005*(1/14151.6638359215)</f>
        <v>0.62548332863035871</v>
      </c>
      <c r="CI65" s="2">
        <f>8860.00673656698*(1/14151.6638359215)</f>
        <v>0.62607526855445916</v>
      </c>
      <c r="CJ65" s="2">
        <f>8847.87201917082*(1/14151.6638359215)</f>
        <v>0.62521779218017171</v>
      </c>
      <c r="CK65" s="2">
        <f>8813.98282655859*(1/14151.6638359215)</f>
        <v>0.62282307781971546</v>
      </c>
      <c r="CL65" s="2">
        <f>8760.68143766721*(1/14151.6638359215)</f>
        <v>0.61905663809154143</v>
      </c>
      <c r="CM65" s="2">
        <f>8690.66597726928*(1/14151.6638359215)</f>
        <v>0.6141091307729879</v>
      </c>
      <c r="CN65" s="2">
        <f>8606.63457013742*(1/14151.6638359215)</f>
        <v>0.60817121364139515</v>
      </c>
      <c r="CO65" s="2">
        <f>8511.28534104425*(1/14151.6638359215)</f>
        <v>0.60143354447410313</v>
      </c>
      <c r="CP65" s="2">
        <f>8407.31641476233*(1/14151.6638359215)</f>
        <v>0.59408678104844759</v>
      </c>
      <c r="CQ65" s="2">
        <f>8297.42591606434*(1/14151.6638359215)</f>
        <v>0.5863215811417728</v>
      </c>
      <c r="CR65" s="2">
        <f>8184.31196972285*(1/14151.6638359215)</f>
        <v>0.57832860253141538</v>
      </c>
      <c r="CS65" s="2">
        <f>8070.67270051049*(1/14151.6638359215)</f>
        <v>0.57029850299471596</v>
      </c>
      <c r="CT65" s="2">
        <f>7959.20623319985*(1/14151.6638359215)</f>
        <v>0.56242194030901238</v>
      </c>
      <c r="CU65" s="2">
        <f>7847.92862126448*(1/14151.6638359215)</f>
        <v>0.55455872272374784</v>
      </c>
      <c r="CV65" s="2">
        <f>7731.95921741651*(1/14151.6638359215)</f>
        <v>0.5463639687222005</v>
      </c>
      <c r="CW65" s="2">
        <f>7611.3759972789*(1/14151.6638359215)</f>
        <v>0.53784318830120648</v>
      </c>
      <c r="CX65" s="2">
        <f>7486.27605229924*(1/14151.6638359215)</f>
        <v>0.52900324224043893</v>
      </c>
      <c r="CY65" s="2">
        <f>7356.75647392514*(1/14151.6638359215)</f>
        <v>0.5198509913195728</v>
      </c>
      <c r="CZ65" s="2">
        <f>7222.91435360424*(1/14151.6638359215)</f>
        <v>0.51039329631828501</v>
      </c>
      <c r="DA65" s="2">
        <f>7084.84678278411*(1/14151.6638359215)</f>
        <v>0.50063701801624749</v>
      </c>
      <c r="DB65" s="2">
        <f>6942.65085291244*(1/14151.6638359215)</f>
        <v>0.49058901719314074</v>
      </c>
      <c r="DC65" s="2">
        <f>6796.4236554368*(1/14151.6638359215)</f>
        <v>0.48025615462863658</v>
      </c>
      <c r="DD65" s="2">
        <f>6646.26228180483*(1/14151.6638359215)</f>
        <v>0.4696452911024121</v>
      </c>
      <c r="DE65" s="2">
        <f>6491.99882276495*(1/14151.6638359215)</f>
        <v>0.45874456163141453</v>
      </c>
      <c r="DF65" s="2">
        <f>6331.24886597276*(1/14151.6638359215)</f>
        <v>0.44738547632130737</v>
      </c>
      <c r="DG65" s="2">
        <f>6164.22276984321*(1/14151.6638359215)</f>
        <v>0.43558289974330927</v>
      </c>
      <c r="DH65" s="2">
        <f>5991.92615487097*(1/14151.6638359215)</f>
        <v>0.42340789212795771</v>
      </c>
      <c r="DI65" s="2">
        <f>5815.36464155084*(1/14151.6638359215)</f>
        <v>0.41093151370579933</v>
      </c>
      <c r="DJ65" s="2">
        <f>5635.5438503775*(1/14151.6638359215)</f>
        <v>0.39822482470737242</v>
      </c>
      <c r="DK65" s="2">
        <f>5453.46940184566*(1/14151.6638359215)</f>
        <v>0.38535888536321722</v>
      </c>
      <c r="DL65" s="2">
        <f>5270.14691645005*(1/14151.6638359215)</f>
        <v>0.37240475590387562</v>
      </c>
      <c r="DM65" s="2">
        <f>5086.58201468534*(1/14151.6638359215)</f>
        <v>0.35943349655988505</v>
      </c>
      <c r="DN65" s="2">
        <f>4903.78031704633*(1/14151.6638359215)</f>
        <v>0.34651616756179227</v>
      </c>
      <c r="DO65" s="2">
        <f>4722.7474440277*(1/14151.6638359215)</f>
        <v>0.33372382914013543</v>
      </c>
      <c r="DP65" s="2">
        <f>4542.67478050653*(1/14151.6638359215)</f>
        <v>0.32099934206858077</v>
      </c>
      <c r="DQ65" s="2">
        <f>4360.71541526488*(1/14151.6638359215)</f>
        <v>0.30814153486291657</v>
      </c>
      <c r="DR65" s="2">
        <f>4177.29356022128*(1/14151.6638359215)</f>
        <v>0.29518038363926918</v>
      </c>
      <c r="DS65" s="2">
        <f>3992.92718606918*(1/14151.6638359215)</f>
        <v>0.28215248979655944</v>
      </c>
      <c r="DT65" s="2">
        <f>3808.13426350201*(1/14151.6638359215)</f>
        <v>0.26909445473370658</v>
      </c>
      <c r="DU65" s="2">
        <f>3623.43276321329*(1/14151.6638359215)</f>
        <v>0.2560428798496362</v>
      </c>
      <c r="DV65" s="2">
        <f>3439.34065589645*(1/14151.6638359215)</f>
        <v>0.24303436654326757</v>
      </c>
      <c r="DW65" s="2">
        <f>3256.37591224492*(1/14151.6638359215)</f>
        <v>0.23010551621352004</v>
      </c>
      <c r="DX65" s="2">
        <f>3075.05650295219*(1/14151.6638359215)</f>
        <v>0.21729293025931706</v>
      </c>
      <c r="DY65" s="2">
        <f>2895.90039871166*(1/14151.6638359215)</f>
        <v>0.2046332100795758</v>
      </c>
      <c r="DZ65" s="2">
        <f>2719.14772641604*(1/14151.6638359215)</f>
        <v>0.19214332377751678</v>
      </c>
      <c r="EA65" s="2">
        <f>2539.60113743329*(1/14151.6638359215)</f>
        <v>0.17945601074744025</v>
      </c>
      <c r="EB65" s="2">
        <f>2356.66041838707*(1/14151.6638359215)</f>
        <v>0.16652885807003864</v>
      </c>
      <c r="EC65" s="2">
        <f>2172.36895805363*(1/14151.6638359215)</f>
        <v>0.15350625786767597</v>
      </c>
      <c r="ED65" s="2">
        <f>1988.7701452092*(1/14151.6638359215)</f>
        <v>0.14053260226271475</v>
      </c>
      <c r="EE65" s="2">
        <f>1807.90736862999*(1/14151.6638359215)</f>
        <v>0.12775228337751612</v>
      </c>
      <c r="EF65" s="2">
        <f>1631.8240170923*(1/14151.6638359215)</f>
        <v>0.11530969333444756</v>
      </c>
      <c r="EG65" s="2">
        <f>1462.56347937235*(1/14151.6638359215)</f>
        <v>0.10334922425587095</v>
      </c>
      <c r="EH65" s="2">
        <f>1302.16914424637*(1/14151.6638359215)</f>
        <v>9.2015268264148811E-2</v>
      </c>
      <c r="EI65" s="2">
        <f>1152.6844004906*(1/14151.6638359215)</f>
        <v>8.1452217481644398E-2</v>
      </c>
      <c r="EJ65" s="2">
        <f>1016.15263688126*(1/14151.6638359215)</f>
        <v>7.180446403071955E-2</v>
      </c>
      <c r="EK65" s="2">
        <f>893.244512394933*(1/14151.6638359215)</f>
        <v>6.3119398733001958E-2</v>
      </c>
      <c r="EL65" s="2">
        <f>780.614042025423*(1/14151.6638359215)</f>
        <v>5.5160584018677163E-2</v>
      </c>
      <c r="EM65" s="2">
        <f>677.456749496597*(1/14151.6638359215)</f>
        <v>4.7871173125028074E-2</v>
      </c>
      <c r="EN65" s="2">
        <f>583.20935413113*(1/14151.6638359215)</f>
        <v>4.1211362910610977E-2</v>
      </c>
      <c r="EO65" s="2">
        <f>497.308575251698*(1/14151.6638359215)</f>
        <v>3.5141350233982245E-2</v>
      </c>
      <c r="EP65" s="2">
        <f>419.191132180974*(1/14151.6638359215)</f>
        <v>2.9621331953698007E-2</v>
      </c>
      <c r="EQ65" s="2">
        <f>348.29374424162*(1/14151.6638359215)</f>
        <v>2.4611504928313648E-2</v>
      </c>
      <c r="ER65" s="2">
        <f>284.053130756337*(1/14151.6638359215)</f>
        <v>2.0072066016387294E-2</v>
      </c>
      <c r="ES65" s="2">
        <f>225.906011047787*(1/14151.6638359215)</f>
        <v>1.5963212076474321E-2</v>
      </c>
      <c r="ET65" s="2">
        <f>173.289104438643*(1/14151.6638359215)</f>
        <v>1.2245139967130876E-2</v>
      </c>
      <c r="EU65" s="2">
        <f>125.69600340151*(1/14151.6638359215)</f>
        <v>8.8820653782386277E-3</v>
      </c>
      <c r="EV65" s="2">
        <f>86.7986500179171*(1/14151.6638359215)</f>
        <v>6.1334590069610081E-3</v>
      </c>
      <c r="EW65" s="2">
        <f>57.9897358155075*(1/14151.6638359215)</f>
        <v>4.0977327109983207E-3</v>
      </c>
      <c r="EX65" s="2">
        <f>37.7536461993492*(1/14151.6638359215)</f>
        <v>2.6677885114482604E-3</v>
      </c>
      <c r="EY65" s="2">
        <f>24.574766574519*(1/14151.6638359215)</f>
        <v>1.736528429409148E-3</v>
      </c>
      <c r="EZ65" s="2">
        <f>16.9374823460935*(1/14151.6638359215)</f>
        <v>1.1968544859792876E-3</v>
      </c>
      <c r="FA65" s="2">
        <f>13.3261789191497*(1/14151.6638359215)</f>
        <v>9.4166870225701296E-4</v>
      </c>
      <c r="FB65" s="2">
        <f>12.225241698764*(1/14151.6638359215)</f>
        <v>8.6387309934061486E-4</v>
      </c>
      <c r="FC65" s="2">
        <f>12.1190560900135*(1/14151.6638359215)</f>
        <v>8.5636969832843365E-4</v>
      </c>
      <c r="FD65" s="2">
        <f>11.4920074979745*(1/14151.6638359215)</f>
        <v>8.1206052031875344E-4</v>
      </c>
      <c r="FE65" s="2">
        <f>8.82848132772371*(1/14151.6638359215)</f>
        <v>6.2384758640988698E-4</v>
      </c>
      <c r="FF65" s="2">
        <f>3.5020284803338*(1/14151.6638359215)</f>
        <v>2.4746408061534922E-4</v>
      </c>
      <c r="FG65" s="2">
        <f>-1.19291209315397*(1/14151.6638359215)</f>
        <v>-8.4294829709420692E-5</v>
      </c>
      <c r="FH65" s="2">
        <f>-4.76679983876223*(1/14151.6638359215)</f>
        <v>-3.3683670655478335E-4</v>
      </c>
      <c r="FI65" s="2">
        <f>-7.21963475649195*(1/14151.6638359215)</f>
        <v>-5.1016154992080732E-4</v>
      </c>
      <c r="FJ65" s="2">
        <f>-8.55141684634314*(1/14151.6638359215)</f>
        <v>-6.0426935980749331E-4</v>
      </c>
      <c r="FK65" s="2">
        <f>-8.7621461083158*(1/14151.6638359215)</f>
        <v>-6.1916013621484138E-4</v>
      </c>
      <c r="FL65" s="2">
        <f>-7.85182254240993*(1/14151.6638359215)</f>
        <v>-5.5483387914285142E-4</v>
      </c>
      <c r="FM65" s="2">
        <f>-5.82044614862504*(1/14151.6638359215)</f>
        <v>-4.1129058859148878E-4</v>
      </c>
      <c r="FN65" s="2">
        <f>-2.66801692696189*(1/14151.6638359215)</f>
        <v>-1.8853026456080736E-4</v>
      </c>
      <c r="FO65" s="2">
        <f>1.6054651225798*(1/14151.6638359215)</f>
        <v>1.1344709294921282E-4</v>
      </c>
      <c r="FP65" s="2">
        <f t="shared" si="17"/>
        <v>4.9464148393856954E-4</v>
      </c>
      <c r="FQ65" s="2"/>
    </row>
    <row r="66" spans="2:173">
      <c r="B66" s="2">
        <v>9.8964497041420127</v>
      </c>
      <c r="C66" s="2">
        <f t="shared" si="18"/>
        <v>4.9464148393856954E-4</v>
      </c>
      <c r="D66" s="2">
        <f>3.85985169218479*(1/14151.6638359215)</f>
        <v>2.7274896697215476E-4</v>
      </c>
      <c r="E66" s="2">
        <f>1.37646642914137*(1/14151.6638359215)</f>
        <v>9.7265342443158734E-5</v>
      </c>
      <c r="F66" s="2">
        <f>-0.450155789130539*(1/14151.6638359215)</f>
        <v>-3.180938964843823E-5</v>
      </c>
      <c r="G66" s="2">
        <f>-1.62001496263026*(1/14151.6638359215)</f>
        <v>-1.144752293025883E-4</v>
      </c>
      <c r="H66" s="2">
        <f>-2.1331110913582*(1/14151.6638359215)</f>
        <v>-1.5073217651932023E-4</v>
      </c>
      <c r="I66" s="2">
        <f>-1.98944417531435*(1/14151.6638359215)</f>
        <v>-1.4058023129863339E-4</v>
      </c>
      <c r="J66" s="2">
        <f>-1.1890142144987*(1/14151.6638359215)</f>
        <v>-8.4019393640527085E-5</v>
      </c>
      <c r="K66" s="2">
        <f>0.268178791088715*(1/14151.6638359215)</f>
        <v>1.8950336454996232E-5</v>
      </c>
      <c r="L66" s="2">
        <f>2.38213484144838*(1/14151.6638359215)</f>
        <v>1.6832895898797083E-4</v>
      </c>
      <c r="M66" s="2">
        <f>5.15285393657951*(1/14151.6638359215)</f>
        <v>3.6411647395834126E-4</v>
      </c>
      <c r="N66" s="2">
        <f>7.57612472986248*(1/14151.6638359215)</f>
        <v>5.3535222555469591E-4</v>
      </c>
      <c r="O66" s="2">
        <f>2.89395148730635*(1/14151.6638359215)</f>
        <v>2.0449549401820618E-4</v>
      </c>
      <c r="P66" s="2">
        <f>-7.60860924548984*(1/14151.6638359215)</f>
        <v>-5.3764768112825919E-4</v>
      </c>
      <c r="Q66" s="2">
        <f>-20.8225252117205*(1/14151.6638359215)</f>
        <v>-1.4713835385819578E-3</v>
      </c>
      <c r="R66" s="2">
        <f>-33.638764154582*(1/14151.6638359215)</f>
        <v>-2.3770183170402858E-3</v>
      </c>
      <c r="S66" s="2">
        <f>-42.9482938172636*(1/14151.6638359215)</f>
        <v>-3.0348582552001367E-3</v>
      </c>
      <c r="T66" s="2">
        <f>-45.6420819429621*(1/14151.6638359215)</f>
        <v>-3.2252095917589376E-3</v>
      </c>
      <c r="U66" s="2">
        <f>-38.6110962748719*(1/14151.6638359215)</f>
        <v>-2.7283785654139445E-3</v>
      </c>
      <c r="V66" s="2">
        <f>-18.7463045561873*(1/14151.6638359215)</f>
        <v>-1.3246714148624078E-3</v>
      </c>
      <c r="W66" s="2">
        <f>17.0613254698973*(1/14151.6638359215)</f>
        <v>1.2056056211984163E-3</v>
      </c>
      <c r="X66" s="2">
        <f>71.9208260601998*(1/14151.6638359215)</f>
        <v>5.0821463040721391E-3</v>
      </c>
      <c r="Y66" s="2">
        <f>147.874036174875*(1/14151.6638359215)</f>
        <v>1.044923324136084E-2</v>
      </c>
      <c r="Z66" s="2">
        <f>242.864557774175*(1/14151.6638359215)</f>
        <v>1.7161555036214627E-2</v>
      </c>
      <c r="AA66" s="2">
        <f>354.078664264677*(1/14151.6638359215)</f>
        <v>2.5020285131838054E-2</v>
      </c>
      <c r="AB66" s="2">
        <f>478.709001251084*(1/14151.6638359215)</f>
        <v>3.3827047250512388E-2</v>
      </c>
      <c r="AC66" s="2">
        <f>613.948214338097*(1/14151.6638359215)</f>
        <v>4.3383465114518759E-2</v>
      </c>
      <c r="AD66" s="2">
        <f>756.988949130449*(1/14151.6638359215)</f>
        <v>5.3491162446140515E-2</v>
      </c>
      <c r="AE66" s="2">
        <f>905.023851232788*(1/14151.6638359215)</f>
        <v>6.3951762967655076E-2</v>
      </c>
      <c r="AF66" s="2">
        <f>1055.24556624984*(1/14151.6638359215)</f>
        <v>7.4566890401345287E-2</v>
      </c>
      <c r="AG66" s="2">
        <f>1204.84673978632*(1/14151.6638359215)</f>
        <v>8.5138168469493278E-2</v>
      </c>
      <c r="AH66" s="2">
        <f>1351.02001744691*(1/14151.6638359215)</f>
        <v>9.5467220894378813E-2</v>
      </c>
      <c r="AI66" s="2">
        <f>1491.302375138*(1/14151.6638359215)</f>
        <v>0.10538000283419623</v>
      </c>
      <c r="AJ66" s="2">
        <f>1628.99605298575*(1/14151.6638359215)</f>
        <v>0.11510986071127773</v>
      </c>
      <c r="AK66" s="2">
        <f>1766.3889796345*(1/14151.6638359215)</f>
        <v>0.12481846658559211</v>
      </c>
      <c r="AL66" s="2">
        <f>1904.39572340779*(1/14151.6638359215)</f>
        <v>0.13457044666181356</v>
      </c>
      <c r="AM66" s="2">
        <f>2043.93085262917*(1/14151.6638359215)</f>
        <v>0.1444304271446169</v>
      </c>
      <c r="AN66" s="2">
        <f>2185.90893562219*(1/14151.6638359215)</f>
        <v>0.15446303423867702</v>
      </c>
      <c r="AO66" s="2">
        <f>2331.24454071042*(1/14151.6638359215)</f>
        <v>0.16473289414867018</v>
      </c>
      <c r="AP66" s="2">
        <f>2480.85223621743*(1/14151.6638359215)</f>
        <v>0.1753046330792726</v>
      </c>
      <c r="AQ66" s="2">
        <f>2635.64659046671*(1/14151.6638359215)</f>
        <v>0.18624287723515498</v>
      </c>
      <c r="AR66" s="2">
        <f>2796.54217178186*(1/14151.6638359215)</f>
        <v>0.19761225282099562</v>
      </c>
      <c r="AS66" s="2">
        <f>2964.45354848642*(1/14151.6638359215)</f>
        <v>0.20947738604146873</v>
      </c>
      <c r="AT66" s="2">
        <f>3141.00615580156*(1/14151.6638359215)</f>
        <v>0.22195313513798079</v>
      </c>
      <c r="AU66" s="2">
        <f>3327.45283226513*(1/14151.6638359215)</f>
        <v>0.23512802952674572</v>
      </c>
      <c r="AV66" s="2">
        <f>3522.07400038466*(1/14151.6638359215)</f>
        <v>0.24888055858453173</v>
      </c>
      <c r="AW66" s="2">
        <f>3723.04253818297*(1/14151.6638359215)</f>
        <v>0.26308161226474897</v>
      </c>
      <c r="AX66" s="2">
        <f>3928.53132368284*(1/14151.6638359215)</f>
        <v>0.27760208052080471</v>
      </c>
      <c r="AY66" s="2">
        <f>4136.71323490707*(1/14151.6638359215)</f>
        <v>0.29231285330610762</v>
      </c>
      <c r="AZ66" s="2">
        <f>4345.76114987843*(1/14151.6638359215)</f>
        <v>0.30708482057406444</v>
      </c>
      <c r="BA66" s="2">
        <f>4553.84794661975*(1/14151.6638359215)</f>
        <v>0.32178887227808584</v>
      </c>
      <c r="BB66" s="2">
        <f>4759.14650315373*(1/14151.6638359215)</f>
        <v>0.33629589837157359</v>
      </c>
      <c r="BC66" s="2">
        <f>4959.82969750321*(1/14151.6638359215)</f>
        <v>0.3504767888079392</v>
      </c>
      <c r="BD66" s="2">
        <f>5154.24169254008*(1/14151.6638359215)</f>
        <v>0.36421453705372425</v>
      </c>
      <c r="BE66" s="2">
        <f>5347.1240913986*(1/14151.6638359215)</f>
        <v>0.37784419933901131</v>
      </c>
      <c r="BF66" s="2">
        <f>5540.66948541724*(1/14151.6638359215)</f>
        <v>0.39152071089713347</v>
      </c>
      <c r="BG66" s="2">
        <f>5733.95343575309*(1/14151.6638359215)</f>
        <v>0.40517874804222398</v>
      </c>
      <c r="BH66" s="2">
        <f>5926.05150356311*(1/14151.6638359215)</f>
        <v>0.41875298708840686</v>
      </c>
      <c r="BI66" s="2">
        <f>6116.0392500044*(1/14151.6638359215)</f>
        <v>0.43217810434981607</v>
      </c>
      <c r="BJ66" s="2">
        <f>6302.992236234*(1/14151.6638359215)</f>
        <v>0.44538877614058126</v>
      </c>
      <c r="BK66" s="2">
        <f>6485.98602340896*(1/14151.6638359215)</f>
        <v>0.45831967877483282</v>
      </c>
      <c r="BL66" s="2">
        <f>6664.09617268633*(1/14151.6638359215)</f>
        <v>0.47090548856670117</v>
      </c>
      <c r="BM66" s="2">
        <f>6836.39824522318*(1/14151.6638359215)</f>
        <v>0.48308088183031811</v>
      </c>
      <c r="BN66" s="2">
        <f>7001.96780217651*(1/14151.6638359215)</f>
        <v>0.4947805348798105</v>
      </c>
      <c r="BO66" s="2">
        <f>7160.92629846627*(1/14151.6638359215)</f>
        <v>0.50601303009258336</v>
      </c>
      <c r="BP66" s="2">
        <f>7316.43525971795*(1/14151.6638359215)</f>
        <v>0.51700177057248009</v>
      </c>
      <c r="BQ66" s="2">
        <f>7468.28716215689*(1/14151.6638359215)</f>
        <v>0.52773209205266469</v>
      </c>
      <c r="BR66" s="2">
        <f>7615.90612969331*(1/14151.6638359215)</f>
        <v>0.53816330136119239</v>
      </c>
      <c r="BS66" s="2">
        <f>7758.71628623735*(1/14151.6638359215)</f>
        <v>0.54825470532611287</v>
      </c>
      <c r="BT66" s="2">
        <f>7896.14175569923*(1/14151.6638359215)</f>
        <v>0.55796561077548135</v>
      </c>
      <c r="BU66" s="2">
        <f>8027.60666198917*(1/14151.6638359215)</f>
        <v>0.56725532453735283</v>
      </c>
      <c r="BV66" s="2">
        <f>8152.53512901737*(1/14151.6638359215)</f>
        <v>0.57608315343978134</v>
      </c>
      <c r="BW66" s="2">
        <f>8270.35128069402*(1/14151.6638359215)</f>
        <v>0.58440840431081986</v>
      </c>
      <c r="BX66" s="2">
        <f>8380.47924092933*(1/14151.6638359215)</f>
        <v>0.59219038397852297</v>
      </c>
      <c r="BY66" s="2">
        <f>8482.36197269588*(1/14151.6638359215)</f>
        <v>0.5993897304969118</v>
      </c>
      <c r="BZ66" s="2">
        <f>8580.5110422497*(1/14151.6638359215)</f>
        <v>0.60632524498423912</v>
      </c>
      <c r="CA66" s="2">
        <f>8677.22606093317*(1/14151.6638359215)</f>
        <v>0.61315942503577314</v>
      </c>
      <c r="CB66" s="2">
        <f>8770.33387480914*(1/14151.6638359215)</f>
        <v>0.61973870892461391</v>
      </c>
      <c r="CC66" s="2">
        <f>8857.66132994048*(1/14151.6638359215)</f>
        <v>0.62590953492386325</v>
      </c>
      <c r="CD66" s="2">
        <f>8937.03527239005*(1/14151.6638359215)</f>
        <v>0.63151834130662177</v>
      </c>
      <c r="CE66" s="2">
        <f>9006.28254822068*(1/14151.6638359215)</f>
        <v>0.6364115663459885</v>
      </c>
      <c r="CF66" s="2">
        <f>9063.23000349524*(1/14151.6638359215)</f>
        <v>0.64043564831506461</v>
      </c>
      <c r="CG66" s="2">
        <f>9105.70448427659*(1/14151.6638359215)</f>
        <v>0.64343702548695136</v>
      </c>
      <c r="CH66" s="2">
        <f>9131.53283662757*(1/14151.6638359215)</f>
        <v>0.64526213613474803</v>
      </c>
      <c r="CI66" s="2">
        <f>9138.54190661106*(1/14151.6638359215)</f>
        <v>0.6457574185315571</v>
      </c>
      <c r="CJ66" s="2">
        <f>9124.39002629552*(1/14151.6638359215)</f>
        <v>0.64475740323444275</v>
      </c>
      <c r="CK66" s="2">
        <f>9087.75453092492*(1/14151.6638359215)</f>
        <v>0.64216862669230879</v>
      </c>
      <c r="CL66" s="2">
        <f>9031.0511061665*(1/14151.6638359215)</f>
        <v>0.6381617886684654</v>
      </c>
      <c r="CM66" s="2">
        <f>8957.07079314273*(1/14151.6638359215)</f>
        <v>0.63293411269470568</v>
      </c>
      <c r="CN66" s="2">
        <f>8868.60463297605*(1/14151.6638359215)</f>
        <v>0.62668282230282091</v>
      </c>
      <c r="CO66" s="2">
        <f>8768.44366678892*(1/14151.6638359215)</f>
        <v>0.6196051410246034</v>
      </c>
      <c r="CP66" s="2">
        <f>8659.37893570376*(1/14151.6638359215)</f>
        <v>0.61189829239184268</v>
      </c>
      <c r="CQ66" s="2">
        <f>8544.20148084306*(1/14151.6638359215)</f>
        <v>0.60375949993633349</v>
      </c>
      <c r="CR66" s="2">
        <f>8425.70234332926*(1/14151.6638359215)</f>
        <v>0.59538598718986679</v>
      </c>
      <c r="CS66" s="2">
        <f>8306.67256428481*(1/14151.6638359215)</f>
        <v>0.58697497768423446</v>
      </c>
      <c r="CT66" s="2">
        <f>8189.90318483214*(1/14151.6638359215)</f>
        <v>0.57872369495122666</v>
      </c>
      <c r="CU66" s="2">
        <f>8073.21778764524*(1/14151.6638359215)</f>
        <v>0.57047834666287101</v>
      </c>
      <c r="CV66" s="2">
        <f>7951.46493299815*(1/14151.6638359215)</f>
        <v>0.56187491627767194</v>
      </c>
      <c r="CW66" s="2">
        <f>7824.81272702851*(1/14151.6638359215)</f>
        <v>0.5529252826912554</v>
      </c>
      <c r="CX66" s="2">
        <f>7693.44965909736*(1/14151.6638359215)</f>
        <v>0.54364276514037146</v>
      </c>
      <c r="CY66" s="2">
        <f>7557.56421856576*(1/14151.6638359215)</f>
        <v>0.53404068286177186</v>
      </c>
      <c r="CZ66" s="2">
        <f>7417.34489479476*(1/14151.6638359215)</f>
        <v>0.52413235509220757</v>
      </c>
      <c r="DA66" s="2">
        <f>7272.9801771454*(1/14151.6638359215)</f>
        <v>0.51393110106842876</v>
      </c>
      <c r="DB66" s="2">
        <f>7124.65855497878*(1/14151.6638359215)</f>
        <v>0.50345024002718974</v>
      </c>
      <c r="DC66" s="2">
        <f>6972.56851765595*(1/14151.6638359215)</f>
        <v>0.49270309120524164</v>
      </c>
      <c r="DD66" s="2">
        <f>6816.89855453795*(1/14151.6638359215)</f>
        <v>0.48170297383933447</v>
      </c>
      <c r="DE66" s="2">
        <f>6657.54558946679*(1/14151.6638359215)</f>
        <v>0.4704426042517903</v>
      </c>
      <c r="DF66" s="2">
        <f>6491.91449085861*(1/14151.6638359215)</f>
        <v>0.45873860248008663</v>
      </c>
      <c r="DG66" s="2">
        <f>6320.16005205805*(1/14151.6638359215)</f>
        <v>0.44660190669703725</v>
      </c>
      <c r="DH66" s="2">
        <f>6143.30102412537*(1/14151.6638359215)</f>
        <v>0.43410450497924385</v>
      </c>
      <c r="DI66" s="2">
        <f>5962.35615812093*(1/14151.6638359215)</f>
        <v>0.42131838540331501</v>
      </c>
      <c r="DJ66" s="2">
        <f>5778.34420510498*(1/14151.6638359215)</f>
        <v>0.40831553604585158</v>
      </c>
      <c r="DK66" s="2">
        <f>5592.28391613783*(1/14151.6638359215)</f>
        <v>0.39516794498345875</v>
      </c>
      <c r="DL66" s="2">
        <f>5405.19404227977*(1/14151.6638359215)</f>
        <v>0.38194760029274005</v>
      </c>
      <c r="DM66" s="2">
        <f>5218.09333459105*(1/14151.6638359215)</f>
        <v>0.36872649005029651</v>
      </c>
      <c r="DN66" s="2">
        <f>5032.00054413205*(1/14151.6638359215)</f>
        <v>0.35557660233273808</v>
      </c>
      <c r="DO66" s="2">
        <f>4847.93442196301*(1/14151.6638359215)</f>
        <v>0.34256992521666496</v>
      </c>
      <c r="DP66" s="2">
        <f>4665.22017717813*(1/14151.6638359215)</f>
        <v>0.32965877590564951</v>
      </c>
      <c r="DQ66" s="2">
        <f>4481.18538170929*(1/14151.6638359215)</f>
        <v>0.31665431243035835</v>
      </c>
      <c r="DR66" s="2">
        <f>4296.13367364123*(1/14151.6638359215)</f>
        <v>0.30357799078976522</v>
      </c>
      <c r="DS66" s="2">
        <f>4110.4551964365*(1/14151.6638359215)</f>
        <v>0.29045737971833641</v>
      </c>
      <c r="DT66" s="2">
        <f>3924.54009355758*(1/14151.6638359215)</f>
        <v>0.27732004795053339</v>
      </c>
      <c r="DU66" s="2">
        <f>3738.77850846709*(1/14151.6638359215)</f>
        <v>0.26419356422082757</v>
      </c>
      <c r="DV66" s="2">
        <f>3553.56058462752*(1/14151.6638359215)</f>
        <v>0.25110549726368103</v>
      </c>
      <c r="DW66" s="2">
        <f>3369.2764655014*(1/14151.6638359215)</f>
        <v>0.23808341581355871</v>
      </c>
      <c r="DX66" s="2">
        <f>3186.31629455127*(1/14151.6638359215)</f>
        <v>0.22515488860492636</v>
      </c>
      <c r="DY66" s="2">
        <f>3005.07021523963*(1/14151.6638359215)</f>
        <v>0.21234748437224676</v>
      </c>
      <c r="DZ66" s="2">
        <f>2825.66057304844*(1/14151.6638359215)</f>
        <v>0.19966984842276986</v>
      </c>
      <c r="EA66" s="2">
        <f>2643.02703731799*(1/14151.6638359215)</f>
        <v>0.18676440226124738</v>
      </c>
      <c r="EB66" s="2">
        <f>2456.6845331377*(1/14151.6638359215)</f>
        <v>0.17359686900573768</v>
      </c>
      <c r="EC66" s="2">
        <f>2268.71695674542*(1/14151.6638359215)</f>
        <v>0.16031450316016427</v>
      </c>
      <c r="ED66" s="2">
        <f>2081.208204379*(1/14151.6638359215)</f>
        <v>0.14706455922845063</v>
      </c>
      <c r="EE66" s="2">
        <f>1896.24217227627*(1/14151.6638359215)</f>
        <v>0.13399429171451868</v>
      </c>
      <c r="EF66" s="2">
        <f>1715.90275667516*(1/14151.6638359215)</f>
        <v>0.12125095512229762</v>
      </c>
      <c r="EG66" s="2">
        <f>1542.27385381348*(1/14151.6638359215)</f>
        <v>0.10898180395570803</v>
      </c>
      <c r="EH66" s="2">
        <f>1377.43935992909*(1/14151.6638359215)</f>
        <v>9.7334092718674062E-2</v>
      </c>
      <c r="EI66" s="2">
        <f>1223.48317125985*(1/14151.6638359215)</f>
        <v>8.6455075915119889E-2</v>
      </c>
      <c r="EJ66" s="2">
        <f>1082.48918404358*(1/14151.6638359215)</f>
        <v>7.6492008048966817E-2</v>
      </c>
      <c r="EK66" s="2">
        <f>955.040169081808*(1/14151.6638359215)</f>
        <v>6.7486069493652559E-2</v>
      </c>
      <c r="EL66" s="2">
        <f>837.47948608995*(1/14151.6638359215)</f>
        <v>5.917887082394907E-2</v>
      </c>
      <c r="EM66" s="2">
        <f>729.093758369856*(1/14151.6638359215)</f>
        <v>5.1520002652916348E-2</v>
      </c>
      <c r="EN66" s="2">
        <f>629.438608824784*(1/14151.6638359215)</f>
        <v>4.4478063931045704E-2</v>
      </c>
      <c r="EO66" s="2">
        <f>538.069660357993*(1/14151.6638359215)</f>
        <v>3.8021653608828539E-2</v>
      </c>
      <c r="EP66" s="2">
        <f>454.542535872742*(1/14151.6638359215)</f>
        <v>3.2119370636756225E-2</v>
      </c>
      <c r="EQ66" s="2">
        <f>378.412858272276*(1/14151.6638359215)</f>
        <v>2.6739813965319173E-2</v>
      </c>
      <c r="ER66" s="2">
        <f>309.236250459883*(1/14151.6638359215)</f>
        <v>2.1851582545010816E-2</v>
      </c>
      <c r="ES66" s="2">
        <f>246.568335338806*(1/14151.6638359215)</f>
        <v>1.7423275326321406E-2</v>
      </c>
      <c r="ET66" s="2">
        <f>189.964735812305*(1/14151.6638359215)</f>
        <v>1.3423491259742411E-2</v>
      </c>
      <c r="EU66" s="2">
        <f>139.036335340726*(1/14151.6638359215)</f>
        <v>9.8247341763310417E-3</v>
      </c>
      <c r="EV66" s="2">
        <f>97.4099486414574*(1/14151.6638359215)</f>
        <v>6.8832859351986193E-3</v>
      </c>
      <c r="EW66" s="2">
        <f>66.3599646932006*(1/14151.6638359215)</f>
        <v>4.6891987728508323E-3</v>
      </c>
      <c r="EX66" s="2">
        <f>44.3083452971121*(1/14151.6638359215)</f>
        <v>3.1309636669465809E-3</v>
      </c>
      <c r="EY66" s="2">
        <f>29.6770522543573*(1/14151.6638359215)</f>
        <v>2.097071595145395E-3</v>
      </c>
      <c r="EZ66" s="2">
        <f>20.8880473661015*(1/14151.6638359215)</f>
        <v>1.4760135351067965E-3</v>
      </c>
      <c r="FA66" s="2">
        <f>16.3632924335099*(1/14151.6638359215)</f>
        <v>1.1562804644903006E-3</v>
      </c>
      <c r="FB66" s="2">
        <f>14.5247492577478*(1/14151.6638359215)</f>
        <v>1.0263633609554298E-3</v>
      </c>
      <c r="FC66" s="2">
        <f>13.7943796399809*(1/14151.6638359215)</f>
        <v>9.747532021617347E-4</v>
      </c>
      <c r="FD66" s="2">
        <f>12.5941453813738*(1/14151.6638359215)</f>
        <v>8.8994096576868831E-4</v>
      </c>
      <c r="FE66" s="2">
        <f>9.34600828309196*(1/14151.6638359215)</f>
        <v>6.6041762943582427E-4</v>
      </c>
      <c r="FF66" s="2">
        <f>3.3977176931264*(1/14151.6638359215)</f>
        <v>2.4009316024748226E-4</v>
      </c>
      <c r="FG66" s="2">
        <f>-1.82059941172692*(1/14151.6638359215)</f>
        <v>-1.2864914209632721E-4</v>
      </c>
      <c r="FH66" s="2">
        <f>-5.79923977534814*(1/14151.6638359215)</f>
        <v>-4.0979208117054015E-4</v>
      </c>
      <c r="FI66" s="2">
        <f>-8.53820339773834*(1/14151.6638359215)</f>
        <v>-6.0333565697523266E-4</v>
      </c>
      <c r="FJ66" s="2">
        <f>-10.0374902788975*(1/14151.6638359215)</f>
        <v>-7.0927986951040372E-4</v>
      </c>
      <c r="FK66" s="2">
        <f>-10.2971004188257*(1/14151.6638359215)</f>
        <v>-7.276247187760586E-4</v>
      </c>
      <c r="FL66" s="2">
        <f>-9.31703381752282*(1/14151.6638359215)</f>
        <v>-6.5837020477218903E-4</v>
      </c>
      <c r="FM66" s="2">
        <f>-7.09729047498842*(1/14151.6638359215)</f>
        <v>-5.0151632749876392E-4</v>
      </c>
      <c r="FN66" s="2">
        <f>-3.6378703912233*(1/14151.6638359215)</f>
        <v>-2.5706308695583964E-4</v>
      </c>
      <c r="FO66" s="2">
        <f>1.06122643377285*(1/14151.6638359215)</f>
        <v>7.4989516856605525E-5</v>
      </c>
      <c r="FP66" s="2">
        <f t="shared" si="17"/>
        <v>4.9464148393856954E-4</v>
      </c>
      <c r="FQ66" s="2"/>
    </row>
    <row r="67" spans="2:173">
      <c r="B67" s="2">
        <v>9.9059171597633142</v>
      </c>
      <c r="C67" s="2">
        <f t="shared" si="18"/>
        <v>4.9464148393856954E-4</v>
      </c>
      <c r="D67" s="2">
        <f>3.18595705807728*(1/14151.6638359215)</f>
        <v>2.2512950385312932E-4</v>
      </c>
      <c r="E67" s="2">
        <f>0.169622443876932*(1/14151.6638359215)</f>
        <v>1.1986042478367483E-5</v>
      </c>
      <c r="F67" s="2">
        <f>-2.04900384260138*(1/14151.6638359215)</f>
        <v>-1.4478890018573969E-4</v>
      </c>
      <c r="G67" s="2">
        <f>-3.46992180135683*(1/14151.6638359215)</f>
        <v>-2.451953241391338E-4</v>
      </c>
      <c r="H67" s="2">
        <f>-4.09313143238991*(1/14151.6638359215)</f>
        <v>-2.8923322938184968E-4</v>
      </c>
      <c r="I67" s="2">
        <f>-3.91863273570061*(1/14151.6638359215)</f>
        <v>-2.7690261591388661E-4</v>
      </c>
      <c r="J67" s="2">
        <f>-2.94642571128894*(1/14151.6638359215)</f>
        <v>-2.082034837352452E-4</v>
      </c>
      <c r="K67" s="2">
        <f>-1.1765103591549*(1/14151.6638359215)</f>
        <v>-8.3135832845925589E-5</v>
      </c>
      <c r="L67" s="2">
        <f>1.39111332070207*(1/14151.6638359215)</f>
        <v>9.8300336754111878E-5</v>
      </c>
      <c r="M67" s="2">
        <f>4.75644532828102*(1/14151.6638359215)</f>
        <v>3.3610502506480007E-4</v>
      </c>
      <c r="N67" s="2">
        <f>7.90251884952648*(1/14151.6638359215)</f>
        <v>5.584162357974708E-4</v>
      </c>
      <c r="O67" s="2">
        <f>3.98549825747364*(1/14151.6638359215)</f>
        <v>2.8162753890162065E-4</v>
      </c>
      <c r="P67" s="2">
        <f>-5.69323714614164*(1/14151.6638359215)</f>
        <v>-4.0230161005452679E-4</v>
      </c>
      <c r="Q67" s="2">
        <f>-17.9851642544627*(1/14151.6638359215)</f>
        <v>-1.2708869051009067E-3</v>
      </c>
      <c r="R67" s="2">
        <f>-29.7417599606348*(1/14151.6638359215)</f>
        <v>-2.1016440402675898E-3</v>
      </c>
      <c r="S67" s="2">
        <f>-37.8145011577964*(1/14151.6638359215)</f>
        <v>-2.672088709584167E-3</v>
      </c>
      <c r="T67" s="2">
        <f>-39.0548647390933*(1/14151.6638359215)</f>
        <v>-2.7597366070807464E-3</v>
      </c>
      <c r="U67" s="2">
        <f>-30.3143275976686*(1/14151.6638359215)</f>
        <v>-2.1421034267872468E-3</v>
      </c>
      <c r="V67" s="2">
        <f>-8.44436662666586*(1/14151.6638359215)</f>
        <v>-5.9670486273361901E-4</v>
      </c>
      <c r="W67" s="2">
        <f>29.7035412807717*(1/14151.6638359215)</f>
        <v>2.0989433910502103E-3</v>
      </c>
      <c r="X67" s="2">
        <f>87.2779192315135*(1/14151.6638359215)</f>
        <v>6.1673256405352078E-3</v>
      </c>
      <c r="Y67" s="2">
        <f>166.390032459947*(1/14151.6638359215)</f>
        <v>1.1757630366939277E-2</v>
      </c>
      <c r="Z67" s="2">
        <f>265.005978492449*(1/14151.6638359215)</f>
        <v>1.8726135779156803E-2</v>
      </c>
      <c r="AA67" s="2">
        <f>380.242087945278*(1/14151.6638359215)</f>
        <v>2.6869072948164624E-2</v>
      </c>
      <c r="AB67" s="2">
        <f>509.220165383166*(1/14151.6638359215)</f>
        <v>3.5983059750939003E-2</v>
      </c>
      <c r="AC67" s="2">
        <f>649.062015370842*(1/14151.6638359215)</f>
        <v>4.586471406445599E-2</v>
      </c>
      <c r="AD67" s="2">
        <f>796.889442473067*(1/14151.6638359215)</f>
        <v>5.6310653765693885E-2</v>
      </c>
      <c r="AE67" s="2">
        <f>949.824251254517*(1/14151.6638359215)</f>
        <v>6.7117496731624995E-2</v>
      </c>
      <c r="AF67" s="2">
        <f>1104.98824627995*(1/14151.6638359215)</f>
        <v>7.808186083922744E-2</v>
      </c>
      <c r="AG67" s="2">
        <f>1259.50323211409*(1/14151.6638359215)</f>
        <v>8.9000363965476864E-2</v>
      </c>
      <c r="AH67" s="2">
        <f>1410.49101332168*(1/14151.6638359215)</f>
        <v>9.9669623987350353E-2</v>
      </c>
      <c r="AI67" s="2">
        <f>1555.43182343086*(1/14151.6638359215)</f>
        <v>0.1099115864724451</v>
      </c>
      <c r="AJ67" s="2">
        <f>1697.78112092685*(1/14151.6638359215)</f>
        <v>0.11997042472259216</v>
      </c>
      <c r="AK67" s="2">
        <f>1839.8808790375*(1/14151.6638359215)</f>
        <v>0.13001162975390126</v>
      </c>
      <c r="AL67" s="2">
        <f>1982.6363172602*(1/14151.6638359215)</f>
        <v>0.14009916715429799</v>
      </c>
      <c r="AM67" s="2">
        <f>2126.95265509238*(1/14151.6638359215)</f>
        <v>0.15029700251171077</v>
      </c>
      <c r="AN67" s="2">
        <f>2273.73511203145*(1/14151.6638359215)</f>
        <v>0.1606691014140666</v>
      </c>
      <c r="AO67" s="2">
        <f>2423.88890757483*(1/14151.6638359215)</f>
        <v>0.17127942944929314</v>
      </c>
      <c r="AP67" s="2">
        <f>2578.31926121996*(1/14151.6638359215)</f>
        <v>0.18219195220531961</v>
      </c>
      <c r="AQ67" s="2">
        <f>2737.93139246421*(1/14151.6638359215)</f>
        <v>0.19347063527007013</v>
      </c>
      <c r="AR67" s="2">
        <f>2903.630520805*(1/14151.6638359215)</f>
        <v>0.20517944423147239</v>
      </c>
      <c r="AS67" s="2">
        <f>3076.32186573977*(1/14151.6638359215)</f>
        <v>0.21738234467745554</v>
      </c>
      <c r="AT67" s="2">
        <f>3257.57460348075*(1/14151.6638359215)</f>
        <v>0.23019021941518791</v>
      </c>
      <c r="AU67" s="2">
        <f>3448.55385545759*(1/14151.6638359215)</f>
        <v>0.24368539950080254</v>
      </c>
      <c r="AV67" s="2">
        <f>3647.59586270293*(1/14151.6638359215)</f>
        <v>0.25775031861936631</v>
      </c>
      <c r="AW67" s="2">
        <f>3852.93527484507*(1/14151.6638359215)</f>
        <v>0.272260231695518</v>
      </c>
      <c r="AX67" s="2">
        <f>4062.80674151229*(1/14151.6638359215)</f>
        <v>0.28709039365389477</v>
      </c>
      <c r="AY67" s="2">
        <f>4275.44491233282*(1/14151.6638359215)</f>
        <v>0.30211605941913056</v>
      </c>
      <c r="AZ67" s="2">
        <f>4489.08443693495*(1/14151.6638359215)</f>
        <v>0.31721248391586304</v>
      </c>
      <c r="BA67" s="2">
        <f>4701.95996494697*(1/14151.6638359215)</f>
        <v>0.33225492206873053</v>
      </c>
      <c r="BB67" s="2">
        <f>4912.30614599707*(1/14151.6638359215)</f>
        <v>0.34711862880236377</v>
      </c>
      <c r="BC67" s="2">
        <f>5118.35762971355*(1/14151.6638359215)</f>
        <v>0.3616788590414014</v>
      </c>
      <c r="BD67" s="2">
        <f>5318.52460002231*(1/14151.6638359215)</f>
        <v>0.3758232715026889</v>
      </c>
      <c r="BE67" s="2">
        <f>5517.72214387728*(1/14151.6638359215)</f>
        <v>0.38989918131545193</v>
      </c>
      <c r="BF67" s="2">
        <f>5718.11027065812*(1/14151.6638359215)</f>
        <v>0.40405922137181544</v>
      </c>
      <c r="BG67" s="2">
        <f>5918.63063463299*(1/14151.6638359215)</f>
        <v>0.41822860571416287</v>
      </c>
      <c r="BH67" s="2">
        <f>6118.22489006988*(1/14151.6638359215)</f>
        <v>0.43233254838486523</v>
      </c>
      <c r="BI67" s="2">
        <f>6315.83469123693*(1/14151.6638359215)</f>
        <v>0.44629626342630457</v>
      </c>
      <c r="BJ67" s="2">
        <f>6510.40169240222*(1/14151.6638359215)</f>
        <v>0.46004496488085839</v>
      </c>
      <c r="BK67" s="2">
        <f>6700.86754783386*(1/14151.6638359215)</f>
        <v>0.47350386679090634</v>
      </c>
      <c r="BL67" s="2">
        <f>6886.17391179992*(1/14151.6638359215)</f>
        <v>0.48659818319882525</v>
      </c>
      <c r="BM67" s="2">
        <f>7065.26243856853*(1/14151.6638359215)</f>
        <v>0.49925312814699635</v>
      </c>
      <c r="BN67" s="2">
        <f>7237.07478240772*(1/14151.6638359215)</f>
        <v>0.51139391567779358</v>
      </c>
      <c r="BO67" s="2">
        <f>7401.71829321386*(1/14151.6638359215)</f>
        <v>0.52302813146436578</v>
      </c>
      <c r="BP67" s="2">
        <f>7562.71482824294*(1/14151.6638359215)</f>
        <v>0.53440464074947314</v>
      </c>
      <c r="BQ67" s="2">
        <f>7719.8632382522*(1/14151.6638359215)</f>
        <v>0.5455092297102685</v>
      </c>
      <c r="BR67" s="2">
        <f>7872.55322467822*(1/14151.6638359215)</f>
        <v>0.55629877277717232</v>
      </c>
      <c r="BS67" s="2">
        <f>8020.17448895752*(1/14151.6638359215)</f>
        <v>0.56673014438060088</v>
      </c>
      <c r="BT67" s="2">
        <f>8162.1167325267*(1/14151.6638359215)</f>
        <v>0.57676021895097651</v>
      </c>
      <c r="BU67" s="2">
        <f>8297.76965682232*(1/14151.6638359215)</f>
        <v>0.58634587091871815</v>
      </c>
      <c r="BV67" s="2">
        <f>8426.52296328095*(1/14151.6638359215)</f>
        <v>0.59544397471424593</v>
      </c>
      <c r="BW67" s="2">
        <f>8547.76635333917*(1/14151.6638359215)</f>
        <v>0.60401140476798032</v>
      </c>
      <c r="BX67" s="2">
        <f>8660.88952843353*(1/14151.6638359215)</f>
        <v>0.61200503551033991</v>
      </c>
      <c r="BY67" s="2">
        <f>8765.30147544086*(1/14151.6638359215)</f>
        <v>0.61938310414014286</v>
      </c>
      <c r="BZ67" s="2">
        <f>8865.60774654297*(1/14151.6638359215)</f>
        <v>0.62647105310961315</v>
      </c>
      <c r="CA67" s="2">
        <f>8964.17734216418*(1/14151.6638359215)</f>
        <v>0.63343628325951318</v>
      </c>
      <c r="CB67" s="2">
        <f>9058.80664192855*(1/14151.6638359215)</f>
        <v>0.64012308001087259</v>
      </c>
      <c r="CC67" s="2">
        <f>9147.29202546015*(1/14151.6638359215)</f>
        <v>0.64637572878472171</v>
      </c>
      <c r="CD67" s="2">
        <f>9227.42987238305*(1/14151.6638359215)</f>
        <v>0.65203851500209109</v>
      </c>
      <c r="CE67" s="2">
        <f>9297.01656232127*(1/14151.6638359215)</f>
        <v>0.65695572408400738</v>
      </c>
      <c r="CF67" s="2">
        <f>9353.84847489888*(1/14151.6638359215)</f>
        <v>0.660971641451501</v>
      </c>
      <c r="CG67" s="2">
        <f>9395.72198973996*(1/14151.6638359215)</f>
        <v>0.66393055252560329</v>
      </c>
      <c r="CH67" s="2">
        <f>9420.43348646855*(1/14151.6638359215)</f>
        <v>0.66567674272734223</v>
      </c>
      <c r="CI67" s="2">
        <f>9425.77934470871*(1/14151.6638359215)</f>
        <v>0.6660544974777477</v>
      </c>
      <c r="CJ67" s="2">
        <f>9409.36417775318*(1/14151.6638359215)</f>
        <v>0.66489455140032161</v>
      </c>
      <c r="CK67" s="2">
        <f>9369.74012273103*(1/14151.6638359215)</f>
        <v>0.66209459406091875</v>
      </c>
      <c r="CL67" s="2">
        <f>9309.3835903058*(1/14151.6638359215)</f>
        <v>0.65782961623746139</v>
      </c>
      <c r="CM67" s="2">
        <f>9231.17457474933*(1/14151.6638359215)</f>
        <v>0.65230312716428607</v>
      </c>
      <c r="CN67" s="2">
        <f>9137.99307033349*(1/14151.6638359215)</f>
        <v>0.64571863607573188</v>
      </c>
      <c r="CO67" s="2">
        <f>9032.71907133014*(1/14151.6638359215)</f>
        <v>0.63827965220613692</v>
      </c>
      <c r="CP67" s="2">
        <f>8918.2325720111*(1/14151.6638359215)</f>
        <v>0.63018968478983661</v>
      </c>
      <c r="CQ67" s="2">
        <f>8797.41356664826*(1/14151.6638359215)</f>
        <v>0.62165224306117128</v>
      </c>
      <c r="CR67" s="2">
        <f>8673.14204951347*(1/14151.6638359215)</f>
        <v>0.61287083625447847</v>
      </c>
      <c r="CS67" s="2">
        <f>8548.29801487858*(1/14151.6638359215)</f>
        <v>0.60404897360409548</v>
      </c>
      <c r="CT67" s="2">
        <f>8425.76145701543*(1/14151.6638359215)</f>
        <v>0.59539016434435943</v>
      </c>
      <c r="CU67" s="2">
        <f>8303.12832600024*(1/14151.6638359215)</f>
        <v>0.58672453092930421</v>
      </c>
      <c r="CV67" s="2">
        <f>8174.95205621446*(1/14151.6638359215)</f>
        <v>0.57766720231608293</v>
      </c>
      <c r="CW67" s="2">
        <f>8041.5175888775*(1/14151.6638359215)</f>
        <v>0.56823831332578212</v>
      </c>
      <c r="CX67" s="2">
        <f>7903.13167456069*(1/14151.6638359215)</f>
        <v>0.55845953989523023</v>
      </c>
      <c r="CY67" s="2">
        <f>7760.10106383538*(1/14151.6638359215)</f>
        <v>0.54835255796125781</v>
      </c>
      <c r="CZ67" s="2">
        <f>7612.73250727295*(1/14151.6638359215)</f>
        <v>0.53793904346069699</v>
      </c>
      <c r="DA67" s="2">
        <f>7461.3327554447*(1/14151.6638359215)</f>
        <v>0.52724067233037464</v>
      </c>
      <c r="DB67" s="2">
        <f>7306.20855892208*(1/14151.6638359215)</f>
        <v>0.51627912050712788</v>
      </c>
      <c r="DC67" s="2">
        <f>7147.66666827639*(1/14151.6638359215)</f>
        <v>0.50507606392778359</v>
      </c>
      <c r="DD67" s="2">
        <f>6986.01383407901*(1/14151.6638359215)</f>
        <v>0.4936531785291739</v>
      </c>
      <c r="DE67" s="2">
        <f>6821.23888142794*(1/14151.6638359215)</f>
        <v>0.48200967465842637</v>
      </c>
      <c r="DF67" s="2">
        <f>6650.54713949861*(1/14151.6638359215)</f>
        <v>0.46994807229785734</v>
      </c>
      <c r="DG67" s="2">
        <f>6474.01238910712*(1/14151.6638359215)</f>
        <v>0.4574735850263757</v>
      </c>
      <c r="DH67" s="2">
        <f>6292.63681291079*(1/14151.6638359215)</f>
        <v>0.44465703014638053</v>
      </c>
      <c r="DI67" s="2">
        <f>6107.42259356706*(1/14151.6638359215)</f>
        <v>0.43156922496027966</v>
      </c>
      <c r="DJ67" s="2">
        <f>5919.37191373327*(1/14151.6638359215)</f>
        <v>0.4182809867704736</v>
      </c>
      <c r="DK67" s="2">
        <f>5729.48695606678*(1/14151.6638359215)</f>
        <v>0.40486313287936432</v>
      </c>
      <c r="DL67" s="2">
        <f>5538.76990322497*(1/14151.6638359215)</f>
        <v>0.39138648058935521</v>
      </c>
      <c r="DM67" s="2">
        <f>5348.22293786516*(1/14151.6638359215)</f>
        <v>0.37792184720284555</v>
      </c>
      <c r="DN67" s="2">
        <f>5158.8482426448*(1/14151.6638359215)</f>
        <v>0.36454005002224366</v>
      </c>
      <c r="DO67" s="2">
        <f>4971.64800022122*(1/14151.6638359215)</f>
        <v>0.35131190634994947</v>
      </c>
      <c r="DP67" s="2">
        <f>4786.05402931962*(1/14151.6638359215)</f>
        <v>0.33819726675326101</v>
      </c>
      <c r="DQ67" s="2">
        <f>4599.57756008184*(1/14151.6638359215)</f>
        <v>0.32502026711563231</v>
      </c>
      <c r="DR67" s="2">
        <f>4412.43375849965*(1/14151.6638359215)</f>
        <v>0.31179611172641525</v>
      </c>
      <c r="DS67" s="2">
        <f>4224.91727370905*(1/14151.6638359215)</f>
        <v>0.29854562139787716</v>
      </c>
      <c r="DT67" s="2">
        <f>4037.32275484599*(1/14151.6638359215)</f>
        <v>0.285289616942282</v>
      </c>
      <c r="DU67" s="2">
        <f>3849.94485104656*(1/14151.6638359215)</f>
        <v>0.27204891917190366</v>
      </c>
      <c r="DV67" s="2">
        <f>3663.07821144671*(1/14151.6638359215)</f>
        <v>0.25884434889900598</v>
      </c>
      <c r="DW67" s="2">
        <f>3477.01748518244*(1/14151.6638359215)</f>
        <v>0.24569672693585648</v>
      </c>
      <c r="DX67" s="2">
        <f>3292.05732138975*(1/14151.6638359215)</f>
        <v>0.23262687409472263</v>
      </c>
      <c r="DY67" s="2">
        <f>3108.49236920462*(1/14151.6638359215)</f>
        <v>0.21965561118787044</v>
      </c>
      <c r="DZ67" s="2">
        <f>2926.35835217955*(1/14151.6638359215)</f>
        <v>0.20678546255115995</v>
      </c>
      <c r="EA67" s="2">
        <f>2740.72407158795*(1/14151.6638359215)</f>
        <v>0.19366797454806028</v>
      </c>
      <c r="EB67" s="2">
        <f>2551.191238428*(1/14151.6638359215)</f>
        <v>0.1802750028553004</v>
      </c>
      <c r="EC67" s="2">
        <f>2359.86127934083*(1/14151.6638359215)</f>
        <v>0.16675504072890276</v>
      </c>
      <c r="ED67" s="2">
        <f>2168.83562096761*(1/14151.6638359215)</f>
        <v>0.15325658142489251</v>
      </c>
      <c r="EE67" s="2">
        <f>1980.21568994943*(1/14151.6638359215)</f>
        <v>0.13992811819928921</v>
      </c>
      <c r="EF67" s="2">
        <f>1796.10291292752*(1/14151.6638359215)</f>
        <v>0.12691814430812226</v>
      </c>
      <c r="EG67" s="2">
        <f>1618.598716543*(1/14151.6638359215)</f>
        <v>0.11437515300741337</v>
      </c>
      <c r="EH67" s="2">
        <f>1449.80452743701*(1/14151.6638359215)</f>
        <v>0.1024476375531856</v>
      </c>
      <c r="EI67" s="2">
        <f>1291.82177225069*(1/14151.6638359215)</f>
        <v>9.1284091201462012E-2</v>
      </c>
      <c r="EJ67" s="2">
        <f>1146.75187762517*(1/14151.6638359215)</f>
        <v>8.1033007208264993E-2</v>
      </c>
      <c r="EK67" s="2">
        <f>1015.09301353902*(1/14151.6638359215)</f>
        <v>7.172958779323077E-2</v>
      </c>
      <c r="EL67" s="2">
        <f>892.941656410682*(1/14151.6638359215)</f>
        <v>6.3097997999649144E-2</v>
      </c>
      <c r="EM67" s="2">
        <f>779.673118905084*(1/14151.6638359215)</f>
        <v>5.5094095503174796E-2</v>
      </c>
      <c r="EN67" s="2">
        <f>674.954341261618*(1/14151.6638359215)</f>
        <v>4.7694345278918054E-2</v>
      </c>
      <c r="EO67" s="2">
        <f>578.452263719672*(1/14151.6638359215)</f>
        <v>4.0875212301989053E-2</v>
      </c>
      <c r="EP67" s="2">
        <f>489.83382651864*(1/14151.6638359215)</f>
        <v>3.4613161547498279E-2</v>
      </c>
      <c r="EQ67" s="2">
        <f>408.765969897898*(1/14151.6638359215)</f>
        <v>2.888465799055499E-2</v>
      </c>
      <c r="ER67" s="2">
        <f>334.915634096866*(1/14151.6638359215)</f>
        <v>2.3666166606271539E-2</v>
      </c>
      <c r="ES67" s="2">
        <f>267.94975935492*(1/14151.6638359215)</f>
        <v>1.8934152369757175E-2</v>
      </c>
      <c r="ET67" s="2">
        <f>207.535285911451*(1/14151.6638359215)</f>
        <v>1.4665080256122206E-2</v>
      </c>
      <c r="EU67" s="2">
        <f>153.392694299789*(1/14151.6638359215)</f>
        <v>1.0839198561969E-2</v>
      </c>
      <c r="EV67" s="2">
        <f>109.091761693616*(1/14151.6638359215)</f>
        <v>7.7087586985147161E-3</v>
      </c>
      <c r="EW67" s="2">
        <f>75.7925631348162*(1/14151.6638359215)</f>
        <v>5.3557351286447445E-3</v>
      </c>
      <c r="EX67" s="2">
        <f>51.8663660072201*(1/14151.6638359215)</f>
        <v>3.6650366069017615E-3</v>
      </c>
      <c r="EY67" s="2">
        <f>35.6844376946665*(1/14151.6638359215)</f>
        <v>2.5215718878290379E-3</v>
      </c>
      <c r="EZ67" s="2">
        <f>25.6180455809946*(1/14151.6638359215)</f>
        <v>1.810249725969869E-3</v>
      </c>
      <c r="FA67" s="2">
        <f>20.0384570500436*(1/14151.6638359215)</f>
        <v>1.415978875867551E-3</v>
      </c>
      <c r="FB67" s="2">
        <f>17.3169394856523*(1/14151.6638359215)</f>
        <v>1.2236680920653517E-3</v>
      </c>
      <c r="FC67" s="2">
        <f>15.8247602716606*(1/14151.6638359215)</f>
        <v>1.118226129106617E-3</v>
      </c>
      <c r="FD67" s="2">
        <f>13.933186791907*(1/14151.6638359215)</f>
        <v>9.8456174153459361E-4</v>
      </c>
      <c r="FE67" s="2">
        <f>10.0134864302305*(1/14151.6638359215)</f>
        <v>7.0758368389256348E-4</v>
      </c>
      <c r="FF67" s="2">
        <f>3.39245500714848*(1/14151.6638359215)</f>
        <v>2.3972128270439354E-4</v>
      </c>
      <c r="FG67" s="2">
        <f>-2.3895878014238*(1/14151.6638359215)</f>
        <v>-1.6885560801396747E-4</v>
      </c>
      <c r="FH67" s="2">
        <f>-6.80656454158238*(1/14151.6638359215)</f>
        <v>-4.8097274076742253E-4</v>
      </c>
      <c r="FI67" s="2">
        <f>-9.85847521332846*(1/14151.6638359215)</f>
        <v>-6.9663011555605643E-4</v>
      </c>
      <c r="FJ67" s="2">
        <f>-11.5453198166621*(1/14151.6638359215)</f>
        <v>-8.1582773237987363E-4</v>
      </c>
      <c r="FK67" s="2">
        <f>-11.8670983515832*(1/14151.6638359215)</f>
        <v>-8.3856559123886667E-4</v>
      </c>
      <c r="FL67" s="2">
        <f>-10.8238108180918*(1/14151.6638359215)</f>
        <v>-7.6484369213303868E-4</v>
      </c>
      <c r="FM67" s="2">
        <f>-8.41545721618733*(1/14151.6638359215)</f>
        <v>-5.9466203506234911E-4</v>
      </c>
      <c r="FN67" s="2">
        <f>-4.64203754587071*(1/14151.6638359215)</f>
        <v>-3.2802062002686334E-4</v>
      </c>
      <c r="FO67" s="2">
        <f>0.49644819285841*(1/14151.6638359215)</f>
        <v>3.5080552973443588E-5</v>
      </c>
      <c r="FP67" s="2">
        <f t="shared" si="17"/>
        <v>4.9464148393856954E-4</v>
      </c>
      <c r="FQ67" s="2"/>
    </row>
    <row r="68" spans="2:173">
      <c r="B68" s="2">
        <v>9.9153846153846157</v>
      </c>
      <c r="C68" s="2">
        <f t="shared" si="18"/>
        <v>4.9464148393856954E-4</v>
      </c>
      <c r="D68" s="2">
        <f>2.36957756627153*(1/14151.6638359215)</f>
        <v>1.6744162338401341E-4</v>
      </c>
      <c r="E68" s="2">
        <f>-1.29239050223272*(1/14151.6638359215)</f>
        <v>-9.1324279407500834E-5</v>
      </c>
      <c r="F68" s="2">
        <f>-3.98590420551316*(1/14151.6638359215)</f>
        <v>-2.8165622443600209E-4</v>
      </c>
      <c r="G68" s="2">
        <f>-5.71096354356878*(1/14151.6638359215)</f>
        <v>-4.0355421170141896E-4</v>
      </c>
      <c r="H68" s="2">
        <f>-6.46756851640017*(1/14151.6638359215)</f>
        <v>-4.5701824120379322E-4</v>
      </c>
      <c r="I68" s="2">
        <f>-6.25571912400734*(1/14151.6638359215)</f>
        <v>-4.4204831294312563E-4</v>
      </c>
      <c r="J68" s="2">
        <f>-5.07541536639027*(1/14151.6638359215)</f>
        <v>-3.5864442691941451E-4</v>
      </c>
      <c r="K68" s="2">
        <f>-2.926657243549*(1/14151.6638359215)</f>
        <v>-2.06806583132663E-4</v>
      </c>
      <c r="L68" s="2">
        <f>0.190555244517184*(1/14151.6638359215)</f>
        <v>1.3465218417179553E-5</v>
      </c>
      <c r="M68" s="2">
        <f>4.2762220978071*(1/14151.6638359215)</f>
        <v>3.0217097773002952E-4</v>
      </c>
      <c r="N68" s="2">
        <f>8.31025415217407*(1/14151.6638359215)</f>
        <v>5.8722806367686301E-4</v>
      </c>
      <c r="O68" s="2">
        <f>5.42780344229627*(1/14151.6638359215)</f>
        <v>3.8354524988918611E-4</v>
      </c>
      <c r="P68" s="2">
        <f>-3.06575516039686*(1/14151.6638359215)</f>
        <v>-2.1663566884729001E-4</v>
      </c>
      <c r="Q68" s="2">
        <f>-14.0122317720464*(1/14151.6638359215)</f>
        <v>-9.9014730243088614E-4</v>
      </c>
      <c r="R68" s="2">
        <f>-24.253436508795*(1/14151.6638359215)</f>
        <v>-1.7138222607600341E-3</v>
      </c>
      <c r="S68" s="2">
        <f>-30.6311794867795*(1/14151.6638359215)</f>
        <v>-2.1644931537327548E-3</v>
      </c>
      <c r="T68" s="2">
        <f>-29.987270822143*(1/14151.6638359215)</f>
        <v>-2.1189925912475116E-3</v>
      </c>
      <c r="U68" s="2">
        <f>-19.1635206310264*(1/14151.6638359215)</f>
        <v>-1.3541531832026131E-3</v>
      </c>
      <c r="V68" s="2">
        <f>4.99826097042903*(1/14151.6638359215)</f>
        <v>3.5319246050360715E-4</v>
      </c>
      <c r="W68" s="2">
        <f>45.6562638660823*(1/14151.6638359215)</f>
        <v>3.2262117299728344E-3</v>
      </c>
      <c r="X68" s="2">
        <f>105.968677939806*(1/14151.6638359215)</f>
        <v>7.4880720153077144E-3</v>
      </c>
      <c r="Y68" s="2">
        <f>188.075421502042*(1/14151.6638359215)</f>
        <v>1.3289986512020286E-2</v>
      </c>
      <c r="Z68" s="2">
        <f>289.961131062241*(1/14151.6638359215)</f>
        <v>2.0489543450447564E-2</v>
      </c>
      <c r="AA68" s="2">
        <f>408.715847542978*(1/14151.6638359215)</f>
        <v>2.8881116191124115E-2</v>
      </c>
      <c r="AB68" s="2">
        <f>541.434603447003*(1/14151.6638359215)</f>
        <v>3.8259430814959507E-2</v>
      </c>
      <c r="AC68" s="2">
        <f>685.212431277061*(1/14151.6638359215)</f>
        <v>4.841921340286294E-2</v>
      </c>
      <c r="AD68" s="2">
        <f>837.144363535931*(1/14151.6638359215)</f>
        <v>5.9155190035746034E-2</v>
      </c>
      <c r="AE68" s="2">
        <f>994.325432726302*(1/14151.6638359215)</f>
        <v>7.0262086794514039E-2</v>
      </c>
      <c r="AF68" s="2">
        <f>1153.85067135095*(1/14151.6638359215)</f>
        <v>8.1534629760078373E-2</v>
      </c>
      <c r="AG68" s="2">
        <f>1312.81511191262*(1/14151.6638359215)</f>
        <v>9.2767545013348232E-2</v>
      </c>
      <c r="AH68" s="2">
        <f>1468.31378691407*(1/14151.6638359215)</f>
        <v>0.10375555863523375</v>
      </c>
      <c r="AI68" s="2">
        <f>1617.81356306176*(1/14151.6638359215)</f>
        <v>0.11431967165268765</v>
      </c>
      <c r="AJ68" s="2">
        <f>1764.93215111522*(1/14151.6638359215)</f>
        <v>0.12471552261121772</v>
      </c>
      <c r="AK68" s="2">
        <f>1912.02644049554*(1/14151.6638359215)</f>
        <v>0.13510965655092785</v>
      </c>
      <c r="AL68" s="2">
        <f>2059.94970223272*(1/14151.6638359215)</f>
        <v>0.14556236822160101</v>
      </c>
      <c r="AM68" s="2">
        <f>2209.55520735671*(1/14151.6638359215)</f>
        <v>0.15613395237301669</v>
      </c>
      <c r="AN68" s="2">
        <f>2361.69622689751*(1/14151.6638359215)</f>
        <v>0.16688470375495784</v>
      </c>
      <c r="AO68" s="2">
        <f>2517.22603188508*(1/14151.6638359215)</f>
        <v>0.17787491711720471</v>
      </c>
      <c r="AP68" s="2">
        <f>2676.99789334945*(1/14151.6638359215)</f>
        <v>0.18916488720954236</v>
      </c>
      <c r="AQ68" s="2">
        <f>2841.86508232051*(1/14151.6638359215)</f>
        <v>0.20081490878174602</v>
      </c>
      <c r="AR68" s="2">
        <f>3012.68086982829*(1/14151.6638359215)</f>
        <v>0.21288527658360082</v>
      </c>
      <c r="AS68" s="2">
        <f>3190.29852690277*(1/14151.6638359215)</f>
        <v>0.22543628536488836</v>
      </c>
      <c r="AT68" s="2">
        <f>3376.1686112719*(1/14151.6638359215)</f>
        <v>0.23857043598662173</v>
      </c>
      <c r="AU68" s="2">
        <f>3571.33540049175*(1/14151.6638359215)</f>
        <v>0.25236152030594067</v>
      </c>
      <c r="AV68" s="2">
        <f>3774.2581711005*(1/14151.6638359215)</f>
        <v>0.26670066607434612</v>
      </c>
      <c r="AW68" s="2">
        <f>3983.30393592482*(1/14151.6638359215)</f>
        <v>0.28147248140631398</v>
      </c>
      <c r="AX68" s="2">
        <f>4196.83970779138*(1/14151.6638359215)</f>
        <v>0.29656157441632008</v>
      </c>
      <c r="AY68" s="2">
        <f>4413.23249952679*(1/14151.6638359215)</f>
        <v>0.31185255321883626</v>
      </c>
      <c r="AZ68" s="2">
        <f>4630.8493239577*(1/14151.6638359215)</f>
        <v>0.32723002592833689</v>
      </c>
      <c r="BA68" s="2">
        <f>4848.0571939108*(1/14151.6638359215)</f>
        <v>0.3425786006592994</v>
      </c>
      <c r="BB68" s="2">
        <f>5063.22312221265*(1/14151.6638359215)</f>
        <v>0.35778288552619181</v>
      </c>
      <c r="BC68" s="2">
        <f>5274.71412168992*(1/14151.6638359215)</f>
        <v>0.37272748864349009</v>
      </c>
      <c r="BD68" s="2">
        <f>5481.07673568363*(1/14151.6638359215)</f>
        <v>0.38730970430281741</v>
      </c>
      <c r="BE68" s="2">
        <f>5687.42792647906*(1/14151.6638359215)</f>
        <v>0.40189111276389489</v>
      </c>
      <c r="BF68" s="2">
        <f>5895.8367451157*(1/14151.6638359215)</f>
        <v>0.41661791952336796</v>
      </c>
      <c r="BG68" s="2">
        <f>6105.04196148875*(1/14151.6638359215)</f>
        <v>0.43140100219114719</v>
      </c>
      <c r="BH68" s="2">
        <f>6313.78234549329*(1/14151.6638359215)</f>
        <v>0.44615123837713477</v>
      </c>
      <c r="BI68" s="2">
        <f>6520.79666702452*(1/14151.6638359215)</f>
        <v>0.46077950569124099</v>
      </c>
      <c r="BJ68" s="2">
        <f>6724.8236959776*(1/14151.6638359215)</f>
        <v>0.47519668174337376</v>
      </c>
      <c r="BK68" s="2">
        <f>6924.60220224768*(1/14151.6638359215)</f>
        <v>0.48931364414343986</v>
      </c>
      <c r="BL68" s="2">
        <f>7118.87095572992*(1/14151.6638359215)</f>
        <v>0.50304127050134717</v>
      </c>
      <c r="BM68" s="2">
        <f>7306.36872631952*(1/14151.6638359215)</f>
        <v>0.51629043842700628</v>
      </c>
      <c r="BN68" s="2">
        <f>7485.83428391157*(1/14151.6638359215)</f>
        <v>0.52897202553031974</v>
      </c>
      <c r="BO68" s="2">
        <f>7657.35695561723*(1/14151.6638359215)</f>
        <v>0.54109234393911909</v>
      </c>
      <c r="BP68" s="2">
        <f>7825.01485349845*(1/14151.6638359215)</f>
        <v>0.55293956556797452</v>
      </c>
      <c r="BQ68" s="2">
        <f>7988.61263821397*(1/14151.6638359215)</f>
        <v>0.56449988713950994</v>
      </c>
      <c r="BR68" s="2">
        <f>8147.48268238878*(1/14151.6638359215)</f>
        <v>0.57572613205436907</v>
      </c>
      <c r="BS68" s="2">
        <f>8300.95735864779*(1/14151.6638359215)</f>
        <v>0.58657112371319031</v>
      </c>
      <c r="BT68" s="2">
        <f>8448.36903961597*(1/14151.6638359215)</f>
        <v>0.59698768551661596</v>
      </c>
      <c r="BU68" s="2">
        <f>8589.05009791829*(1/14151.6638359215)</f>
        <v>0.60692864086528853</v>
      </c>
      <c r="BV68" s="2">
        <f>8722.33290617971*(1/14151.6638359215)</f>
        <v>0.61634681315984974</v>
      </c>
      <c r="BW68" s="2">
        <f>8847.5498370252*(1/14151.6638359215)</f>
        <v>0.62519502580094211</v>
      </c>
      <c r="BX68" s="2">
        <f>8964.03326307971*(1/14151.6638359215)</f>
        <v>0.63342610218920647</v>
      </c>
      <c r="BY68" s="2">
        <f>9071.13512944899*(1/14151.6638359215)</f>
        <v>0.64099424877684807</v>
      </c>
      <c r="BZ68" s="2">
        <f>9173.4995540105*(1/14151.6638359215)</f>
        <v>0.64822763318650845</v>
      </c>
      <c r="CA68" s="2">
        <f>9273.56539802212*(1/14151.6638359215)</f>
        <v>0.6552985928398618</v>
      </c>
      <c r="CB68" s="2">
        <f>9369.1450624748*(1/14151.6638359215)</f>
        <v>0.66205254527689383</v>
      </c>
      <c r="CC68" s="2">
        <f>9458.05094835947*(1/14151.6638359215)</f>
        <v>0.6683349080375891</v>
      </c>
      <c r="CD68" s="2">
        <f>9538.09545666707*(1/14151.6638359215)</f>
        <v>0.67399109866193252</v>
      </c>
      <c r="CE68" s="2">
        <f>9607.09098838853*(1/14151.6638359215)</f>
        <v>0.67886653468990876</v>
      </c>
      <c r="CF68" s="2">
        <f>9662.84994451478*(1/14151.6638359215)</f>
        <v>0.68280663366150229</v>
      </c>
      <c r="CG68" s="2">
        <f>9703.18472603677*(1/14151.6638359215)</f>
        <v>0.68565681311669868</v>
      </c>
      <c r="CH68" s="2">
        <f>9725.90773394542*(1/14151.6638359215)</f>
        <v>0.68726249059548183</v>
      </c>
      <c r="CI68" s="2">
        <f>9728.83136923167*(1/14151.6638359215)</f>
        <v>0.68746908363783699</v>
      </c>
      <c r="CJ68" s="2">
        <f>9709.53832513749*(1/14151.6638359215)</f>
        <v>0.68610577792920302</v>
      </c>
      <c r="CK68" s="2">
        <f>9666.39043373914*(1/14151.6638359215)</f>
        <v>0.68305681549633157</v>
      </c>
      <c r="CL68" s="2">
        <f>9601.89667542545*(1/14151.6638359215)</f>
        <v>0.67849948859389464</v>
      </c>
      <c r="CM68" s="2">
        <f>9519.00992473187*(1/14151.6638359215)</f>
        <v>0.67264245639933484</v>
      </c>
      <c r="CN68" s="2">
        <f>9420.6830561939*(1/14151.6638359215)</f>
        <v>0.66569437809009846</v>
      </c>
      <c r="CO68" s="2">
        <f>9309.868944347*(1/14151.6638359215)</f>
        <v>0.65786391284362911</v>
      </c>
      <c r="CP68" s="2">
        <f>9189.52046372663*(1/14151.6638359215)</f>
        <v>0.64935971983737029</v>
      </c>
      <c r="CQ68" s="2">
        <f>9062.59048886831*(1/14151.6638359215)</f>
        <v>0.64039045824876972</v>
      </c>
      <c r="CR68" s="2">
        <f>8932.03189430749*(1/14151.6638359215)</f>
        <v>0.63116478725526992</v>
      </c>
      <c r="CS68" s="2">
        <f>8800.79755457965*(1/14151.6638359215)</f>
        <v>0.62189136603431605</v>
      </c>
      <c r="CT68" s="2">
        <f>8671.84034422027*(1/14151.6638359215)</f>
        <v>0.61277885376335295</v>
      </c>
      <c r="CU68" s="2">
        <f>8542.49503754579*(1/14151.6638359215)</f>
        <v>0.60363891741564513</v>
      </c>
      <c r="CV68" s="2">
        <f>8407.01148696364*(1/14151.6638359215)</f>
        <v>0.59406523391432786</v>
      </c>
      <c r="CW68" s="2">
        <f>8265.82295510216*(1/14151.6638359215)</f>
        <v>0.58408841892646057</v>
      </c>
      <c r="CX68" s="2">
        <f>8119.38604874958*(1/14151.6638359215)</f>
        <v>0.57374073768908729</v>
      </c>
      <c r="CY68" s="2">
        <f>7968.1573746942*(1/14151.6638359215)</f>
        <v>0.56305445543925658</v>
      </c>
      <c r="CZ68" s="2">
        <f>7812.59353972429*(1/14151.6638359215)</f>
        <v>0.55206183741401493</v>
      </c>
      <c r="DA68" s="2">
        <f>7653.15115062809*(1/14151.6638359215)</f>
        <v>0.54079514885040714</v>
      </c>
      <c r="DB68" s="2">
        <f>7490.28681419395*(1/14151.6638359215)</f>
        <v>0.52928665498548511</v>
      </c>
      <c r="DC68" s="2">
        <f>7324.45713721011*(1/14151.6638359215)</f>
        <v>0.51756862105629364</v>
      </c>
      <c r="DD68" s="2">
        <f>7156.11872646485*(1/14151.6638359215)</f>
        <v>0.50567331229988</v>
      </c>
      <c r="DE68" s="2">
        <f>6985.38116584243*(1/14151.6638359215)</f>
        <v>0.49360847224983351</v>
      </c>
      <c r="DF68" s="2">
        <f>6809.23621713926*(1/14151.6638359215)</f>
        <v>0.4811615295620022</v>
      </c>
      <c r="DG68" s="2">
        <f>6627.65010740562*(1/14151.6638359215)</f>
        <v>0.46833009773610507</v>
      </c>
      <c r="DH68" s="2">
        <f>6441.58599480827*(1/14151.6638359215)</f>
        <v>0.45518223648426703</v>
      </c>
      <c r="DI68" s="2">
        <f>6252.00703751411*(1/14151.6638359215)</f>
        <v>0.44178600551862279</v>
      </c>
      <c r="DJ68" s="2">
        <f>6059.8763936899*(1/14151.6638359215)</f>
        <v>0.4282094645512971</v>
      </c>
      <c r="DK68" s="2">
        <f>5866.15722150244*(1/14151.6638359215)</f>
        <v>0.41452067329441755</v>
      </c>
      <c r="DL68" s="2">
        <f>5671.81267911856*(1/14151.6638359215)</f>
        <v>0.400787691460114</v>
      </c>
      <c r="DM68" s="2">
        <f>5477.805924705*(1/14151.6638359215)</f>
        <v>0.38707857876050988</v>
      </c>
      <c r="DN68" s="2">
        <f>5285.10011642865*(1/14151.6638359215)</f>
        <v>0.37346139490773916</v>
      </c>
      <c r="DO68" s="2">
        <f>5094.65841245629*(1/14151.6638359215)</f>
        <v>0.36000419961392799</v>
      </c>
      <c r="DP68" s="2">
        <f>4906.00547069503*(1/14151.6638359215)</f>
        <v>0.34667340374790434</v>
      </c>
      <c r="DQ68" s="2">
        <f>4716.85309582111*(1/14151.6638359215)</f>
        <v>0.33330731640531286</v>
      </c>
      <c r="DR68" s="2">
        <f>4527.3463088242*(1/14151.6638359215)</f>
        <v>0.31991618521437248</v>
      </c>
      <c r="DS68" s="2">
        <f>4337.70236670202*(1/14151.6638359215)</f>
        <v>0.30651536222133324</v>
      </c>
      <c r="DT68" s="2">
        <f>4148.13852645223*(1/14151.6638359215)</f>
        <v>0.29312019947244028</v>
      </c>
      <c r="DU68" s="2">
        <f>3958.87204507263*(1/14151.6638359215)</f>
        <v>0.27974604901394934</v>
      </c>
      <c r="DV68" s="2">
        <f>3770.12017956088*(1/14151.6638359215)</f>
        <v>0.26640826289210573</v>
      </c>
      <c r="DW68" s="2">
        <f>3582.10018691469*(1/14151.6638359215)</f>
        <v>0.25312219315315848</v>
      </c>
      <c r="DX68" s="2">
        <f>3395.02932413178*(1/14151.6638359215)</f>
        <v>0.23990319184335751</v>
      </c>
      <c r="DY68" s="2">
        <f>3209.12484820982*(1/14151.6638359215)</f>
        <v>0.22676661100894888</v>
      </c>
      <c r="DZ68" s="2">
        <f>3024.35490192525*(1/14151.6638359215)</f>
        <v>0.2137101995207418</v>
      </c>
      <c r="EA68" s="2">
        <f>2835.94424483992*(1/14151.6638359215)</f>
        <v>0.20039652423352344</v>
      </c>
      <c r="EB68" s="2">
        <f>2643.56639966853*(1/14151.6638359215)</f>
        <v>0.18680251526031189</v>
      </c>
      <c r="EC68" s="2">
        <f>2449.31260267394*(1/14151.6638359215)</f>
        <v>0.1730759457737254</v>
      </c>
      <c r="ED68" s="2">
        <f>2255.27409011904*(1/14151.6638359215)</f>
        <v>0.15936458894638417</v>
      </c>
      <c r="EE68" s="2">
        <f>2063.54209826665*(1/14151.6638359215)</f>
        <v>0.1458162179509036</v>
      </c>
      <c r="EF68" s="2">
        <f>1876.20786337971*(1/14151.6638359215)</f>
        <v>0.13257860595990753</v>
      </c>
      <c r="EG68" s="2">
        <f>1695.36262172106*(1/14151.6638359215)</f>
        <v>0.11979952614601269</v>
      </c>
      <c r="EH68" s="2">
        <f>1523.09760955358*(1/14151.6638359215)</f>
        <v>0.10762675168183869</v>
      </c>
      <c r="EI68" s="2">
        <f>1361.50406314012*(1/14151.6638359215)</f>
        <v>9.6208055740002976E-2</v>
      </c>
      <c r="EJ68" s="2">
        <f>1212.67321874354*(1/14151.6638359215)</f>
        <v>8.569121149312374E-2</v>
      </c>
      <c r="EK68" s="2">
        <f>1077.01012239501*(1/14151.6638359215)</f>
        <v>7.6104840736904031E-2</v>
      </c>
      <c r="EL68" s="2">
        <f>950.4111477908*(1/14151.6638359215)</f>
        <v>6.7158968642142922E-2</v>
      </c>
      <c r="EM68" s="2">
        <f>832.350602130079*(1/14151.6638359215)</f>
        <v>5.8816448142112024E-2</v>
      </c>
      <c r="EN68" s="2">
        <f>722.613645227158*(1/14151.6638359215)</f>
        <v>5.106209796991721E-2</v>
      </c>
      <c r="EO68" s="2">
        <f>620.98543689635*(1/14151.6638359215)</f>
        <v>4.3880736858664504E-2</v>
      </c>
      <c r="EP68" s="2">
        <f>527.25113695197*(1/14151.6638359215)</f>
        <v>3.7257183541460057E-2</v>
      </c>
      <c r="EQ68" s="2">
        <f>441.195905208317*(1/14151.6638359215)</f>
        <v>3.1176256751408914E-2</v>
      </c>
      <c r="ER68" s="2">
        <f>362.604901479737*(1/14151.6638359215)</f>
        <v>2.5622775221619418E-2</v>
      </c>
      <c r="ES68" s="2">
        <f>291.263285580528*(1/14151.6638359215)</f>
        <v>2.0581557685196535E-2</v>
      </c>
      <c r="ET68" s="2">
        <f>226.956217325004*(1/14151.6638359215)</f>
        <v>1.603742287524635E-2</v>
      </c>
      <c r="EU68" s="2">
        <f>169.520260154753*(1/14151.6638359215)</f>
        <v>1.197882186294277E-2</v>
      </c>
      <c r="EV68" s="2">
        <f>122.442861200198*(1/14151.6638359215)</f>
        <v>8.6521883659643195E-3</v>
      </c>
      <c r="EW68" s="2">
        <f>86.75745764447*(1/14151.6638359215)</f>
        <v>6.1305482274283188E-3</v>
      </c>
      <c r="EX68" s="2">
        <f>60.7928745521064*(1/14151.6638359215)</f>
        <v>4.2958110973350299E-3</v>
      </c>
      <c r="EY68" s="2">
        <f>42.8779369876524*(1/14151.6638359215)</f>
        <v>3.0298866256852656E-3</v>
      </c>
      <c r="EZ68" s="2">
        <f>31.3414700156539*(1/14151.6638359215)</f>
        <v>2.2146844624798896E-3</v>
      </c>
      <c r="FA68" s="2">
        <f>24.5122987006567*(1/14151.6638359215)</f>
        <v>1.7321142577197573E-3</v>
      </c>
      <c r="FB68" s="2">
        <f>20.719248107206*(1/14151.6638359215)</f>
        <v>1.4640856614056819E-3</v>
      </c>
      <c r="FC68" s="2">
        <f>18.2911432998487*(1/14151.6638359215)</f>
        <v>1.2925083235385978E-3</v>
      </c>
      <c r="FD68" s="2">
        <f>15.5568093431299*(1/14151.6638359215)</f>
        <v>1.099291894119311E-3</v>
      </c>
      <c r="FE68" s="2">
        <f>10.845071301595*(1/14151.6638359215)</f>
        <v>7.6634602314864934E-4</v>
      </c>
      <c r="FF68" s="2">
        <f>3.46518230861199*(1/14151.6638359215)</f>
        <v>2.4486041703564474E-4</v>
      </c>
      <c r="FG68" s="2">
        <f>-2.95028256046315*(1/14151.6638359215)</f>
        <v>-2.0847602053508215E-4</v>
      </c>
      <c r="FH68" s="2">
        <f>-7.86153706548971*(1/14151.6638359215)</f>
        <v>-5.5552033715884251E-4</v>
      </c>
      <c r="FI68" s="2">
        <f>-11.268581206469*(1/14151.6638359215)</f>
        <v>-7.9627253283572888E-4</v>
      </c>
      <c r="FJ68" s="2">
        <f>-13.1714149834011*(1/14151.6638359215)</f>
        <v>-9.3073260756574704E-4</v>
      </c>
      <c r="FK68" s="2">
        <f>-13.5700383962859*(1/14151.6638359215)</f>
        <v>-9.5890056134888919E-4</v>
      </c>
      <c r="FL68" s="2">
        <f>-12.4644514451235*(1/14151.6638359215)</f>
        <v>-8.8077639418516216E-4</v>
      </c>
      <c r="FM68" s="2">
        <f>-9.85465412991325*(1/14151.6638359215)</f>
        <v>-6.963601060745204E-4</v>
      </c>
      <c r="FN68" s="2">
        <f>-5.74064645065608*(1/14151.6638359215)</f>
        <v>-4.0565169701702942E-4</v>
      </c>
      <c r="FO68" s="2">
        <f>-0.12242840735165*(1/14151.6638359215)</f>
        <v>-8.6511670126651187E-6</v>
      </c>
      <c r="FP68" s="2">
        <f t="shared" si="17"/>
        <v>4.9464148393856954E-4</v>
      </c>
      <c r="FQ68" s="2"/>
    </row>
    <row r="69" spans="2:173">
      <c r="B69" s="2">
        <v>9.9248520710059172</v>
      </c>
      <c r="C69" s="2">
        <f t="shared" si="18"/>
        <v>4.9464148393856954E-4</v>
      </c>
      <c r="D69" s="2">
        <f>1.43484566446928*(1/14151.6638359215)</f>
        <v>1.0139059838512964E-4</v>
      </c>
      <c r="E69" s="2">
        <f>-2.96635482310734*(1/14151.6638359215)</f>
        <v>-2.0961173594144966E-4</v>
      </c>
      <c r="F69" s="2">
        <f>-6.20360146273036*(1/14151.6638359215)</f>
        <v>-4.383655190412037E-4</v>
      </c>
      <c r="G69" s="2">
        <f>-8.27689425439856*(1/14151.6638359215)</f>
        <v>-5.8487075091404625E-4</v>
      </c>
      <c r="H69" s="2">
        <f>-9.18623319811266*(1/14151.6638359215)</f>
        <v>-6.4912743156002827E-4</v>
      </c>
      <c r="I69" s="2">
        <f>-8.93161829387266*(1/14151.6638359215)</f>
        <v>-6.3113556097914964E-4</v>
      </c>
      <c r="J69" s="2">
        <f>-7.51304954167855*(1/14151.6638359215)</f>
        <v>-5.3089513917140962E-4</v>
      </c>
      <c r="K69" s="2">
        <f>-4.93052694153036*(1/14151.6638359215)</f>
        <v>-3.4840616613681058E-4</v>
      </c>
      <c r="L69" s="2">
        <f>-1.18405049342725*(1/14151.6638359215)</f>
        <v>-8.366864187529292E-5</v>
      </c>
      <c r="M69" s="2">
        <f>3.72637980262938*(1/14151.6638359215)</f>
        <v>2.6331743361304434E-4</v>
      </c>
      <c r="N69" s="2">
        <f>8.78573419048844*(1/14151.6638359215)</f>
        <v>6.2082694249614709E-4</v>
      </c>
      <c r="O69" s="2">
        <f>7.16321277425623*(1/14151.6638359215)</f>
        <v>5.0617459948940275E-4</v>
      </c>
      <c r="P69" s="2">
        <f>0.157716065773054*(1/14151.6638359215)</f>
        <v>1.1144701259276639E-5</v>
      </c>
      <c r="Q69" s="2">
        <f>-9.08822994766273*(1/14151.6638359215)</f>
        <v>-6.422022210981202E-4</v>
      </c>
      <c r="R69" s="2">
        <f>-17.4320992787539*(1/14151.6638359215)</f>
        <v>-1.2318056364867566E-3</v>
      </c>
      <c r="S69" s="2">
        <f>-21.7313659401986*(1/14151.6638359215)</f>
        <v>-1.5356050138102748E-3</v>
      </c>
      <c r="T69" s="2">
        <f>-18.8435039447002*(1/14151.6638359215)</f>
        <v>-1.3315398219726851E-3</v>
      </c>
      <c r="U69" s="2">
        <f>-5.62598730496019*(1/14151.6638359215)</f>
        <v>-3.97549529877866E-4</v>
      </c>
      <c r="V69" s="2">
        <f>21.0637099663197*(1/14151.6638359215)</f>
        <v>1.4884263935702876E-3</v>
      </c>
      <c r="W69" s="2">
        <f>64.368113856438*(1/14151.6638359215)</f>
        <v>4.5484484794678995E-3</v>
      </c>
      <c r="X69" s="2">
        <f>127.429750352707*(1/14151.6638359215)</f>
        <v>9.0045772589120634E-3</v>
      </c>
      <c r="Y69" s="2">
        <f>212.383412954534*(1/14151.6638359215)</f>
        <v>1.5007663792538388E-2</v>
      </c>
      <c r="Z69" s="2">
        <f>317.229869395093*(1/14151.6638359215)</f>
        <v>2.2416436192461055E-2</v>
      </c>
      <c r="AA69" s="2">
        <f>439.069276807032*(1/14151.6638359215)</f>
        <v>3.102598266166641E-2</v>
      </c>
      <c r="AB69" s="2">
        <f>575.006635569199*(1/14151.6638359215)</f>
        <v>4.0631733641781839E-2</v>
      </c>
      <c r="AC69" s="2">
        <f>722.146946060442*(1/14151.6638359215)</f>
        <v>5.1029119574434741E-2</v>
      </c>
      <c r="AD69" s="2">
        <f>877.59520865964*(1/14151.6638359215)</f>
        <v>6.20135709012547E-2</v>
      </c>
      <c r="AE69" s="2">
        <f>1038.45642374558*(1/14151.6638359215)</f>
        <v>7.3380518063864808E-2</v>
      </c>
      <c r="AF69" s="2">
        <f>1201.83559169714*(1/14151.6638359215)</f>
        <v>8.4925391503894582E-2</v>
      </c>
      <c r="AG69" s="2">
        <f>1364.83771289317*(1/14151.6638359215)</f>
        <v>9.644362166297156E-2</v>
      </c>
      <c r="AH69" s="2">
        <f>1524.56778771252*(1/14151.6638359215)</f>
        <v>0.10773063898272328</v>
      </c>
      <c r="AI69" s="2">
        <f>1678.51525154437*(1/14151.6638359215)</f>
        <v>0.11860903926248978</v>
      </c>
      <c r="AJ69" s="2">
        <f>1830.46467490658*(1/14151.6638359215)</f>
        <v>0.12934625187041743</v>
      </c>
      <c r="AK69" s="2">
        <f>1982.7553967509*(1/14151.6638359215)</f>
        <v>0.14010758167658177</v>
      </c>
      <c r="AL69" s="2">
        <f>2136.15458135507*(1/14151.6638359215)</f>
        <v>0.15094723886337796</v>
      </c>
      <c r="AM69" s="2">
        <f>2291.4293929968*(1/14151.6638359215)</f>
        <v>0.16191943361319897</v>
      </c>
      <c r="AN69" s="2">
        <f>2449.34699595383*(1/14151.6638359215)</f>
        <v>0.17307837610844001</v>
      </c>
      <c r="AO69" s="2">
        <f>2610.67455450389*(1/14151.6638359215)</f>
        <v>0.18447827653149543</v>
      </c>
      <c r="AP69" s="2">
        <f>2776.17923292472*(1/14151.6638359215)</f>
        <v>0.19617334506476047</v>
      </c>
      <c r="AQ69" s="2">
        <f>2946.628195494*(1/14151.6638359215)</f>
        <v>0.20821779189062595</v>
      </c>
      <c r="AR69" s="2">
        <f>3122.78860648948*(1/14151.6638359215)</f>
        <v>0.22066582719148775</v>
      </c>
      <c r="AS69" s="2">
        <f>3305.42763018889*(1/14151.6638359215)</f>
        <v>0.23357166114974026</v>
      </c>
      <c r="AT69" s="2">
        <f>3495.82765972453*(1/14151.6638359215)</f>
        <v>0.24702591159994833</v>
      </c>
      <c r="AU69" s="2">
        <f>3694.88642884142*(1/14151.6638359215)</f>
        <v>0.26109201516380026</v>
      </c>
      <c r="AV69" s="2">
        <f>3901.23970681116*(1/14151.6638359215)</f>
        <v>0.27567357111102031</v>
      </c>
      <c r="AW69" s="2">
        <f>4113.44297691116*(1/14151.6638359215)</f>
        <v>0.2906685054565748</v>
      </c>
      <c r="AX69" s="2">
        <f>4330.05172241882*(1/14151.6638359215)</f>
        <v>0.30597474421542914</v>
      </c>
      <c r="AY69" s="2">
        <f>4549.62142661153*(1/14151.6638359215)</f>
        <v>0.32149021340254846</v>
      </c>
      <c r="AZ69" s="2">
        <f>4770.70757276669*(1/14151.6638359215)</f>
        <v>0.33711283903289813</v>
      </c>
      <c r="BA69" s="2">
        <f>4991.86564416173*(1/14151.6638359215)</f>
        <v>0.35274054712144598</v>
      </c>
      <c r="BB69" s="2">
        <f>5211.65112407396*(1/14151.6638359215)</f>
        <v>0.36827126368315111</v>
      </c>
      <c r="BC69" s="2">
        <f>5428.61949578081*(1/14151.6638359215)</f>
        <v>0.3836029147329813</v>
      </c>
      <c r="BD69" s="2">
        <f>5641.50948861873*(1/14151.6638359215)</f>
        <v>0.39864637501484129</v>
      </c>
      <c r="BE69" s="2">
        <f>5855.65986656373*(1/14151.6638359215)</f>
        <v>0.41377889797665851</v>
      </c>
      <c r="BF69" s="2">
        <f>6073.00199534886*(1/14151.6638359215)</f>
        <v>0.42913695984875055</v>
      </c>
      <c r="BG69" s="2">
        <f>6292.01824226942*(1/14151.6638359215)</f>
        <v>0.4446133200463851</v>
      </c>
      <c r="BH69" s="2">
        <f>6511.1909746206*(1/14151.6638359215)</f>
        <v>0.46010073798482209</v>
      </c>
      <c r="BI69" s="2">
        <f>6729.00255969769*(1/14151.6638359215)</f>
        <v>0.47549197307932833</v>
      </c>
      <c r="BJ69" s="2">
        <f>6943.93536479597*(1/14151.6638359215)</f>
        <v>0.4906797847451701</v>
      </c>
      <c r="BK69" s="2">
        <f>7154.4717572107*(1/14151.6638359215)</f>
        <v>0.50555693239761224</v>
      </c>
      <c r="BL69" s="2">
        <f>7359.09410423715*(1/14151.6638359215)</f>
        <v>0.52001617545192025</v>
      </c>
      <c r="BM69" s="2">
        <f>7556.28477317061*(1/14151.6638359215)</f>
        <v>0.53395027332336109</v>
      </c>
      <c r="BN69" s="2">
        <f>7744.52613130627*(1/14151.6638359215)</f>
        <v>0.54725198542719466</v>
      </c>
      <c r="BO69" s="2">
        <f>7923.88808393534*(1/14151.6638359215)</f>
        <v>0.5599262514858464</v>
      </c>
      <c r="BP69" s="2">
        <f>8099.16206360458*(1/14151.6638359215)</f>
        <v>0.57231164882861951</v>
      </c>
      <c r="BQ69" s="2">
        <f>8270.1562169394*(1/14151.6638359215)</f>
        <v>0.58439462050724167</v>
      </c>
      <c r="BR69" s="2">
        <f>8436.12527926233*(1/14151.6638359215)</f>
        <v>0.5961225038322856</v>
      </c>
      <c r="BS69" s="2">
        <f>8596.32398589581*(1/14151.6638359215)</f>
        <v>0.60744263611431748</v>
      </c>
      <c r="BT69" s="2">
        <f>8750.00707216237*(1/14151.6638359215)</f>
        <v>0.61830235466391048</v>
      </c>
      <c r="BU69" s="2">
        <f>8896.42927338453*(1/14151.6638359215)</f>
        <v>0.62864899679163633</v>
      </c>
      <c r="BV69" s="2">
        <f>9034.84532488479*(1/14151.6638359215)</f>
        <v>0.63842989980806575</v>
      </c>
      <c r="BW69" s="2">
        <f>9164.50996198566*(1/14151.6638359215)</f>
        <v>0.64759240102377003</v>
      </c>
      <c r="BX69" s="2">
        <f>9284.67792000964*(1/14151.6638359215)</f>
        <v>0.65608383774932</v>
      </c>
      <c r="BY69" s="2">
        <f>9394.62367978362*(1/14151.6638359215)</f>
        <v>0.66385294257322791</v>
      </c>
      <c r="BZ69" s="2">
        <f>9498.98783334241*(1/14151.6638359215)</f>
        <v>0.67122763397127239</v>
      </c>
      <c r="CA69" s="2">
        <f>9600.28224988579*(1/14151.6638359215)</f>
        <v>0.67838540833037375</v>
      </c>
      <c r="CB69" s="2">
        <f>9696.37258107934*(1/14151.6638359215)</f>
        <v>0.6851754460466204</v>
      </c>
      <c r="CC69" s="2">
        <f>9785.12447858865*(1/14151.6638359215)</f>
        <v>0.69144692751610171</v>
      </c>
      <c r="CD69" s="2">
        <f>9864.40359407929*(1/14151.6638359215)</f>
        <v>0.69704903313490552</v>
      </c>
      <c r="CE69" s="2">
        <f>9932.07557921685*(1/14151.6638359215)</f>
        <v>0.70183094329912143</v>
      </c>
      <c r="CF69" s="2">
        <f>9986.00608566689*(1/14151.6638359215)</f>
        <v>0.70564183840483663</v>
      </c>
      <c r="CG69" s="2">
        <f>10024.060765095*(1/14151.6638359215)</f>
        <v>0.7083308988481406</v>
      </c>
      <c r="CH69" s="2">
        <f>10044.1052691668*(1/14151.6638359215)</f>
        <v>0.7097473050251244</v>
      </c>
      <c r="CI69" s="2">
        <f>10044.0052495478*(1/14151.6638359215)</f>
        <v>0.7097402373318723</v>
      </c>
      <c r="CJ69" s="2">
        <f>10021.3469353908*(1/14151.6638359215)</f>
        <v>0.70813913131213457</v>
      </c>
      <c r="CK69" s="2">
        <f>9974.2496637391*(1/14151.6638359215)</f>
        <v>0.70481109354938376</v>
      </c>
      <c r="CL69" s="2">
        <f>9905.23244935243*(1/14151.6638359215)</f>
        <v>0.69993412535773691</v>
      </c>
      <c r="CM69" s="2">
        <f>9817.30819844273*(1/14151.6638359215)</f>
        <v>0.69372112793714236</v>
      </c>
      <c r="CN69" s="2">
        <f>9713.489817222*(1/14151.6638359215)</f>
        <v>0.68638500248755352</v>
      </c>
      <c r="CO69" s="2">
        <f>9596.79021190221*(1/14151.6638359215)</f>
        <v>0.67813865020892117</v>
      </c>
      <c r="CP69" s="2">
        <f>9470.2222886953*(1/14151.6638359215)</f>
        <v>0.66919497230119429</v>
      </c>
      <c r="CQ69" s="2">
        <f>9336.7989538133*(1/14151.6638359215)</f>
        <v>0.65976686996432787</v>
      </c>
      <c r="CR69" s="2">
        <f>9199.53311346816*(1/14151.6638359215)</f>
        <v>0.65006724439827135</v>
      </c>
      <c r="CS69" s="2">
        <f>9061.43767387186*(1/14151.6638359215)</f>
        <v>0.6403089968029767</v>
      </c>
      <c r="CT69" s="2">
        <f>8925.52554123636*(1/14151.6638359215)</f>
        <v>0.63070502837839393</v>
      </c>
      <c r="CU69" s="2">
        <f>8788.84235941907*(1/14151.6638359215)</f>
        <v>0.62104657525217255</v>
      </c>
      <c r="CV69" s="2">
        <f>8645.32669553427*(1/14151.6638359215)</f>
        <v>0.61090531797325731</v>
      </c>
      <c r="CW69" s="2">
        <f>8495.58610692731*(1/14151.6638359215)</f>
        <v>0.60032418840834567</v>
      </c>
      <c r="CX69" s="2">
        <f>8340.25312238463*(1/14151.6638359215)</f>
        <v>0.58934788298280316</v>
      </c>
      <c r="CY69" s="2">
        <f>8179.96027069268*(1/14151.6638359215)</f>
        <v>0.57802109812199576</v>
      </c>
      <c r="CZ69" s="2">
        <f>8015.3400806379*(1/14151.6638359215)</f>
        <v>0.56638853025128921</v>
      </c>
      <c r="DA69" s="2">
        <f>7847.02508100672*(1/14151.6638359215)</f>
        <v>0.55449487579604828</v>
      </c>
      <c r="DB69" s="2">
        <f>7675.64780058564*(1/14151.6638359215)</f>
        <v>0.5423848311816426</v>
      </c>
      <c r="DC69" s="2">
        <f>7501.84076816108*(1/14151.6638359215)</f>
        <v>0.53010309283343637</v>
      </c>
      <c r="DD69" s="2">
        <f>7326.2365125195*(1/14151.6638359215)</f>
        <v>0.51769435717679657</v>
      </c>
      <c r="DE69" s="2">
        <f>7149.08892318413*(1/14151.6638359215)</f>
        <v>0.50517656482465545</v>
      </c>
      <c r="DF69" s="2">
        <f>6967.16224423179*(1/14151.6638359215)</f>
        <v>0.49232106733251246</v>
      </c>
      <c r="DG69" s="2">
        <f>6780.29354890118*(1/14151.6638359215)</f>
        <v>0.47911635179536993</v>
      </c>
      <c r="DH69" s="2">
        <f>6589.38953575705*(1/14151.6638359215)</f>
        <v>0.46562648831659276</v>
      </c>
      <c r="DI69" s="2">
        <f>6395.35690336426*(1/14151.6638359215)</f>
        <v>0.45191554699955322</v>
      </c>
      <c r="DJ69" s="2">
        <f>6199.10235028754*(1/14151.6638359215)</f>
        <v>0.43804759794761466</v>
      </c>
      <c r="DK69" s="2">
        <f>6001.53257509169*(1/14151.6638359215)</f>
        <v>0.42408671126414543</v>
      </c>
      <c r="DL69" s="2">
        <f>5803.5542763415*(1/14151.6638359215)</f>
        <v>0.41009695705251292</v>
      </c>
      <c r="DM69" s="2">
        <f>5606.07415260171*(1/14151.6638359215)</f>
        <v>0.39614240541608126</v>
      </c>
      <c r="DN69" s="2">
        <f>5409.99890243717*(1/14151.6638359215)</f>
        <v>0.38228712645822205</v>
      </c>
      <c r="DO69" s="2">
        <f>5216.23522441264*(1/14151.6638359215)</f>
        <v>0.36859519028230076</v>
      </c>
      <c r="DP69" s="2">
        <f>5024.38963628312*(1/14151.6638359215)</f>
        <v>0.35503879222523604</v>
      </c>
      <c r="DQ69" s="2">
        <f>4832.38722930464*(1/14151.6638359215)</f>
        <v>0.34147131286700566</v>
      </c>
      <c r="DR69" s="2">
        <f>4640.31736019594*(1/14151.6638359215)</f>
        <v>0.32789906642760364</v>
      </c>
      <c r="DS69" s="2">
        <f>4448.33421683158*(1/14151.6638359215)</f>
        <v>0.31433294829546965</v>
      </c>
      <c r="DT69" s="2">
        <f>4256.59198708612*(1/14151.6638359215)</f>
        <v>0.30078385385904327</v>
      </c>
      <c r="DU69" s="2">
        <f>4065.24485883419*(1/14151.6638359215)</f>
        <v>0.28726267850676918</v>
      </c>
      <c r="DV69" s="2">
        <f>3874.44701995034*(1/14151.6638359215)</f>
        <v>0.27378031762708638</v>
      </c>
      <c r="DW69" s="2">
        <f>3684.35265830913*(1/14151.6638359215)</f>
        <v>0.2603476666084345</v>
      </c>
      <c r="DX69" s="2">
        <f>3495.11596178515*(1/14151.6638359215)</f>
        <v>0.24697562083925534</v>
      </c>
      <c r="DY69" s="2">
        <f>3306.89111825293*(1/14151.6638359215)</f>
        <v>0.23367507570798643</v>
      </c>
      <c r="DZ69" s="2">
        <f>3119.59397514127*(1/14151.6638359215)</f>
        <v>0.22044008473567128</v>
      </c>
      <c r="EA69" s="2">
        <f>2928.63077253493*(1/14151.6638359215)</f>
        <v>0.20694603874783388</v>
      </c>
      <c r="EB69" s="2">
        <f>2733.73512052186*(1/14151.6638359215)</f>
        <v>0.19317411381570246</v>
      </c>
      <c r="EC69" s="2">
        <f>2536.9640883295*(1/14151.6638359215)</f>
        <v>0.17926966876430916</v>
      </c>
      <c r="ED69" s="2">
        <f>2340.37474518527*(1/14151.6638359215)</f>
        <v>0.1653780624186848</v>
      </c>
      <c r="EE69" s="2">
        <f>2146.02416031659*(1/14151.6638359215)</f>
        <v>0.15164465360386012</v>
      </c>
      <c r="EF69" s="2">
        <f>1955.96940295096*(1/14151.6638359215)</f>
        <v>0.13821480114487156</v>
      </c>
      <c r="EG69" s="2">
        <f>1772.26754231578*(1/14151.6638359215)</f>
        <v>0.12523386386674842</v>
      </c>
      <c r="EH69" s="2">
        <f>1596.97564763849*(1/14151.6638359215)</f>
        <v>0.11284720059452298</v>
      </c>
      <c r="EI69" s="2">
        <f>1432.15078814653*(1/14151.6638359215)</f>
        <v>0.10120017015322737</v>
      </c>
      <c r="EJ69" s="2">
        <f>1279.85003306731*(1/14151.6638359215)</f>
        <v>9.0438131367891653E-2</v>
      </c>
      <c r="EK69" s="2">
        <f>1140.37778367175*(1/14151.6638359215)</f>
        <v>8.0582594166567351E-2</v>
      </c>
      <c r="EL69" s="2">
        <f>1009.47041358835*(1/14151.6638359215)</f>
        <v>7.1332277624203286E-2</v>
      </c>
      <c r="EM69" s="2">
        <f>886.71029534472*(1/14151.6638359215)</f>
        <v>6.2657670901845652E-2</v>
      </c>
      <c r="EN69" s="2">
        <f>772.006969683985*(1/14151.6638359215)</f>
        <v>5.4552381870772083E-2</v>
      </c>
      <c r="EO69" s="2">
        <f>665.269977349279*(1/14151.6638359215)</f>
        <v>4.7010018402260843E-2</v>
      </c>
      <c r="EP69" s="2">
        <f>566.408859083736*(1/14151.6638359215)</f>
        <v>4.002418836759019E-2</v>
      </c>
      <c r="EQ69" s="2">
        <f>475.333155630474*(1/14151.6638359215)</f>
        <v>3.3588499638037242E-2</v>
      </c>
      <c r="ER69" s="2">
        <f>391.952407732658*(1/14151.6638359215)</f>
        <v>2.7696560084882461E-2</v>
      </c>
      <c r="ES69" s="2">
        <f>316.176156133406*(1/14151.6638359215)</f>
        <v>2.2341977579402969E-2</v>
      </c>
      <c r="ET69" s="2">
        <f>247.91394157585*(1/14151.6638359215)</f>
        <v>1.7518359992876896E-2</v>
      </c>
      <c r="EU69" s="2">
        <f>187.124205471202*(1/14151.6638359215)</f>
        <v>1.3222770667871593E-2</v>
      </c>
      <c r="EV69" s="2">
        <f>137.189867597981*(1/14151.6638359215)</f>
        <v>9.6942570985716001E-3</v>
      </c>
      <c r="EW69" s="2">
        <f>99.0068177305758*(1/14151.6638359215)</f>
        <v>6.9961256060410704E-3</v>
      </c>
      <c r="EX69" s="2">
        <f>70.8686057386732*(1/14151.6638359215)</f>
        <v>5.0077931867478194E-3</v>
      </c>
      <c r="EY69" s="2">
        <f>51.0687814919708*(1/14151.6638359215)</f>
        <v>3.6086768371604277E-3</v>
      </c>
      <c r="EZ69" s="2">
        <f>37.9008948601661*(1/14151.6638359215)</f>
        <v>2.678193553747466E-3</v>
      </c>
      <c r="FA69" s="2">
        <f>29.6584957129566*(1/14151.6638359215)</f>
        <v>2.0957603329775079E-3</v>
      </c>
      <c r="FB69" s="2">
        <f>24.6351339200391*(1/14151.6638359215)</f>
        <v>1.7407941713190756E-3</v>
      </c>
      <c r="FC69" s="2">
        <f>21.1243593511126*(1/14151.6638359215)</f>
        <v>1.4927120652408477E-3</v>
      </c>
      <c r="FD69" s="2">
        <f>17.4197218758735*(1/14151.6638359215)</f>
        <v>1.2309310112113185E-3</v>
      </c>
      <c r="FE69" s="2">
        <f>11.8147713640192*(1/14151.6638359215)</f>
        <v>8.3486800569905343E-4</v>
      </c>
      <c r="FF69" s="2">
        <f>3.60418064987486*(1/14151.6638359215)</f>
        <v>2.5468246643382554E-4</v>
      </c>
      <c r="FG69" s="2">
        <f>-3.50279872193285*(1/14151.6638359215)</f>
        <v>-2.4751850825071279E-4</v>
      </c>
      <c r="FH69" s="2">
        <f>-8.95498669222379*(1/14151.6638359215)</f>
        <v>-6.3278684372738818E-4</v>
      </c>
      <c r="FI69" s="2">
        <f>-12.7523832609995*(1/14151.6638359215)</f>
        <v>-9.0112253999630957E-4</v>
      </c>
      <c r="FJ69" s="2">
        <f>-14.8949884282599*(1/14151.6638359215)</f>
        <v>-1.0525255970574713E-3</v>
      </c>
      <c r="FK69" s="2">
        <f>-15.382802194005*(1/14151.6638359215)</f>
        <v>-1.0869960149108738E-3</v>
      </c>
      <c r="FL69" s="2">
        <f>-14.2158245582349*(1/14151.6638359215)</f>
        <v>-1.0045337935565245E-3</v>
      </c>
      <c r="FM69" s="2">
        <f>-11.3940555209488*(1/14151.6638359215)</f>
        <v>-8.051389329943665E-4</v>
      </c>
      <c r="FN69" s="2">
        <f>-6.91749508214779*(1/14151.6638359215)</f>
        <v>-4.8881143322447715E-4</v>
      </c>
      <c r="FO69" s="2">
        <f>-0.78614324183152*(1/14151.6638359215)</f>
        <v>-5.5551294246831542E-5</v>
      </c>
      <c r="FP69" s="2">
        <f t="shared" si="17"/>
        <v>4.9464148393856954E-4</v>
      </c>
      <c r="FQ69" s="2"/>
    </row>
    <row r="70" spans="2:173">
      <c r="B70" s="2">
        <v>9.9343195266272204</v>
      </c>
      <c r="C70" s="2">
        <f t="shared" si="18"/>
        <v>4.9464148393856954E-4</v>
      </c>
      <c r="D70" s="2">
        <f>0.411284108161593*(1/14151.6638359215)</f>
        <v>2.9062597368771644E-5</v>
      </c>
      <c r="E70" s="2">
        <f>-4.79939970172373*(1/14151.6638359215)</f>
        <v>-3.3914031292499341E-4</v>
      </c>
      <c r="F70" s="2">
        <f>-8.63205142965655*(1/14151.6638359215)</f>
        <v>-6.0996724694276658E-4</v>
      </c>
      <c r="G70" s="2">
        <f>-11.0866710756354*(1/14151.6638359215)</f>
        <v>-7.8341820468444444E-4</v>
      </c>
      <c r="H70" s="2">
        <f>-12.1632586396612*(1/14151.6638359215)</f>
        <v>-8.5949318615009178E-4</v>
      </c>
      <c r="I70" s="2">
        <f>-11.861814121734*(1/14151.6638359215)</f>
        <v>-8.3819219133971228E-4</v>
      </c>
      <c r="J70" s="2">
        <f>-10.1823375218536*(1/14151.6638359215)</f>
        <v>-7.1951522025329173E-4</v>
      </c>
      <c r="K70" s="2">
        <f>-7.12482884002013*(1/14151.6638359215)</f>
        <v>-5.0346227289083914E-4</v>
      </c>
      <c r="L70" s="2">
        <f>-2.68928807623262*(1/14151.6638359215)</f>
        <v>-1.9003334925228631E-4</v>
      </c>
      <c r="M70" s="2">
        <f>3.12428476950728*(1/14151.6638359215)</f>
        <v>2.2077155066225039E-4</v>
      </c>
      <c r="N70" s="2">
        <f>9.31274084758948*(1/14151.6638359215)</f>
        <v>6.5806685034099891E-4</v>
      </c>
      <c r="O70" s="2">
        <f>9.12523466214719*(1/14151.6638359215)</f>
        <v>6.4481708779602241E-4</v>
      </c>
      <c r="P70" s="2">
        <f>3.84546311597028*(1/14151.6638359215)</f>
        <v>2.7173222601636785E-4</v>
      </c>
      <c r="Q70" s="2">
        <f>-3.42083101845121*(1/14151.6638359215)</f>
        <v>-2.4172641875282782E-4</v>
      </c>
      <c r="R70" s="2">
        <f>-9.56790496862802*(1/14151.6638359215)</f>
        <v>-6.7609753026648238E-4</v>
      </c>
      <c r="S70" s="2">
        <f>-11.4900159620674*(1/14151.6638359215)</f>
        <v>-8.1191979227926707E-4</v>
      </c>
      <c r="T70" s="2">
        <f>-6.0814212262806*(1/14151.6638359215)</f>
        <v>-4.297318885461359E-4</v>
      </c>
      <c r="U70" s="2">
        <f>9.76362201122244*(1/14151.6638359215)</f>
        <v>6.8992749717804982E-4</v>
      </c>
      <c r="V70" s="2">
        <f>39.1508565229317*(1/14151.6638359215)</f>
        <v>2.7665196811384228E-3</v>
      </c>
      <c r="W70" s="2">
        <f>85.1860250813373*(1/14151.6638359215)</f>
        <v>6.0195059795801267E-3</v>
      </c>
      <c r="X70" s="2">
        <f>150.974870458944*(1/14151.6638359215)</f>
        <v>1.0668347708749339E-2</v>
      </c>
      <c r="Y70" s="2">
        <f>238.618949851591*(1/14151.6638359215)</f>
        <v>1.686154735006487E-2</v>
      </c>
      <c r="Z70" s="2">
        <f>346.133211373823*(1/14151.6638359215)</f>
        <v>2.445883504491005E-2</v>
      </c>
      <c r="AA70" s="2">
        <f>470.658241772324*(1/14151.6638359215)</f>
        <v>3.3258155876882911E-2</v>
      </c>
      <c r="AB70" s="2">
        <f>609.339600065116*(1/14151.6638359215)</f>
        <v>4.305780628553478E-2</v>
      </c>
      <c r="AC70" s="2">
        <f>759.322845270219*(1/14151.6638359215)</f>
        <v>5.3656082710416851E-2</v>
      </c>
      <c r="AD70" s="2">
        <f>917.753536405684*(1/14151.6638359215)</f>
        <v>6.4851281591082513E-2</v>
      </c>
      <c r="AE70" s="2">
        <f>1081.77723248947*(1/14151.6638359215)</f>
        <v>7.6441699367078619E-2</v>
      </c>
      <c r="AF70" s="2">
        <f>1248.53949253963*(1/14151.6638359215)</f>
        <v>8.8225632477958726E-2</v>
      </c>
      <c r="AG70" s="2">
        <f>1415.18587557419*(1/14151.6638359215)</f>
        <v>0.10000137736327445</v>
      </c>
      <c r="AH70" s="2">
        <f>1578.86194061115*(1/14151.6638359215)</f>
        <v>0.11156723046257555</v>
      </c>
      <c r="AI70" s="2">
        <f>1737.10930835797*(1/14151.6638359215)</f>
        <v>0.12274947514995549</v>
      </c>
      <c r="AJ70" s="2">
        <f>1893.8793137444*(1/14151.6638359215)</f>
        <v>0.13382732487872712</v>
      </c>
      <c r="AK70" s="2">
        <f>2051.46692008547*(1/14151.6638359215)</f>
        <v>0.14496294880028054</v>
      </c>
      <c r="AL70" s="2">
        <f>2210.52656791615*(1/14151.6638359215)</f>
        <v>0.15620259169138251</v>
      </c>
      <c r="AM70" s="2">
        <f>2371.71269777143*(1/14151.6638359215)</f>
        <v>0.16759249832880119</v>
      </c>
      <c r="AN70" s="2">
        <f>2535.67975018627*(1/14151.6638359215)</f>
        <v>0.17917891348930257</v>
      </c>
      <c r="AO70" s="2">
        <f>2703.08216569565*(1/14151.6638359215)</f>
        <v>0.1910080819496541</v>
      </c>
      <c r="AP70" s="2">
        <f>2874.57438483458*(1/14151.6638359215)</f>
        <v>0.20312624848662533</v>
      </c>
      <c r="AQ70" s="2">
        <f>3050.81084813797*(1/14151.6638359215)</f>
        <v>0.21557965787697878</v>
      </c>
      <c r="AR70" s="2">
        <f>3232.44599614082*(1/14151.6638359215)</f>
        <v>0.22841455489748327</v>
      </c>
      <c r="AS70" s="2">
        <f>3420.1342693781*(1/14151.6638359215)</f>
        <v>0.24167718432490554</v>
      </c>
      <c r="AT70" s="2">
        <f>3614.95436348564*(1/14151.6638359215)</f>
        <v>0.25544377010353486</v>
      </c>
      <c r="AU70" s="2">
        <f>3817.6432522476*(1/14151.6638359215)</f>
        <v>0.26976638906283135</v>
      </c>
      <c r="AV70" s="2">
        <f>4027.05188700897*(1/14151.6638359215)</f>
        <v>0.28456384589824768</v>
      </c>
      <c r="AW70" s="2">
        <f>4241.96459935763*(1/14151.6638359215)</f>
        <v>0.29975023774873394</v>
      </c>
      <c r="AX70" s="2">
        <f>4461.16572088144*(1/14151.6638359215)</f>
        <v>0.31523966175323914</v>
      </c>
      <c r="AY70" s="2">
        <f>4683.43958316826*(1/14151.6638359215)</f>
        <v>0.33094621505071192</v>
      </c>
      <c r="AZ70" s="2">
        <f>4907.57051780594*(1/14151.6638359215)</f>
        <v>0.34678399478010058</v>
      </c>
      <c r="BA70" s="2">
        <f>5132.34285638238*(1/14151.6638359215)</f>
        <v>0.36266709808035674</v>
      </c>
      <c r="BB70" s="2">
        <f>5356.54093048536*(1/14151.6638359215)</f>
        <v>0.37850962209042355</v>
      </c>
      <c r="BC70" s="2">
        <f>5578.94907170278*(1/14151.6638359215)</f>
        <v>0.39422566394925262</v>
      </c>
      <c r="BD70" s="2">
        <f>5798.53809623967*(1/14151.6638359215)</f>
        <v>0.40974249837118837</v>
      </c>
      <c r="BE70" s="2">
        <f>6020.87376750947*(1/14151.6638359215)</f>
        <v>0.42545341928109859</v>
      </c>
      <c r="BF70" s="2">
        <f>6247.71500073144*(1/14151.6638359215)</f>
        <v>0.44148271702672298</v>
      </c>
      <c r="BG70" s="2">
        <f>6477.25376963405*(1/14151.6638359215)</f>
        <v>0.45770263092263996</v>
      </c>
      <c r="BH70" s="2">
        <f>6707.68204794565*(1/14151.6638359215)</f>
        <v>0.47398540028341996</v>
      </c>
      <c r="BI70" s="2">
        <f>6937.19180939472*(1/14151.6638359215)</f>
        <v>0.49020326442364209</v>
      </c>
      <c r="BJ70" s="2">
        <f>7163.9750277097*(1/14151.6638359215)</f>
        <v>0.50622846265788302</v>
      </c>
      <c r="BK70" s="2">
        <f>7386.22367661902*(1/14151.6638359215)</f>
        <v>0.52193323430071847</v>
      </c>
      <c r="BL70" s="2">
        <f>7602.12972985111*(1/14151.6638359215)</f>
        <v>0.53718981866672422</v>
      </c>
      <c r="BM70" s="2">
        <f>7809.88516113444*(1/14151.6638359215)</f>
        <v>0.55187045507047905</v>
      </c>
      <c r="BN70" s="2">
        <f>8007.68194419737*(1/14151.6638359215)</f>
        <v>0.56584738282655389</v>
      </c>
      <c r="BO70" s="2">
        <f>8195.57337781245*(1/14151.6638359215)</f>
        <v>0.57912436818979796</v>
      </c>
      <c r="BP70" s="2">
        <f>8379.17537892999*(1/14151.6638359215)</f>
        <v>0.59209824908792219</v>
      </c>
      <c r="BQ70" s="2">
        <f>8558.29384679172*(1/14151.6638359215)</f>
        <v>0.60475530976562641</v>
      </c>
      <c r="BR70" s="2">
        <f>8732.0872559875*(1/14151.6638359215)</f>
        <v>0.61703608545467559</v>
      </c>
      <c r="BS70" s="2">
        <f>8899.71408110705*(1/14151.6638359215)</f>
        <v>0.62888111138682479</v>
      </c>
      <c r="BT70" s="2">
        <f>9060.33279674023*(1/14151.6638359215)</f>
        <v>0.64023092279383953</v>
      </c>
      <c r="BU70" s="2">
        <f>9213.10187747684*(1/14151.6638359215)</f>
        <v>0.65102605490748078</v>
      </c>
      <c r="BV70" s="2">
        <f>9357.17979790669*(1/14151.6638359215)</f>
        <v>0.66120704295950994</v>
      </c>
      <c r="BW70" s="2">
        <f>9491.72503261959*(1/14151.6638359215)</f>
        <v>0.67071442218168875</v>
      </c>
      <c r="BX70" s="2">
        <f>9615.89605620535*(1/14151.6638359215)</f>
        <v>0.67948872780577907</v>
      </c>
      <c r="BY70" s="2">
        <f>9728.87121851366*(1/14151.6638359215)</f>
        <v>0.6874718995104051</v>
      </c>
      <c r="BZ70" s="2">
        <f>9835.26482828152*(1/14151.6638359215)</f>
        <v>0.69498999851285603</v>
      </c>
      <c r="CA70" s="2">
        <f>9937.67078623686*(1/14151.6638359215)</f>
        <v>0.70222631779959599</v>
      </c>
      <c r="CB70" s="2">
        <f>10034.0331693634*(1/14151.6638359215)</f>
        <v>0.70903557954039143</v>
      </c>
      <c r="CC70" s="2">
        <f>10122.2960546447*(1/14151.6638359215)</f>
        <v>0.71527250590499747</v>
      </c>
      <c r="CD70" s="2">
        <f>10200.4035190645*(1/14151.6638359215)</f>
        <v>0.72079181906318168</v>
      </c>
      <c r="CE70" s="2">
        <f>10266.2996396065*(1/14151.6638359215)</f>
        <v>0.72544824118470863</v>
      </c>
      <c r="CF70" s="2">
        <f>10317.9284932542*(1/14151.6638359215)</f>
        <v>0.72909649443932945</v>
      </c>
      <c r="CG70" s="2">
        <f>10353.2341569914*(1/14151.6638359215)</f>
        <v>0.73159130099681591</v>
      </c>
      <c r="CH70" s="2">
        <f>10370.1607078017*(1/14151.6638359215)</f>
        <v>0.7327873830269257</v>
      </c>
      <c r="CI70" s="2">
        <f>10366.6522226687*(1/14151.6638359215)</f>
        <v>0.7325394626994165</v>
      </c>
      <c r="CJ70" s="2">
        <f>10340.3154407746*(1/14151.6638359215)</f>
        <v>0.73067842485966461</v>
      </c>
      <c r="CK70" s="2">
        <f>10288.9906910866*(1/14151.6638359215)</f>
        <v>0.72705166052417192</v>
      </c>
      <c r="CL70" s="2">
        <f>10215.1920919257*(1/14151.6638359215)</f>
        <v>0.72183682500966706</v>
      </c>
      <c r="CM70" s="2">
        <f>10121.9844637251*(1/14151.6638359215)</f>
        <v>0.71525048793430424</v>
      </c>
      <c r="CN70" s="2">
        <f>10012.4326269177*(1/14151.6638359215)</f>
        <v>0.70750921891621732</v>
      </c>
      <c r="CO70" s="2">
        <f>9889.60140193666*(1/14151.6638359215)</f>
        <v>0.69882958757355818</v>
      </c>
      <c r="CP70" s="2">
        <f>9756.55560921498*(1/14151.6638359215)</f>
        <v>0.68942816352446745</v>
      </c>
      <c r="CQ70" s="2">
        <f>9616.36006918574*(1/14151.6638359215)</f>
        <v>0.67952151638709135</v>
      </c>
      <c r="CR70" s="2">
        <f>9472.07960228199*(1/14151.6638359215)</f>
        <v>0.66932621577957419</v>
      </c>
      <c r="CS70" s="2">
        <f>9326.77902893678*(1/14151.6638359215)</f>
        <v>0.65905883132005993</v>
      </c>
      <c r="CT70" s="2">
        <f>9183.52316958316*(1/14151.6638359215)</f>
        <v>0.64893593262669291</v>
      </c>
      <c r="CU70" s="2">
        <f>9039.04620764217*(1/14151.6638359215)</f>
        <v>0.63872674707677468</v>
      </c>
      <c r="CV70" s="2">
        <f>8886.96669536226*(1/14151.6638359215)</f>
        <v>0.62798034198666197</v>
      </c>
      <c r="CW70" s="2">
        <f>8728.08618268616*(1/14151.6638359215)</f>
        <v>0.6167533573353724</v>
      </c>
      <c r="CX70" s="2">
        <f>8563.23289960745*(1/14151.6638359215)</f>
        <v>0.60510431839620127</v>
      </c>
      <c r="CY70" s="2">
        <f>8393.23507611975*(1/14151.6638359215)</f>
        <v>0.59309175044244655</v>
      </c>
      <c r="CZ70" s="2">
        <f>8218.92094221667*(1/14151.6638359215)</f>
        <v>0.58077417874740567</v>
      </c>
      <c r="DA70" s="2">
        <f>8041.11872789178*(1/14151.6638359215)</f>
        <v>0.56821012858437325</v>
      </c>
      <c r="DB70" s="2">
        <f>7860.65666313877*(1/14151.6638359215)</f>
        <v>0.55545812522665228</v>
      </c>
      <c r="DC70" s="2">
        <f>7678.36297795121*(1/14151.6638359215)</f>
        <v>0.54257669394753727</v>
      </c>
      <c r="DD70" s="2">
        <f>7495.06590232271*(1/14151.6638359215)</f>
        <v>0.52962436002032554</v>
      </c>
      <c r="DE70" s="2">
        <f>7311.18145406213*(1/14151.6638359215)</f>
        <v>0.51663052054020575</v>
      </c>
      <c r="DF70" s="2">
        <f>7123.23536174691*(1/14151.6638359215)</f>
        <v>0.50334967282545495</v>
      </c>
      <c r="DG70" s="2">
        <f>6930.91920564868*(1/14151.6638359215)</f>
        <v>0.48976002299148497</v>
      </c>
      <c r="DH70" s="2">
        <f>6735.07018373828*(1/14151.6638359215)</f>
        <v>0.47592073001638818</v>
      </c>
      <c r="DI70" s="2">
        <f>6536.52549398667*(1/14151.6638359215)</f>
        <v>0.46189095287826543</v>
      </c>
      <c r="DJ70" s="2">
        <f>6336.12233436471*(1/14151.6638359215)</f>
        <v>0.44772985055521047</v>
      </c>
      <c r="DK70" s="2">
        <f>6134.69790284326*(1/14151.6638359215)</f>
        <v>0.43349658202531721</v>
      </c>
      <c r="DL70" s="2">
        <f>5933.08939739323*(1/14151.6638359215)</f>
        <v>0.41925030626668292</v>
      </c>
      <c r="DM70" s="2">
        <f>5732.13401598544*(1/14151.6638359215)</f>
        <v>0.40505018225739858</v>
      </c>
      <c r="DN70" s="2">
        <f>5532.66895659086*(1/14151.6638359215)</f>
        <v>0.39095536897556576</v>
      </c>
      <c r="DO70" s="2">
        <f>5335.53141718034*(1/14151.6638359215)</f>
        <v>0.37702502539927751</v>
      </c>
      <c r="DP70" s="2">
        <f>5140.40016579593*(1/14151.6638359215)</f>
        <v>0.36323645229248108</v>
      </c>
      <c r="DQ70" s="2">
        <f>4945.42104016044*(1/14151.6638359215)</f>
        <v>0.34945862885799772</v>
      </c>
      <c r="DR70" s="2">
        <f>4750.63978442193*(1/14151.6638359215)</f>
        <v>0.33569478751772425</v>
      </c>
      <c r="DS70" s="2">
        <f>4556.15953311018*(1/14151.6638359215)</f>
        <v>0.32195221607406849</v>
      </c>
      <c r="DT70" s="2">
        <f>4362.08342075489*(1/14151.6638359215)</f>
        <v>0.30823820232943289</v>
      </c>
      <c r="DU70" s="2">
        <f>4168.51458188591*(1/14151.6638359215)</f>
        <v>0.29456003408623033</v>
      </c>
      <c r="DV70" s="2">
        <f>3975.55615103296*(1/14151.6638359215)</f>
        <v>0.28092499914686447</v>
      </c>
      <c r="DW70" s="2">
        <f>3783.3112627258*(1/14151.6638359215)</f>
        <v>0.26734038531374188</v>
      </c>
      <c r="DX70" s="2">
        <f>3591.8830514942*(1/14151.6638359215)</f>
        <v>0.25381348038926982</v>
      </c>
      <c r="DY70" s="2">
        <f>3401.37465186787*(1/14151.6638359215)</f>
        <v>0.24035157217585124</v>
      </c>
      <c r="DZ70" s="2">
        <f>3211.66237785199*(1/14151.6638359215)</f>
        <v>0.22694592064148333</v>
      </c>
      <c r="EA70" s="2">
        <f>3018.35416226766*(1/14151.6638359215)</f>
        <v>0.21328616883946189</v>
      </c>
      <c r="EB70" s="2">
        <f>2821.23383234499*(1/14151.6638359215)</f>
        <v>0.19935704133840335</v>
      </c>
      <c r="EC70" s="2">
        <f>2622.30474597632*(1/14151.6638359215)</f>
        <v>0.18530010155555438</v>
      </c>
      <c r="ED70" s="2">
        <f>2423.57026105401*(1/14151.6638359215)</f>
        <v>0.17125691290816314</v>
      </c>
      <c r="EE70" s="2">
        <f>2227.03373547036*(1/14151.6638359215)</f>
        <v>0.15736903881347353</v>
      </c>
      <c r="EF70" s="2">
        <f>2034.69852711778*(1/14151.6638359215)</f>
        <v>0.14377804268873723</v>
      </c>
      <c r="EG70" s="2">
        <f>1848.5679938886*(1/14151.6638359215)</f>
        <v>0.13062548795120024</v>
      </c>
      <c r="EH70" s="2">
        <f>1670.64549367514*(1/14151.6638359215)</f>
        <v>0.1180529380181079</v>
      </c>
      <c r="EI70" s="2">
        <f>1502.93438436975*(1/14151.6638359215)</f>
        <v>0.10620195630670766</v>
      </c>
      <c r="EJ70" s="2">
        <f>1347.43802386476*(1/14151.6638359215)</f>
        <v>9.5214106234245505E-2</v>
      </c>
      <c r="EK70" s="2">
        <f>1204.35503518467*(1/14151.6638359215)</f>
        <v>8.5103423113233323E-2</v>
      </c>
      <c r="EL70" s="2">
        <f>1069.29688860296*(1/14151.6638359215)</f>
        <v>7.5559799964209071E-2</v>
      </c>
      <c r="EM70" s="2">
        <f>941.960361128358*(1/14151.6638359215)</f>
        <v>6.6561810119977416E-2</v>
      </c>
      <c r="EN70" s="2">
        <f>822.383115132353*(1/14151.6638359215)</f>
        <v>5.8112114919298657E-2</v>
      </c>
      <c r="EO70" s="2">
        <f>710.602812986419*(1/14151.6638359215)</f>
        <v>5.0213375700932018E-2</v>
      </c>
      <c r="EP70" s="2">
        <f>606.657117062033*(1/14151.6638359215)</f>
        <v>4.286825380363693E-2</v>
      </c>
      <c r="EQ70" s="2">
        <f>510.583689730655*(1/14151.6638359215)</f>
        <v>3.6079410566171623E-2</v>
      </c>
      <c r="ER70" s="2">
        <f>422.420193363797*(1/14151.6638359215)</f>
        <v>2.9849507327298005E-2</v>
      </c>
      <c r="ES70" s="2">
        <f>342.204290332919*(1/14151.6638359215)</f>
        <v>2.4181205425774309E-2</v>
      </c>
      <c r="ET70" s="2">
        <f>269.973643009497*(1/14151.6638359215)</f>
        <v>1.9077166200359888E-2</v>
      </c>
      <c r="EU70" s="2">
        <f>205.812032441565*(1/14151.6638359215)</f>
        <v>1.4543309877044105E-2</v>
      </c>
      <c r="EV70" s="2">
        <f>152.980395650924*(1/14151.6638359215)</f>
        <v>1.0810064274040363E-2</v>
      </c>
      <c r="EW70" s="2">
        <f>112.229493980839*(1/14151.6638359215)</f>
        <v>7.9304804920509939E-3</v>
      </c>
      <c r="EX70" s="2">
        <f>81.824037525429*(1/14151.6638359215)</f>
        <v>5.7819376204890577E-3</v>
      </c>
      <c r="EY70" s="2">
        <f>60.0287363788255*(1/14151.6638359215)</f>
        <v>4.2418147487684917E-3</v>
      </c>
      <c r="EZ70" s="2">
        <f>45.1083006351595*(1/14151.6638359215)</f>
        <v>3.1874909663032022E-3</v>
      </c>
      <c r="FA70" s="2">
        <f>35.3274403885618*(1/14151.6638359215)</f>
        <v>2.4963453625070804E-3</v>
      </c>
      <c r="FB70" s="2">
        <f>28.9508657331626*(1/14151.6638359215)</f>
        <v>2.0457570267939759E-3</v>
      </c>
      <c r="FC70" s="2">
        <f>24.2432867630949*(1/14151.6638359215)</f>
        <v>1.7131050485779346E-3</v>
      </c>
      <c r="FD70" s="2">
        <f>19.4694135724885*(1/14151.6638359215)</f>
        <v>1.3757685172727768E-3</v>
      </c>
      <c r="FE70" s="2">
        <f>12.8939562554741*(1/14151.6638359215)</f>
        <v>9.1112652229238724E-4</v>
      </c>
      <c r="FF70" s="2">
        <f>3.79966729968913*(1/14151.6638359215)</f>
        <v>2.6849615308444124E-4</v>
      </c>
      <c r="FG70" s="2">
        <f>-4.04151372896883*(1/14151.6638359215)</f>
        <v>-2.8558576403646342E-4</v>
      </c>
      <c r="FH70" s="2">
        <f>-10.0690915801391*(1/14151.6638359215)</f>
        <v>-7.1151291444476576E-4</v>
      </c>
      <c r="FI70" s="2">
        <f>-14.2830662538232*(1/14151.6638359215)</f>
        <v>-1.0092852981405734E-3</v>
      </c>
      <c r="FJ70" s="2">
        <f>-16.6834377500213*(1/14151.6638359215)</f>
        <v>-1.178902915123898E-3</v>
      </c>
      <c r="FK70" s="2">
        <f>-17.2702060687332*(1/14151.6638359215)</f>
        <v>-1.2203657653947256E-3</v>
      </c>
      <c r="FL70" s="2">
        <f>-16.0433712099591*(1/14151.6638359215)</f>
        <v>-1.1336738489530706E-3</v>
      </c>
      <c r="FM70" s="2">
        <f>-13.0029331736982*(1/14151.6638359215)</f>
        <v>-9.1882716579887592E-4</v>
      </c>
      <c r="FN70" s="2">
        <f>-8.14889195995154*(1/14151.6638359215)</f>
        <v>-5.7582571593221539E-4</v>
      </c>
      <c r="FO70" s="2">
        <f>-1.4812475687188*(1/14151.6638359215)</f>
        <v>-1.046694993530665E-4</v>
      </c>
      <c r="FP70" s="2">
        <f t="shared" si="17"/>
        <v>4.9464148393856954E-4</v>
      </c>
      <c r="FQ70" s="2"/>
    </row>
    <row r="71" spans="2:173">
      <c r="B71" s="2">
        <v>9.9437869822485219</v>
      </c>
      <c r="C71" s="2">
        <f t="shared" si="18"/>
        <v>4.9464148393856954E-4</v>
      </c>
      <c r="D71" s="2">
        <f>-0.671584347160732*(1/14151.6638359215)</f>
        <v>-4.7456211152785707E-5</v>
      </c>
      <c r="E71" s="2">
        <f>-6.73865432105914*(1/14151.6638359215)</f>
        <v>-4.7617399615967811E-4</v>
      </c>
      <c r="F71" s="2">
        <f>-11.2012099216959*(1/14151.6638359215)</f>
        <v>-7.9151187108215558E-4</v>
      </c>
      <c r="G71" s="2">
        <f>-14.0592511490694*(1/14151.6638359215)</f>
        <v>-9.9346983592010383E-4</v>
      </c>
      <c r="H71" s="2">
        <f>-15.3127780031805*(1/14151.6638359215)</f>
        <v>-1.082047890673584E-3</v>
      </c>
      <c r="I71" s="2">
        <f>-14.9617904840293*(1/14151.6638359215)</f>
        <v>-1.0572460353426032E-3</v>
      </c>
      <c r="J71" s="2">
        <f>-13.0062885916158*(1/14151.6638359215)</f>
        <v>-9.1906426992716095E-4</v>
      </c>
      <c r="K71" s="2">
        <f>-9.44627232593997*(1/14151.6638359215)</f>
        <v>-6.6750259442725573E-4</v>
      </c>
      <c r="L71" s="2">
        <f>-4.28174168700069*(1/14151.6638359215)</f>
        <v>-3.0256100884280796E-4</v>
      </c>
      <c r="M71" s="2">
        <f>2.4873033252001*(1/14151.6638359215)</f>
        <v>1.7576048682604512E-4</v>
      </c>
      <c r="N71" s="2">
        <f>9.87505600659723*(1/14151.6638359215)</f>
        <v>6.9780176529710548E-4</v>
      </c>
      <c r="O71" s="2">
        <f>11.2473775147633*(1/14151.6638359215)</f>
        <v>7.9477421490283136E-4</v>
      </c>
      <c r="P71" s="2">
        <f>7.86577257379789*(1/14151.6638359215)</f>
        <v>5.5581963117524145E-4</v>
      </c>
      <c r="Q71" s="2">
        <f>2.78229277844994*(1/14151.6638359215)</f>
        <v>1.9660534695486345E-4</v>
      </c>
      <c r="R71" s="2">
        <f>-0.951010276531857*(1/14151.6638359215)</f>
        <v>-6.7201304917792441E-5</v>
      </c>
      <c r="S71" s="2">
        <f>-0.28208499639672*(1/14151.6638359215)</f>
        <v>-1.9932991602068521E-5</v>
      </c>
      <c r="T71" s="2">
        <f>7.84112021360342*(1/14151.6638359215)</f>
        <v>5.5407761974250128E-4</v>
      </c>
      <c r="U71" s="2">
        <f>26.4706569482176*(1/14151.6638359215)</f>
        <v>1.8704978619564514E-3</v>
      </c>
      <c r="V71" s="2">
        <f>58.6585768021948*(1/14151.6638359215)</f>
        <v>4.1449950678803128E-3</v>
      </c>
      <c r="W71" s="2">
        <f>107.456931370284*(1/14151.6638359215)</f>
        <v>7.5932365703546148E-3</v>
      </c>
      <c r="X71" s="2">
        <f>175.917772247249*(1/14151.6638359215)</f>
        <v>1.2430889702220935E-2</v>
      </c>
      <c r="Y71" s="2">
        <f>266.086975227389*(1/14151.6638359215)</f>
        <v>1.8802522326171585E-2</v>
      </c>
      <c r="Z71" s="2">
        <f>375.992174881253*(1/14151.6638359215)</f>
        <v>2.6568761047507591E-2</v>
      </c>
      <c r="AA71" s="2">
        <f>502.838608473748*(1/14151.6638359215)</f>
        <v>3.5532119353865729E-2</v>
      </c>
      <c r="AB71" s="2">
        <f>643.836835250124*(1/14151.6638359215)</f>
        <v>4.5495486800347665E-2</v>
      </c>
      <c r="AC71" s="2">
        <f>796.197414455635*(1/14151.6638359215)</f>
        <v>5.6261752942055369E-2</v>
      </c>
      <c r="AD71" s="2">
        <f>957.130905335565*(1/14151.6638359215)</f>
        <v>6.763380733409291E-2</v>
      </c>
      <c r="AE71" s="2">
        <f>1123.84786713511*(1/14151.6638359215)</f>
        <v>7.9414539531558165E-2</v>
      </c>
      <c r="AF71" s="2">
        <f>1293.55885909954*(1/14151.6638359215)</f>
        <v>9.1406839089554215E-2</v>
      </c>
      <c r="AG71" s="2">
        <f>1463.47444047412*(1/14151.6638359215)</f>
        <v>0.10341359556318379</v>
      </c>
      <c r="AH71" s="2">
        <f>1630.80517050409*(1/14151.6638359215)</f>
        <v>0.11523769850754786</v>
      </c>
      <c r="AI71" s="2">
        <f>1793.16815298185*(1/14151.6638359215)</f>
        <v>0.12671076516318946</v>
      </c>
      <c r="AJ71" s="2">
        <f>1954.67668907217*(1/14151.6638359215)</f>
        <v>0.13812345401468401</v>
      </c>
      <c r="AK71" s="2">
        <f>2117.56018278118*(1/14151.6638359215)</f>
        <v>0.1496333015914445</v>
      </c>
      <c r="AL71" s="2">
        <f>2282.34127520492*(1/14151.6638359215)</f>
        <v>0.16127723931737267</v>
      </c>
      <c r="AM71" s="2">
        <f>2449.54260743941*(1/14151.6638359215)</f>
        <v>0.17309219861636896</v>
      </c>
      <c r="AN71" s="2">
        <f>2619.68682058071*(1/14151.6638359215)</f>
        <v>0.18511511091233651</v>
      </c>
      <c r="AO71" s="2">
        <f>2793.29655572483*(1/14151.6638359215)</f>
        <v>0.19738290762917501</v>
      </c>
      <c r="AP71" s="2">
        <f>2970.89445396786*(1/14151.6638359215)</f>
        <v>0.20993252019078981</v>
      </c>
      <c r="AQ71" s="2">
        <f>3153.00315640576*(1/14151.6638359215)</f>
        <v>0.22280088002107698</v>
      </c>
      <c r="AR71" s="2">
        <f>3340.14530413459*(1/14151.6638359215)</f>
        <v>0.23602491854393975</v>
      </c>
      <c r="AS71" s="2">
        <f>3532.8435382504*(1/14151.6638359215)</f>
        <v>0.24964156718328062</v>
      </c>
      <c r="AT71" s="2">
        <f>3731.95133720226*(1/14151.6638359215)</f>
        <v>0.26371113534575069</v>
      </c>
      <c r="AU71" s="2">
        <f>3938.04218245131*(1/14151.6638359215)</f>
        <v>0.27827414699148556</v>
      </c>
      <c r="AV71" s="2">
        <f>4150.20612886803*(1/14151.6638359215)</f>
        <v>0.29326630260488978</v>
      </c>
      <c r="AW71" s="2">
        <f>4367.48100481783*(1/14151.6638359215)</f>
        <v>0.30861961218522943</v>
      </c>
      <c r="AX71" s="2">
        <f>4588.90463866609*(1/14151.6638359215)</f>
        <v>0.32426608573176857</v>
      </c>
      <c r="AY71" s="2">
        <f>4813.51485877818*(1/14151.6638359215)</f>
        <v>0.34013773324377039</v>
      </c>
      <c r="AZ71" s="2">
        <f>5040.34949351949*(1/14151.6638359215)</f>
        <v>0.35616656472049973</v>
      </c>
      <c r="BA71" s="2">
        <f>5268.44637125542*(1/14151.6638359215)</f>
        <v>0.37228459016122184</v>
      </c>
      <c r="BB71" s="2">
        <f>5496.84332035128*(1/14151.6638359215)</f>
        <v>0.38842381956519589</v>
      </c>
      <c r="BC71" s="2">
        <f>5724.57816917248*(1/14151.6638359215)</f>
        <v>0.40451626293168785</v>
      </c>
      <c r="BD71" s="2">
        <f>5950.87779595855*(1/14151.6638359215)</f>
        <v>0.42050728910428881</v>
      </c>
      <c r="BE71" s="2">
        <f>6181.52543269449*(1/14151.6638359215)</f>
        <v>0.43680555900457296</v>
      </c>
      <c r="BF71" s="2">
        <f>6418.0847406373*(1/14151.6638359215)</f>
        <v>0.45352156573604618</v>
      </c>
      <c r="BG71" s="2">
        <f>6658.44283624173*(1/14151.6638359215)</f>
        <v>0.47050600646267821</v>
      </c>
      <c r="BH71" s="2">
        <f>6900.48683596237*(1/14151.6638359215)</f>
        <v>0.48760957834842733</v>
      </c>
      <c r="BI71" s="2">
        <f>7142.10385625396*(1/14151.6638359215)</f>
        <v>0.50468297855726263</v>
      </c>
      <c r="BJ71" s="2">
        <f>7381.1810135712*(1/14151.6638359215)</f>
        <v>0.52157690425315051</v>
      </c>
      <c r="BK71" s="2">
        <f>7615.60542436877*(1/14151.6638359215)</f>
        <v>0.53814205260005543</v>
      </c>
      <c r="BL71" s="2">
        <f>7843.26420510137*(1/14151.6638359215)</f>
        <v>0.55422912076194386</v>
      </c>
      <c r="BM71" s="2">
        <f>8062.04447222373*(1/14151.6638359215)</f>
        <v>0.56968880590278392</v>
      </c>
      <c r="BN71" s="2">
        <f>8269.83334219046*(1/14151.6638359215)</f>
        <v>0.58437180518653564</v>
      </c>
      <c r="BO71" s="2">
        <f>8466.6745368929*(1/14151.6638359215)</f>
        <v>0.59828120813622931</v>
      </c>
      <c r="BP71" s="2">
        <f>8659.07371984339*(1/14151.6638359215)</f>
        <v>0.61187672490240064</v>
      </c>
      <c r="BQ71" s="2">
        <f>8846.82540013426*(1/14151.6638359215)</f>
        <v>0.62514383486683422</v>
      </c>
      <c r="BR71" s="2">
        <f>9028.97485325302*(1/14151.6638359215)</f>
        <v>0.63801507426530024</v>
      </c>
      <c r="BS71" s="2">
        <f>9204.56735468707*(1/14151.6638359215)</f>
        <v>0.65042297933356086</v>
      </c>
      <c r="BT71" s="2">
        <f>9372.64817992392*(1/14151.6638359215)</f>
        <v>0.6623000863073859</v>
      </c>
      <c r="BU71" s="2">
        <f>9532.26260445106*(1/14151.6638359215)</f>
        <v>0.67357893142254377</v>
      </c>
      <c r="BV71" s="2">
        <f>9682.45590375596*(1/14151.6638359215)</f>
        <v>0.68419205091480162</v>
      </c>
      <c r="BW71" s="2">
        <f>9822.27335332611*(1/14151.6638359215)</f>
        <v>0.69407198101992817</v>
      </c>
      <c r="BX71" s="2">
        <f>9950.76022864896*(1/14151.6638359215)</f>
        <v>0.70315125797368871</v>
      </c>
      <c r="BY71" s="2">
        <f>10066.9818377081*(1/14151.6638359215)</f>
        <v>0.71136383356950883</v>
      </c>
      <c r="BZ71" s="2">
        <f>10175.5227825707*(1/14151.6638359215)</f>
        <v>0.71903366986021344</v>
      </c>
      <c r="CA71" s="2">
        <f>10279.0738955571*(1/14151.6638359215)</f>
        <v>0.72635090931608237</v>
      </c>
      <c r="CB71" s="2">
        <f>10375.6707989482*(1/14151.6638359215)</f>
        <v>0.73317674297854585</v>
      </c>
      <c r="CC71" s="2">
        <f>10463.3491150247*(1/14151.6638359215)</f>
        <v>0.73937236188901934</v>
      </c>
      <c r="CD71" s="2">
        <f>10540.1444660677*(1/14151.6638359215)</f>
        <v>0.74479895708894706</v>
      </c>
      <c r="CE71" s="2">
        <f>10604.0924743577*(1/14151.6638359215)</f>
        <v>0.74931771961973004</v>
      </c>
      <c r="CF71" s="2">
        <f>10653.2287621757*(1/14151.6638359215)</f>
        <v>0.75278984052280551</v>
      </c>
      <c r="CG71" s="2">
        <f>10685.5889518026*(1/14151.6638359215)</f>
        <v>0.75507651083960314</v>
      </c>
      <c r="CH71" s="2">
        <f>10699.2086655191*(1/14151.6638359215)</f>
        <v>0.75603892161153852</v>
      </c>
      <c r="CI71" s="2">
        <f>10692.1235256061*(1/14151.6638359215)</f>
        <v>0.75553826388004164</v>
      </c>
      <c r="CJ71" s="2">
        <f>10661.9692735503*(1/14151.6638359215)</f>
        <v>0.75340747188233603</v>
      </c>
      <c r="CK71" s="2">
        <f>10606.2863941372*(1/14151.6638359215)</f>
        <v>0.74947274872478353</v>
      </c>
      <c r="CL71" s="2">
        <f>10527.5767829843*(1/14151.6638359215)</f>
        <v>0.74391088603036948</v>
      </c>
      <c r="CM71" s="2">
        <f>10428.9537884221*(1/14151.6638359215)</f>
        <v>0.73694188254741066</v>
      </c>
      <c r="CN71" s="2">
        <f>10313.530758781*(1/14151.6638359215)</f>
        <v>0.72878573702421645</v>
      </c>
      <c r="CO71" s="2">
        <f>10184.4210423914*(1/14151.6638359215)</f>
        <v>0.71966244820909642</v>
      </c>
      <c r="CP71" s="2">
        <f>10044.7379875836*(1/14151.6638359215)</f>
        <v>0.70979201485035326</v>
      </c>
      <c r="CQ71" s="2">
        <f>9897.59494268822*(1/14151.6638359215)</f>
        <v>0.69939443569631177</v>
      </c>
      <c r="CR71" s="2">
        <f>9746.10525603557*(1/14151.6638359215)</f>
        <v>0.68868970949527519</v>
      </c>
      <c r="CS71" s="2">
        <f>9593.38227595607*(1/14151.6638359215)</f>
        <v>0.67789783499555456</v>
      </c>
      <c r="CT71" s="2">
        <f>9442.53935078013*(1/14151.6638359215)</f>
        <v>0.66723881094546</v>
      </c>
      <c r="CU71" s="2">
        <f>9289.98249823724*(1/14151.6638359215)</f>
        <v>0.65645867552734394</v>
      </c>
      <c r="CV71" s="2">
        <f>9129.00049988363*(1/14151.6638359215)</f>
        <v>0.64508319344834031</v>
      </c>
      <c r="CW71" s="2">
        <f>8960.60232071196*(1/14151.6638359215)</f>
        <v>0.63318366127147907</v>
      </c>
      <c r="CX71" s="2">
        <f>8785.82538455972*(1/14151.6638359215)</f>
        <v>0.62083338654911047</v>
      </c>
      <c r="CY71" s="2">
        <f>8605.7071152644*(1/14151.6638359215)</f>
        <v>0.60810567683358419</v>
      </c>
      <c r="CZ71" s="2">
        <f>8421.28493666351*(1/14151.6638359215)</f>
        <v>0.59507383967725158</v>
      </c>
      <c r="DA71" s="2">
        <f>8233.59627259452*(1/14151.6638359215)</f>
        <v>0.58181118263246112</v>
      </c>
      <c r="DB71" s="2">
        <f>8043.67854689499*(1/14151.6638359215)</f>
        <v>0.56839101325156782</v>
      </c>
      <c r="DC71" s="2">
        <f>7852.56918340241*(1/14151.6638359215)</f>
        <v>0.55488663908692137</v>
      </c>
      <c r="DD71" s="2">
        <f>7661.30560595426*(1/14151.6638359215)</f>
        <v>0.54137136769087102</v>
      </c>
      <c r="DE71" s="2">
        <f>7470.47805908559*(1/14151.6638359215)</f>
        <v>0.52788690755380296</v>
      </c>
      <c r="DF71" s="2">
        <f>7276.36571065535*(1/14151.6638359215)</f>
        <v>0.51417033325689809</v>
      </c>
      <c r="DG71" s="2">
        <f>7078.50356970299*(1/14151.6638359215)</f>
        <v>0.50018878711176407</v>
      </c>
      <c r="DH71" s="2">
        <f>6877.65068673314*(1/14151.6638359215)</f>
        <v>0.48599590595668607</v>
      </c>
      <c r="DI71" s="2">
        <f>6674.56611225058*(1/14151.6638359215)</f>
        <v>0.47164532662995939</v>
      </c>
      <c r="DJ71" s="2">
        <f>6470.00889675994*(1/14151.6638359215)</f>
        <v>0.45719068596986917</v>
      </c>
      <c r="DK71" s="2">
        <f>6264.73809076591*(1/14151.6638359215)</f>
        <v>0.44268562081470436</v>
      </c>
      <c r="DL71" s="2">
        <f>6059.51274477318*(1/14151.6638359215)</f>
        <v>0.42818376800275437</v>
      </c>
      <c r="DM71" s="2">
        <f>5855.09190928639*(1/14151.6638359215)</f>
        <v>0.41373876437230461</v>
      </c>
      <c r="DN71" s="2">
        <f>5652.23463481029*(1/14151.6638359215)</f>
        <v>0.39940424676164865</v>
      </c>
      <c r="DO71" s="2">
        <f>5451.69997184955*(1/14151.6638359215)</f>
        <v>0.38523385200907417</v>
      </c>
      <c r="DP71" s="2">
        <f>5253.23069894551*(1/14151.6638359215)</f>
        <v>0.37120940405686514</v>
      </c>
      <c r="DQ71" s="2">
        <f>5055.19560801653*(1/14151.6638359215)</f>
        <v>0.35721563673557655</v>
      </c>
      <c r="DR71" s="2">
        <f>4857.6064533093*(1/14151.6638359215)</f>
        <v>0.34325338063635485</v>
      </c>
      <c r="DS71" s="2">
        <f>4660.52502455026*(1/14151.6638359215)</f>
        <v>0.32932700201091131</v>
      </c>
      <c r="DT71" s="2">
        <f>4464.01311146581*(1/14151.6638359215)</f>
        <v>0.31544086711095415</v>
      </c>
      <c r="DU71" s="2">
        <f>4268.13250378247*(1/14151.6638359215)</f>
        <v>0.30159934218820045</v>
      </c>
      <c r="DV71" s="2">
        <f>4072.94499122664*(1/14151.6638359215)</f>
        <v>0.2878067934943585</v>
      </c>
      <c r="DW71" s="2">
        <f>3878.51236352476*(1/14151.6638359215)</f>
        <v>0.27406758728113945</v>
      </c>
      <c r="DX71" s="2">
        <f>3684.89641040328*(1/14151.6638359215)</f>
        <v>0.26038608980025524</v>
      </c>
      <c r="DY71" s="2">
        <f>3492.15892158858*(1/14151.6638359215)</f>
        <v>0.24676666730341287</v>
      </c>
      <c r="DZ71" s="2">
        <f>3300.14691608184*(1/14151.6638359215)</f>
        <v>0.23319850968371647</v>
      </c>
      <c r="EA71" s="2">
        <f>3104.68492163278*(1/14151.6638359215)</f>
        <v>0.21938656525687711</v>
      </c>
      <c r="EB71" s="2">
        <f>2905.5989664949*(1/14151.6638359215)</f>
        <v>0.20531854064534449</v>
      </c>
      <c r="EC71" s="2">
        <f>2704.82358528327*(1/14151.6638359215)</f>
        <v>0.19113113600236553</v>
      </c>
      <c r="ED71" s="2">
        <f>2504.29331261298*(1/14151.6638359215)</f>
        <v>0.17696105148118865</v>
      </c>
      <c r="EE71" s="2">
        <f>2305.94268309908*(1/14151.6638359215)</f>
        <v>0.16294498723505937</v>
      </c>
      <c r="EF71" s="2">
        <f>2111.70623135673*(1/14151.6638359215)</f>
        <v>0.14921964341723101</v>
      </c>
      <c r="EG71" s="2">
        <f>1923.51849200098*(1/14151.6638359215)</f>
        <v>0.13592172018094917</v>
      </c>
      <c r="EH71" s="2">
        <f>1743.31399964692*(1/14151.6638359215)</f>
        <v>0.1231879176794622</v>
      </c>
      <c r="EI71" s="2">
        <f>1573.02728890962*(1/14151.6638359215)</f>
        <v>0.11115493606601706</v>
      </c>
      <c r="EJ71" s="2">
        <f>1414.59289440416*(1/14151.6638359215)</f>
        <v>9.9959475493861416E-2</v>
      </c>
      <c r="EK71" s="2">
        <f>1268.10091474923*(1/14151.6638359215)</f>
        <v>8.9607902607916665E-2</v>
      </c>
      <c r="EL71" s="2">
        <f>1129.06800763425*(1/14151.6638359215)</f>
        <v>7.9783410680538513E-2</v>
      </c>
      <c r="EM71" s="2">
        <f>997.308962060359*(1/14151.6638359215)</f>
        <v>7.0472912134110083E-2</v>
      </c>
      <c r="EN71" s="2">
        <f>872.990882072532*(1/14151.6638359215)</f>
        <v>6.1688215053314004E-2</v>
      </c>
      <c r="EO71" s="2">
        <f>756.280871715741*(1/14151.6638359215)</f>
        <v>5.3441127522832726E-2</v>
      </c>
      <c r="EP71" s="2">
        <f>647.346035034963*(1/14151.6638359215)</f>
        <v>4.5743457627349049E-2</v>
      </c>
      <c r="EQ71" s="2">
        <f>546.353476075154*(1/14151.6638359215)</f>
        <v>3.8607013451544277E-2</v>
      </c>
      <c r="ER71" s="2">
        <f>453.470298881328*(1/14151.6638359215)</f>
        <v>3.2043603080103823E-2</v>
      </c>
      <c r="ES71" s="2">
        <f>368.863607498439*(1/14151.6638359215)</f>
        <v>2.6065034597708849E-2</v>
      </c>
      <c r="ET71" s="2">
        <f>292.700505971462*(1/14151.6638359215)</f>
        <v>2.0683116089042015E-2</v>
      </c>
      <c r="EU71" s="2">
        <f>225.191243258272*(1/14151.6638359215)</f>
        <v>1.5912704390749009E-2</v>
      </c>
      <c r="EV71" s="2">
        <f>169.462060122987*(1/14151.6638359215)</f>
        <v>1.1974709270074484E-2</v>
      </c>
      <c r="EW71" s="2">
        <f>126.114336982968*(1/14151.6638359215)</f>
        <v>8.9116261130263025E-3</v>
      </c>
      <c r="EX71" s="2">
        <f>93.389647870885*(1/14151.6638359215)</f>
        <v>6.5991991439078614E-3</v>
      </c>
      <c r="EY71" s="2">
        <f>69.5295668194228*(1/14151.6638359215)</f>
        <v>4.9131725870236028E-3</v>
      </c>
      <c r="EZ71" s="2">
        <f>52.775667861264*(1/14151.6638359215)</f>
        <v>3.7292906666778138E-3</v>
      </c>
      <c r="FA71" s="2">
        <f>41.3695250290918*(1/14151.6638359215)</f>
        <v>2.9232976071748231E-3</v>
      </c>
      <c r="FB71" s="2">
        <f>33.5527123555882*(1/14151.6638359215)</f>
        <v>2.370937632818875E-3</v>
      </c>
      <c r="FC71" s="2">
        <f>27.566803873439*(1/14151.6638359215)</f>
        <v>1.9479549679144821E-3</v>
      </c>
      <c r="FD71" s="2">
        <f>21.6533736153256*(1/14151.6638359215)</f>
        <v>1.530093836765846E-3</v>
      </c>
      <c r="FE71" s="2">
        <f>14.053995613931*(1/14151.6638359215)</f>
        <v>9.9309846367728253E-4</v>
      </c>
      <c r="FF71" s="2">
        <f>4.04185952680692*(1/14151.6638359215)</f>
        <v>2.856101991730028E-4</v>
      </c>
      <c r="FG71" s="2">
        <f>-4.5608050247072*(1/14151.6638359215)</f>
        <v>-3.2228048076795055E-4</v>
      </c>
      <c r="FH71" s="2">
        <f>-11.1860298875903*(1/14151.6638359215)</f>
        <v>-7.9043920328269372E-4</v>
      </c>
      <c r="FI71" s="2">
        <f>-15.8338150618441*(1/14151.6638359215)</f>
        <v>-1.1188659683713483E-3</v>
      </c>
      <c r="FJ71" s="2">
        <f>-18.5041605474687*(1/14151.6638359215)</f>
        <v>-1.3075607760339217E-3</v>
      </c>
      <c r="FK71" s="2">
        <f>-19.197066344464*(1/14151.6638359215)</f>
        <v>-1.3565236262704063E-3</v>
      </c>
      <c r="FL71" s="2">
        <f>-17.9125324528301*(1/14151.6638359215)</f>
        <v>-1.2657545190808094E-3</v>
      </c>
      <c r="FM71" s="2">
        <f>-14.6505588725661*(1/14151.6638359215)</f>
        <v>-1.0352534544650674E-3</v>
      </c>
      <c r="FN71" s="2">
        <f>-9.41114560367333*(1/14151.6638359215)</f>
        <v>-6.6502043242327438E-4</v>
      </c>
      <c r="FO71" s="2">
        <f>-2.19429264615128*(1/14151.6638359215)</f>
        <v>-1.5505545295539422E-4</v>
      </c>
      <c r="FP71" s="2">
        <f t="shared" si="17"/>
        <v>4.9464148393856954E-4</v>
      </c>
      <c r="FQ71" s="2"/>
    </row>
    <row r="72" spans="2:173">
      <c r="B72" s="2">
        <v>9.9532544378698233</v>
      </c>
      <c r="C72" s="2">
        <f t="shared" si="18"/>
        <v>4.9464148393856954E-4</v>
      </c>
      <c r="D72" s="2">
        <f>-1.78423694600692*(1/14151.6638359215)</f>
        <v>-1.2607965866726919E-4</v>
      </c>
      <c r="E72" s="2">
        <f>-8.73124786409088*(1/14151.6638359215)</f>
        <v>-6.1697677144705412E-4</v>
      </c>
      <c r="F72" s="2">
        <f>-13.8410327542527*(1/14151.6638359215)</f>
        <v>-9.7804985440084319E-4</v>
      </c>
      <c r="G72" s="2">
        <f>-17.1135916164904*(1/14151.6638359215)</f>
        <v>-1.2092989075284963E-3</v>
      </c>
      <c r="H72" s="2">
        <f>-18.5489244508051*(1/14151.6638359215)</f>
        <v>-1.3107239308300929E-3</v>
      </c>
      <c r="I72" s="2">
        <f>-18.1470312571969*(1/14151.6638359215)</f>
        <v>-1.2823249243056401E-3</v>
      </c>
      <c r="J72" s="2">
        <f>-15.9079120356657*(1/14151.6638359215)</f>
        <v>-1.1241018879551304E-3</v>
      </c>
      <c r="K72" s="2">
        <f>-11.8315667862116*(1/14151.6638359215)</f>
        <v>-8.3605482177857111E-4</v>
      </c>
      <c r="L72" s="2">
        <f>-5.91799550883327*(1/14151.6638359215)</f>
        <v>-4.1818372577586836E-4</v>
      </c>
      <c r="M72" s="2">
        <f>1.83280179646713*(1/14151.6638359215)</f>
        <v>1.2951140005282533E-4</v>
      </c>
      <c r="N72" s="2">
        <f>10.4564615506317*(1/14151.6638359215)</f>
        <v>7.3888566545015136E-4</v>
      </c>
      <c r="O72" s="2">
        <f>13.4631497408988*(1/14151.6638359215)</f>
        <v>9.5134748090362146E-4</v>
      </c>
      <c r="P72" s="2">
        <f>12.0869310228591*(1/14151.6638359215)</f>
        <v>8.5409964248716534E-4</v>
      </c>
      <c r="Q72" s="2">
        <f>9.31346920590272*(1/14151.6638359215)</f>
        <v>6.5811831837484175E-4</v>
      </c>
      <c r="R72" s="2">
        <f>8.12842809942023*(1/14151.6638359215)</f>
        <v>5.7437967674074132E-4</v>
      </c>
      <c r="S72" s="2">
        <f>11.5174715128027*(1/14151.6638359215)</f>
        <v>8.1385988575898992E-4</v>
      </c>
      <c r="T72" s="2">
        <f>22.4662632554398*(1/14151.6638359215)</f>
        <v>1.5875351136036143E-3</v>
      </c>
      <c r="U72" s="2">
        <f>43.960467136722*(1/14151.6638359215)</f>
        <v>3.1063815284486985E-3</v>
      </c>
      <c r="V72" s="2">
        <f>78.9857469660394*(1/14151.6638359215)</f>
        <v>5.5813752984683E-3</v>
      </c>
      <c r="W72" s="2">
        <f>130.527766552782*(1/14151.6638359215)</f>
        <v>9.2234925918364668E-3</v>
      </c>
      <c r="X72" s="2">
        <f>201.572189706356*(1/14151.6638359215)</f>
        <v>1.4243709576728398E-2</v>
      </c>
      <c r="Y72" s="2">
        <f>294.092432116102*(1/14151.6638359215)</f>
        <v>2.0781473862430243E-2</v>
      </c>
      <c r="Z72" s="2">
        <f>406.127777800209*(1/14151.6638359215)</f>
        <v>2.8698235239967004E-2</v>
      </c>
      <c r="AA72" s="2">
        <f>534.966242946195*(1/14151.6638359215)</f>
        <v>3.7802356609706746E-2</v>
      </c>
      <c r="AB72" s="2">
        <f>677.901679439592*(1/14151.6638359215)</f>
        <v>4.7902613240349758E-2</v>
      </c>
      <c r="AC72" s="2">
        <f>832.227939165934*(1/14151.6638359215)</f>
        <v>5.8807780400596456E-2</v>
      </c>
      <c r="AD72" s="2">
        <f>995.238874010783*(1/14151.6638359215)</f>
        <v>7.0326633359149252E-2</v>
      </c>
      <c r="AE72" s="2">
        <f>1164.22833585961*(1/14151.6638359215)</f>
        <v>8.2267947384704124E-2</v>
      </c>
      <c r="AF72" s="2">
        <f>1336.49017659798*(1/14151.6638359215)</f>
        <v>9.4440497745963678E-2</v>
      </c>
      <c r="AG72" s="2">
        <f>1509.31824811142*(1/14151.6638359215)</f>
        <v>0.10665305971162783</v>
      </c>
      <c r="AH72" s="2">
        <f>1680.00640228547*(1/14151.6638359215)</f>
        <v>0.11871440855039747</v>
      </c>
      <c r="AI72" s="2">
        <f>1846.26420489531*(1/14151.6638359215)</f>
        <v>0.13046269515029707</v>
      </c>
      <c r="AJ72" s="2">
        <f>2012.35742233337*(1/14151.6638359215)</f>
        <v>0.14219935165682471</v>
      </c>
      <c r="AK72" s="2">
        <f>2180.43435711996*(1/14151.6638359215)</f>
        <v>0.154076183719494</v>
      </c>
      <c r="AL72" s="2">
        <f>2350.87431651028*(1/14151.6638359215)</f>
        <v>0.16611999435310221</v>
      </c>
      <c r="AM72" s="2">
        <f>2524.05660775955*(1/14151.6638359215)</f>
        <v>0.17835758657244796</v>
      </c>
      <c r="AN72" s="2">
        <f>2700.36053812301*(1/14151.6638359215)</f>
        <v>0.19081576339233142</v>
      </c>
      <c r="AO72" s="2">
        <f>2880.16541485587*(1/14151.6638359215)</f>
        <v>0.20352132782755047</v>
      </c>
      <c r="AP72" s="2">
        <f>3063.85054521338*(1/14151.6638359215)</f>
        <v>0.21650108289290595</v>
      </c>
      <c r="AQ72" s="2">
        <f>3251.79523645071*(1/14151.6638359215)</f>
        <v>0.22978183160319299</v>
      </c>
      <c r="AR72" s="2">
        <f>3444.3787958231*(1/14151.6638359215)</f>
        <v>0.24339037697321164</v>
      </c>
      <c r="AS72" s="2">
        <f>3641.98053058577*(1/14151.6638359215)</f>
        <v>0.25735352201776057</v>
      </c>
      <c r="AT72" s="2">
        <f>3845.22119552143*(1/14151.6638359215)</f>
        <v>0.27171513117496582</v>
      </c>
      <c r="AU72" s="2">
        <f>4054.51953119357*(1/14151.6638359215)</f>
        <v>0.28650479393821437</v>
      </c>
      <c r="AV72" s="2">
        <f>4269.21384956243*(1/14151.6638359215)</f>
        <v>0.30167575339980768</v>
      </c>
      <c r="AW72" s="2">
        <f>4488.60439484535*(1/14151.6638359215)</f>
        <v>0.31717856266849842</v>
      </c>
      <c r="AX72" s="2">
        <f>4711.99141125962*(1/14151.6638359215)</f>
        <v>0.33296377485303613</v>
      </c>
      <c r="AY72" s="2">
        <f>4938.67514302254*(1/14151.6638359215)</f>
        <v>0.34898194306217095</v>
      </c>
      <c r="AZ72" s="2">
        <f>5167.95583435139*(1/14151.6638359215)</f>
        <v>0.36518362040465141</v>
      </c>
      <c r="BA72" s="2">
        <f>5399.13372946351*(1/14151.6638359215)</f>
        <v>0.38151935998923053</v>
      </c>
      <c r="BB72" s="2">
        <f>5631.50907257611*(1/14151.6638359215)</f>
        <v>0.39793971492465208</v>
      </c>
      <c r="BC72" s="2">
        <f>5864.38210790652*(1/14151.6638359215)</f>
        <v>0.41439523831966824</v>
      </c>
      <c r="BD72" s="2">
        <f>6097.24382518746*(1/14151.6638359215)</f>
        <v>0.43084996194657221</v>
      </c>
      <c r="BE72" s="2">
        <f>6336.070665497*(1/14151.6638359215)</f>
        <v>0.44772619947443942</v>
      </c>
      <c r="BF72" s="2">
        <f>6582.22019444033*(1/14151.6638359215)</f>
        <v>0.46511988065548349</v>
      </c>
      <c r="BG72" s="2">
        <f>6833.27973475157*(1/14151.6638359215)</f>
        <v>0.48286051830926735</v>
      </c>
      <c r="BH72" s="2">
        <f>7086.83660916467*(1/14151.6638359215)</f>
        <v>0.50077762525534186</v>
      </c>
      <c r="BI72" s="2">
        <f>7340.47814041375*(1/14151.6638359215)</f>
        <v>0.51870071431326981</v>
      </c>
      <c r="BJ72" s="2">
        <f>7591.79165123288*(1/14151.6638359215)</f>
        <v>0.53645929830261074</v>
      </c>
      <c r="BK72" s="2">
        <f>7838.36446435612*(1/14151.6638359215)</f>
        <v>0.55388289004292313</v>
      </c>
      <c r="BL72" s="2">
        <f>8077.78390251751*(1/14151.6638359215)</f>
        <v>0.57080100235376441</v>
      </c>
      <c r="BM72" s="2">
        <f>8307.63728845121*(1/14151.6638359215)</f>
        <v>0.58704314805470004</v>
      </c>
      <c r="BN72" s="2">
        <f>8525.51194489114*(1/14151.6638359215)</f>
        <v>0.60243883996527903</v>
      </c>
      <c r="BO72" s="2">
        <f>8731.45326082102*(1/14151.6638359215)</f>
        <v>0.61699128541039583</v>
      </c>
      <c r="BP72" s="2">
        <f>8932.87600671352*(1/14151.6638359215)</f>
        <v>0.63122443482857415</v>
      </c>
      <c r="BQ72" s="2">
        <f>9129.55074933033*(1/14151.6638359215)</f>
        <v>0.64512207576303349</v>
      </c>
      <c r="BR72" s="2">
        <f>9320.3943117476*(1/14151.6638359215)</f>
        <v>0.65860766760791933</v>
      </c>
      <c r="BS72" s="2">
        <f>9504.3235170414*(1/14151.6638359215)</f>
        <v>0.67160466975737176</v>
      </c>
      <c r="BT72" s="2">
        <f>9680.25518828785*(1/14151.6638359215)</f>
        <v>0.68403654160553418</v>
      </c>
      <c r="BU72" s="2">
        <f>9847.10614856308*(1/14151.6638359215)</f>
        <v>0.69582674254655064</v>
      </c>
      <c r="BV72" s="2">
        <f>10003.7932209432*(1/14151.6638359215)</f>
        <v>0.70689873197456388</v>
      </c>
      <c r="BW72" s="2">
        <f>10149.2332285043*(1/14151.6638359215)</f>
        <v>0.71717596928371508</v>
      </c>
      <c r="BX72" s="2">
        <f>10282.3429943226*(1/14151.6638359215)</f>
        <v>0.72658191386815507</v>
      </c>
      <c r="BY72" s="2">
        <f>10402.059629436*(1/14151.6638359215)</f>
        <v>0.73504145873167281</v>
      </c>
      <c r="BZ72" s="2">
        <f>10512.9539399529*(1/14151.6638359215)</f>
        <v>0.74287759106230489</v>
      </c>
      <c r="CA72" s="2">
        <f>10617.8344663283*(1/14151.6638359215)</f>
        <v>0.75028877094838864</v>
      </c>
      <c r="CB72" s="2">
        <f>10714.829441455*(1/14151.6638359215)</f>
        <v>0.75714273358142503</v>
      </c>
      <c r="CC72" s="2">
        <f>10802.0670982259*(1/14151.6638359215)</f>
        <v>0.76330721415292246</v>
      </c>
      <c r="CD72" s="2">
        <f>10877.6756695336*(1/14151.6638359215)</f>
        <v>0.76864994785436758</v>
      </c>
      <c r="CE72" s="2">
        <f>10939.7833882709*(1/14151.6638359215)</f>
        <v>0.77303866987726144</v>
      </c>
      <c r="CF72" s="2">
        <f>10986.5184873306*(1/14151.6638359215)</f>
        <v>0.77634111541310524</v>
      </c>
      <c r="CG72" s="2">
        <f>11016.0091996054*(1/14151.6638359215)</f>
        <v>0.77842501965339272</v>
      </c>
      <c r="CH72" s="2">
        <f>11026.3837579882*(1/14151.6638359215)</f>
        <v>0.77915811778963207</v>
      </c>
      <c r="CI72" s="2">
        <f>11015.7703953716*(1/14151.6638359215)</f>
        <v>0.77840814501331024</v>
      </c>
      <c r="CJ72" s="2">
        <f>10981.8338659797*(1/14151.6638359215)</f>
        <v>0.7760100856907195</v>
      </c>
      <c r="CK72" s="2">
        <f>10921.8096512468*(1/14151.6638359215)</f>
        <v>0.77176859045532975</v>
      </c>
      <c r="CL72" s="2">
        <f>10838.1877023674*(1/14151.6638359215)</f>
        <v>0.76585960690053811</v>
      </c>
      <c r="CM72" s="2">
        <f>10734.1312403771*(1/14151.6638359215)</f>
        <v>0.75850665793306959</v>
      </c>
      <c r="CN72" s="2">
        <f>10612.8034863118*(1/14151.6638359215)</f>
        <v>0.7499332664596704</v>
      </c>
      <c r="CO72" s="2">
        <f>10477.3676612073*(1/14151.6638359215)</f>
        <v>0.74036295538707975</v>
      </c>
      <c r="CP72" s="2">
        <f>10330.9869860992*(1/14151.6638359215)</f>
        <v>0.73001924762202264</v>
      </c>
      <c r="CQ72" s="2">
        <f>10176.8246820233*(1/14151.6638359215)</f>
        <v>0.71912566607123807</v>
      </c>
      <c r="CR72" s="2">
        <f>10018.0439700155*(1/14151.6638359215)</f>
        <v>0.70790573364147225</v>
      </c>
      <c r="CS72" s="2">
        <f>9857.80807111139*(1/14151.6638359215)</f>
        <v>0.69658297323944951</v>
      </c>
      <c r="CT72" s="2">
        <f>9699.2802063468*(1/14151.6638359215)</f>
        <v>0.68538090777191096</v>
      </c>
      <c r="CU72" s="2">
        <f>9538.52714722646*(1/14151.6638359215)</f>
        <v>0.67402160324177518</v>
      </c>
      <c r="CV72" s="2">
        <f>9368.49712253437*(1/14151.6638359215)</f>
        <v>0.66200675985208857</v>
      </c>
      <c r="CW72" s="2">
        <f>9190.41365933798*(1/14151.6638359215)</f>
        <v>0.64942283578060545</v>
      </c>
      <c r="CX72" s="2">
        <f>9005.5305813831*(1/14151.6638359215)</f>
        <v>0.63635843006135795</v>
      </c>
      <c r="CY72" s="2">
        <f>8815.1017124156*(1/14151.6638359215)</f>
        <v>0.62290214172838265</v>
      </c>
      <c r="CZ72" s="2">
        <f>8620.38087618135*(1/14151.6638359215)</f>
        <v>0.60914256981571568</v>
      </c>
      <c r="DA72" s="2">
        <f>8422.62189642616*(1/14151.6638359215)</f>
        <v>0.59516831335738929</v>
      </c>
      <c r="DB72" s="2">
        <f>8223.07859689597*(1/14151.6638359215)</f>
        <v>0.5810679713874447</v>
      </c>
      <c r="DC72" s="2">
        <f>8023.00480133661*(1/14151.6638359215)</f>
        <v>0.56693014293991562</v>
      </c>
      <c r="DD72" s="2">
        <f>7823.65433349394*(1/14151.6638359215)</f>
        <v>0.55284342704883749</v>
      </c>
      <c r="DE72" s="2">
        <f>7625.79803886367*(1/14151.6638359215)</f>
        <v>0.53886229402276553</v>
      </c>
      <c r="DF72" s="2">
        <f>7425.46343192786*(1/14151.6638359215)</f>
        <v>0.52470603584291142</v>
      </c>
      <c r="DG72" s="2">
        <f>7222.02313311901*(1/14151.6638359215)</f>
        <v>0.51033031994352351</v>
      </c>
      <c r="DH72" s="2">
        <f>7016.15379272283*(1/14151.6638359215)</f>
        <v>0.49578296051052051</v>
      </c>
      <c r="DI72" s="2">
        <f>6808.53206102518*(1/14151.6638359215)</f>
        <v>0.48111177172983177</v>
      </c>
      <c r="DJ72" s="2">
        <f>6599.83458831178*(1/14151.6638359215)</f>
        <v>0.46636456778737673</v>
      </c>
      <c r="DK72" s="2">
        <f>6390.7380248684*(1/14151.6638359215)</f>
        <v>0.45158916286907835</v>
      </c>
      <c r="DL72" s="2">
        <f>6181.91902098081*(1/14151.6638359215)</f>
        <v>0.43683337116085957</v>
      </c>
      <c r="DM72" s="2">
        <f>5974.05422693473*(1/14151.6638359215)</f>
        <v>0.42214500684863981</v>
      </c>
      <c r="DN72" s="2">
        <f>5767.82029301602*(1/14151.6638359215)</f>
        <v>0.40757188411834844</v>
      </c>
      <c r="DO72" s="2">
        <f>5563.8938695104*(1/14151.6638359215)</f>
        <v>0.39316181715590487</v>
      </c>
      <c r="DP72" s="2">
        <f>5362.07487544392*(1/14151.6638359215)</f>
        <v>0.37890066762561442</v>
      </c>
      <c r="DQ72" s="2">
        <f>5160.95201250095*(1/14151.6638359215)</f>
        <v>0.36468870885703103</v>
      </c>
      <c r="DR72" s="2">
        <f>4960.51023866515*(1/14151.6638359215)</f>
        <v>0.35052487793511394</v>
      </c>
      <c r="DS72" s="2">
        <f>4760.7774001643*(1/14151.6638359215)</f>
        <v>0.33641114255978211</v>
      </c>
      <c r="DT72" s="2">
        <f>4561.78134322616*(1/14151.6638359215)</f>
        <v>0.32234947043095269</v>
      </c>
      <c r="DU72" s="2">
        <f>4363.54991407857*(1/14151.6638359215)</f>
        <v>0.30834182924854875</v>
      </c>
      <c r="DV72" s="2">
        <f>4166.11095894928*(1/14151.6638359215)</f>
        <v>0.29439018671248696</v>
      </c>
      <c r="DW72" s="2">
        <f>3969.49232406608*(1/14151.6638359215)</f>
        <v>0.2804965105226867</v>
      </c>
      <c r="DX72" s="2">
        <f>3773.72185565674*(1/14151.6638359215)</f>
        <v>0.26666276837906605</v>
      </c>
      <c r="DY72" s="2">
        <f>3578.82739994901*(1/14151.6638359215)</f>
        <v>0.25289092798154156</v>
      </c>
      <c r="DZ72" s="2">
        <f>3384.63439585521*(1/14151.6638359215)</f>
        <v>0.23916865430790643</v>
      </c>
      <c r="EA72" s="2">
        <f>3187.19355822499*(1/14151.6638359215)</f>
        <v>0.22521687874855123</v>
      </c>
      <c r="EB72" s="2">
        <f>2986.36695432859*(1/14151.6638359215)</f>
        <v>0.21102585455345715</v>
      </c>
      <c r="EC72" s="2">
        <f>2784.00961591917*(1/14151.6638359215)</f>
        <v>0.19672666395964361</v>
      </c>
      <c r="ED72" s="2">
        <f>2581.9765747499*(1/14151.6638359215)</f>
        <v>0.18245038920413079</v>
      </c>
      <c r="EE72" s="2">
        <f>2382.12286257388*(1/14151.6638359215)</f>
        <v>0.16832811252393387</v>
      </c>
      <c r="EF72" s="2">
        <f>2186.30351114434*(1/14151.6638359215)</f>
        <v>0.15449091615607732</v>
      </c>
      <c r="EG72" s="2">
        <f>1996.37355221441*(1/14151.6638359215)</f>
        <v>0.14106988233757844</v>
      </c>
      <c r="EH72" s="2">
        <f>1814.18801753725*(1/14151.6638359215)</f>
        <v>0.12819609330545673</v>
      </c>
      <c r="EI72" s="2">
        <f>1641.601938866*(1/14151.6638359215)</f>
        <v>0.11600063129673016</v>
      </c>
      <c r="EJ72" s="2">
        <f>1480.47034795379*(1/14151.6638359215)</f>
        <v>0.10461457854841616</v>
      </c>
      <c r="EK72" s="2">
        <f>1330.77446018086*(1/14151.6638359215)</f>
        <v>9.4036607681629913E-2</v>
      </c>
      <c r="EL72" s="2">
        <f>1187.96120548186*(1/14151.6638359215)</f>
        <v>8.3944984791571309E-2</v>
      </c>
      <c r="EM72" s="2">
        <f>1051.96426072009*(1/14151.6638359215)</f>
        <v>7.4335023281846505E-2</v>
      </c>
      <c r="EN72" s="2">
        <f>923.079071004789*(1/14151.6638359215)</f>
        <v>6.5227600210635006E-2</v>
      </c>
      <c r="EO72" s="2">
        <f>801.601081445217*(1/14151.6638359215)</f>
        <v>5.6643592636117755E-2</v>
      </c>
      <c r="EP72" s="2">
        <f>687.825737150631*(1/14151.6638359215)</f>
        <v>4.8603877616475513E-2</v>
      </c>
      <c r="EQ72" s="2">
        <f>582.048483230269*(1/14151.6638359215)</f>
        <v>4.1129332209887695E-2</v>
      </c>
      <c r="ER72" s="2">
        <f>484.564764793426*(1/14151.6638359215)</f>
        <v>3.4240833474537734E-2</v>
      </c>
      <c r="ES72" s="2">
        <f>395.670026949338*(1/14151.6638359215)</f>
        <v>2.7959258468604909E-2</v>
      </c>
      <c r="ET72" s="2">
        <f>315.65971480726*(1/14151.6638359215)</f>
        <v>2.2305484250269819E-2</v>
      </c>
      <c r="EU72" s="2">
        <f>244.869340113759*(1/14151.6638359215)</f>
        <v>1.7303219109275434E-2</v>
      </c>
      <c r="EV72" s="2">
        <f>186.282475778133*(1/14151.6638359215)</f>
        <v>1.316329146437805E-2</v>
      </c>
      <c r="EW72" s="2">
        <f>140.350197324671*(1/14151.6638359215)</f>
        <v>9.9175756965351886E-3</v>
      </c>
      <c r="EX72" s="2">
        <f>105.295914733553*(1/14151.6638359215)</f>
        <v>7.440532502353393E-3</v>
      </c>
      <c r="EY72" s="2">
        <f>79.3430379849689*(1/14151.6638359215)</f>
        <v>5.6066225784399014E-3</v>
      </c>
      <c r="EZ72" s="2">
        <f>60.71497705911*(1/14151.6638359215)</f>
        <v>4.2903066214020538E-3</v>
      </c>
      <c r="FA72" s="2">
        <f>47.6351419361667*(1/14151.6638359215)</f>
        <v>3.3660453278471256E-3</v>
      </c>
      <c r="FB72" s="2">
        <f>38.3269425963282*(1/14151.6638359215)</f>
        <v>2.7082993943823076E-3</v>
      </c>
      <c r="FC72" s="2">
        <f>31.0137890197883*(1/14151.6638359215)</f>
        <v>2.1915295176151142E-3</v>
      </c>
      <c r="FD72" s="2">
        <f>23.9190911867359*(1/14151.6638359215)</f>
        <v>1.6901963941527152E-3</v>
      </c>
      <c r="FE72" s="2">
        <f>15.2662590773613*(1/14151.6638359215)</f>
        <v>1.0787607206023788E-3</v>
      </c>
      <c r="FF72" s="2">
        <f>4.32097459998035*(1/14151.6638359215)</f>
        <v>3.0533332688502108E-4</v>
      </c>
      <c r="FG72" s="2">
        <f>-5.05505005228405*(1/14151.6638359215)</f>
        <v>-3.5720535132078939E-4</v>
      </c>
      <c r="FH72" s="2">
        <f>-12.2879797729322*(1/14151.6638359215)</f>
        <v>-8.6830636421290149E-4</v>
      </c>
      <c r="FI72" s="2">
        <f>-17.377814561966*(1/14151.6638359215)</f>
        <v>-1.2279697117914495E-3</v>
      </c>
      <c r="FJ72" s="2">
        <f>-20.3245544193855*(1/14151.6638359215)</f>
        <v>-1.4361953940564365E-3</v>
      </c>
      <c r="FK72" s="2">
        <f>-21.1281993451907*(1/14151.6638359215)</f>
        <v>-1.4929834110078632E-3</v>
      </c>
      <c r="FL72" s="2">
        <f>-19.7887493393816*(1/14151.6638359215)</f>
        <v>-1.398333762645729E-3</v>
      </c>
      <c r="FM72" s="2">
        <f>-16.3062044019573*(1/14151.6638359215)</f>
        <v>-1.1522464489699706E-3</v>
      </c>
      <c r="FN72" s="2">
        <f>-10.6805645329192*(1/14151.6638359215)</f>
        <v>-7.5472146998068694E-4</v>
      </c>
      <c r="FO72" s="2">
        <f>-2.91182973226674*(1/14151.6638359215)</f>
        <v>-2.0575882567783828E-4</v>
      </c>
      <c r="FP72" s="2">
        <f t="shared" si="17"/>
        <v>4.9464148393856954E-4</v>
      </c>
      <c r="FQ72" s="2"/>
    </row>
    <row r="73" spans="2:173">
      <c r="B73" s="2">
        <v>9.9627218934911248</v>
      </c>
      <c r="C73" s="2">
        <f t="shared" si="18"/>
        <v>4.9464148393856954E-4</v>
      </c>
      <c r="D73" s="2">
        <f>-2.89715093288588*(1/14151.6638359215)</f>
        <v>-2.0472157666238326E-4</v>
      </c>
      <c r="E73" s="2">
        <f>-10.7243095137957*(1/14151.6638359215)</f>
        <v>-7.5781262458863197E-4</v>
      </c>
      <c r="F73" s="2">
        <f>-16.4814757427303*(1/14151.6638359215)</f>
        <v>-1.1646316598402362E-3</v>
      </c>
      <c r="G73" s="2">
        <f>-20.1686496196876*(1/14151.6638359215)</f>
        <v>-1.4251786824170487E-3</v>
      </c>
      <c r="H73" s="2">
        <f>-21.7858311446689*(1/14151.6638359215)</f>
        <v>-1.5394536923191615E-3</v>
      </c>
      <c r="I73" s="2">
        <f>-21.333020317674*(1/14151.6638359215)</f>
        <v>-1.5074566895465602E-3</v>
      </c>
      <c r="J73" s="2">
        <f>-18.8102171387031*(1/14151.6638359215)</f>
        <v>-1.3291876740992592E-3</v>
      </c>
      <c r="K73" s="2">
        <f>-14.2174216077562*(1/14151.6638359215)</f>
        <v>-1.0046466459772585E-3</v>
      </c>
      <c r="L73" s="2">
        <f>-7.55463372483168*(1/14151.6638359215)</f>
        <v>-5.3383360518044357E-4</v>
      </c>
      <c r="M73" s="2">
        <f>1.17814651006782*(1/14151.6638359215)</f>
        <v>8.3251448290999042E-5</v>
      </c>
      <c r="N73" s="2">
        <f>11.0407393628128*(1/14151.6638359215)</f>
        <v>7.8017252888581436E-4</v>
      </c>
      <c r="O73" s="2">
        <f>15.7060597493473*(1/14151.6638359215)</f>
        <v>1.1098383858921409E-3</v>
      </c>
      <c r="P73" s="2">
        <f>16.3772250467558*(1/14151.6638359215)</f>
        <v>1.157264985703314E-3</v>
      </c>
      <c r="Q73" s="2">
        <f>15.9650260267673*(1/14151.6638359215)</f>
        <v>1.1281377378568661E-3</v>
      </c>
      <c r="R73" s="2">
        <f>17.3802534611114*(1/14151.6638359215)</f>
        <v>1.2281420518903718E-3</v>
      </c>
      <c r="S73" s="2">
        <f>23.5336981215167*(1/14151.6638359215)</f>
        <v>1.6629633373413354E-3</v>
      </c>
      <c r="T73" s="2">
        <f>37.3361507797124*(1/14151.6638359215)</f>
        <v>2.6382870037473028E-3</v>
      </c>
      <c r="U73" s="2">
        <f>61.6984022074273*(1/14151.6638359215)</f>
        <v>4.3597984606457939E-3</v>
      </c>
      <c r="V73" s="2">
        <f>99.5312431763902*(1/14151.6638359215)</f>
        <v>7.0331831175743254E-3</v>
      </c>
      <c r="W73" s="2">
        <f>153.74546445833*(1/14151.6638359215)</f>
        <v>1.0864126384070421E-2</v>
      </c>
      <c r="X73" s="2">
        <f>227.251856824992*(1/14151.6638359215)</f>
        <v>1.605831366967277E-2</v>
      </c>
      <c r="Y73" s="2">
        <f>321.9402635519*(1/14151.6638359215)</f>
        <v>2.2749287100412283E-2</v>
      </c>
      <c r="Z73" s="2">
        <f>435.861038013505*(1/14151.6638359215)</f>
        <v>3.079927866200077E-2</v>
      </c>
      <c r="AA73" s="2">
        <f>566.39701122455*(1/14151.6638359215)</f>
        <v>4.0023351161497439E-2</v>
      </c>
      <c r="AB73" s="2">
        <f>710.937470948882*(1/14151.6638359215)</f>
        <v>5.0237023659669811E-2</v>
      </c>
      <c r="AC73" s="2">
        <f>866.871704950349*(1/14151.6638359215)</f>
        <v>6.1255815217285493E-2</v>
      </c>
      <c r="AD73" s="2">
        <f>1031.58900099283*(1/14151.6638359215)</f>
        <v>7.2895244895114286E-2</v>
      </c>
      <c r="AE73" s="2">
        <f>1202.47864684011*(1/14151.6638359215)</f>
        <v>8.4970831753919313E-2</v>
      </c>
      <c r="AF73" s="2">
        <f>1376.92993025606*(1/14151.6638359215)</f>
        <v>9.7298094854469802E-2</v>
      </c>
      <c r="AG73" s="2">
        <f>1552.33213900453*(1/14151.6638359215)</f>
        <v>0.10969255325753351</v>
      </c>
      <c r="AH73" s="2">
        <f>1726.07456084938*(1/14151.6638359215)</f>
        <v>0.12196972602387887</v>
      </c>
      <c r="AI73" s="2">
        <f>1895.96988357763*(1/14151.6638359215)</f>
        <v>0.13397505095938228</v>
      </c>
      <c r="AJ73" s="2">
        <f>2066.42213497149*(1/14151.6638359215)</f>
        <v>0.14601973018368641</v>
      </c>
      <c r="AK73" s="2">
        <f>2239.48861538371*(1/14151.6638359215)</f>
        <v>0.15824913885384725</v>
      </c>
      <c r="AL73" s="2">
        <f>2415.40130512115*(1/14151.6638359215)</f>
        <v>0.17067966941032617</v>
      </c>
      <c r="AM73" s="2">
        <f>2594.39218449064*(1/14151.6638359215)</f>
        <v>0.18332771429358247</v>
      </c>
      <c r="AN73" s="2">
        <f>2776.69323379903*(1/14151.6638359215)</f>
        <v>0.19620966594407682</v>
      </c>
      <c r="AO73" s="2">
        <f>2962.53643335318*(1/14151.6638359215)</f>
        <v>0.2093419168022706</v>
      </c>
      <c r="AP73" s="2">
        <f>3152.15376345995*(1/14151.6638359215)</f>
        <v>0.22274085930862519</v>
      </c>
      <c r="AQ73" s="2">
        <f>3345.77720442613*(1/14151.6638359215)</f>
        <v>0.23642288590359711</v>
      </c>
      <c r="AR73" s="2">
        <f>3543.63873655859*(1/14151.6638359215)</f>
        <v>0.25040438902764839</v>
      </c>
      <c r="AS73" s="2">
        <f>3745.97034016418*(1/14151.6638359215)</f>
        <v>0.26470176112123972</v>
      </c>
      <c r="AT73" s="2">
        <f>3953.16655309016*(1/14151.6638359215)</f>
        <v>0.27934288143954811</v>
      </c>
      <c r="AU73" s="2">
        <f>4165.51161021536*(1/14151.6638359215)</f>
        <v>0.29434783489146654</v>
      </c>
      <c r="AV73" s="2">
        <f>4382.58646626624*(1/14151.6638359215)</f>
        <v>0.30968701045186064</v>
      </c>
      <c r="AW73" s="2">
        <f>4603.94697099375*(1/14151.6638359215)</f>
        <v>0.32532902310097589</v>
      </c>
      <c r="AX73" s="2">
        <f>4829.14897414887*(1/14151.6638359215)</f>
        <v>0.34124248781905975</v>
      </c>
      <c r="AY73" s="2">
        <f>5057.74832548252*(1/14151.6638359215)</f>
        <v>0.35739601958635558</v>
      </c>
      <c r="AZ73" s="2">
        <f>5289.30087474566*(1/14151.6638359215)</f>
        <v>0.37375823338310959</v>
      </c>
      <c r="BA73" s="2">
        <f>5523.36247168928*(1/14151.6638359215)</f>
        <v>0.39029774418957014</v>
      </c>
      <c r="BB73" s="2">
        <f>5759.48896606423*(1/14151.6638359215)</f>
        <v>0.40698316698597548</v>
      </c>
      <c r="BC73" s="2">
        <f>5997.2362076215*(1/14151.6638359215)</f>
        <v>0.42378311675257402</v>
      </c>
      <c r="BD73" s="2">
        <f>6236.35142133847*(1/14151.6638359215)</f>
        <v>0.44067973163046686</v>
      </c>
      <c r="BE73" s="2">
        <f>6482.96526929519*(1/14151.6638359215)</f>
        <v>0.45810622301805443</v>
      </c>
      <c r="BF73" s="2">
        <f>6738.23034151436*(1/14151.6638359215)</f>
        <v>0.47614403646379388</v>
      </c>
      <c r="BG73" s="2">
        <f>6999.45875782261*(1/14151.6638359215)</f>
        <v>0.49460323810517037</v>
      </c>
      <c r="BH73" s="2">
        <f>7263.96263804641*(1/14151.6638359215)</f>
        <v>0.51329389407965753</v>
      </c>
      <c r="BI73" s="2">
        <f>7529.05410201239*(1/14151.6638359215)</f>
        <v>0.53202607052474038</v>
      </c>
      <c r="BJ73" s="2">
        <f>7792.04526954711*(1/14151.6638359215)</f>
        <v>0.55060983357789917</v>
      </c>
      <c r="BK73" s="2">
        <f>8050.24826047715*(1/14151.6638359215)</f>
        <v>0.56885524937661514</v>
      </c>
      <c r="BL73" s="2">
        <f>8300.97519462907*(1/14151.6638359215)</f>
        <v>0.58657238405836853</v>
      </c>
      <c r="BM73" s="2">
        <f>8541.53819182951*(1/14151.6638359215)</f>
        <v>0.60357130376064494</v>
      </c>
      <c r="BN73" s="2">
        <f>8769.24937190493*(1/14151.6638359215)</f>
        <v>0.61966207462091771</v>
      </c>
      <c r="BO73" s="2">
        <f>8984.17124924106*(1/14151.6638359215)</f>
        <v>0.63484911409754718</v>
      </c>
      <c r="BP73" s="2">
        <f>9194.60115990901*(1/14151.6638359215)</f>
        <v>0.64971873742295516</v>
      </c>
      <c r="BQ73" s="2">
        <f>9400.26976674316*(1/14151.6638359215)</f>
        <v>0.66425191240638681</v>
      </c>
      <c r="BR73" s="2">
        <f>9599.95187215991*(1/14151.6638359215)</f>
        <v>0.67836206282628964</v>
      </c>
      <c r="BS73" s="2">
        <f>9792.42227857551*(1/14151.6638359215)</f>
        <v>0.6919626124610998</v>
      </c>
      <c r="BT73" s="2">
        <f>9976.45578840631*(1/14151.6638359215)</f>
        <v>0.70496698508926137</v>
      </c>
      <c r="BU73" s="2">
        <f>10150.8272040687*(1/14151.6638359215)</f>
        <v>0.71728860448922049</v>
      </c>
      <c r="BV73" s="2">
        <f>10314.3113279789*(1/14151.6638359215)</f>
        <v>0.72884089443941158</v>
      </c>
      <c r="BW73" s="2">
        <f>10465.6829625533*(1/14151.6638359215)</f>
        <v>0.73953727871828123</v>
      </c>
      <c r="BX73" s="2">
        <f>10603.7169102083*(1/14151.6638359215)</f>
        <v>0.74929118110427684</v>
      </c>
      <c r="BY73" s="2">
        <f>10727.2086857662*(1/14151.6638359215)</f>
        <v>0.75801748897801502</v>
      </c>
      <c r="BZ73" s="2">
        <f>10840.7505441708*(1/14151.6638359215)</f>
        <v>0.76604070516807143</v>
      </c>
      <c r="CA73" s="2">
        <f>10947.2953870321*(1/14151.6638359215)</f>
        <v>0.77356949076505932</v>
      </c>
      <c r="CB73" s="2">
        <f>11045.0530685051*(1/14151.6638359215)</f>
        <v>0.78047734856937334</v>
      </c>
      <c r="CC73" s="2">
        <f>11132.2334427451*(1/14151.6638359215)</f>
        <v>0.78663778138142959</v>
      </c>
      <c r="CD73" s="2">
        <f>11207.0463639071*(1/14151.6638359215)</f>
        <v>0.79192429200162262</v>
      </c>
      <c r="CE73" s="2">
        <f>11267.7016861463*(1/14151.6638359215)</f>
        <v>0.7962103832303612</v>
      </c>
      <c r="CF73" s="2">
        <f>11312.4092636177*(1/14151.6638359215)</f>
        <v>0.79936955786803998</v>
      </c>
      <c r="CG73" s="2">
        <f>11339.3789504765*(1/14151.6638359215)</f>
        <v>0.80127531871506796</v>
      </c>
      <c r="CH73" s="2">
        <f>11346.8206008778*(1/14151.6638359215)</f>
        <v>0.80180116857184658</v>
      </c>
      <c r="CI73" s="2">
        <f>11332.9440689767*(1/14151.6638359215)</f>
        <v>0.80082061023877793</v>
      </c>
      <c r="CJ73" s="2">
        <f>11295.434650324*(1/14151.6638359215)</f>
        <v>0.79817007959534292</v>
      </c>
      <c r="CK73" s="2">
        <f>11231.2333407709*(1/14151.6638359215)</f>
        <v>0.79363341801989362</v>
      </c>
      <c r="CL73" s="2">
        <f>11142.8260299137*(1/14151.6638359215)</f>
        <v>0.78738628610083317</v>
      </c>
      <c r="CM73" s="2">
        <f>11033.4318874332*(1/14151.6638359215)</f>
        <v>0.7796561602478701</v>
      </c>
      <c r="CN73" s="2">
        <f>10906.2700830102*(1/14151.6638359215)</f>
        <v>0.77067051687071308</v>
      </c>
      <c r="CO73" s="2">
        <f>10764.5597863253*(1/14151.6638359215)</f>
        <v>0.76065683237905679</v>
      </c>
      <c r="CP73" s="2">
        <f>10611.5201670595*(1/14151.6638359215)</f>
        <v>0.74984258318262409</v>
      </c>
      <c r="CQ73" s="2">
        <f>10450.3703948936*(1/14151.6638359215)</f>
        <v>0.73845524569112364</v>
      </c>
      <c r="CR73" s="2">
        <f>10284.3296395083*(1/14151.6638359215)</f>
        <v>0.72672229631425711</v>
      </c>
      <c r="CS73" s="2">
        <f>10116.6170705843*(1/14151.6638359215)</f>
        <v>0.71487121146172605</v>
      </c>
      <c r="CT73" s="2">
        <f>9950.45185780258*(1/14151.6638359215)</f>
        <v>0.70312946754325201</v>
      </c>
      <c r="CU73" s="2">
        <f>9781.55607063188*(1/14151.6638359215)</f>
        <v>0.69119477285795372</v>
      </c>
      <c r="CV73" s="2">
        <f>9602.52557675042*(1/14151.6638359215)</f>
        <v>0.67854392869169944</v>
      </c>
      <c r="CW73" s="2">
        <f>9414.79933689739*(1/14151.6638359215)</f>
        <v>0.66527861642668362</v>
      </c>
      <c r="CX73" s="2">
        <f>9219.84849421921*(1/14151.6638359215)</f>
        <v>0.65150279155276802</v>
      </c>
      <c r="CY73" s="2">
        <f>9019.14419186228*(1/14151.6638359215)</f>
        <v>0.63732040955981273</v>
      </c>
      <c r="CZ73" s="2">
        <f>8814.15757297305*(1/14151.6638359215)</f>
        <v>0.62283542593768149</v>
      </c>
      <c r="DA73" s="2">
        <f>8606.35978069789*(1/14151.6638359215)</f>
        <v>0.60815179617623238</v>
      </c>
      <c r="DB73" s="2">
        <f>8397.22195818331*(1/14151.6638359215)</f>
        <v>0.59337347576533339</v>
      </c>
      <c r="DC73" s="2">
        <f>8188.21524857569*(1/14151.6638359215)</f>
        <v>0.57860442019484315</v>
      </c>
      <c r="DD73" s="2">
        <f>7980.81079502148*(1/14151.6638359215)</f>
        <v>0.56394858495462574</v>
      </c>
      <c r="DE73" s="2">
        <f>7775.96069400548*(1/14151.6638359215)</f>
        <v>0.54947324810440856</v>
      </c>
      <c r="DF73" s="2">
        <f>7569.43866653515*(1/14151.6638359215)</f>
        <v>0.53487976779956203</v>
      </c>
      <c r="DG73" s="2">
        <f>7360.4543879516*(1/14151.6638359215)</f>
        <v>0.52011229727407648</v>
      </c>
      <c r="DH73" s="2">
        <f>7149.6022496885*(1/14151.6638359215)</f>
        <v>0.5052128380509221</v>
      </c>
      <c r="DI73" s="2">
        <f>6937.47664317965*(1/14151.6638359215)</f>
        <v>0.49022339165307832</v>
      </c>
      <c r="DJ73" s="2">
        <f>6724.67195985873*(1/14151.6638359215)</f>
        <v>0.47518595960351584</v>
      </c>
      <c r="DK73" s="2">
        <f>6511.78259115945*(1/14151.6638359215)</f>
        <v>0.46014254342520772</v>
      </c>
      <c r="DL73" s="2">
        <f>6299.40292851553*(1/14151.6638359215)</f>
        <v>0.44513514464112752</v>
      </c>
      <c r="DM73" s="2">
        <f>6088.12736336063*(1/14151.6638359215)</f>
        <v>0.43020576477424466</v>
      </c>
      <c r="DN73" s="2">
        <f>5878.55028712856*(1/14151.6638359215)</f>
        <v>0.4153964053475393</v>
      </c>
      <c r="DO73" s="2">
        <f>5671.26609125298*(1/14151.6638359215)</f>
        <v>0.40074906788398074</v>
      </c>
      <c r="DP73" s="2">
        <f>5466.12633500318*(1/14151.6638359215)</f>
        <v>0.38625326310595254</v>
      </c>
      <c r="DQ73" s="2">
        <f>5261.93133324169*(1/14151.6638359215)</f>
        <v>0.37182421757964645</v>
      </c>
      <c r="DR73" s="2">
        <f>5058.64401229655*(1/14151.6638359215)</f>
        <v>0.35745931156561783</v>
      </c>
      <c r="DS73" s="2">
        <f>4856.26336896474*(1/14151.6638359215)</f>
        <v>0.34315847417446232</v>
      </c>
      <c r="DT73" s="2">
        <f>4654.78840004316*(1/14151.6638359215)</f>
        <v>0.32892163451676981</v>
      </c>
      <c r="DU73" s="2">
        <f>4454.21810232886*(1/14151.6638359215)</f>
        <v>0.31474872170314094</v>
      </c>
      <c r="DV73" s="2">
        <f>4254.55147261874*(1/14151.6638359215)</f>
        <v>0.30063966484416571</v>
      </c>
      <c r="DW73" s="2">
        <f>4055.78750770978*(1/14151.6638359215)</f>
        <v>0.28659439305043977</v>
      </c>
      <c r="DX73" s="2">
        <f>3857.92520439892*(1/14151.6638359215)</f>
        <v>0.27261283543255588</v>
      </c>
      <c r="DY73" s="2">
        <f>3660.96355948308*(1/14151.6638359215)</f>
        <v>0.25869492110110548</v>
      </c>
      <c r="DZ73" s="2">
        <f>3464.71162319651*(1/14151.6638359215)</f>
        <v>0.24482715695959026</v>
      </c>
      <c r="EA73" s="2">
        <f>3265.45057963894*(1/14151.6638359215)</f>
        <v>0.23074676006295247</v>
      </c>
      <c r="EB73" s="2">
        <f>3063.07422720305*(1/14151.6638359215)</f>
        <v>0.21644622587967199</v>
      </c>
      <c r="EC73" s="2">
        <f>2859.35184755287*(1/14151.6638359215)</f>
        <v>0.20205057728229173</v>
      </c>
      <c r="ED73" s="2">
        <f>2656.05272235247*(1/14151.6638359215)</f>
        <v>0.1876848371433576</v>
      </c>
      <c r="EE73" s="2">
        <f>2454.94613326585*(1/14151.6638359215)</f>
        <v>0.17347402833541051</v>
      </c>
      <c r="EF73" s="2">
        <f>2257.80136195713*(1/14151.6638359215)</f>
        <v>0.15954317373099974</v>
      </c>
      <c r="EG73" s="2">
        <f>2066.38769009033*(1/14151.6638359215)</f>
        <v>0.14601729620266771</v>
      </c>
      <c r="EH73" s="2">
        <f>1882.47439932951*(1/14151.6638359215)</f>
        <v>0.13302141862295946</v>
      </c>
      <c r="EI73" s="2">
        <f>1707.83077133869*(1/14151.6638359215)</f>
        <v>0.12068056386441736</v>
      </c>
      <c r="EJ73" s="2">
        <f>1544.22608778192*(1/14151.6638359215)</f>
        <v>0.1091197547995858</v>
      </c>
      <c r="EK73" s="2">
        <f>1391.53470929499*(1/14151.6638359215)</f>
        <v>9.8330113365385705E-2</v>
      </c>
      <c r="EL73" s="2">
        <f>1245.15391694542*(1/14151.6638359215)</f>
        <v>8.7986397315686415E-2</v>
      </c>
      <c r="EM73" s="2">
        <f>1105.1344196869*(1/14151.6638359215)</f>
        <v>7.8092189900788297E-2</v>
      </c>
      <c r="EN73" s="2">
        <f>971.896482429378*(1/14151.6638359215)</f>
        <v>6.8677188329077626E-2</v>
      </c>
      <c r="EO73" s="2">
        <f>845.860370082804*(1/14151.6638359215)</f>
        <v>5.977108980894083E-2</v>
      </c>
      <c r="EP73" s="2">
        <f>727.446347557129*(1/14151.6638359215)</f>
        <v>5.1403591548764387E-2</v>
      </c>
      <c r="EQ73" s="2">
        <f>617.074679762283*(1/14151.6638359215)</f>
        <v>4.3604390756933328E-2</v>
      </c>
      <c r="ER73" s="2">
        <f>515.165631608257*(1/14151.6638359215)</f>
        <v>3.640318464183695E-2</v>
      </c>
      <c r="ES73" s="2">
        <f>422.13946800498*(1/14151.6638359215)</f>
        <v>2.9829670411860233E-2</v>
      </c>
      <c r="ET73" s="2">
        <f>338.416453862401*(1/14151.6638359215)</f>
        <v>2.3913545275389497E-2</v>
      </c>
      <c r="EU73" s="2">
        <f>264.453825200453*(1/14151.6638359215)</f>
        <v>1.8687118932911882E-2</v>
      </c>
      <c r="EV73" s="2">
        <f>203.089257380317*(1/14151.6638359215)</f>
        <v>1.4350910234654585E-2</v>
      </c>
      <c r="EW73" s="2">
        <f>154.625925593654*(1/14151.6638359215)</f>
        <v>1.0926342470145694E-2</v>
      </c>
      <c r="EX73" s="2">
        <f>117.27331607194*(1/14151.6638359215)</f>
        <v>8.2868924411744708E-3</v>
      </c>
      <c r="EY73" s="2">
        <f>89.2409150466675*(1/14151.6638359215)</f>
        <v>6.3060369495313469E-3</v>
      </c>
      <c r="EZ73" s="2">
        <f>68.7382087493254*(1/14151.6638359215)</f>
        <v>4.8572527970064967E-3</v>
      </c>
      <c r="FA73" s="2">
        <f>53.9746834114044*(1/14151.6638359215)</f>
        <v>3.8140167853902237E-3</v>
      </c>
      <c r="FB73" s="2">
        <f>43.159825264393*(1/14151.6638359215)</f>
        <v>3.0498057164726742E-3</v>
      </c>
      <c r="FC73" s="2">
        <f>34.5031205397854*(1/14151.6638359215)</f>
        <v>2.4380963920443985E-3</v>
      </c>
      <c r="FD73" s="2">
        <f>26.2140554690696*(1/14151.6638359215)</f>
        <v>1.8523656138955088E-3</v>
      </c>
      <c r="FE73" s="2">
        <f>16.5021162837357*(1/14151.6638359215)</f>
        <v>1.1660901838162656E-3</v>
      </c>
      <c r="FF73" s="2">
        <f>4.62722978796147*(1/14151.6638359215)</f>
        <v>3.26974258406002E-4</v>
      </c>
      <c r="FG73" s="2">
        <f>-5.51862625483532*(1/14151.6638359215)</f>
        <v>-3.8996306857058476E-4</v>
      </c>
      <c r="FH73" s="2">
        <f>-13.3571193945192*(1/14151.6638359215)</f>
        <v>-9.438550512070893E-4</v>
      </c>
      <c r="FI73" s="2">
        <f>-18.8882496310923*(1/14151.6638359215)</f>
        <v>-1.3347016895036621E-3</v>
      </c>
      <c r="FJ73" s="2">
        <f>-22.1120169645547*(1/14151.6638359215)</f>
        <v>-1.5625029834603088E-3</v>
      </c>
      <c r="FK73" s="2">
        <f>-23.0284213949062*(1/14151.6638359215)</f>
        <v>-1.6272589330770153E-3</v>
      </c>
      <c r="FL73" s="2">
        <f>-21.637462922147*(1/14151.6638359215)</f>
        <v>-1.5289695383537958E-3</v>
      </c>
      <c r="FM73" s="2">
        <f>-17.939141546276*(1/14151.6638359215)</f>
        <v>-1.2676347992905724E-3</v>
      </c>
      <c r="FN73" s="2">
        <f>-11.9334572672948*(1/14151.6638359215)</f>
        <v>-8.4325471588745813E-4</v>
      </c>
      <c r="FO73" s="2">
        <f>-3.62041008520278*(1/14151.6638359215)</f>
        <v>-2.5582928814440944E-4</v>
      </c>
      <c r="FP73" s="2">
        <f t="shared" si="17"/>
        <v>4.9464148393856954E-4</v>
      </c>
      <c r="FQ73" s="2"/>
    </row>
    <row r="74" spans="2:173">
      <c r="B74" s="2">
        <v>9.9721893491124263</v>
      </c>
      <c r="C74" s="2">
        <f t="shared" si="18"/>
        <v>4.9464148393856954E-4</v>
      </c>
      <c r="D74" s="2">
        <f>-3.98080355230684*(1/14151.6638359215)</f>
        <v>-2.8129579662585495E-4</v>
      </c>
      <c r="E74" s="2">
        <f>-12.6649684531509*(1/14151.6638359215)</f>
        <v>-8.9494554138596152E-4</v>
      </c>
      <c r="F74" s="2">
        <f>-19.0524947025331*(1/14151.6638359215)</f>
        <v>-1.3463077503418153E-3</v>
      </c>
      <c r="G74" s="2">
        <f>-23.1433823004511*(1/14151.6638359215)</f>
        <v>-1.6353824234932512E-3</v>
      </c>
      <c r="H74" s="2">
        <f>-24.9376312469064*(1/14151.6638359215)</f>
        <v>-1.7621695608403746E-3</v>
      </c>
      <c r="I74" s="2">
        <f>-24.4352415418988*(1/14151.6638359215)</f>
        <v>-1.7266691623831719E-3</v>
      </c>
      <c r="J74" s="2">
        <f>-21.6362131854284*(1/14151.6638359215)</f>
        <v>-1.5288812281216498E-3</v>
      </c>
      <c r="K74" s="2">
        <f>-16.5405461774953*(1/14151.6638359215)</f>
        <v>-1.1688057580558158E-3</v>
      </c>
      <c r="L74" s="2">
        <f>-9.14824051809774*(1/14151.6638359215)</f>
        <v>-6.4644275218554497E-4</v>
      </c>
      <c r="M74" s="2">
        <f>0.540703792761447*(1/14151.6638359215)</f>
        <v>3.8207789488962129E-5</v>
      </c>
      <c r="N74" s="2">
        <f>11.6116713262606*(1/14151.6638359215)</f>
        <v>8.2051633368978303E-4</v>
      </c>
      <c r="O74" s="2">
        <f>17.909615948903*(1/14151.6638359215)</f>
        <v>1.2655484299621789E-3</v>
      </c>
      <c r="P74" s="2">
        <f>20.6049412290913*(1/14151.6638359215)</f>
        <v>1.4560083865749619E-3</v>
      </c>
      <c r="Q74" s="2">
        <f>22.5292910039056*(1/14151.6638359215)</f>
        <v>1.5919888477508187E-3</v>
      </c>
      <c r="R74" s="2">
        <f>26.5143091104272*(1/14151.6638359215)</f>
        <v>1.8735824577125206E-3</v>
      </c>
      <c r="S74" s="2">
        <f>35.3916393857348*(1/14151.6638359215)</f>
        <v>2.5008818606826549E-3</v>
      </c>
      <c r="T74" s="2">
        <f>51.992925666909*(1/14151.6638359215)</f>
        <v>3.6739797008839442E-3</v>
      </c>
      <c r="U74" s="2">
        <f>79.14981179103*(1/14151.6638359215)</f>
        <v>5.5929686225390813E-3</v>
      </c>
      <c r="V74" s="2">
        <f>119.693941595177*(1/14151.6638359215)</f>
        <v>8.4579412698706884E-3</v>
      </c>
      <c r="W74" s="2">
        <f>176.456958916432*(1/14151.6638359215)</f>
        <v>1.246899028710159E-2</v>
      </c>
      <c r="X74" s="2">
        <f>252.270507591889*(1/14151.6638359215)</f>
        <v>1.7826208318455449E-2</v>
      </c>
      <c r="Y74" s="2">
        <f>348.935412568956*(1/14151.6638359215)</f>
        <v>2.465684718168934E-2</v>
      </c>
      <c r="Z74" s="2">
        <f>464.512973403965*(1/14151.6638359215)</f>
        <v>3.2823912353322077E-2</v>
      </c>
      <c r="AA74" s="2">
        <f>596.486779343706*(1/14151.6638359215)</f>
        <v>4.214958652632983E-2</v>
      </c>
      <c r="AB74" s="2">
        <f>742.347548093364*(1/14151.6638359215)</f>
        <v>5.2456556112437172E-2</v>
      </c>
      <c r="AC74" s="2">
        <f>899.585997358124*(1/14151.6638359215)</f>
        <v>6.3567507523368649E-2</v>
      </c>
      <c r="AD74" s="2">
        <f>1065.6928448432*(1/14151.6638359215)</f>
        <v>7.5305127170850888E-2</v>
      </c>
      <c r="AE74" s="2">
        <f>1238.15880825372*(1/14151.6638359215)</f>
        <v>8.7492101466604411E-2</v>
      </c>
      <c r="AF74" s="2">
        <f>1414.4746052949*(1/14151.6638359215)</f>
        <v>9.9951116822355968E-2</v>
      </c>
      <c r="AG74" s="2">
        <f>1592.13095367191*(1/14151.6638359215)</f>
        <v>0.11250485964982906</v>
      </c>
      <c r="AH74" s="2">
        <f>1768.61857108996*(1/14151.6638359215)</f>
        <v>0.12497601636075004</v>
      </c>
      <c r="AI74" s="2">
        <f>1941.85760850811*(1/14151.6638359215)</f>
        <v>0.13721761843855049</v>
      </c>
      <c r="AJ74" s="2">
        <f>2116.37144842999*(1/14151.6638359215)</f>
        <v>0.14954930197380428</v>
      </c>
      <c r="AK74" s="2">
        <f>2294.12212985437*(1/14151.6638359215)</f>
        <v>0.16210971066392535</v>
      </c>
      <c r="AL74" s="2">
        <f>2475.19785432646*(1/14151.6638359215)</f>
        <v>0.1749050771008005</v>
      </c>
      <c r="AM74" s="2">
        <f>2659.68682339148*(1/14151.6638359215)</f>
        <v>0.1879416338763174</v>
      </c>
      <c r="AN74" s="2">
        <f>2847.67723859465*(1/14151.6638359215)</f>
        <v>0.20122561358236368</v>
      </c>
      <c r="AO74" s="2">
        <f>3039.2573014812*(1/14151.6638359215)</f>
        <v>0.21476324881082762</v>
      </c>
      <c r="AP74" s="2">
        <f>3234.51521359638*(1/14151.6638359215)</f>
        <v>0.22856077215359893</v>
      </c>
      <c r="AQ74" s="2">
        <f>3433.53917648535*(1/14151.6638359215)</f>
        <v>0.24262441620256106</v>
      </c>
      <c r="AR74" s="2">
        <f>3636.41739169336*(1/14151.6638359215)</f>
        <v>0.25696041354960375</v>
      </c>
      <c r="AS74" s="2">
        <f>3843.23806076563*(1/14151.6638359215)</f>
        <v>0.27157499678661451</v>
      </c>
      <c r="AT74" s="2">
        <f>4054.19002455547*(1/14151.6638359215)</f>
        <v>0.2864815099878662</v>
      </c>
      <c r="AU74" s="2">
        <f>4269.45473125772*(1/14151.6638359215)</f>
        <v>0.30169277483969503</v>
      </c>
      <c r="AV74" s="2">
        <f>4488.83539615354*(1/14151.6638359215)</f>
        <v>0.31719488592990913</v>
      </c>
      <c r="AW74" s="2">
        <f>4712.12093481663*(1/14151.6638359215)</f>
        <v>0.33297292738509965</v>
      </c>
      <c r="AX74" s="2">
        <f>4939.10026282068*(1/14151.6638359215)</f>
        <v>0.34901198333185712</v>
      </c>
      <c r="AY74" s="2">
        <f>5169.56229573936*(1/14151.6638359215)</f>
        <v>0.36529713789677076</v>
      </c>
      <c r="AZ74" s="2">
        <f>5403.29594914636*(1/14151.6638359215)</f>
        <v>0.381813475206431</v>
      </c>
      <c r="BA74" s="2">
        <f>5640.09013861539*(1/14151.6638359215)</f>
        <v>0.39854607938742986</v>
      </c>
      <c r="BB74" s="2">
        <f>5879.73377972004*(1/14151.6638359215)</f>
        <v>0.41548003456635069</v>
      </c>
      <c r="BC74" s="2">
        <f>6122.01578803404*(1/14151.6638359215)</f>
        <v>0.432600424869787</v>
      </c>
      <c r="BD74" s="2">
        <f>6366.91582182367*(1/14151.6638359215)</f>
        <v>0.44990581288840242</v>
      </c>
      <c r="BE74" s="2">
        <f>6620.66504746726*(1/14151.6638359215)</f>
        <v>0.46783651196277504</v>
      </c>
      <c r="BF74" s="2">
        <f>6884.22416123326*(1/14151.6638359215)</f>
        <v>0.48646040783973915</v>
      </c>
      <c r="BG74" s="2">
        <f>7154.67419811396*(1/14151.6638359215)</f>
        <v>0.50557123749315491</v>
      </c>
      <c r="BH74" s="2">
        <f>7429.09619310151*(1/14151.6638359215)</f>
        <v>0.52496273789687264</v>
      </c>
      <c r="BI74" s="2">
        <f>7704.57118118821*(1/14151.6638359215)</f>
        <v>0.54442864602475338</v>
      </c>
      <c r="BJ74" s="2">
        <f>7978.18019736629*(1/14151.6638359215)</f>
        <v>0.563762698850653</v>
      </c>
      <c r="BK74" s="2">
        <f>8247.004276628*(1/14151.6638359215)</f>
        <v>0.58275863334842903</v>
      </c>
      <c r="BL74" s="2">
        <f>8508.12445396559*(1/14151.6638359215)</f>
        <v>0.6012101864919388</v>
      </c>
      <c r="BM74" s="2">
        <f>8758.62176437136*(1/14151.6638359215)</f>
        <v>0.61891109525504318</v>
      </c>
      <c r="BN74" s="2">
        <f>8995.57724283743*(1/14151.6638359215)</f>
        <v>0.63565509661159025</v>
      </c>
      <c r="BO74" s="2">
        <f>9219.09020179737*(1/14151.6638359215)</f>
        <v>0.65144920828293962</v>
      </c>
      <c r="BP74" s="2">
        <f>9438.26809979858*(1/14151.6638359215)</f>
        <v>0.66693699124206185</v>
      </c>
      <c r="BQ74" s="2">
        <f>9652.7823247361*(1/14151.6638359215)</f>
        <v>0.68209522474906559</v>
      </c>
      <c r="BR74" s="2">
        <f>9861.25377517867*(1/14151.6638359215)</f>
        <v>0.69682645726417114</v>
      </c>
      <c r="BS74" s="2">
        <f>10062.3033496949*(1/14151.6638359215)</f>
        <v>0.71103323724758916</v>
      </c>
      <c r="BT74" s="2">
        <f>10254.5519468537*(1/14151.6638359215)</f>
        <v>0.72461811315955171</v>
      </c>
      <c r="BU74" s="2">
        <f>10436.6204652237*(1/14151.6638359215)</f>
        <v>0.73748363346027068</v>
      </c>
      <c r="BV74" s="2">
        <f>10607.1298033736*(1/14151.6638359215)</f>
        <v>0.7495323466099636</v>
      </c>
      <c r="BW74" s="2">
        <f>10764.7008598722*(1/14151.6638359215)</f>
        <v>0.76066680106885443</v>
      </c>
      <c r="BX74" s="2">
        <f>10907.9545332882*(1/14151.6638359215)</f>
        <v>0.77078954529716037</v>
      </c>
      <c r="BY74" s="2">
        <f>11035.5330987678*(1/14151.6638359215)</f>
        <v>0.77980463828967228</v>
      </c>
      <c r="BZ74" s="2">
        <f>11152.1048389674*(1/14151.6638359215)</f>
        <v>0.78804195522647669</v>
      </c>
      <c r="CA74" s="2">
        <f>11260.7995461502*(1/14151.6638359215)</f>
        <v>0.7957226568346436</v>
      </c>
      <c r="CB74" s="2">
        <f>11359.8856517197*(1/14151.6638359215)</f>
        <v>0.80272438516272815</v>
      </c>
      <c r="CC74" s="2">
        <f>11447.6315870795*(1/14151.6638359215)</f>
        <v>0.80892478225929232</v>
      </c>
      <c r="CD74" s="2">
        <f>11522.3057836332*(1/14151.6638359215)</f>
        <v>0.81420149017289833</v>
      </c>
      <c r="CE74" s="2">
        <f>11582.1766727842*(1/14151.6638359215)</f>
        <v>0.81843215095209443</v>
      </c>
      <c r="CF74" s="2">
        <f>11625.5126859362*(1/14151.6638359215)</f>
        <v>0.8214944066454497</v>
      </c>
      <c r="CG74" s="2">
        <f>11650.5822544927*(1/14151.6638359215)</f>
        <v>0.82326589930151917</v>
      </c>
      <c r="CH74" s="2">
        <f>11655.6538098572*(1/14151.6638359215)</f>
        <v>0.82362427096885815</v>
      </c>
      <c r="CI74" s="2">
        <f>11638.9957834333*(1/14151.6638359215)</f>
        <v>0.82244716369602877</v>
      </c>
      <c r="CJ74" s="2">
        <f>11598.2970588449*(1/14151.6638359215)</f>
        <v>0.81957126690676974</v>
      </c>
      <c r="CK74" s="2">
        <f>11530.2303410653*(1/14151.6638359215)</f>
        <v>0.81476146372257985</v>
      </c>
      <c r="CL74" s="2">
        <f>11437.2929454625*(1/14151.6638359215)</f>
        <v>0.80819422211195768</v>
      </c>
      <c r="CM74" s="2">
        <f>11322.7707974337*(1/14151.6638359215)</f>
        <v>0.80010173564841514</v>
      </c>
      <c r="CN74" s="2">
        <f>11189.9498223759*(1/14151.6638359215)</f>
        <v>0.79071619790544967</v>
      </c>
      <c r="CO74" s="2">
        <f>11042.1159456865*(1/14151.6638359215)</f>
        <v>0.78026980245658739</v>
      </c>
      <c r="CP74" s="2">
        <f>10882.5550927627*(1/14151.6638359215)</f>
        <v>0.76899474287533987</v>
      </c>
      <c r="CQ74" s="2">
        <f>10714.5531890016*(1/14151.6638359215)</f>
        <v>0.75712321273521199</v>
      </c>
      <c r="CR74" s="2">
        <f>10541.3961598005*(1/14151.6638359215)</f>
        <v>0.74488740560972255</v>
      </c>
      <c r="CS74" s="2">
        <f>10366.3699305565*(1/14151.6638359215)</f>
        <v>0.73251951507237623</v>
      </c>
      <c r="CT74" s="2">
        <f>10192.760426667*(1/14151.6638359215)</f>
        <v>0.7202517346966989</v>
      </c>
      <c r="CU74" s="2">
        <f>10015.9451844757*(1/14151.6638359215)</f>
        <v>0.70775742701377575</v>
      </c>
      <c r="CV74" s="2">
        <f>9828.15487596777*(1/14151.6638359215)</f>
        <v>0.69448758746096939</v>
      </c>
      <c r="CW74" s="2">
        <f>9631.03849172348*(1/14151.6638359215)</f>
        <v>0.68055873877365503</v>
      </c>
      <c r="CX74" s="2">
        <f>9426.27912720972*(1/14151.6638359215)</f>
        <v>0.66608981364316855</v>
      </c>
      <c r="CY74" s="2">
        <f>9215.55987789343*(1/14151.6638359215)</f>
        <v>0.65119974476084996</v>
      </c>
      <c r="CZ74" s="2">
        <f>9000.56383924154*(1/14151.6638359215)</f>
        <v>0.63600746481803772</v>
      </c>
      <c r="DA74" s="2">
        <f>8782.97410672095*(1/14151.6638359215)</f>
        <v>0.62063190650606903</v>
      </c>
      <c r="DB74" s="2">
        <f>8564.47377579867*(1/14151.6638359215)</f>
        <v>0.60519200251628824</v>
      </c>
      <c r="DC74" s="2">
        <f>8346.7459419416*(1/14151.6638359215)</f>
        <v>0.58980668554003246</v>
      </c>
      <c r="DD74" s="2">
        <f>8131.47370061667*(1/14151.6638359215)</f>
        <v>0.57459488826864014</v>
      </c>
      <c r="DE74" s="2">
        <f>7919.78532512019*(1/14151.6638359215)</f>
        <v>0.55963633795605106</v>
      </c>
      <c r="DF74" s="2">
        <f>7707.20155544795*(1/14151.6638359215)</f>
        <v>0.54461451634291791</v>
      </c>
      <c r="DG74" s="2">
        <f>7492.77382625564*(1/14151.6638359215)</f>
        <v>0.52946239489073765</v>
      </c>
      <c r="DH74" s="2">
        <f>7277.01880561134*(1/14151.6638359215)</f>
        <v>0.51421648295092437</v>
      </c>
      <c r="DI74" s="2">
        <f>7060.45316158322*(1/14151.6638359215)</f>
        <v>0.49891328987489841</v>
      </c>
      <c r="DJ74" s="2">
        <f>6843.59356223935*(1/14151.6638359215)</f>
        <v>0.48358932501407337</v>
      </c>
      <c r="DK74" s="2">
        <f>6626.95667564784*(1/14151.6638359215)</f>
        <v>0.46828109771986531</v>
      </c>
      <c r="DL74" s="2">
        <f>6411.0591698768*(1/14151.6638359215)</f>
        <v>0.45302511734369061</v>
      </c>
      <c r="DM74" s="2">
        <f>6196.41771299427*(1/14151.6638359215)</f>
        <v>0.43785789323696045</v>
      </c>
      <c r="DN74" s="2">
        <f>5983.54897306847*(1/14151.6638359215)</f>
        <v>0.42281593475109885</v>
      </c>
      <c r="DO74" s="2">
        <f>5772.96961816744*(1/14151.6638359215)</f>
        <v>0.40793575123751707</v>
      </c>
      <c r="DP74" s="2">
        <f>5564.57871733536*(1/14151.6638359215)</f>
        <v>0.39321021060510636</v>
      </c>
      <c r="DQ74" s="2">
        <f>5357.37464986678*(1/14151.6638359215)</f>
        <v>0.37856853526071121</v>
      </c>
      <c r="DR74" s="2">
        <f>5151.30064601063*(1/14151.6638359215)</f>
        <v>0.36400671367948711</v>
      </c>
      <c r="DS74" s="2">
        <f>4946.32963996403*(1/14151.6638359215)</f>
        <v>0.34952283330873407</v>
      </c>
      <c r="DT74" s="2">
        <f>4742.4345659241*(1/14151.6638359215)</f>
        <v>0.33511498159575182</v>
      </c>
      <c r="DU74" s="2">
        <f>4539.58835808803*(1/14151.6638359215)</f>
        <v>0.32078124598784535</v>
      </c>
      <c r="DV74" s="2">
        <f>4337.76395065293*(1/14151.6638359215)</f>
        <v>0.30651971393231392</v>
      </c>
      <c r="DW74" s="2">
        <f>4136.93427781593*(1/14151.6638359215)</f>
        <v>0.29232847287645802</v>
      </c>
      <c r="DX74" s="2">
        <f>3937.07227377416*(1/14151.6638359215)</f>
        <v>0.2782056102675784</v>
      </c>
      <c r="DY74" s="2">
        <f>3738.15087272473*(1/14151.6638359215)</f>
        <v>0.26414921355297422</v>
      </c>
      <c r="DZ74" s="2">
        <f>3539.96540413015*(1/14151.6638359215)</f>
        <v>0.25014482008430505</v>
      </c>
      <c r="EA74" s="2">
        <f>3339.02649346934*(1/14151.6638359215)</f>
        <v>0.23594585994855324</v>
      </c>
      <c r="EB74" s="2">
        <f>3135.25721647527*(1/14151.6638359215)</f>
        <v>0.22154689744091952</v>
      </c>
      <c r="EC74" s="2">
        <f>2930.33928985321*(1/14151.6638359215)</f>
        <v>0.20706676782521227</v>
      </c>
      <c r="ED74" s="2">
        <f>2725.95443030842*(1/14151.6638359215)</f>
        <v>0.19262430636523925</v>
      </c>
      <c r="EE74" s="2">
        <f>2523.78435454611*(1/14151.6638359215)</f>
        <v>0.17833834832480469</v>
      </c>
      <c r="EF74" s="2">
        <f>2325.51077927164*(1/14151.6638359215)</f>
        <v>0.16432772896772332</v>
      </c>
      <c r="EG74" s="2">
        <f>2132.81542119022*(1/14151.6638359215)</f>
        <v>0.15071128355779939</v>
      </c>
      <c r="EH74" s="2">
        <f>1947.37999700711*(1/14151.6638359215)</f>
        <v>0.13760784735884057</v>
      </c>
      <c r="EI74" s="2">
        <f>1770.88622342757*(1/14151.6638359215)</f>
        <v>0.12513625563465464</v>
      </c>
      <c r="EJ74" s="2">
        <f>1605.01581715683*(1/14151.6638359215)</f>
        <v>0.11341534364904718</v>
      </c>
      <c r="EK74" s="2">
        <f>1449.54069990709*(1/14151.6638359215)</f>
        <v>0.10242899469019938</v>
      </c>
      <c r="EL74" s="2">
        <f>1299.82357682456*(1/14151.6638359215)</f>
        <v>9.1849523271262806E-2</v>
      </c>
      <c r="EM74" s="2">
        <f>1156.02760154016*(1/14151.6638359215)</f>
        <v>8.1688458328538591E-2</v>
      </c>
      <c r="EN74" s="2">
        <f>1018.69191684657*(1/14151.6638359215)</f>
        <v>7.1983897346459047E-2</v>
      </c>
      <c r="EO74" s="2">
        <f>888.355665536475*(1/14151.6638359215)</f>
        <v>6.2773937809456795E-2</v>
      </c>
      <c r="EP74" s="2">
        <f>765.557990402562*(1/14151.6638359215)</f>
        <v>5.4096677201964642E-2</v>
      </c>
      <c r="EQ74" s="2">
        <f>650.838034237493*(1/14151.6638359215)</f>
        <v>4.5990213008413584E-2</v>
      </c>
      <c r="ER74" s="2">
        <f>544.734939833998*(1/14151.6638359215)</f>
        <v>3.8492642713239454E-2</v>
      </c>
      <c r="ES74" s="2">
        <f>447.787849984738*(1/14151.6638359215)</f>
        <v>3.1642063800873192E-2</v>
      </c>
      <c r="ET74" s="2">
        <f>360.535907482398*(1/14151.6638359215)</f>
        <v>2.5476573755747453E-2</v>
      </c>
      <c r="EU74" s="2">
        <f>283.552200710786*(1/14151.6638359215)</f>
        <v>2.0036668761947186E-2</v>
      </c>
      <c r="EV74" s="2">
        <f>219.530019693502*(1/14151.6638359215)</f>
        <v>1.5512664958608174E-2</v>
      </c>
      <c r="EW74" s="2">
        <f>168.630372377624*(1/14151.6638359215)</f>
        <v>1.191593966142593E-2</v>
      </c>
      <c r="EX74" s="2">
        <f>129.052329844559*(1/14151.6638359215)</f>
        <v>9.1192337057203459E-3</v>
      </c>
      <c r="EY74" s="2">
        <f>98.9949631757248*(1/14151.6638359215)</f>
        <v>6.9952879268120804E-3</v>
      </c>
      <c r="EZ74" s="2">
        <f>76.6573434525405*(1/14151.6638359215)</f>
        <v>5.4168431600218891E-3</v>
      </c>
      <c r="FA74" s="2">
        <f>60.2385417564249*(1/14151.6638359215)</f>
        <v>4.2566402406704999E-3</v>
      </c>
      <c r="FB74" s="2">
        <f>47.9376291687949*(1/14151.6638359215)</f>
        <v>3.3874200040785092E-3</v>
      </c>
      <c r="FC74" s="2">
        <f>37.9536767710738*(1/14151.6638359215)</f>
        <v>2.681923285566966E-3</v>
      </c>
      <c r="FD74" s="2">
        <f>28.4857556446778*(1/14151.6638359215)</f>
        <v>2.0128909204564158E-3</v>
      </c>
      <c r="FE74" s="2">
        <f>17.7329368710257*(1/14151.6638359215)</f>
        <v>1.2530637440675894E-3</v>
      </c>
      <c r="FF74" s="2">
        <f>4.9508423595024*(1/14151.6638359215)</f>
        <v>3.498417159214566E-4</v>
      </c>
      <c r="FG74" s="2">
        <f>-5.94591107549711*(1/14151.6638359215)</f>
        <v>-4.2015632539295236E-4</v>
      </c>
      <c r="FH74" s="2">
        <f>-14.3756269107061*(1/14151.6638359215)</f>
        <v>-1.0158259182369855E-3</v>
      </c>
      <c r="FI74" s="2">
        <f>-20.3383051461269*(1/14151.6638359215)</f>
        <v>-1.4371670626108079E-3</v>
      </c>
      <c r="FJ74" s="2">
        <f>-23.8339457817595*(1/14151.6638359215)</f>
        <v>-1.6841797585144184E-3</v>
      </c>
      <c r="FK74" s="2">
        <f>-24.8625488176038*(1/14151.6638359215)</f>
        <v>-1.7568640059478101E-3</v>
      </c>
      <c r="FL74" s="2">
        <f>-23.42411425366*(1/14151.6638359215)</f>
        <v>-1.6552198049109973E-3</v>
      </c>
      <c r="FM74" s="2">
        <f>-19.5186420899269*(1/14151.6638359215)</f>
        <v>-1.3792471554038949E-3</v>
      </c>
      <c r="FN74" s="2">
        <f>-13.1461323264062*(1/14151.6638359215)</f>
        <v>-9.2894605742662318E-4</v>
      </c>
      <c r="FO74" s="2">
        <f>-4.30658496309719*(1/14151.6638359215)</f>
        <v>-3.04316510979132E-4</v>
      </c>
      <c r="FP74" s="2">
        <f t="shared" si="17"/>
        <v>4.9464148393856954E-4</v>
      </c>
      <c r="FQ74" s="2"/>
    </row>
    <row r="75" spans="2:173">
      <c r="B75" s="2">
        <v>9.9816568047337277</v>
      </c>
      <c r="C75" s="2">
        <f t="shared" si="18"/>
        <v>4.9464148393856954E-4</v>
      </c>
      <c r="D75" s="2">
        <f>-5.00567204877901*(1/14151.6638359215)</f>
        <v>-3.5371615004540987E-4</v>
      </c>
      <c r="E75" s="2">
        <f>-14.5003538651337*(1/14151.6638359215)</f>
        <v>-1.0246395076405866E-3</v>
      </c>
      <c r="F75" s="2">
        <f>-21.4840454490652*(1/14151.6638359215)</f>
        <v>-1.5181285888470402E-3</v>
      </c>
      <c r="G75" s="2">
        <f>-25.9567468005709*(1/14151.6638359215)</f>
        <v>-1.8341833936645869E-3</v>
      </c>
      <c r="H75" s="2">
        <f>-27.9184579196523*(1/14151.6638359215)</f>
        <v>-1.9728039220933318E-3</v>
      </c>
      <c r="I75" s="2">
        <f>-27.3691788063094*(1/14151.6638359215)</f>
        <v>-1.9339901741332755E-3</v>
      </c>
      <c r="J75" s="2">
        <f>-24.3089094605422*(1/14151.6638359215)</f>
        <v>-1.7177421497844179E-3</v>
      </c>
      <c r="K75" s="2">
        <f>-18.7376498823507*(1/14151.6638359215)</f>
        <v>-1.3240598490467589E-3</v>
      </c>
      <c r="L75" s="2">
        <f>-10.6554000717332*(1/14151.6638359215)</f>
        <v>-7.529432719201786E-4</v>
      </c>
      <c r="M75" s="2">
        <f>-0.0621600286926962*(1/14151.6638359215)</f>
        <v>-4.3924184048884731E-6</v>
      </c>
      <c r="N75" s="2">
        <f>12.1530393240951*(1/14151.6638359215)</f>
        <v>8.5877105794774158E-4</v>
      </c>
      <c r="O75" s="2">
        <f>20.0073267483601*(1/14151.6638359215)</f>
        <v>1.4137791132075252E-3</v>
      </c>
      <c r="P75" s="2">
        <f>24.6383661534687*(1/14151.6638359215)</f>
        <v>1.741022570853369E-3</v>
      </c>
      <c r="Q75" s="2">
        <f>28.7985919001797*(1/14151.6638359215)</f>
        <v>2.0349968904065938E-3</v>
      </c>
      <c r="R75" s="2">
        <f>35.2404383492533*(1/14151.6638359215)</f>
        <v>2.4901975313886184E-3</v>
      </c>
      <c r="S75" s="2">
        <f>46.7163398614461*(1/14151.6638359215)</f>
        <v>3.3011199533206068E-3</v>
      </c>
      <c r="T75" s="2">
        <f>65.9787307975176*(1/14151.6638359215)</f>
        <v>4.6622596157239295E-3</v>
      </c>
      <c r="U75" s="2">
        <f>95.7800455182266*(1/14151.6638359215)</f>
        <v>6.7681119781199065E-3</v>
      </c>
      <c r="V75" s="2">
        <f>138.872718384331*(1/14151.6638359215)</f>
        <v>9.8131725000297938E-3</v>
      </c>
      <c r="W75" s="2">
        <f>198.009183756591*(1/14151.6638359215)</f>
        <v>1.3991936640975011E-2</v>
      </c>
      <c r="X75" s="2">
        <f>275.94187599578*(1/14151.6638359215)</f>
        <v>1.9498899860477908E-2</v>
      </c>
      <c r="Y75" s="2">
        <f>374.382822201446*(1/14151.6638359215)</f>
        <v>2.6455039247833271E-2</v>
      </c>
      <c r="Z75" s="2">
        <f>491.404601854413*(1/14151.6638359215)</f>
        <v>3.4724157353644113E-2</v>
      </c>
      <c r="AA75" s="2">
        <f>624.591413338556*(1/14151.6638359215)</f>
        <v>4.4135546221295972E-2</v>
      </c>
      <c r="AB75" s="2">
        <f>771.535249188408*(1/14151.6638359215)</f>
        <v>5.451904865278117E-2</v>
      </c>
      <c r="AC75" s="2">
        <f>929.828101938502*(1/14151.6638359215)</f>
        <v>6.5704507450092015E-2</v>
      </c>
      <c r="AD75" s="2">
        <f>1097.06196412341*(1/14151.6638359215)</f>
        <v>7.7521765415223612E-2</v>
      </c>
      <c r="AE75" s="2">
        <f>1270.82882827759*(1/14151.6638359215)</f>
        <v>8.9800665350162956E-2</v>
      </c>
      <c r="AF75" s="2">
        <f>1448.72068693561*(1/14151.6638359215)</f>
        <v>0.10237105005690486</v>
      </c>
      <c r="AG75" s="2">
        <f>1628.32953263202*(1/14151.6638359215)</f>
        <v>0.11506276233744282</v>
      </c>
      <c r="AH75" s="2">
        <f>1807.24735790133*(1/14151.6638359215)</f>
        <v>0.12770564499376758</v>
      </c>
      <c r="AI75" s="2">
        <f>1983.49979916604*(1/14151.6638359215)</f>
        <v>0.14016018343590639</v>
      </c>
      <c r="AJ75" s="2">
        <f>2161.70598415238*(1/14151.6638359215)</f>
        <v>0.15275277940571702</v>
      </c>
      <c r="AK75" s="2">
        <f>2343.73407281386*(1/14151.6638359215)</f>
        <v>0.16561544281914789</v>
      </c>
      <c r="AL75" s="2">
        <f>2529.53957741514*(1/14151.6638359215)</f>
        <v>0.17874503003628098</v>
      </c>
      <c r="AM75" s="2">
        <f>2719.07801022087*(1/14151.6638359215)</f>
        <v>0.19213839741719774</v>
      </c>
      <c r="AN75" s="2">
        <f>2912.30488349573*(1/14151.6638359215)</f>
        <v>0.20579240132198154</v>
      </c>
      <c r="AO75" s="2">
        <f>3109.17570950438*(1/14151.6638359215)</f>
        <v>0.21970389811071447</v>
      </c>
      <c r="AP75" s="2">
        <f>3309.64600051151*(1/14151.6638359215)</f>
        <v>0.23386974414348072</v>
      </c>
      <c r="AQ75" s="2">
        <f>3513.67126878171*(1/14151.6638359215)</f>
        <v>0.24828679578035734</v>
      </c>
      <c r="AR75" s="2">
        <f>3721.20702657969*(1/14151.6638359215)</f>
        <v>0.26295190938142998</v>
      </c>
      <c r="AS75" s="2">
        <f>3932.20878617009*(1/14151.6638359215)</f>
        <v>0.27786194130677927</v>
      </c>
      <c r="AT75" s="2">
        <f>4146.6942245644*(1/14151.6638359215)</f>
        <v>0.29301814066829013</v>
      </c>
      <c r="AU75" s="2">
        <f>4364.78520606166*(1/14151.6638359215)</f>
        <v>0.30842911877135065</v>
      </c>
      <c r="AV75" s="2">
        <f>4586.47205639843*(1/14151.6638359215)</f>
        <v>0.32409419200281459</v>
      </c>
      <c r="AW75" s="2">
        <f>4811.73848786756*(1/14151.6638359215)</f>
        <v>0.34001220942330551</v>
      </c>
      <c r="AX75" s="2">
        <f>5040.56821276191*(1/14151.6638359215)</f>
        <v>0.35618202009344779</v>
      </c>
      <c r="AY75" s="2">
        <f>5272.94494337428*(1/14151.6638359215)</f>
        <v>0.37260247307386152</v>
      </c>
      <c r="AZ75" s="2">
        <f>5508.85239199752*(1/14151.6638359215)</f>
        <v>0.38927241742517021</v>
      </c>
      <c r="BA75" s="2">
        <f>5748.2742709245*(1/14151.6638359215)</f>
        <v>0.40619070220799913</v>
      </c>
      <c r="BB75" s="2">
        <f>5991.19429244795*(1/14151.6638359215)</f>
        <v>0.4233561764829632</v>
      </c>
      <c r="BC75" s="2">
        <f>6237.59616886076*(1/14151.6638359215)</f>
        <v>0.44076768931068899</v>
      </c>
      <c r="BD75" s="2">
        <f>6487.65226405516*(1/14151.6638359215)</f>
        <v>0.45843742045280927</v>
      </c>
      <c r="BE75" s="2">
        <f>6747.62580339144*(1/14151.6638359215)</f>
        <v>0.47680794863596065</v>
      </c>
      <c r="BF75" s="2">
        <f>7018.31063297091*(1/14151.6638359215)</f>
        <v>0.49593536946208172</v>
      </c>
      <c r="BG75" s="2">
        <f>7296.62034828472*(1/14151.6638359215)</f>
        <v>0.515601588115988</v>
      </c>
      <c r="BH75" s="2">
        <f>7579.46854482388*(1/14151.6638359215)</f>
        <v>0.53558850978248485</v>
      </c>
      <c r="BI75" s="2">
        <f>7863.76881807955*(1/14151.6638359215)</f>
        <v>0.55567803964638862</v>
      </c>
      <c r="BJ75" s="2">
        <f>8146.43476354283*(1/14151.6638359215)</f>
        <v>0.5756520828925108</v>
      </c>
      <c r="BK75" s="2">
        <f>8424.37997670483*(1/14151.6638359215)</f>
        <v>0.59529254470566417</v>
      </c>
      <c r="BL75" s="2">
        <f>8694.51805305666*(1/14151.6638359215)</f>
        <v>0.61438133027066122</v>
      </c>
      <c r="BM75" s="2">
        <f>8953.76258808946*(1/14151.6638359215)</f>
        <v>0.63270034477231674</v>
      </c>
      <c r="BN75" s="2">
        <f>9199.02717729425*(1/14151.6638359215)</f>
        <v>0.65003149339543698</v>
      </c>
      <c r="BO75" s="2">
        <f>9430.47181813426*(1/14151.6638359215)</f>
        <v>0.66638608205182714</v>
      </c>
      <c r="BP75" s="2">
        <f>9657.89574675098*(1/14151.6638359215)</f>
        <v>0.68245655484241496</v>
      </c>
      <c r="BQ75" s="2">
        <f>9880.88829567244*(1/14151.6638359215)</f>
        <v>0.69821389274323697</v>
      </c>
      <c r="BR75" s="2">
        <f>10097.9062614926*(1/14151.6638359215)</f>
        <v>0.71354904826532473</v>
      </c>
      <c r="BS75" s="2">
        <f>10307.4064408053*(1/14151.6638359215)</f>
        <v>0.72835297391970044</v>
      </c>
      <c r="BT75" s="2">
        <f>10507.8456302044*(1/14151.6638359215)</f>
        <v>0.74251662221738823</v>
      </c>
      <c r="BU75" s="2">
        <f>10697.680626284*(1/14151.6638359215)</f>
        <v>0.75593094566942909</v>
      </c>
      <c r="BV75" s="2">
        <f>10875.3682256379*(1/14151.6638359215)</f>
        <v>0.76848689678684268</v>
      </c>
      <c r="BW75" s="2">
        <f>11039.3652248601*(1/14151.6638359215)</f>
        <v>0.78007542808066288</v>
      </c>
      <c r="BX75" s="2">
        <f>11188.1284205444*(1/14151.6638359215)</f>
        <v>0.79058749206190959</v>
      </c>
      <c r="BY75" s="2">
        <f>11320.1369605098*(1/14151.6638359215)</f>
        <v>0.79991562064777377</v>
      </c>
      <c r="BZ75" s="2">
        <f>11440.2090680856*(1/14151.6638359215)</f>
        <v>0.80840028428647726</v>
      </c>
      <c r="CA75" s="2">
        <f>11551.6898321645*(1/14151.6638359215)</f>
        <v>0.81627785722570489</v>
      </c>
      <c r="CB75" s="2">
        <f>11652.8711627201*(1/14151.6638359215)</f>
        <v>0.82342764058183349</v>
      </c>
      <c r="CC75" s="2">
        <f>11742.0449697263*(1/14151.6638359215)</f>
        <v>0.82972893547126181</v>
      </c>
      <c r="CD75" s="2">
        <f>11817.5031631567*(1/14151.6638359215)</f>
        <v>0.8350610430103671</v>
      </c>
      <c r="CE75" s="2">
        <f>11877.537652985*(1/14151.6638359215)</f>
        <v>0.83930326431553359</v>
      </c>
      <c r="CF75" s="2">
        <f>11920.4403491851*(1/14151.6638359215)</f>
        <v>0.84233490050315973</v>
      </c>
      <c r="CG75" s="2">
        <f>11944.5031617306*(1/14151.6638359215)</f>
        <v>0.84403525268962276</v>
      </c>
      <c r="CH75" s="2">
        <f>11948.0180005953*(1/14151.6638359215)</f>
        <v>0.84428362199131435</v>
      </c>
      <c r="CI75" s="2">
        <f>11929.2767757529*(1/14151.6638359215)</f>
        <v>0.84295930952461839</v>
      </c>
      <c r="CJ75" s="2">
        <f>11885.9465238038*(1/14151.6638359215)</f>
        <v>0.83989746093554196</v>
      </c>
      <c r="CK75" s="2">
        <f>11814.4735304857*(1/14151.6638359215)</f>
        <v>0.83484695986748536</v>
      </c>
      <c r="CL75" s="2">
        <f>11717.3896288528*(1/14151.6638359215)</f>
        <v>0.8279867134145934</v>
      </c>
      <c r="CM75" s="2">
        <f>11598.0630382217*(1/14151.6638359215)</f>
        <v>0.81955473029129378</v>
      </c>
      <c r="CN75" s="2">
        <f>11459.8619779091*(1/14151.6638359215)</f>
        <v>0.80978901921202118</v>
      </c>
      <c r="CO75" s="2">
        <f>11306.1546672318*(1/14151.6638359215)</f>
        <v>0.7989275888912174</v>
      </c>
      <c r="CP75" s="2">
        <f>11140.3093255065*(1/14151.6638359215)</f>
        <v>0.78720844804331713</v>
      </c>
      <c r="CQ75" s="2">
        <f>10965.6941720499*(1/14151.6638359215)</f>
        <v>0.77486960538275518</v>
      </c>
      <c r="CR75" s="2">
        <f>10785.6774261787*(1/14151.6638359215)</f>
        <v>0.76214906962396622</v>
      </c>
      <c r="CS75" s="2">
        <f>10603.6273072097*(1/14151.6638359215)</f>
        <v>0.74928484948139196</v>
      </c>
      <c r="CT75" s="2">
        <f>10422.9120344595*(1/14151.6638359215)</f>
        <v>0.73651495366946029</v>
      </c>
      <c r="CU75" s="2">
        <f>10238.57040478*(1/14151.6638359215)</f>
        <v>0.72348880834712859</v>
      </c>
      <c r="CV75" s="2">
        <f>10042.4540336224*(1/14151.6638359215)</f>
        <v>0.70963062365369389</v>
      </c>
      <c r="CW75" s="2">
        <f>9836.41026214949*(1/14151.6638359215)</f>
        <v>0.69507093838545675</v>
      </c>
      <c r="CX75" s="2">
        <f>9622.32248449631*(1/14151.6638359215)</f>
        <v>0.67994283895238827</v>
      </c>
      <c r="CY75" s="2">
        <f>9402.07409479803*(1/14151.6638359215)</f>
        <v>0.66437941176446869</v>
      </c>
      <c r="CZ75" s="2">
        <f>9177.54848718975*(1/14151.6638359215)</f>
        <v>0.6485137432316731</v>
      </c>
      <c r="DA75" s="2">
        <f>8950.62905580657*(1/14151.6638359215)</f>
        <v>0.63247891976397708</v>
      </c>
      <c r="DB75" s="2">
        <f>8723.19919478371*(1/14151.6638359215)</f>
        <v>0.61640802777136428</v>
      </c>
      <c r="DC75" s="2">
        <f>8497.14229825624*(1/14151.6638359215)</f>
        <v>0.6004341536638077</v>
      </c>
      <c r="DD75" s="2">
        <f>8274.34176035929*(1/14151.6638359215)</f>
        <v>0.58469038385128502</v>
      </c>
      <c r="DE75" s="2">
        <f>8056.09123281695*(1/14151.6638359215)</f>
        <v>0.5692681317350109</v>
      </c>
      <c r="DF75" s="2">
        <f>7837.66223963701*(1/14151.6638359215)</f>
        <v>0.55383326868904903</v>
      </c>
      <c r="DG75" s="2">
        <f>7617.95794008605*(1/14151.6638359215)</f>
        <v>0.53830828858082458</v>
      </c>
      <c r="DH75" s="2">
        <f>7397.42620847254*(1/14151.6638359215)</f>
        <v>0.52272483958356042</v>
      </c>
      <c r="DI75" s="2">
        <f>7176.51491910509*(1/14151.6638359215)</f>
        <v>0.50711456987048931</v>
      </c>
      <c r="DJ75" s="2">
        <f>6955.67194629218*(1/14151.6638359215)</f>
        <v>0.49150912761483462</v>
      </c>
      <c r="DK75" s="2">
        <f>6735.34516434233*(1/14151.6638359215)</f>
        <v>0.47594016098982267</v>
      </c>
      <c r="DL75" s="2">
        <f>6515.98244756406*(1/14151.6638359215)</f>
        <v>0.46043931816867983</v>
      </c>
      <c r="DM75" s="2">
        <f>6298.03167026585*(1/14151.6638359215)</f>
        <v>0.44503824732462971</v>
      </c>
      <c r="DN75" s="2">
        <f>6081.9407067563*(1/14151.6638359215)</f>
        <v>0.42976859663090411</v>
      </c>
      <c r="DO75" s="2">
        <f>5868.1574313439*(1/14151.6638359215)</f>
        <v>0.4146620142607273</v>
      </c>
      <c r="DP75" s="2">
        <f>5656.62566215252*(1/14151.6638359215)</f>
        <v>0.39971453023030229</v>
      </c>
      <c r="DQ75" s="2">
        <f>5446.52304200426*(1/14151.6638359215)</f>
        <v>0.38486803425751415</v>
      </c>
      <c r="DR75" s="2">
        <f>5237.77301161447*(1/14151.6638359215)</f>
        <v>0.37011711642833889</v>
      </c>
      <c r="DS75" s="2">
        <f>5030.32292217465*(1/14151.6638359215)</f>
        <v>0.35545805641638145</v>
      </c>
      <c r="DT75" s="2">
        <f>4824.12012487623*(1/14151.6638359215)</f>
        <v>0.34088713389524228</v>
      </c>
      <c r="DU75" s="2">
        <f>4619.11197091078*(1/14151.6638359215)</f>
        <v>0.32640062853853125</v>
      </c>
      <c r="DV75" s="2">
        <f>4415.24581146974*(1/14151.6638359215)</f>
        <v>0.31199482001984941</v>
      </c>
      <c r="DW75" s="2">
        <f>4212.4689977446*(1/14151.6638359215)</f>
        <v>0.29766598801280109</v>
      </c>
      <c r="DX75" s="2">
        <f>4010.72888092684*(1/14151.6638359215)</f>
        <v>0.28341041219099006</v>
      </c>
      <c r="DY75" s="2">
        <f>3809.9728122079*(1/14151.6638359215)</f>
        <v>0.26922437222801726</v>
      </c>
      <c r="DZ75" s="2">
        <f>3609.98254468054*(1/14151.6638359215)</f>
        <v>0.25509244612758797</v>
      </c>
      <c r="EA75" s="2">
        <f>3407.49180731085*(1/14151.6638359215)</f>
        <v>0.24078382915382246</v>
      </c>
      <c r="EB75" s="2">
        <f>3202.45235350225*(1/14151.6638359215)</f>
        <v>0.22629511205413105</v>
      </c>
      <c r="EC75" s="2">
        <f>2996.46095248903*(1/14151.6638359215)</f>
        <v>0.21173912744330764</v>
      </c>
      <c r="ED75" s="2">
        <f>2791.11437350546*(1/14151.6638359215)</f>
        <v>0.19722870793614453</v>
      </c>
      <c r="EE75" s="2">
        <f>2588.0093857858*(1/14151.6638359215)</f>
        <v>0.18287668614743344</v>
      </c>
      <c r="EF75" s="2">
        <f>2388.74275856441*(1/14151.6638359215)</f>
        <v>0.16879589469197312</v>
      </c>
      <c r="EG75" s="2">
        <f>2194.91126107553*(1/14151.6638359215)</f>
        <v>0.15509916618455388</v>
      </c>
      <c r="EH75" s="2">
        <f>2008.11166255345*(1/14151.6638359215)</f>
        <v>0.14189933323996951</v>
      </c>
      <c r="EI75" s="2">
        <f>1829.94073223246*(1/14151.6638359215)</f>
        <v>0.12930922847301379</v>
      </c>
      <c r="EJ75" s="2">
        <f>1661.9952393468*(1/14151.6638359215)</f>
        <v>0.11744168449847703</v>
      </c>
      <c r="EK75" s="2">
        <f>1503.95146983258*(1/14151.6638359215)</f>
        <v>0.10627382668708288</v>
      </c>
      <c r="EL75" s="2">
        <f>1351.14761991891*(1/14151.6638359215)</f>
        <v>9.547623767667944E-2</v>
      </c>
      <c r="EM75" s="2">
        <f>1203.85196885923*(1/14151.6638359215)</f>
        <v>8.5067874902699736E-2</v>
      </c>
      <c r="EN75" s="2">
        <f>1062.71417475663*(1/14151.6638359215)</f>
        <v>7.5094645200595972E-2</v>
      </c>
      <c r="EO75" s="2">
        <f>928.3838957142*(1/14151.6638359215)</f>
        <v>6.5602455405820298E-2</v>
      </c>
      <c r="EP75" s="2">
        <f>801.510789835032*(1/14151.6638359215)</f>
        <v>5.6637212353825024E-2</v>
      </c>
      <c r="EQ75" s="2">
        <f>682.744515222194*(1/14151.6638359215)</f>
        <v>4.824482288006076E-2</v>
      </c>
      <c r="ER75" s="2">
        <f>572.734729978822*(1/14151.6638359215)</f>
        <v>4.0471193819982917E-2</v>
      </c>
      <c r="ES75" s="2">
        <f>472.131092207984*(1/14151.6638359215)</f>
        <v>3.336223200904212E-2</v>
      </c>
      <c r="ET75" s="2">
        <f>381.583260012769*(1/14151.6638359215)</f>
        <v>2.6963844282690441E-2</v>
      </c>
      <c r="EU75" s="2">
        <f>301.771968837192*(1/14151.6638359215)</f>
        <v>2.1324133496670346E-2</v>
      </c>
      <c r="EV75" s="2">
        <f>235.252377481649*(1/14151.6638359215)</f>
        <v>1.6623655013942768E-2</v>
      </c>
      <c r="EW75" s="2">
        <f>182.052388264292*(1/14151.6638359215)</f>
        <v>1.2864380497944288E-2</v>
      </c>
      <c r="EX75" s="2">
        <f>140.363434009921*(1/14151.6638359215)</f>
        <v>9.918511041340115E-3</v>
      </c>
      <c r="EY75" s="2">
        <f>108.376947543347*(1/14151.6638359215)</f>
        <v>7.6582477367962386E-3</v>
      </c>
      <c r="EZ75" s="2">
        <f>84.2843616893854*(1/14151.6638359215)</f>
        <v>5.9557916769789601E-3</v>
      </c>
      <c r="FA75" s="2">
        <f>66.2771092728479*(1/14151.6638359215)</f>
        <v>4.6833439545543162E-3</v>
      </c>
      <c r="FB75" s="2">
        <f>52.5466231185457*(1/14151.6638359215)</f>
        <v>3.7131056621883133E-3</v>
      </c>
      <c r="FC75" s="2">
        <f>41.2843360512968*(1/14151.6638359215)</f>
        <v>2.9172778925474333E-3</v>
      </c>
      <c r="FD75" s="2">
        <f>30.6816808959114*(1/14151.6638359215)</f>
        <v>2.1680617382976108E-3</v>
      </c>
      <c r="FE75" s="2">
        <f>18.9300904772024*(1/14151.6638359215)</f>
        <v>1.3376582921049683E-3</v>
      </c>
      <c r="FF75" s="2">
        <f>5.28202958335526*(1/14151.6638359215)</f>
        <v>3.732444216168957E-4</v>
      </c>
      <c r="FG75" s="2">
        <f>-6.3312819574055*(1/14151.6638359215)</f>
        <v>-4.4738781466350684E-4</v>
      </c>
      <c r="FH75" s="2">
        <f>-15.3256804798476*(1/14151.6638359215)</f>
        <v>-1.0829596192743123E-3</v>
      </c>
      <c r="FI75" s="2">
        <f>-21.7011659839736*(1/14151.6638359215)</f>
        <v>-1.5334709922157012E-3</v>
      </c>
      <c r="FJ75" s="2">
        <f>-25.4577384697834*(1/14151.6638359215)</f>
        <v>-1.7989219334876671E-3</v>
      </c>
      <c r="FK75" s="2">
        <f>-26.595397937277*(1/14151.6638359215)</f>
        <v>-1.8793124430902094E-3</v>
      </c>
      <c r="FL75" s="2">
        <f>-25.1141443864545*(1/14151.6638359215)</f>
        <v>-1.7746425210233359E-3</v>
      </c>
      <c r="FM75" s="2">
        <f>-21.0139778173147*(1/14151.6638359215)</f>
        <v>-1.4849121672869609E-3</v>
      </c>
      <c r="FN75" s="2">
        <f>-14.2948982298593*(1/14151.6638359215)</f>
        <v>-1.0101213818812049E-3</v>
      </c>
      <c r="FO75" s="2">
        <f>-4.95690562408774*(1/14151.6638359215)</f>
        <v>-3.5027016480602865E-4</v>
      </c>
      <c r="FP75" s="2">
        <f t="shared" si="17"/>
        <v>4.9464148393856954E-4</v>
      </c>
      <c r="FQ75" s="2"/>
    </row>
    <row r="76" spans="2:173">
      <c r="B76" s="2">
        <v>9.9911242603550292</v>
      </c>
      <c r="C76" s="2">
        <f t="shared" si="18"/>
        <v>4.9464148393856954E-4</v>
      </c>
      <c r="D76" s="2">
        <f>-5.94223366681131*(1/14151.6638359215)</f>
        <v>-4.1989646840875341E-4</v>
      </c>
      <c r="E76" s="2">
        <f>-16.177594932721*(1/14151.6638359215)</f>
        <v>-1.1431585091540284E-3</v>
      </c>
      <c r="F76" s="2">
        <f>-23.7060837977302*(1/14151.6638359215)</f>
        <v>-1.6751446382973353E-3</v>
      </c>
      <c r="G76" s="2">
        <f>-28.5277002618361*(1/14151.6638359215)</f>
        <v>-2.0158548558384753E-3</v>
      </c>
      <c r="H76" s="2">
        <f>-30.6424443250404*(1/14151.6638359215)</f>
        <v>-2.1652891617775691E-3</v>
      </c>
      <c r="I76" s="2">
        <f>-30.0503159873431*(1/14151.6638359215)</f>
        <v>-2.1234475561146163E-3</v>
      </c>
      <c r="J76" s="2">
        <f>-26.7513152487441*(1/14151.6638359215)</f>
        <v>-1.8903300388496093E-3</v>
      </c>
      <c r="K76" s="2">
        <f>-20.7454421092436*(1/14151.6638359215)</f>
        <v>-1.4659366099825633E-3</v>
      </c>
      <c r="L76" s="2">
        <f>-12.0326965688395*(1/14151.6638359215)</f>
        <v>-8.5026726951332923E-4</v>
      </c>
      <c r="M76" s="2">
        <f>-0.61307862753516*(1/14151.6638359215)</f>
        <v>-4.332201744214473E-5</v>
      </c>
      <c r="N76" s="2">
        <f>12.6486252394362*(1/14151.6638359215)</f>
        <v>8.9379067974536665E-4</v>
      </c>
      <c r="O76" s="2">
        <f>21.9327005565121*(1/14151.6638359215)</f>
        <v>1.5498319357219192E-3</v>
      </c>
      <c r="P76" s="2">
        <f>28.34578640349*(1/14151.6638359215)</f>
        <v>2.0030002642897173E-3</v>
      </c>
      <c r="Q76" s="2">
        <f>34.5652564784496*(1/14151.6638359215)</f>
        <v>2.4424871081739378E-3</v>
      </c>
      <c r="R76" s="2">
        <f>43.2684844794729*(1/14151.6638359215)</f>
        <v>3.0574839100999201E-3</v>
      </c>
      <c r="S76" s="2">
        <f>57.1328441046367*(1/14151.6638359215)</f>
        <v>4.0371821127926366E-3</v>
      </c>
      <c r="T76" s="2">
        <f>78.8357090520221*(1/14151.6638359215)</f>
        <v>5.5707731589773619E-3</v>
      </c>
      <c r="U76" s="2">
        <f>111.054453019709*(1/14151.6638359215)</f>
        <v>7.8474484913792879E-3</v>
      </c>
      <c r="V76" s="2">
        <f>156.466449705777*(1/14151.6638359215)</f>
        <v>1.1056399552723585E-2</v>
      </c>
      <c r="W76" s="2">
        <f>217.749072808306*(1/14151.6638359215)</f>
        <v>1.5386817785735444E-2</v>
      </c>
      <c r="X76" s="2">
        <f>297.579696025392*(1/14151.6638359215)</f>
        <v>2.1027894633141194E-2</v>
      </c>
      <c r="Y76" s="2">
        <f>397.587435483538*(1/14151.6638359215)</f>
        <v>2.809474844041536E-2</v>
      </c>
      <c r="Z76" s="2">
        <f>515.856941247666*(1/14151.6638359215)</f>
        <v>3.6452034702679569E-2</v>
      </c>
      <c r="AA76" s="2">
        <f>650.066779243984*(1/14151.6638359215)</f>
        <v>4.5935713763487249E-2</v>
      </c>
      <c r="AB76" s="2">
        <f>797.903912549374*(1/14151.6638359215)</f>
        <v>5.6382339334830424E-2</v>
      </c>
      <c r="AC76" s="2">
        <f>957.055304240717*(1/14151.6638359215)</f>
        <v>6.7628465128701062E-2</v>
      </c>
      <c r="AD76" s="2">
        <f>1125.20791739493*(1/14151.6638359215)</f>
        <v>7.9510644857093651E-2</v>
      </c>
      <c r="AE76" s="2">
        <f>1300.04871508882*(1/14151.6638359215)</f>
        <v>9.1865432231994934E-2</v>
      </c>
      <c r="AF76" s="2">
        <f>1479.26466039931*(1/14151.6638359215)</f>
        <v>0.10452938096539983</v>
      </c>
      <c r="AG76" s="2">
        <f>1660.54271640328*(1/14151.6638359215)</f>
        <v>0.11733904476930025</v>
      </c>
      <c r="AH76" s="2">
        <f>1841.5698461776*(1/14151.6638359215)</f>
        <v>0.13013097735568735</v>
      </c>
      <c r="AI76" s="2">
        <f>2020.46887503071*(1/14151.6638359215)</f>
        <v>0.14277253179955465</v>
      </c>
      <c r="AJ76" s="2">
        <f>2201.92636358212*(1/14151.6638359215)</f>
        <v>0.15559487485795973</v>
      </c>
      <c r="AK76" s="2">
        <f>2387.72361654409*(1/14151.6638359215)</f>
        <v>0.16872387898893382</v>
      </c>
      <c r="AL76" s="2">
        <f>2577.70208767609*(1/14151.6638359215)</f>
        <v>0.18214834082852141</v>
      </c>
      <c r="AM76" s="2">
        <f>2771.70323073762*(1/14151.6638359215)</f>
        <v>0.19585705701276909</v>
      </c>
      <c r="AN76" s="2">
        <f>2969.56849948814*(1/14151.6638359215)</f>
        <v>0.20983882417772068</v>
      </c>
      <c r="AO76" s="2">
        <f>3171.13934768714*(1/14151.6638359215)</f>
        <v>0.22408243895942204</v>
      </c>
      <c r="AP76" s="2">
        <f>3376.25722909413*(1/14151.6638359215)</f>
        <v>0.23857669799392048</v>
      </c>
      <c r="AQ76" s="2">
        <f>3584.76359746853*(1/14151.6638359215)</f>
        <v>0.25331039791725696</v>
      </c>
      <c r="AR76" s="2">
        <f>3796.49990656984*(1/14151.6638359215)</f>
        <v>0.26827233536547801</v>
      </c>
      <c r="AS76" s="2">
        <f>4011.30761015755*(1/14151.6638359215)</f>
        <v>0.28345130697462961</v>
      </c>
      <c r="AT76" s="2">
        <f>4229.08176776396*(1/14151.6638359215)</f>
        <v>0.2988398973291877</v>
      </c>
      <c r="AU76" s="2">
        <f>4449.93934636817*(1/14151.6638359215)</f>
        <v>0.31444637167488282</v>
      </c>
      <c r="AV76" s="2">
        <f>4674.00786417497*(1/14151.6638359215)</f>
        <v>0.33027974083943584</v>
      </c>
      <c r="AW76" s="2">
        <f>4901.41183170012*(1/14151.6638359215)</f>
        <v>0.34634880311802996</v>
      </c>
      <c r="AX76" s="2">
        <f>5132.27575945938*(1/14151.6638359215)</f>
        <v>0.36266235680584813</v>
      </c>
      <c r="AY76" s="2">
        <f>5366.72415796848*(1/14151.6638359215)</f>
        <v>0.37922920019807127</v>
      </c>
      <c r="AZ76" s="2">
        <f>5604.88153774317*(1/14151.6638359215)</f>
        <v>0.3960581315898819</v>
      </c>
      <c r="BA76" s="2">
        <f>5846.87240929924*(1/14151.6638359215)</f>
        <v>0.41315794927646504</v>
      </c>
      <c r="BB76" s="2">
        <f>6092.82128315234*(1/14151.6638359215)</f>
        <v>0.43053745155299611</v>
      </c>
      <c r="BC76" s="2">
        <f>6342.85266981826*(1/14151.6638359215)</f>
        <v>0.44820543671466029</v>
      </c>
      <c r="BD76" s="2">
        <f>6597.275985445*(1/14151.6638359215)</f>
        <v>0.46618376905611475</v>
      </c>
      <c r="BE76" s="2">
        <f>6862.3033404459*(1/14151.6638359215)</f>
        <v>0.48491141536496613</v>
      </c>
      <c r="BF76" s="2">
        <f>7138.59873610113*(1/14151.6638359215)</f>
        <v>0.50443529600958004</v>
      </c>
      <c r="BG76" s="2">
        <f>7422.99150099394*(1/14151.6638359215)</f>
        <v>0.5245313616164331</v>
      </c>
      <c r="BH76" s="2">
        <f>7712.31096370739*(1/14151.6638359215)</f>
        <v>0.544975562811989</v>
      </c>
      <c r="BI76" s="2">
        <f>8003.38645282472*(1/14151.6638359215)</f>
        <v>0.56554385022272347</v>
      </c>
      <c r="BJ76" s="2">
        <f>8293.04729692911*(1/14151.6638359215)</f>
        <v>0.58601217447510823</v>
      </c>
      <c r="BK76" s="2">
        <f>8578.12282460374*(1/14151.6638359215)</f>
        <v>0.60615648619561546</v>
      </c>
      <c r="BL76" s="2">
        <f>8855.44236443178*(1/14151.6638359215)</f>
        <v>0.62575273601071579</v>
      </c>
      <c r="BM76" s="2">
        <f>9121.83524499648*(1/14151.6638359215)</f>
        <v>0.64457687454688628</v>
      </c>
      <c r="BN76" s="2">
        <f>9374.13079488091*(1/14151.6638359215)</f>
        <v>0.66240485243059088</v>
      </c>
      <c r="BO76" s="2">
        <f>9612.57779789601*(1/14151.6638359215)</f>
        <v>0.67925424948946134</v>
      </c>
      <c r="BP76" s="2">
        <f>9847.50302113485*(1/14151.6638359215)</f>
        <v>0.69585478678052692</v>
      </c>
      <c r="BQ76" s="2">
        <f>10078.3875519154*(1/14151.6638359215)</f>
        <v>0.71216979634106303</v>
      </c>
      <c r="BR76" s="2">
        <f>10303.5155717903*(1/14151.6638359215)</f>
        <v>0.72807803317350184</v>
      </c>
      <c r="BS76" s="2">
        <f>10521.1712623119*(1/14151.6638359215)</f>
        <v>0.74345825228025586</v>
      </c>
      <c r="BT76" s="2">
        <f>10729.6388050328*(1/14151.6638359215)</f>
        <v>0.75818920866375494</v>
      </c>
      <c r="BU76" s="2">
        <f>10927.2023815054*(1/14151.6638359215)</f>
        <v>0.77214965732641461</v>
      </c>
      <c r="BV76" s="2">
        <f>11112.1461732823*(1/14151.6638359215)</f>
        <v>0.78521835327066491</v>
      </c>
      <c r="BW76" s="2">
        <f>11282.754361916*(1/14151.6638359215)</f>
        <v>0.79727405149892838</v>
      </c>
      <c r="BX76" s="2">
        <f>11437.311128959*(1/14151.6638359215)</f>
        <v>0.80819550701362797</v>
      </c>
      <c r="BY76" s="2">
        <f>11574.124363061*(1/14151.6638359215)</f>
        <v>0.8178631500334349</v>
      </c>
      <c r="BZ76" s="2">
        <f>11698.2554752682*(1/14151.6638359215)</f>
        <v>0.82663463539702275</v>
      </c>
      <c r="CA76" s="2">
        <f>11813.3091335566*(1/14151.6638359215)</f>
        <v>0.83476468000678483</v>
      </c>
      <c r="CB76" s="2">
        <f>11917.5535731275*(1/14151.6638359215)</f>
        <v>0.84213091204702684</v>
      </c>
      <c r="CC76" s="2">
        <f>12009.2570291824*(1/14151.6638359215)</f>
        <v>0.84861095970206846</v>
      </c>
      <c r="CD76" s="2">
        <f>12086.6877369224*(1/14151.6638359215)</f>
        <v>0.85408245115620096</v>
      </c>
      <c r="CE76" s="2">
        <f>12148.1139315489*(1/14151.6638359215)</f>
        <v>0.85842301459373693</v>
      </c>
      <c r="CF76" s="2">
        <f>12191.8038482634*(1/14151.6638359215)</f>
        <v>0.86151027819899584</v>
      </c>
      <c r="CG76" s="2">
        <f>12216.025722267*(1/14151.6638359215)</f>
        <v>0.86322187015626928</v>
      </c>
      <c r="CH76" s="2">
        <f>12219.0477887611*(1/14151.6638359215)</f>
        <v>0.86343541864986961</v>
      </c>
      <c r="CI76" s="2">
        <f>12199.1382829471*(1/14151.6638359215)</f>
        <v>0.86202855186410954</v>
      </c>
      <c r="CJ76" s="2">
        <f>12153.9084774623*(1/14151.6638359215)</f>
        <v>0.85883247499221615</v>
      </c>
      <c r="CK76" s="2">
        <f>12079.6357873877*(1/14151.6638359215)</f>
        <v>0.85358413875870043</v>
      </c>
      <c r="CL76" s="2">
        <f>11978.9172599234*(1/14151.6638359215)</f>
        <v>0.84646705848940773</v>
      </c>
      <c r="CM76" s="2">
        <f>11855.2236776404*(1/14151.6638359215)</f>
        <v>0.83772649033310198</v>
      </c>
      <c r="CN76" s="2">
        <f>11712.0258231096*(1/14151.6638359215)</f>
        <v>0.82760769043853988</v>
      </c>
      <c r="CO76" s="2">
        <f>11552.7944789022*(1/14151.6638359215)</f>
        <v>0.81635591495449966</v>
      </c>
      <c r="CP76" s="2">
        <f>11381.000427589*(1/14151.6638359215)</f>
        <v>0.80421642002973115</v>
      </c>
      <c r="CQ76" s="2">
        <f>11200.1144517411*(1/14151.6638359215)</f>
        <v>0.79143446181300514</v>
      </c>
      <c r="CR76" s="2">
        <f>11013.6073339295*(1/14151.6638359215)</f>
        <v>0.77825529645308578</v>
      </c>
      <c r="CS76" s="2">
        <f>10824.9498567253*(1/14151.6638359215)</f>
        <v>0.76492418009874397</v>
      </c>
      <c r="CT76" s="2">
        <f>10637.6128026995*(1/14151.6638359215)</f>
        <v>0.75168636889874374</v>
      </c>
      <c r="CU76" s="2">
        <f>10446.307647567*(1/14151.6638359215)</f>
        <v>0.73816815949590986</v>
      </c>
      <c r="CV76" s="2">
        <f>10242.4920631503*(1/14151.6638359215)</f>
        <v>0.7237659247636693</v>
      </c>
      <c r="CW76" s="2">
        <f>10028.1937865086*(1/14151.6638359215)</f>
        <v>0.70862295082602234</v>
      </c>
      <c r="CX76" s="2">
        <f>9805.4785702206*(1/14151.6638359215)</f>
        <v>0.69288521010025161</v>
      </c>
      <c r="CY76" s="2">
        <f>9576.41216686499*(1/14151.6638359215)</f>
        <v>0.67669867500363867</v>
      </c>
      <c r="CZ76" s="2">
        <f>9343.06032902055*(1/14151.6638359215)</f>
        <v>0.66020931795347215</v>
      </c>
      <c r="DA76" s="2">
        <f>9107.48880926595*(1/14151.6638359215)</f>
        <v>0.64356311136703215</v>
      </c>
      <c r="DB76" s="2">
        <f>8871.76336018004*(1/14151.6638359215)</f>
        <v>0.62690602766161219</v>
      </c>
      <c r="DC76" s="2">
        <f>8637.9497343415*(1/14151.6638359215)</f>
        <v>0.61038403925449325</v>
      </c>
      <c r="DD76" s="2">
        <f>8408.11368432908*(1/14151.6638359215)</f>
        <v>0.59414311856296143</v>
      </c>
      <c r="DE76" s="2">
        <f>8183.69771770486*(1/14151.6638359215)</f>
        <v>0.57828519759860242</v>
      </c>
      <c r="DF76" s="2">
        <f>7959.73086007303*(1/14151.6638359215)</f>
        <v>0.56245901205402149</v>
      </c>
      <c r="DG76" s="2">
        <f>7734.98322149765*(1/14151.6638359215)</f>
        <v>0.54657765413164783</v>
      </c>
      <c r="DH76" s="2">
        <f>7509.84720625325*(1/14151.6638359215)</f>
        <v>0.53066885232186123</v>
      </c>
      <c r="DI76" s="2">
        <f>7284.71521861443*(1/14151.6638359215)</f>
        <v>0.51476033511504615</v>
      </c>
      <c r="DJ76" s="2">
        <f>7059.97966285571*(1/14151.6638359215)</f>
        <v>0.49887983100158145</v>
      </c>
      <c r="DK76" s="2">
        <f>6836.03294325163*(1/14151.6638359215)</f>
        <v>0.48305506847184765</v>
      </c>
      <c r="DL76" s="2">
        <f>6613.26746407672*(1/14151.6638359215)</f>
        <v>0.4673137760162242</v>
      </c>
      <c r="DM76" s="2">
        <f>6392.0756296055*(1/14151.6638359215)</f>
        <v>0.45168368212509008</v>
      </c>
      <c r="DN76" s="2">
        <f>6172.84984411258*(1/14151.6638359215)</f>
        <v>0.43619251528883063</v>
      </c>
      <c r="DO76" s="2">
        <f>5955.98251187246*(1/14151.6638359215)</f>
        <v>0.42086800399782326</v>
      </c>
      <c r="DP76" s="2">
        <f>5741.46080916667*(1/14151.6638359215)</f>
        <v>0.40570924208876313</v>
      </c>
      <c r="DQ76" s="2">
        <f>5528.61758928212*(1/14151.6638359215)</f>
        <v>0.3906690869273407</v>
      </c>
      <c r="DR76" s="2">
        <f>5317.35398091518*(1/14151.6638359215)</f>
        <v>0.37574055196379214</v>
      </c>
      <c r="DS76" s="2">
        <f>5107.58992460903*(1/14151.6638359215)</f>
        <v>0.36091797995118535</v>
      </c>
      <c r="DT76" s="2">
        <f>4899.24536090681*(1/14151.6638359215)</f>
        <v>0.34619571364258528</v>
      </c>
      <c r="DU76" s="2">
        <f>4692.24023035176*(1/14151.6638359215)</f>
        <v>0.33156809579106428</v>
      </c>
      <c r="DV76" s="2">
        <f>4486.49447348705*(1/14151.6638359215)</f>
        <v>0.31702946914968938</v>
      </c>
      <c r="DW76" s="2">
        <f>4281.92803085582*(1/14151.6638359215)</f>
        <v>0.30257417647152568</v>
      </c>
      <c r="DX76" s="2">
        <f>4078.46084300127*(1/14151.6638359215)</f>
        <v>0.28819656050964249</v>
      </c>
      <c r="DY76" s="2">
        <f>3876.01285046653*(1/14151.6638359215)</f>
        <v>0.27389096401710417</v>
      </c>
      <c r="DZ76" s="2">
        <f>3674.34985087207*(1/14151.6638359215)</f>
        <v>0.25964083753497463</v>
      </c>
      <c r="EA76" s="2">
        <f>3470.41702875815*(1/14151.6638359215)</f>
        <v>0.24523031842723039</v>
      </c>
      <c r="EB76" s="2">
        <f>3264.19606964097*(1/14151.6638359215)</f>
        <v>0.23065811253623653</v>
      </c>
      <c r="EC76" s="2">
        <f>3057.20584512915*(1/14151.6638359215)</f>
        <v>0.21603154799147878</v>
      </c>
      <c r="ED76" s="2">
        <f>2850.96522683131*(1/14151.6638359215)</f>
        <v>0.20145795292244281</v>
      </c>
      <c r="EE76" s="2">
        <f>2646.99308635601*(1/14151.6638359215)</f>
        <v>0.18704465545861013</v>
      </c>
      <c r="EF76" s="2">
        <f>2446.80829531196*(1/14151.6638359215)</f>
        <v>0.17289898372947282</v>
      </c>
      <c r="EG76" s="2">
        <f>2251.92972530773*(1/14151.6638359215)</f>
        <v>0.15912826586451301</v>
      </c>
      <c r="EH76" s="2">
        <f>2063.87624795194*(1/14151.6638359215)</f>
        <v>0.1458398299932164</v>
      </c>
      <c r="EI76" s="2">
        <f>1884.1667348532*(1/14151.6638359215)</f>
        <v>0.13314100424506803</v>
      </c>
      <c r="EJ76" s="2">
        <f>1714.32005762009*(1/14151.6638359215)</f>
        <v>0.12113911674955077</v>
      </c>
      <c r="EK76" s="2">
        <f>1553.9260568869*(1/14151.6638359215)</f>
        <v>0.10980518438704946</v>
      </c>
      <c r="EL76" s="2">
        <f>1398.30348102809*(1/14151.6638359215)</f>
        <v>9.8808415550314541E-2</v>
      </c>
      <c r="EM76" s="2">
        <f>1247.81568422346*(1/14151.6638359215)</f>
        <v>8.8174485960873392E-2</v>
      </c>
      <c r="EN76" s="2">
        <f>1103.21205665981*(1/14151.6638359215)</f>
        <v>7.7956349829304245E-2</v>
      </c>
      <c r="EO76" s="2">
        <f>965.241988523938*(1/14151.6638359215)</f>
        <v>6.8206961366185204E-2</v>
      </c>
      <c r="EP76" s="2">
        <f>834.654870002633*(1/14151.6638359215)</f>
        <v>5.8979274782093749E-2</v>
      </c>
      <c r="EQ76" s="2">
        <f>712.200091282671*(1/14151.6638359215)</f>
        <v>5.0326244287606438E-2</v>
      </c>
      <c r="ER76" s="2">
        <f>598.627042550897*(1/14151.6638359215)</f>
        <v>4.2300824093304705E-2</v>
      </c>
      <c r="ES76" s="2">
        <f>494.685113994082*(1/14151.6638359215)</f>
        <v>3.4955968409764733E-2</v>
      </c>
      <c r="ET76" s="2">
        <f>401.123695799022*(1/14151.6638359215)</f>
        <v>2.8344631447564515E-2</v>
      </c>
      <c r="EU76" s="2">
        <f>318.720631772098*(1/14151.6638359215)</f>
        <v>2.252177803736985E-2</v>
      </c>
      <c r="EV76" s="2">
        <f>249.903945508715*(1/14151.6638359215)</f>
        <v>1.7658979778362029E-2</v>
      </c>
      <c r="EW76" s="2">
        <f>194.580823841362*(1/14151.6638359215)</f>
        <v>1.3749678207268671E-2</v>
      </c>
      <c r="EX76" s="2">
        <f>150.937106526533*(1/14151.6638359215)</f>
        <v>1.0665679193382604E-2</v>
      </c>
      <c r="EY76" s="2">
        <f>117.158633320739*(1/14151.6638359215)</f>
        <v>8.2787886059978687E-3</v>
      </c>
      <c r="EZ76" s="2">
        <f>91.4312439804881*(1/14151.6638359215)</f>
        <v>6.4608123144082917E-3</v>
      </c>
      <c r="FA76" s="2">
        <f>71.9407782622916*(1/14151.6638359215)</f>
        <v>5.0835561879079292E-3</v>
      </c>
      <c r="FB76" s="2">
        <f>56.8730759226562*(1/14151.6638359215)</f>
        <v>4.0188260957905132E-3</v>
      </c>
      <c r="FC76" s="2">
        <f>44.413976718097*(1/14151.6638359215)</f>
        <v>3.1384279073503681E-3</v>
      </c>
      <c r="FD76" s="2">
        <f>32.7493204051207*(1/14151.6638359215)</f>
        <v>2.3141674918812256E-3</v>
      </c>
      <c r="FE76" s="2">
        <f>20.0649467402369*(1/14151.6638359215)</f>
        <v>1.4178507186770205E-3</v>
      </c>
      <c r="FF76" s="2">
        <f>5.61100872827209*(1/14151.6638359215)</f>
        <v>3.9649109767782466E-4</v>
      </c>
      <c r="FG76" s="2">
        <f>-6.66911634369645*(1/14151.6638359215)</f>
        <v>-4.7126022925785417E-4</v>
      </c>
      <c r="FH76" s="2">
        <f>-16.1894582602983*(1/14151.6638359215)</f>
        <v>-1.1439968082907833E-3</v>
      </c>
      <c r="FI76" s="2">
        <f>-22.9500170215359*(1/14151.6638359215)</f>
        <v>-1.6217186394211353E-3</v>
      </c>
      <c r="FJ76" s="2">
        <f>-26.9507926274094*(1/14151.6638359215)</f>
        <v>-1.9044257226489207E-3</v>
      </c>
      <c r="FK76" s="2">
        <f>-28.1917850779187*(1/14151.6638359215)</f>
        <v>-1.9921180579741322E-3</v>
      </c>
      <c r="FL76" s="2">
        <f>-26.6729943730638*(1/14151.6638359215)</f>
        <v>-1.8847956453967706E-3</v>
      </c>
      <c r="FM76" s="2">
        <f>-22.3944205128437*(1/14151.6638359215)</f>
        <v>-1.5824584849167642E-3</v>
      </c>
      <c r="FN76" s="2">
        <f>-15.35606349726*(1/14151.6638359215)</f>
        <v>-1.0851065765342266E-3</v>
      </c>
      <c r="FO76" s="2">
        <f>-5.55792332631205*(1/14151.6638359215)</f>
        <v>-3.9273992024911185E-4</v>
      </c>
      <c r="FP76" s="2">
        <f t="shared" si="17"/>
        <v>4.9464148393856954E-4</v>
      </c>
      <c r="FQ76" s="2"/>
    </row>
    <row r="77" spans="2:173">
      <c r="B77" s="2">
        <v>10.000591715976332</v>
      </c>
      <c r="C77" s="2">
        <f t="shared" si="18"/>
        <v>4.9464148393856954E-4</v>
      </c>
      <c r="D77" s="2">
        <f>-6.76116508724533*(1/14151.6638359215)</f>
        <v>-4.7776467598695401E-4</v>
      </c>
      <c r="E77" s="2">
        <f>-17.6441783095176*(1/14151.6638359215)</f>
        <v>-1.246791791699501E-3</v>
      </c>
      <c r="F77" s="2">
        <f>-25.6490396668179*(1/14151.6638359215)</f>
        <v>-1.8124398631991483E-3</v>
      </c>
      <c r="G77" s="2">
        <f>-30.7757491591434*(1/14151.6638359215)</f>
        <v>-2.1747088904856965E-3</v>
      </c>
      <c r="H77" s="2">
        <f>-33.0243067864958*(1/14151.6638359215)</f>
        <v>-2.333598873559265E-3</v>
      </c>
      <c r="I77" s="2">
        <f>-32.3947125488752*(1/14151.6638359215)</f>
        <v>-2.2891098124198611E-3</v>
      </c>
      <c r="J77" s="2">
        <f>-28.8869664462813*(1/14151.6638359215)</f>
        <v>-2.0412417070674641E-3</v>
      </c>
      <c r="K77" s="2">
        <f>-22.5010684787145*(1/14151.6638359215)</f>
        <v>-1.5899945575021017E-3</v>
      </c>
      <c r="L77" s="2">
        <f>-13.2370186461725*(1/14151.6638359215)</f>
        <v>-9.3536836372361146E-4</v>
      </c>
      <c r="M77" s="2">
        <f>-1.0948169486589*(1/14151.6638359215)</f>
        <v>-7.7363125732247853E-5</v>
      </c>
      <c r="N77" s="2">
        <f>13.0823068553931*(1/14151.6638359215)</f>
        <v>9.2443595375590914E-4</v>
      </c>
      <c r="O77" s="2">
        <f>23.6197075536414*(1/14151.6638359215)</f>
        <v>1.6690410277897462E-3</v>
      </c>
      <c r="P77" s="2">
        <f>31.5964387976583*(1/14151.6638359215)</f>
        <v>2.2327013391496993E-3</v>
      </c>
      <c r="Q77" s="2">
        <f>39.623134820662*(1/14151.6638359215)</f>
        <v>2.7998923151414659E-3</v>
      </c>
      <c r="R77" s="2">
        <f>50.3104298558729*(1/14151.6638359215)</f>
        <v>3.5550893830708975E-3</v>
      </c>
      <c r="S77" s="2">
        <f>66.2689581365056*(1/14151.6638359215)</f>
        <v>4.6827679702434394E-3</v>
      </c>
      <c r="T77" s="2">
        <f>90.1093538957798*(1/14151.6638359215)</f>
        <v>6.3674035039648922E-3</v>
      </c>
      <c r="U77" s="2">
        <f>124.442251366914*(1/14151.6638359215)</f>
        <v>8.7934714115409755E-3</v>
      </c>
      <c r="V77" s="2">
        <f>171.878284783126*(1/14151.6638359215)</f>
        <v>1.2145447120277358E-2</v>
      </c>
      <c r="W77" s="2">
        <f>235.028088377633*(1/14151.6638359215)</f>
        <v>1.6607806057479666E-2</v>
      </c>
      <c r="X77" s="2">
        <f>316.502296383672*(1/14151.6638359215)</f>
        <v>2.2365023650454924E-2</v>
      </c>
      <c r="Y77" s="2">
        <f>417.858612816511*(1/14151.6638359215)</f>
        <v>2.9527172045724456E-2</v>
      </c>
      <c r="Z77" s="2">
        <f>537.194999469447*(1/14151.6638359215)</f>
        <v>3.7959847385992333E-2</v>
      </c>
      <c r="AA77" s="2">
        <f>672.272113646062*(1/14151.6638359215)</f>
        <v>4.7504810843486685E-2</v>
      </c>
      <c r="AB77" s="2">
        <f>820.859494002002*(1/14151.6638359215)</f>
        <v>5.8004451174030511E-2</v>
      </c>
      <c r="AC77" s="2">
        <f>980.726679192912*(1/14151.6638359215)</f>
        <v>6.930115713344677E-2</v>
      </c>
      <c r="AD77" s="2">
        <f>1149.64320787447*(1/14151.6638359215)</f>
        <v>8.1237317477560744E-2</v>
      </c>
      <c r="AE77" s="2">
        <f>1325.37861870225*(1/14151.6638359215)</f>
        <v>9.3655320962190355E-2</v>
      </c>
      <c r="AF77" s="2">
        <f>1505.70245033194*(1/14151.6638359215)</f>
        <v>0.1063975563431616</v>
      </c>
      <c r="AG77" s="2">
        <f>1688.38424141918*(1/14151.6638359215)</f>
        <v>0.11930641237629704</v>
      </c>
      <c r="AH77" s="2">
        <f>1871.19353061961*(1/14151.6638359215)</f>
        <v>0.1322242778174193</v>
      </c>
      <c r="AI77" s="2">
        <f>2052.33577123539*(1/14151.6638359215)</f>
        <v>0.14502434448915455</v>
      </c>
      <c r="AJ77" s="2">
        <f>2236.53191454606*(1/14151.6638359215)</f>
        <v>0.15804020929814758</v>
      </c>
      <c r="AK77" s="2">
        <f>2425.48902544382*(1/14151.6638359215)</f>
        <v>0.17139249868889228</v>
      </c>
      <c r="AL77" s="2">
        <f>2618.96063283013*(1/14151.6638359215)</f>
        <v>0.18506379625711297</v>
      </c>
      <c r="AM77" s="2">
        <f>2816.70026560649*(1/14151.6638359215)</f>
        <v>0.19903668559853677</v>
      </c>
      <c r="AN77" s="2">
        <f>3018.46145267436*(1/14151.6638359215)</f>
        <v>0.21329375030888795</v>
      </c>
      <c r="AO77" s="2">
        <f>3223.99772293521*(1/14151.6638359215)</f>
        <v>0.22781757398389163</v>
      </c>
      <c r="AP77" s="2">
        <f>3433.06260529057*(1/14151.6638359215)</f>
        <v>0.24259074021927704</v>
      </c>
      <c r="AQ77" s="2">
        <f>3645.40962864183*(1/14151.6638359215)</f>
        <v>0.25759583261076352</v>
      </c>
      <c r="AR77" s="2">
        <f>3860.79232189051*(1/14151.6638359215)</f>
        <v>0.2728154347540796</v>
      </c>
      <c r="AS77" s="2">
        <f>4078.96421393808*(1/14151.6638359215)</f>
        <v>0.28823213024495037</v>
      </c>
      <c r="AT77" s="2">
        <f>4299.7602795604*(1/14151.6638359215)</f>
        <v>0.30383425789455354</v>
      </c>
      <c r="AU77" s="2">
        <f>4523.35878444484*(1/14151.6638359215)</f>
        <v>0.31963441450348001</v>
      </c>
      <c r="AV77" s="2">
        <f>4749.95978566122*(1/14151.6638359215)</f>
        <v>0.3356467367182851</v>
      </c>
      <c r="AW77" s="2">
        <f>4979.75889577606*(1/14151.6638359215)</f>
        <v>0.35188504712328039</v>
      </c>
      <c r="AX77" s="2">
        <f>5212.95172735585*(1/14151.6638359215)</f>
        <v>0.36836316830277532</v>
      </c>
      <c r="AY77" s="2">
        <f>5449.73389296706*(1/14151.6638359215)</f>
        <v>0.38509492284107771</v>
      </c>
      <c r="AZ77" s="2">
        <f>5690.30100517617*(1/14151.6638359215)</f>
        <v>0.40209413332249638</v>
      </c>
      <c r="BA77" s="2">
        <f>5934.84867654971*(1/14151.6638359215)</f>
        <v>0.41937462233134343</v>
      </c>
      <c r="BB77" s="2">
        <f>6183.57251965407*(1/14151.6638359215)</f>
        <v>0.43695021245192123</v>
      </c>
      <c r="BC77" s="2">
        <f>6436.66814705578*(1/14151.6638359215)</f>
        <v>0.45483472626854193</v>
      </c>
      <c r="BD77" s="2">
        <f>6694.51047593873*(1/14151.6638359215)</f>
        <v>0.47305465658009044</v>
      </c>
      <c r="BE77" s="2">
        <f>6963.16248746811*(1/14151.6638359215)</f>
        <v>0.492038432243801</v>
      </c>
      <c r="BF77" s="2">
        <f>7243.20726348137*(1/14151.6638359215)</f>
        <v>0.51182725561186437</v>
      </c>
      <c r="BG77" s="2">
        <f>7531.49259612673*(1/14151.6638359215)</f>
        <v>0.53219838200292502</v>
      </c>
      <c r="BH77" s="2">
        <f>7824.86627755225*(1/14151.6638359215)</f>
        <v>0.55292906673561648</v>
      </c>
      <c r="BI77" s="2">
        <f>8120.17609990617*(1/14151.6638359215)</f>
        <v>0.5737965651285849</v>
      </c>
      <c r="BJ77" s="2">
        <f>8414.26985533664*(1/14151.6638359215)</f>
        <v>0.59457813250046987</v>
      </c>
      <c r="BK77" s="2">
        <f>8703.99533599184*(1/14151.6638359215)</f>
        <v>0.6150510241699132</v>
      </c>
      <c r="BL77" s="2">
        <f>8986.20033401994*(1/14151.6638359215)</f>
        <v>0.63499249545555614</v>
      </c>
      <c r="BM77" s="2">
        <f>9257.73264156917*(1/14151.6638359215)</f>
        <v>0.65417980167604395</v>
      </c>
      <c r="BN77" s="2">
        <f>9515.44005078758*(1/14151.6638359215)</f>
        <v>0.67239019815000944</v>
      </c>
      <c r="BO77" s="2">
        <f>9759.69253070563*(1/14151.6638359215)</f>
        <v>0.68964982802462949</v>
      </c>
      <c r="BP77" s="2">
        <f>10001.1343949268*(1/14151.6638359215)</f>
        <v>0.7067108511679514</v>
      </c>
      <c r="BQ77" s="2">
        <f>10239.1087928971*(1/14151.6638359215)</f>
        <v>0.72352685250386806</v>
      </c>
      <c r="BR77" s="2">
        <f>10471.7203473517*(1/14151.6638359215)</f>
        <v>0.73996389885767966</v>
      </c>
      <c r="BS77" s="2">
        <f>10697.0736810258*(1/14151.6638359215)</f>
        <v>0.75588805705468831</v>
      </c>
      <c r="BT77" s="2">
        <f>10913.2734166547*(1/14151.6638359215)</f>
        <v>0.77116539392020345</v>
      </c>
      <c r="BU77" s="2">
        <f>11118.4241769736*(1/14151.6638359215)</f>
        <v>0.78566197627952716</v>
      </c>
      <c r="BV77" s="2">
        <f>11310.6305847177*(1/14151.6638359215)</f>
        <v>0.7992438709579619</v>
      </c>
      <c r="BW77" s="2">
        <f>11487.9972626224*(1/14151.6638359215)</f>
        <v>0.81177714478082419</v>
      </c>
      <c r="BX77" s="2">
        <f>11648.6288334227*(1/14151.6638359215)</f>
        <v>0.8231278645734017</v>
      </c>
      <c r="BY77" s="2">
        <f>11790.6554358519*(1/14151.6638359215)</f>
        <v>0.83316390019973507</v>
      </c>
      <c r="BZ77" s="2">
        <f>11919.494450434*(1/14151.6638359215)</f>
        <v>0.8422680603943169</v>
      </c>
      <c r="CA77" s="2">
        <f>12039.0604717975*(1/14151.6638359215)</f>
        <v>0.85071696242801298</v>
      </c>
      <c r="CB77" s="2">
        <f>12147.538815244*(1/14151.6638359215)</f>
        <v>0.85838237511052351</v>
      </c>
      <c r="CC77" s="2">
        <f>12243.1147960755*(1/14151.6638359215)</f>
        <v>0.86513606725157755</v>
      </c>
      <c r="CD77" s="2">
        <f>12323.9737295938*(1/14151.6638359215)</f>
        <v>0.87084980766088915</v>
      </c>
      <c r="CE77" s="2">
        <f>12388.3009311006*(1/14151.6638359215)</f>
        <v>0.87539536514816629</v>
      </c>
      <c r="CF77" s="2">
        <f>12434.2817158977*(1/14151.6638359215)</f>
        <v>0.87864450852312304</v>
      </c>
      <c r="CG77" s="2">
        <f>12460.101399287*(1/14151.6638359215)</f>
        <v>0.88046900659548122</v>
      </c>
      <c r="CH77" s="2">
        <f>12463.9452965702*(1/14151.6638359215)</f>
        <v>0.88074062817494836</v>
      </c>
      <c r="CI77" s="2">
        <f>12443.9987230492*(1/14151.6638359215)</f>
        <v>0.87933114207124585</v>
      </c>
      <c r="CJ77" s="2">
        <f>12397.7747247436*(1/14151.6638359215)</f>
        <v>0.87606481248332357</v>
      </c>
      <c r="CK77" s="2">
        <f>12321.4549271133*(1/14151.6638359215)</f>
        <v>0.87067182134707455</v>
      </c>
      <c r="CL77" s="2">
        <f>12217.739964466*(1/14151.6638359215)</f>
        <v>0.8633430037712897</v>
      </c>
      <c r="CM77" s="2">
        <f>12090.2282877082*(1/14151.6638359215)</f>
        <v>0.85433263734115072</v>
      </c>
      <c r="CN77" s="2">
        <f>11942.5183477465*(1/14151.6638359215)</f>
        <v>0.84389499964184611</v>
      </c>
      <c r="CO77" s="2">
        <f>11778.2085954877*(1/14151.6638359215)</f>
        <v>0.83228436825857877</v>
      </c>
      <c r="CP77" s="2">
        <f>11600.8974818381*(1/14151.6638359215)</f>
        <v>0.81975502077651607</v>
      </c>
      <c r="CQ77" s="2">
        <f>11414.1834577046*(1/14151.6638359215)</f>
        <v>0.80656123478086794</v>
      </c>
      <c r="CR77" s="2">
        <f>11221.6649739938*(1/14151.6638359215)</f>
        <v>0.79295728785682329</v>
      </c>
      <c r="CS77" s="2">
        <f>11026.9404816122*(1/14151.6638359215)</f>
        <v>0.77919745758956338</v>
      </c>
      <c r="CT77" s="2">
        <f>10833.6084314665*(1/14151.6638359215)</f>
        <v>0.76553602156428413</v>
      </c>
      <c r="CU77" s="2">
        <f>10636.0698945303*(1/14151.6638359215)</f>
        <v>0.75157734227211603</v>
      </c>
      <c r="CV77" s="2">
        <f>10425.3724552437*(1/14151.6638359215)</f>
        <v>0.73668881455343316</v>
      </c>
      <c r="CW77" s="2">
        <f>10203.7000545187*(1/14151.6638359215)</f>
        <v>0.72102476237588475</v>
      </c>
      <c r="CX77" s="2">
        <f>9973.27661563676*(1/14151.6638359215)</f>
        <v>0.70474233498405736</v>
      </c>
      <c r="CY77" s="2">
        <f>9736.32606187912*(1/14151.6638359215)</f>
        <v>0.68799868162252231</v>
      </c>
      <c r="CZ77" s="2">
        <f>9495.07231652717*(1/14151.6638359215)</f>
        <v>0.67095095153586148</v>
      </c>
      <c r="DA77" s="2">
        <f>9251.73930286221*(1/14151.6638359215)</f>
        <v>0.65375629396865009</v>
      </c>
      <c r="DB77" s="2">
        <f>9008.5509441657*(1/14151.6638359215)</f>
        <v>0.63657185816547479</v>
      </c>
      <c r="DC77" s="2">
        <f>8767.73116371893*(1/14151.6638359215)</f>
        <v>0.61955479337091046</v>
      </c>
      <c r="DD77" s="2">
        <f>8531.50388480327*(1/14151.6638359215)</f>
        <v>0.6028622488295371</v>
      </c>
      <c r="DE77" s="2">
        <f>8301.43826223915*(1/14151.6638359215)</f>
        <v>0.58660510583691328</v>
      </c>
      <c r="DF77" s="2">
        <f>8072.33049924698*(1/14151.6638359215)</f>
        <v>0.57041564814144285</v>
      </c>
      <c r="DG77" s="2">
        <f>7842.83810806212*(1/14151.6638359215)</f>
        <v>0.55419901143740147</v>
      </c>
      <c r="DH77" s="2">
        <f>7613.31570235577*(1/14151.6638359215)</f>
        <v>0.53798025381515302</v>
      </c>
      <c r="DI77" s="2">
        <f>7384.11789579927*(1/14151.6638359215)</f>
        <v>0.52178443336507119</v>
      </c>
      <c r="DJ77" s="2">
        <f>7155.59930206384*(1/14151.6638359215)</f>
        <v>0.50563660817752143</v>
      </c>
      <c r="DK77" s="2">
        <f>6928.11453482073*(1/14151.6638359215)</f>
        <v>0.4895618363428712</v>
      </c>
      <c r="DL77" s="2">
        <f>6702.01820774119*(1/14151.6638359215)</f>
        <v>0.4735851759514878</v>
      </c>
      <c r="DM77" s="2">
        <f>6477.66493449645*(1/14151.6638359215)</f>
        <v>0.45773168509373729</v>
      </c>
      <c r="DN77" s="2">
        <f>6255.40932875783*(1/14151.6638359215)</f>
        <v>0.44202642185999202</v>
      </c>
      <c r="DO77" s="2">
        <f>6035.60600419655*(1/14151.6638359215)</f>
        <v>0.4264944443406174</v>
      </c>
      <c r="DP77" s="2">
        <f>5818.28546968655*(1/14151.6638359215)</f>
        <v>0.41113790838628173</v>
      </c>
      <c r="DQ77" s="2">
        <f>5602.90654075467*(1/14151.6638359215)</f>
        <v>0.39591857224114391</v>
      </c>
      <c r="DR77" s="2">
        <f>5389.34309719499*(1/14151.6638359215)</f>
        <v>0.3808275238643738</v>
      </c>
      <c r="DS77" s="2">
        <f>5177.48354714733*(1/14151.6638359215)</f>
        <v>0.36585687783264059</v>
      </c>
      <c r="DT77" s="2">
        <f>4967.21629875151*(1/14151.6638359215)</f>
        <v>0.35099874872261372</v>
      </c>
      <c r="DU77" s="2">
        <f>4758.42976014741*(1/14151.6638359215)</f>
        <v>0.33624525111096665</v>
      </c>
      <c r="DV77" s="2">
        <f>4551.01233947485*(1/14151.6638359215)</f>
        <v>0.32158849957436869</v>
      </c>
      <c r="DW77" s="2">
        <f>4344.85244487365*(1/14151.6638359215)</f>
        <v>0.30702060868948916</v>
      </c>
      <c r="DX77" s="2">
        <f>4139.83848448364*(1/14151.6638359215)</f>
        <v>0.29253369303299809</v>
      </c>
      <c r="DY77" s="2">
        <f>3935.85886644463*(1/14151.6638359215)</f>
        <v>0.27811986718156401</v>
      </c>
      <c r="DZ77" s="2">
        <f>3732.65854646843*(1/14151.6638359215)</f>
        <v>0.26376110892301829</v>
      </c>
      <c r="EA77" s="2">
        <f>3527.37727248761*(1/14151.6638359215)</f>
        <v>0.24925530406777932</v>
      </c>
      <c r="EB77" s="2">
        <f>3320.02976116235*(1/14151.6638359215)</f>
        <v>0.23460349254022278</v>
      </c>
      <c r="EC77" s="2">
        <f>3112.06842656141*(1/14151.6638359215)</f>
        <v>0.21990830637610073</v>
      </c>
      <c r="ED77" s="2">
        <f>2904.9456827536*(1/14151.6638359215)</f>
        <v>0.20527237761116884</v>
      </c>
      <c r="EE77" s="2">
        <f>2700.11394380763*(1/14151.6638359215)</f>
        <v>0.19079833828117565</v>
      </c>
      <c r="EF77" s="2">
        <f>2499.02562379238*(1/14151.6638359215)</f>
        <v>0.17658882042188176</v>
      </c>
      <c r="EG77" s="2">
        <f>2303.13313677658*(1/14151.6638359215)</f>
        <v>0.16274645606903715</v>
      </c>
      <c r="EH77" s="2">
        <f>2113.888896829*(1/14151.6638359215)</f>
        <v>0.1493738772583946</v>
      </c>
      <c r="EI77" s="2">
        <f>1932.74531801844*(1/14151.6638359215)</f>
        <v>0.13657371602570909</v>
      </c>
      <c r="EJ77" s="2">
        <f>1761.15481441364*(1/14151.6638359215)</f>
        <v>0.12444860440673128</v>
      </c>
      <c r="EK77" s="2">
        <f>1598.63233880445*(1/14151.6638359215)</f>
        <v>0.11296426747691703</v>
      </c>
      <c r="EL77" s="2">
        <f>1440.4773000519*(1/14151.6638359215)</f>
        <v>0.10178854703964228</v>
      </c>
      <c r="EM77" s="2">
        <f>1287.13536840415*(1/14151.6638359215)</f>
        <v>9.0952935522463738E-2</v>
      </c>
      <c r="EN77" s="2">
        <f>1139.44248224253*(1/14151.6638359215)</f>
        <v>8.0516502897013176E-2</v>
      </c>
      <c r="EO77" s="2">
        <f>998.234579948362*(1/14151.6638359215)</f>
        <v>7.053831913492177E-2</v>
      </c>
      <c r="EP77" s="2">
        <f>864.34759990298*(1/14151.6638359215)</f>
        <v>6.1077454207821576E-2</v>
      </c>
      <c r="EQ77" s="2">
        <f>738.61748048769*(1/14151.6638359215)</f>
        <v>5.2192978087342634E-2</v>
      </c>
      <c r="ER77" s="2">
        <f>621.88016008387*(1/14151.6638359215)</f>
        <v>4.3943960745120095E-2</v>
      </c>
      <c r="ES77" s="2">
        <f>514.971577072824*(1/14151.6638359215)</f>
        <v>3.6389472152783868E-2</v>
      </c>
      <c r="ET77" s="2">
        <f>418.727669835881*(1/14151.6638359215)</f>
        <v>2.9588582281965654E-2</v>
      </c>
      <c r="EU77" s="2">
        <f>334.010537558983*(1/14151.6638359215)</f>
        <v>2.3602209707042097E-2</v>
      </c>
      <c r="EV77" s="2">
        <f>263.136756011601*(1/14151.6638359215)</f>
        <v>1.859405078176566E-2</v>
      </c>
      <c r="EW77" s="2">
        <f>205.908484982704*(1/14151.6638359215)</f>
        <v>1.4550125509626768E-2</v>
      </c>
      <c r="EX77" s="2">
        <f>160.507296647455*(1/14151.6638359215)</f>
        <v>1.1341938199523619E-2</v>
      </c>
      <c r="EY77" s="2">
        <f>125.114763181029*(1/14151.6638359215)</f>
        <v>8.8409931603552708E-3</v>
      </c>
      <c r="EZ77" s="2">
        <f>97.912456758605*(1/14151.6638359215)</f>
        <v>6.9187947010210579E-3</v>
      </c>
      <c r="FA77" s="2">
        <f>77.0819495553582*(1/14151.6638359215)</f>
        <v>5.4468471304200483E-3</v>
      </c>
      <c r="FB77" s="2">
        <f>60.8048137464629*(1/14151.6638359215)</f>
        <v>4.2966547574512489E-3</v>
      </c>
      <c r="FC77" s="2">
        <f>47.2626215071016*(1/14151.6638359215)</f>
        <v>3.339721891014241E-3</v>
      </c>
      <c r="FD77" s="2">
        <f>34.6369450124476*(1/14151.6638359215)</f>
        <v>2.4475528400079594E-3</v>
      </c>
      <c r="FE77" s="2">
        <f>21.1093564376775*(1/14151.6638359215)</f>
        <v>1.4916519133315708E-3</v>
      </c>
      <c r="FF77" s="2">
        <f>5.92824486789205*(1/14151.6638359215)</f>
        <v>4.1890797694361899E-4</v>
      </c>
      <c r="FG77" s="2">
        <f>-6.95373611609743*(1/14151.6638359215)</f>
        <v>-4.9137233591195115E-4</v>
      </c>
      <c r="FH77" s="2">
        <f>-16.9492378784848*(1/14151.6638359215)</f>
        <v>-1.197685167977362E-3</v>
      </c>
      <c r="FI77" s="2">
        <f>-24.0582604192726*(1/14151.6638359215)</f>
        <v>-1.7000305192527931E-3</v>
      </c>
      <c r="FJ77" s="2">
        <f>-28.280803738461*(1/14151.6638359215)</f>
        <v>-1.9984083897382561E-3</v>
      </c>
      <c r="FK77" s="2">
        <f>-29.61686783605*(1/14151.6638359215)</f>
        <v>-2.0928187794337521E-3</v>
      </c>
      <c r="FL77" s="2">
        <f>-28.0664527120394*(1/14151.6638359215)</f>
        <v>-1.9832616883392654E-3</v>
      </c>
      <c r="FM77" s="2">
        <f>-23.6295583664284*(1/14151.6638359215)</f>
        <v>-1.6697371164547409E-3</v>
      </c>
      <c r="FN77" s="2">
        <f>-16.3061847992184*(1/14151.6638359215)</f>
        <v>-1.1522450637802765E-3</v>
      </c>
      <c r="FO77" s="2">
        <f>-6.0963320104089*(1/14151.6638359215)</f>
        <v>-4.3078553031583735E-4</v>
      </c>
      <c r="FP77" s="2">
        <f t="shared" si="17"/>
        <v>4.9464148393856954E-4</v>
      </c>
      <c r="FQ77" s="2"/>
    </row>
    <row r="78" spans="2:173">
      <c r="B78" s="2">
        <v>10.010059171597634</v>
      </c>
      <c r="C78" s="2">
        <f t="shared" si="18"/>
        <v>4.9464148393856954E-4</v>
      </c>
      <c r="D78" s="2">
        <f>-7.49566870024374*(1/14151.6638359215)</f>
        <v>-5.2966695557149317E-4</v>
      </c>
      <c r="E78" s="2">
        <f>-18.9596446481124*(1/14151.6638359215)</f>
        <v>-1.3397466805271821E-3</v>
      </c>
      <c r="F78" s="2">
        <f>-27.3919278436072*(1/14151.6638359215)</f>
        <v>-1.9355976909285837E-3</v>
      </c>
      <c r="G78" s="2">
        <f>-32.792518286725*(1/14151.6638359215)</f>
        <v>-2.3172199867754761E-3</v>
      </c>
      <c r="H78" s="2">
        <f>-35.1614159774677*(1/14151.6638359215)</f>
        <v>-2.4846135680679929E-3</v>
      </c>
      <c r="I78" s="2">
        <f>-34.4986209158353*(1/14151.6638359215)</f>
        <v>-2.4377784348061354E-3</v>
      </c>
      <c r="J78" s="2">
        <f>-30.8041331018277*(1/14151.6638359215)</f>
        <v>-2.1767145869898948E-3</v>
      </c>
      <c r="K78" s="2">
        <f>-24.0779525354451*(1/14151.6638359215)</f>
        <v>-1.7014220246192868E-3</v>
      </c>
      <c r="L78" s="2">
        <f>-14.3200792166852*(1/14151.6638359215)</f>
        <v>-1.011900747694148E-3</v>
      </c>
      <c r="M78" s="2">
        <f>-1.53051314555176*(1/14151.6638359215)</f>
        <v>-1.0815075621474435E-4</v>
      </c>
      <c r="N78" s="2">
        <f>13.468793156949*(1/14151.6638359215)</f>
        <v>9.5174626200212914E-4</v>
      </c>
      <c r="O78" s="2">
        <f>25.146382941986*(1/14151.6638359215)</f>
        <v>1.7769205963016411E-3</v>
      </c>
      <c r="P78" s="2">
        <f>34.5540820735548*(1/14151.6638359215)</f>
        <v>2.4416974904283247E-3</v>
      </c>
      <c r="Q78" s="2">
        <f>44.2366505864601*(1/14151.6638359215)</f>
        <v>3.1258974986512309E-3</v>
      </c>
      <c r="R78" s="2">
        <f>56.7388485155095*(1/14151.6638359215)</f>
        <v>4.0093411752396176E-3</v>
      </c>
      <c r="S78" s="2">
        <f>74.6054358955034*(1/14151.6638359215)</f>
        <v>5.2718490744622327E-3</v>
      </c>
      <c r="T78" s="2">
        <f>100.381172761249*(1/14151.6638359215)</f>
        <v>7.0932417505883034E-3</v>
      </c>
      <c r="U78" s="2">
        <f>136.61081914755*(1/14151.6638359215)</f>
        <v>9.653339757886811E-3</v>
      </c>
      <c r="V78" s="2">
        <f>185.839135089212*(1/14151.6638359215)</f>
        <v>1.3131963650626874E-2</v>
      </c>
      <c r="W78" s="2">
        <f>250.61088062104*(1/14151.6638359215)</f>
        <v>1.770893398307756E-2</v>
      </c>
      <c r="X78" s="2">
        <f>333.470815777856*(1/14151.6638359215)</f>
        <v>2.356407130950915E-2</v>
      </c>
      <c r="Y78" s="2">
        <f>435.906189693124*(1/14151.6638359215)</f>
        <v>3.0802469218259208E-2</v>
      </c>
      <c r="Z78" s="2">
        <f>556.028138385139*(1/14151.6638359215)</f>
        <v>3.9290654783203635E-2</v>
      </c>
      <c r="AA78" s="2">
        <f>691.678321552636*(1/14151.6638359215)</f>
        <v>4.887611305441928E-2</v>
      </c>
      <c r="AB78" s="2">
        <f>840.707757463626*(1/14151.6638359215)</f>
        <v>5.9406990387210708E-2</v>
      </c>
      <c r="AC78" s="2">
        <f>1000.96746438612*(1/14151.6638359215)</f>
        <v>7.0731433136882529E-2</v>
      </c>
      <c r="AD78" s="2">
        <f>1170.30846058816*(1/14151.6638359215)</f>
        <v>8.2697587658741481E-2</v>
      </c>
      <c r="AE78" s="2">
        <f>1346.5817643377*(1/14151.6638359215)</f>
        <v>9.5153600308088157E-2</v>
      </c>
      <c r="AF78" s="2">
        <f>1527.63839390278*(1/14151.6638359215)</f>
        <v>0.10794761744022917</v>
      </c>
      <c r="AG78" s="2">
        <f>1711.32936755141*(1/14151.6638359215)</f>
        <v>0.12092778541046903</v>
      </c>
      <c r="AH78" s="2">
        <f>1895.5057035516*(1/14151.6638359215)</f>
        <v>0.13394225057411224</v>
      </c>
      <c r="AI78" s="2">
        <f>2078.45109633109*(1/14151.6638359215)</f>
        <v>0.14686973351185101</v>
      </c>
      <c r="AJ78" s="2">
        <f>2264.87792513413*(1/14151.6638359215)</f>
        <v>0.16004322540400778</v>
      </c>
      <c r="AK78" s="2">
        <f>2456.4222441248*(1/14151.6638359215)</f>
        <v>0.17357833485908603</v>
      </c>
      <c r="AL78" s="2">
        <f>2652.77054628689*(1/14151.6638359215)</f>
        <v>0.1874529085091253</v>
      </c>
      <c r="AM78" s="2">
        <f>2853.60932460422*(1/14151.6638359215)</f>
        <v>0.20164479298616722</v>
      </c>
      <c r="AN78" s="2">
        <f>3058.62507206062*(1/14151.6638359215)</f>
        <v>0.21613183492225418</v>
      </c>
      <c r="AO78" s="2">
        <f>3267.5042816399*(1/14151.6638359215)</f>
        <v>0.23089188094942711</v>
      </c>
      <c r="AP78" s="2">
        <f>3479.93344632591*(1/14151.6638359215)</f>
        <v>0.24590277769972982</v>
      </c>
      <c r="AQ78" s="2">
        <f>3695.5990591024*(1/14151.6638359215)</f>
        <v>0.26114237180519895</v>
      </c>
      <c r="AR78" s="2">
        <f>3914.18761295321*(1/14151.6638359215)</f>
        <v>0.27658850989787759</v>
      </c>
      <c r="AS78" s="2">
        <f>4135.38560086216*(1/14151.6638359215)</f>
        <v>0.29221903860980741</v>
      </c>
      <c r="AT78" s="2">
        <f>4359.03221396749*(1/14151.6638359215)</f>
        <v>0.30802259469327248</v>
      </c>
      <c r="AU78" s="2">
        <f>4585.44698311399*(1/14151.6638359215)</f>
        <v>0.32402175717844872</v>
      </c>
      <c r="AV78" s="2">
        <f>4814.83701452329*(1/14151.6638359215)</f>
        <v>0.34023116082659316</v>
      </c>
      <c r="AW78" s="2">
        <f>5047.3977495006*(1/14151.6638359215)</f>
        <v>0.35666461612016759</v>
      </c>
      <c r="AX78" s="2">
        <f>5283.32462935108*(1/14151.6638359215)</f>
        <v>0.37333593354163019</v>
      </c>
      <c r="AY78" s="2">
        <f>5522.81309537986*(1/14151.6638359215)</f>
        <v>0.39025892357343694</v>
      </c>
      <c r="AZ78" s="2">
        <f>5766.0585888921*(1/14151.6638359215)</f>
        <v>0.40744739669804608</v>
      </c>
      <c r="BA78" s="2">
        <f>6013.25655119299*(1/14151.6638359215)</f>
        <v>0.42491516339791791</v>
      </c>
      <c r="BB78" s="2">
        <f>6264.60242358759*(1/14151.6638359215)</f>
        <v>0.44267603415550355</v>
      </c>
      <c r="BC78" s="2">
        <f>6520.29164738111*(1/14151.6638359215)</f>
        <v>0.46074381945326465</v>
      </c>
      <c r="BD78" s="2">
        <f>6780.69039292539*(1/14151.6638359215)</f>
        <v>0.47914439401208819</v>
      </c>
      <c r="BE78" s="2">
        <f>7051.57645740463*(1/14151.6638359215)</f>
        <v>0.49828603471384392</v>
      </c>
      <c r="BF78" s="2">
        <f>7333.49757701594*(1/14151.6638359215)</f>
        <v>0.51820744627929549</v>
      </c>
      <c r="BG78" s="2">
        <f>7623.44278777533*(1/14151.6638359215)</f>
        <v>0.53869586475228204</v>
      </c>
      <c r="BH78" s="2">
        <f>7918.40112569863*(1/14151.6638359215)</f>
        <v>0.55953852617662991</v>
      </c>
      <c r="BI78" s="2">
        <f>8215.36162680184*(1/14151.6638359215)</f>
        <v>0.58052266659617757</v>
      </c>
      <c r="BJ78" s="2">
        <f>8511.31332710089*(1/14151.6638359215)</f>
        <v>0.60143552205475825</v>
      </c>
      <c r="BK78" s="2">
        <f>8803.24526261174*(1/14151.6638359215)</f>
        <v>0.62206432859620764</v>
      </c>
      <c r="BL78" s="2">
        <f>9088.14646935032*(1/14151.6638359215)</f>
        <v>0.64219632226435919</v>
      </c>
      <c r="BM78" s="2">
        <f>9363.00598333264*(1/14151.6638359215)</f>
        <v>0.6616187391030518</v>
      </c>
      <c r="BN78" s="2">
        <f>9624.81284057452*(1/14151.6638359215)</f>
        <v>0.68011881515611128</v>
      </c>
      <c r="BO78" s="2">
        <f>9874.1147230196*(1/14151.6638359215)</f>
        <v>0.69773525131058467</v>
      </c>
      <c r="BP78" s="2">
        <f>10121.6773604736*(1/14151.6638359215)</f>
        <v>0.71522878707601223</v>
      </c>
      <c r="BQ78" s="2">
        <f>10366.6500104402*(1/14151.6638359215)</f>
        <v>0.73253930637656117</v>
      </c>
      <c r="BR78" s="2">
        <f>10606.9219165043*(1/14151.6638359215)</f>
        <v>0.7495176566857461</v>
      </c>
      <c r="BS78" s="2">
        <f>10840.3823222505*(1/14151.6638359215)</f>
        <v>0.76601468547706053</v>
      </c>
      <c r="BT78" s="2">
        <f>11064.9204712636*(1/14151.6638359215)</f>
        <v>0.78188124022401195</v>
      </c>
      <c r="BU78" s="2">
        <f>11278.4256071283*(1/14151.6638359215)</f>
        <v>0.79696816840010065</v>
      </c>
      <c r="BV78" s="2">
        <f>11478.7869734294*(1/14151.6638359215)</f>
        <v>0.81112631747883424</v>
      </c>
      <c r="BW78" s="2">
        <f>11663.8938137516*(1/14151.6638359215)</f>
        <v>0.82420653493371321</v>
      </c>
      <c r="BX78" s="2">
        <f>11831.6353716797*(1/14151.6638359215)</f>
        <v>0.83605966823824507</v>
      </c>
      <c r="BY78" s="2">
        <f>11979.9289852735*(1/14151.6638359215)</f>
        <v>0.84653855010776657</v>
      </c>
      <c r="BZ78" s="2">
        <f>12114.7246609018*(1/14151.6638359215)</f>
        <v>0.85606362625366428</v>
      </c>
      <c r="CA78" s="2">
        <f>12240.3496774962*(1/14151.6638359215)</f>
        <v>0.86494067548624454</v>
      </c>
      <c r="CB78" s="2">
        <f>12354.8300991775*(1/14151.6638359215)</f>
        <v>0.87303021343800902</v>
      </c>
      <c r="CC78" s="2">
        <f>12456.1919900667*(1/14151.6638359215)</f>
        <v>0.88019275574147371</v>
      </c>
      <c r="CD78" s="2">
        <f>12542.4614142848*(1/14151.6638359215)</f>
        <v>0.88628881802915482</v>
      </c>
      <c r="CE78" s="2">
        <f>12611.6644359528*(1/14151.6638359215)</f>
        <v>0.89117891593356802</v>
      </c>
      <c r="CF78" s="2">
        <f>12661.8271191915*(1/14151.6638359215)</f>
        <v>0.89472356508721518</v>
      </c>
      <c r="CG78" s="2">
        <f>12690.9755281219*(1/14151.6638359215)</f>
        <v>0.89678328112261263</v>
      </c>
      <c r="CH78" s="2">
        <f>12697.1357268651*(1/14151.6638359215)</f>
        <v>0.89721857967228302</v>
      </c>
      <c r="CI78" s="2">
        <f>12678.3337795418*(1/14151.6638359215)</f>
        <v>0.89588997636872125</v>
      </c>
      <c r="CJ78" s="2">
        <f>12631.9202623873*(1/14151.6638359215)</f>
        <v>0.89261025479727707</v>
      </c>
      <c r="CK78" s="2">
        <f>12554.026490022*(1/14151.6638359215)</f>
        <v>0.88710604177551344</v>
      </c>
      <c r="CL78" s="2">
        <f>12447.5183819863*(1/14151.6638359215)</f>
        <v>0.87957985197404653</v>
      </c>
      <c r="CM78" s="2">
        <f>12316.1771432418*(1/14151.6638359215)</f>
        <v>0.87029887694048813</v>
      </c>
      <c r="CN78" s="2">
        <f>12163.7839787497*(1/14151.6638359215)</f>
        <v>0.85953030822242127</v>
      </c>
      <c r="CO78" s="2">
        <f>11994.1200934717*(1/14151.6638359215)</f>
        <v>0.84754133736746518</v>
      </c>
      <c r="CP78" s="2">
        <f>11810.9666923689*(1/14151.6638359215)</f>
        <v>0.83459915592319589</v>
      </c>
      <c r="CQ78" s="2">
        <f>11618.1049804029*(1/14151.6638359215)</f>
        <v>0.8209709554372252</v>
      </c>
      <c r="CR78" s="2">
        <f>11419.3161625352*(1/14151.6638359215)</f>
        <v>0.80692392745715757</v>
      </c>
      <c r="CS78" s="2">
        <f>11218.381443727*(1/14151.6638359215)</f>
        <v>0.79272526353057648</v>
      </c>
      <c r="CT78" s="2">
        <f>11019.0820289398*(1/14151.6638359215)</f>
        <v>0.77864215520508662</v>
      </c>
      <c r="CU78" s="2">
        <f>10815.4962521778*(1/14151.6638359215)</f>
        <v>0.76425615938703773</v>
      </c>
      <c r="CV78" s="2">
        <f>10598.1852746249*(1/14151.6638359215)</f>
        <v>0.74890029875662245</v>
      </c>
      <c r="CW78" s="2">
        <f>10369.4709894166*(1/14151.6638359215)</f>
        <v>0.73273864540899636</v>
      </c>
      <c r="CX78" s="2">
        <f>10131.717490961*(1/14151.6638359215)</f>
        <v>0.71593825351075857</v>
      </c>
      <c r="CY78" s="2">
        <f>9887.2888736664*(1/14151.6638359215)</f>
        <v>0.69866617722852231</v>
      </c>
      <c r="CZ78" s="2">
        <f>9638.54923194097*(1/14151.6638359215)</f>
        <v>0.68108947072889159</v>
      </c>
      <c r="DA78" s="2">
        <f>9387.8626601929*(1/14151.6638359215)</f>
        <v>0.66337518817847196</v>
      </c>
      <c r="DB78" s="2">
        <f>9137.5932528305*(1/14151.6638359215)</f>
        <v>0.64569038374387711</v>
      </c>
      <c r="DC78" s="2">
        <f>8890.10510426196*(1/14151.6638359215)</f>
        <v>0.62820211159171246</v>
      </c>
      <c r="DD78" s="2">
        <f>8647.76230889548*(1/14151.6638359215)</f>
        <v>0.61107742588858438</v>
      </c>
      <c r="DE78" s="2">
        <f>8412.24478084948*(1/14151.6638359215)</f>
        <v>0.59443503452198199</v>
      </c>
      <c r="DF78" s="2">
        <f>8178.12893036958*(1/14151.6638359215)</f>
        <v>0.57789168999413654</v>
      </c>
      <c r="DG78" s="2">
        <f>7943.97416421822*(1/14151.6638359215)</f>
        <v>0.56134559556550834</v>
      </c>
      <c r="DH78" s="2">
        <f>7710.10778642235*(1/14151.6638359215)</f>
        <v>0.54481987954318156</v>
      </c>
      <c r="DI78" s="2">
        <f>7476.85710100906*(1/14151.6638359215)</f>
        <v>0.52833767023425038</v>
      </c>
      <c r="DJ78" s="2">
        <f>7244.54941200533*(1/14151.6638359215)</f>
        <v>0.51192209594580118</v>
      </c>
      <c r="DK78" s="2">
        <f>7013.51202343815*(1/14151.6638359215)</f>
        <v>0.49559628498492087</v>
      </c>
      <c r="DL78" s="2">
        <f>6784.07223933454*(1/14151.6638359215)</f>
        <v>0.47938336565869882</v>
      </c>
      <c r="DM78" s="2">
        <f>6556.55736372145*(1/14151.6638359215)</f>
        <v>0.46330646627421906</v>
      </c>
      <c r="DN78" s="2">
        <f>6331.29470062598*(1/14151.6638359215)</f>
        <v>0.44738871513857659</v>
      </c>
      <c r="DO78" s="2">
        <f>6108.61155407509*(1/14151.6638359215)</f>
        <v>0.43165324055885629</v>
      </c>
      <c r="DP78" s="2">
        <f>5888.58144972178*(1/14151.6638359215)</f>
        <v>0.4161052380833592</v>
      </c>
      <c r="DQ78" s="2">
        <f>5670.77138525959*(1/14151.6638359215)</f>
        <v>0.40071411044016875</v>
      </c>
      <c r="DR78" s="2">
        <f>5455.0253274438*(1/14151.6638359215)</f>
        <v>0.38546883184132608</v>
      </c>
      <c r="DS78" s="2">
        <f>5241.19798876328*(1/14151.6638359215)</f>
        <v>0.37035913582538782</v>
      </c>
      <c r="DT78" s="2">
        <f>5029.14408170687*(1/14151.6638359215)</f>
        <v>0.35537475593090867</v>
      </c>
      <c r="DU78" s="2">
        <f>4818.71831876354*(1/14151.6638359215)</f>
        <v>0.34050542569645237</v>
      </c>
      <c r="DV78" s="2">
        <f>4609.77541242214*(1/14151.6638359215)</f>
        <v>0.32574087866057411</v>
      </c>
      <c r="DW78" s="2">
        <f>4402.17007517153*(1/14151.6638359215)</f>
        <v>0.31107084836182997</v>
      </c>
      <c r="DX78" s="2">
        <f>4195.7570195006*(1/14151.6638359215)</f>
        <v>0.29648506833877808</v>
      </c>
      <c r="DY78" s="2">
        <f>3990.3909578982*(1/14151.6638359215)</f>
        <v>0.2819732721299737</v>
      </c>
      <c r="DZ78" s="2">
        <f>3785.79372917493*(1/14151.6638359215)</f>
        <v>0.26751580401205977</v>
      </c>
      <c r="EA78" s="2">
        <f>3579.29644792104*(1/14151.6638359215)</f>
        <v>0.25292407235081632</v>
      </c>
      <c r="EB78" s="2">
        <f>3370.94865164761*(1/14151.6638359215)</f>
        <v>0.23820157761881341</v>
      </c>
      <c r="EC78" s="2">
        <f>3162.13960525991*(1/14151.6638359215)</f>
        <v>0.22344648953809776</v>
      </c>
      <c r="ED78" s="2">
        <f>2954.25857366321*(1/14151.6638359215)</f>
        <v>0.20875697783071601</v>
      </c>
      <c r="EE78" s="2">
        <f>2748.69482176272*(1/14151.6638359215)</f>
        <v>0.19423121221871054</v>
      </c>
      <c r="EF78" s="2">
        <f>2546.8376144638*(1/14151.6638359215)</f>
        <v>0.17996736242413436</v>
      </c>
      <c r="EG78" s="2">
        <f>2350.07621667166*(1/14151.6638359215)</f>
        <v>0.16606359816902988</v>
      </c>
      <c r="EH78" s="2">
        <f>2159.79989329157*(1/14151.6638359215)</f>
        <v>0.15261808917544376</v>
      </c>
      <c r="EI78" s="2">
        <f>1977.3979092288*(1/14151.6638359215)</f>
        <v>0.13972900516542264</v>
      </c>
      <c r="EJ78" s="2">
        <f>1804.25952938858*(1/14151.6638359215)</f>
        <v>0.12749451586101032</v>
      </c>
      <c r="EK78" s="2">
        <f>1639.83260146248*(1/14151.6638359215)</f>
        <v>0.11587560448546372</v>
      </c>
      <c r="EL78" s="2">
        <f>1479.40794837391*(1/14151.6638359215)</f>
        <v>0.10453950613345507</v>
      </c>
      <c r="EM78" s="2">
        <f>1323.5051689096*(1/14151.6638359215)</f>
        <v>9.3522937249973084E-2</v>
      </c>
      <c r="EN78" s="2">
        <f>1173.03722885092*(1/14151.6638359215)</f>
        <v>8.2890410799143777E-2</v>
      </c>
      <c r="EO78" s="2">
        <f>1028.91709397927*(1/14151.6638359215)</f>
        <v>7.2706439745095247E-2</v>
      </c>
      <c r="EP78" s="2">
        <f>892.057730076007*(1/14151.6638359215)</f>
        <v>6.3035537051952584E-2</v>
      </c>
      <c r="EQ78" s="2">
        <f>763.372102922504*(1/14151.6638359215)</f>
        <v>5.3942215683841978E-2</v>
      </c>
      <c r="ER78" s="2">
        <f>643.773178300186*(1/14151.6638359215)</f>
        <v>4.5490988604893333E-2</v>
      </c>
      <c r="ES78" s="2">
        <f>534.173921990409*(1/14151.6638359215)</f>
        <v>3.7746368779231654E-2</v>
      </c>
      <c r="ET78" s="2">
        <f>435.487299774554*(1/14151.6638359215)</f>
        <v>3.0772869170983725E-2</v>
      </c>
      <c r="EU78" s="2">
        <f>348.650302403915*(1/14151.6638359215)</f>
        <v>2.4636700422386221E-2</v>
      </c>
      <c r="EV78" s="2">
        <f>275.873627934639*(1/14151.6638359215)</f>
        <v>1.9494077243015235E-2</v>
      </c>
      <c r="EW78" s="2">
        <f>216.864352688914*(1/14151.6638359215)</f>
        <v>1.5324300746774535E-2</v>
      </c>
      <c r="EX78" s="2">
        <f>169.803754728024*(1/14151.6638359215)</f>
        <v>1.1998854459572954E-2</v>
      </c>
      <c r="EY78" s="2">
        <f>132.873112113268*(1/14151.6638359215)</f>
        <v>9.3892219073204008E-3</v>
      </c>
      <c r="EZ78" s="2">
        <f>104.253702905947*(1/14151.6638359215)</f>
        <v>7.3668866159269115E-3</v>
      </c>
      <c r="FA78" s="2">
        <f>82.1268051673582*(1/14151.6638359215)</f>
        <v>5.803332111302263E-3</v>
      </c>
      <c r="FB78" s="2">
        <f>64.6736969587991*(1/14151.6638359215)</f>
        <v>4.5700419193562486E-3</v>
      </c>
      <c r="FC78" s="2">
        <f>50.0756563415751*(1/14151.6638359215)</f>
        <v>3.5384995659992211E-3</v>
      </c>
      <c r="FD78" s="2">
        <f>36.5139613769819*(1/14151.6638359215)</f>
        <v>2.5801885771408483E-3</v>
      </c>
      <c r="FE78" s="2">
        <f>22.1698901263188*(1/14151.6638359215)</f>
        <v>1.5665924786910533E-3</v>
      </c>
      <c r="FF78" s="2">
        <f>6.29171010857446*(1/14151.6638359215)</f>
        <v>4.4459154637379564E-4</v>
      </c>
      <c r="FG78" s="2">
        <f>-7.16728579029126*(1/14151.6638359215)</f>
        <v>-5.0646241130307022E-4</v>
      </c>
      <c r="FH78" s="2">
        <f>-17.6196539362641*(1/14151.6638359215)</f>
        <v>-1.245058824216819E-3</v>
      </c>
      <c r="FI78" s="2">
        <f>-25.0653943293468*(1/14151.6638359215)</f>
        <v>-1.7711976923676439E-3</v>
      </c>
      <c r="FJ78" s="2">
        <f>-29.5045069695394*(1/14151.6638359215)</f>
        <v>-2.0848790157555479E-3</v>
      </c>
      <c r="FK78" s="2">
        <f>-30.9369918568419*(1/14151.6638359215)</f>
        <v>-2.1861027943805315E-3</v>
      </c>
      <c r="FL78" s="2">
        <f>-29.3628489912543*(1/14151.6638359215)</f>
        <v>-2.074869028242594E-3</v>
      </c>
      <c r="FM78" s="2">
        <f>-24.7820783727754*(1/14151.6638359215)</f>
        <v>-1.7511777173416505E-3</v>
      </c>
      <c r="FN78" s="2">
        <f>-17.1946800014071*(1/14151.6638359215)</f>
        <v>-1.2150288616778362E-3</v>
      </c>
      <c r="FO78" s="2">
        <f>-6.60065387714856*(1/14151.6638359215)</f>
        <v>-4.664224612510909E-4</v>
      </c>
      <c r="FP78" s="2">
        <f t="shared" si="17"/>
        <v>4.9464148393856954E-4</v>
      </c>
      <c r="FQ78" s="2"/>
    </row>
    <row r="79" spans="2:173">
      <c r="B79" s="2">
        <v>10.019526627218935</v>
      </c>
      <c r="C79" s="2">
        <f t="shared" si="18"/>
        <v>4.9464148393856954E-4</v>
      </c>
      <c r="D79" s="2">
        <f>-8.18689011844094*(1/14151.6638359215)</f>
        <v>-5.7851078243251978E-4</v>
      </c>
      <c r="E79" s="2">
        <f>-20.1977106134454*(1/14151.6638359215)</f>
        <v>-1.4272322214280611E-3</v>
      </c>
      <c r="F79" s="2">
        <f>-29.0324614850147*(1/14151.6638359215)</f>
        <v>-2.0515228330481483E-3</v>
      </c>
      <c r="G79" s="2">
        <f>-34.6911427331456*(1/14151.6638359215)</f>
        <v>-2.4513826172925515E-3</v>
      </c>
      <c r="H79" s="2">
        <f>-37.17375435784*(1/14151.6638359215)</f>
        <v>-2.6268115741614061E-3</v>
      </c>
      <c r="I79" s="2">
        <f>-36.4802963590979*(1/14151.6638359215)</f>
        <v>-2.5778097036547117E-3</v>
      </c>
      <c r="J79" s="2">
        <f>-32.6107687369193*(1/14151.6638359215)</f>
        <v>-2.3043770057724674E-3</v>
      </c>
      <c r="K79" s="2">
        <f>-25.5651714913043*(1/14151.6638359215)</f>
        <v>-1.8065134805146819E-3</v>
      </c>
      <c r="L79" s="2">
        <f>-15.3435046222505*(1/14151.6638359215)</f>
        <v>-1.0842191278811839E-3</v>
      </c>
      <c r="M79" s="2">
        <f>-1.9457681297619*(1/14151.6638359215)</f>
        <v>-1.3749394787225733E-4</v>
      </c>
      <c r="N79" s="2">
        <f>13.8293193491285*(1/14151.6638359215)</f>
        <v>9.7722214924475634E-4</v>
      </c>
      <c r="O79" s="2">
        <f>26.6066570849699*(1/14151.6638359215)</f>
        <v>1.8801080490220238E-3</v>
      </c>
      <c r="P79" s="2">
        <f>37.4083392973388*(1/14151.6638359215)</f>
        <v>2.6433880659590243E-3</v>
      </c>
      <c r="Q79" s="2">
        <f>48.7071940567515*(1/14151.6638359215)</f>
        <v>3.441799820959348E-3</v>
      </c>
      <c r="R79" s="2">
        <f>62.9760494337274*(1/14151.6638359215)</f>
        <v>4.4500809349268047E-3</v>
      </c>
      <c r="S79" s="2">
        <f>82.6877334987778*(1/14151.6638359215)</f>
        <v>5.8429690287646312E-3</v>
      </c>
      <c r="T79" s="2">
        <f>110.315074322421*(1/14151.6638359215)</f>
        <v>7.795201723376559E-3</v>
      </c>
      <c r="U79" s="2">
        <f>148.330899975174*(1/14151.6638359215)</f>
        <v>1.0481516639666228E-2</v>
      </c>
      <c r="V79" s="2">
        <f>199.208038527552*(1/14151.6638359215)</f>
        <v>1.407665139853715E-2</v>
      </c>
      <c r="W79" s="2">
        <f>265.419318050072*(1/14151.6638359215)</f>
        <v>1.8755343620892966E-2</v>
      </c>
      <c r="X79" s="2">
        <f>349.437566613268*(1/14151.6638359215)</f>
        <v>2.469233092763852E-2</v>
      </c>
      <c r="Y79" s="2">
        <f>452.671023276059*(1/14151.6638359215)</f>
        <v>3.1987123812751511E-2</v>
      </c>
      <c r="Z79" s="2">
        <f>573.242888929867*(1/14151.6638359215)</f>
        <v>4.050710189107172E-2</v>
      </c>
      <c r="AA79" s="2">
        <f>709.08490741243*(1/14151.6638359215)</f>
        <v>5.0106115834418222E-2</v>
      </c>
      <c r="AB79" s="2">
        <f>858.138748977697*(1/14151.6638359215)</f>
        <v>6.0638717745645096E-2</v>
      </c>
      <c r="AC79" s="2">
        <f>1018.34608387962*(1/14151.6638359215)</f>
        <v>7.1959459727606603E-2</v>
      </c>
      <c r="AD79" s="2">
        <f>1187.64858237217*(1/14151.6638359215)</f>
        <v>8.3922893883158378E-2</v>
      </c>
      <c r="AE79" s="2">
        <f>1363.98791470925*(1/14151.6638359215)</f>
        <v>9.6383572315151197E-2</v>
      </c>
      <c r="AF79" s="2">
        <f>1545.30575114482*(1/14151.6638359215)</f>
        <v>0.10919604712643996</v>
      </c>
      <c r="AG79" s="2">
        <f>1729.54376193284*(1/14151.6638359215)</f>
        <v>0.12221487041987943</v>
      </c>
      <c r="AH79" s="2">
        <f>1914.64361732726*(1/14151.6638359215)</f>
        <v>0.1352945942983238</v>
      </c>
      <c r="AI79" s="2">
        <f>2098.97286105974*(1/14151.6638359215)</f>
        <v>0.14831986439162495</v>
      </c>
      <c r="AJ79" s="2">
        <f>2287.19299926133*(1/14151.6638359215)</f>
        <v>0.16162007702979028</v>
      </c>
      <c r="AK79" s="2">
        <f>2480.86326349588*(1/14151.6638359215)</f>
        <v>0.17530541230061208</v>
      </c>
      <c r="AL79" s="2">
        <f>2679.6147434726*(1/14151.6638359215)</f>
        <v>0.18934980187070802</v>
      </c>
      <c r="AM79" s="2">
        <f>2883.07852890073*(1/14151.6638359215)</f>
        <v>0.20372717740669788</v>
      </c>
      <c r="AN79" s="2">
        <f>3090.88570948948*(1/14151.6638359215)</f>
        <v>0.21841147057519927</v>
      </c>
      <c r="AO79" s="2">
        <f>3302.66737494809*(1/14151.6638359215)</f>
        <v>0.23337661304283192</v>
      </c>
      <c r="AP79" s="2">
        <f>3518.05461498582*(1/14151.6638359215)</f>
        <v>0.24859653647621699</v>
      </c>
      <c r="AQ79" s="2">
        <f>3736.6785193118*(1/14151.6638359215)</f>
        <v>0.26404517254196652</v>
      </c>
      <c r="AR79" s="2">
        <f>3958.17017763532*(1/14151.6638359215)</f>
        <v>0.27969645290670375</v>
      </c>
      <c r="AS79" s="2">
        <f>4182.16067966559*(1/14151.6638359215)</f>
        <v>0.29552430923704626</v>
      </c>
      <c r="AT79" s="2">
        <f>4408.54499496732*(1/14151.6638359215)</f>
        <v>0.31152131976008413</v>
      </c>
      <c r="AU79" s="2">
        <f>4637.85822005177*(1/14151.6638359215)</f>
        <v>0.32772529603758577</v>
      </c>
      <c r="AV79" s="2">
        <f>4870.26284379064*(1/14151.6638359215)</f>
        <v>0.34414772003192567</v>
      </c>
      <c r="AW79" s="2">
        <f>5105.89732011579*(1/14151.6638359215)</f>
        <v>0.3607983753228628</v>
      </c>
      <c r="AX79" s="2">
        <f>5344.90010295904*(1/14151.6638359215)</f>
        <v>0.37768704549015325</v>
      </c>
      <c r="AY79" s="2">
        <f>5587.4096462522*(1/14151.6638359215)</f>
        <v>0.39482351411355232</v>
      </c>
      <c r="AZ79" s="2">
        <f>5833.56440392709*(1/14151.6638359215)</f>
        <v>0.41221756477281613</v>
      </c>
      <c r="BA79" s="2">
        <f>6083.50282991558*(1/14151.6638359215)</f>
        <v>0.42987898104770428</v>
      </c>
      <c r="BB79" s="2">
        <f>6337.36337814938*(1/14151.6638359215)</f>
        <v>0.44781754651796507</v>
      </c>
      <c r="BC79" s="2">
        <f>6595.28450256037*(1/14151.6638359215)</f>
        <v>0.46604304476335884</v>
      </c>
      <c r="BD79" s="2">
        <f>6857.56359032612*(1/14151.6638359215)</f>
        <v>0.48457649007457382</v>
      </c>
      <c r="BE79" s="2">
        <f>7129.55657122838*(1/14151.6638359215)</f>
        <v>0.50379634888805513</v>
      </c>
      <c r="BF79" s="2">
        <f>7411.8086521357*(1/14151.6638359215)</f>
        <v>0.52374114719444742</v>
      </c>
      <c r="BG79" s="2">
        <f>7701.56195477898*(1/14151.6638359215)</f>
        <v>0.54421600485095789</v>
      </c>
      <c r="BH79" s="2">
        <f>7996.05860088891*(1/14151.6638359215)</f>
        <v>0.56502604171477899</v>
      </c>
      <c r="BI79" s="2">
        <f>8292.5407121964*(1/14151.6638359215)</f>
        <v>0.5859763776431185</v>
      </c>
      <c r="BJ79" s="2">
        <f>8588.25041043226*(1/14151.6638359215)</f>
        <v>0.6068721324931774</v>
      </c>
      <c r="BK79" s="2">
        <f>8880.42981732732*(1/14151.6638359215)</f>
        <v>0.62751842612215791</v>
      </c>
      <c r="BL79" s="2">
        <f>9166.3210546124*(1/14151.6638359215)</f>
        <v>0.6477203783872616</v>
      </c>
      <c r="BM79" s="2">
        <f>9443.1662440184*(1/14151.6638359215)</f>
        <v>0.66728310914569566</v>
      </c>
      <c r="BN79" s="2">
        <f>9708.20750727601*(1/14151.6638359215)</f>
        <v>0.68601173825465245</v>
      </c>
      <c r="BO79" s="2">
        <f>9962.23207810316*(1/14151.6638359215)</f>
        <v>0.70396189406476661</v>
      </c>
      <c r="BP79" s="2">
        <f>10215.9803121571*(1/14151.6638359215)</f>
        <v>0.72189252307037133</v>
      </c>
      <c r="BQ79" s="2">
        <f>10468.3447124347*(1/14151.6638359215)</f>
        <v>0.73972536613416828</v>
      </c>
      <c r="BR79" s="2">
        <f>10716.9505210006*(1/14151.6638359215)</f>
        <v>0.75729261557199468</v>
      </c>
      <c r="BS79" s="2">
        <f>10959.4229799191*(1/14151.6638359215)</f>
        <v>0.77442646369966339</v>
      </c>
      <c r="BT79" s="2">
        <f>11193.3873312547*(1/14151.6638359215)</f>
        <v>0.79095910283300142</v>
      </c>
      <c r="BU79" s="2">
        <f>11416.4688170719*(1/14151.6638359215)</f>
        <v>0.80672272528783573</v>
      </c>
      <c r="BV79" s="2">
        <f>11626.2926794352*(1/14151.6638359215)</f>
        <v>0.82154952337999365</v>
      </c>
      <c r="BW79" s="2">
        <f>11820.484160409*(1/14151.6638359215)</f>
        <v>0.83527168942529484</v>
      </c>
      <c r="BX79" s="2">
        <f>11996.6685020578*(1/14151.6638359215)</f>
        <v>0.84772141573956672</v>
      </c>
      <c r="BY79" s="2">
        <f>12152.5024438418*(1/14151.6638359215)</f>
        <v>0.8587331203412859</v>
      </c>
      <c r="BZ79" s="2">
        <f>12294.6515002177*(1/14151.6638359215)</f>
        <v>0.86877780893932055</v>
      </c>
      <c r="CA79" s="2">
        <f>12427.9730681257*(1/14151.6638359215)</f>
        <v>0.87819872010946765</v>
      </c>
      <c r="CB79" s="2">
        <f>12550.2625574129*(1/14151.6638359215)</f>
        <v>0.88684007074534055</v>
      </c>
      <c r="CC79" s="2">
        <f>12659.3153779264*(1/14151.6638359215)</f>
        <v>0.8945460777405525</v>
      </c>
      <c r="CD79" s="2">
        <f>12752.9269395134*(1/14151.6638359215)</f>
        <v>0.90116095798872409</v>
      </c>
      <c r="CE79" s="2">
        <f>12828.892652021*(1/14151.6638359215)</f>
        <v>0.90652892838346844</v>
      </c>
      <c r="CF79" s="2">
        <f>12885.0079252962*(1/14151.6638359215)</f>
        <v>0.91049420581839169</v>
      </c>
      <c r="CG79" s="2">
        <f>12919.0681691863*(1/14151.6638359215)</f>
        <v>0.91290100718712142</v>
      </c>
      <c r="CH79" s="2">
        <f>12928.8687935382*(1/14151.6638359215)</f>
        <v>0.91359354938325699</v>
      </c>
      <c r="CI79" s="2">
        <f>12912.2052081993*(1/14151.6638359215)</f>
        <v>0.91241604930043263</v>
      </c>
      <c r="CJ79" s="2">
        <f>12866.2009632354*(1/14151.6638359215)</f>
        <v>0.9091652481580873</v>
      </c>
      <c r="CK79" s="2">
        <f>12786.9568291261*(1/14151.6638359215)</f>
        <v>0.90356561443105143</v>
      </c>
      <c r="CL79" s="2">
        <f>12677.5674608636*(1/14151.6638359215)</f>
        <v>0.89583582593898492</v>
      </c>
      <c r="CM79" s="2">
        <f>12542.0589864791*(1/14151.6638359215)</f>
        <v>0.88626038124529904</v>
      </c>
      <c r="CN79" s="2">
        <f>12384.4575340036*(1/14151.6638359215)</f>
        <v>0.87512377891339121</v>
      </c>
      <c r="CO79" s="2">
        <f>12208.7892314682*(1/14151.6638359215)</f>
        <v>0.8627105175066655</v>
      </c>
      <c r="CP79" s="2">
        <f>12019.080206904*(1/14151.6638359215)</f>
        <v>0.84930509558852629</v>
      </c>
      <c r="CQ79" s="2">
        <f>11819.356588342*(1/14151.6638359215)</f>
        <v>0.83519201172237079</v>
      </c>
      <c r="CR79" s="2">
        <f>11613.6445038133*(1/14151.6638359215)</f>
        <v>0.82065576447160338</v>
      </c>
      <c r="CS79" s="2">
        <f>11405.9700813491*(1/14151.6638359215)</f>
        <v>0.80598085239963513</v>
      </c>
      <c r="CT79" s="2">
        <f>11200.3594489804*(1/14151.6638359215)</f>
        <v>0.79145177406986345</v>
      </c>
      <c r="CU79" s="2">
        <f>10990.5391512593*(1/14151.6638359215)</f>
        <v>0.77662522786626387</v>
      </c>
      <c r="CV79" s="2">
        <f>10766.485252792*(1/14151.6638359215)</f>
        <v>0.76079289174910847</v>
      </c>
      <c r="CW79" s="2">
        <f>10530.6476604883*(1/14151.6638359215)</f>
        <v>0.74412788365973681</v>
      </c>
      <c r="CX79" s="2">
        <f>10285.5210601517*(1/14151.6638359215)</f>
        <v>0.72680648575354934</v>
      </c>
      <c r="CY79" s="2">
        <f>10033.6001375856*(1/14151.6638359215)</f>
        <v>0.70900498018593949</v>
      </c>
      <c r="CZ79" s="2">
        <f>9777.37957859352*(1/14151.6638359215)</f>
        <v>0.69089964911230917</v>
      </c>
      <c r="DA79" s="2">
        <f>9519.35406897902*(1/14151.6638359215)</f>
        <v>0.67266677468806324</v>
      </c>
      <c r="DB79" s="2">
        <f>9262.01829454567*(1/14151.6638359215)</f>
        <v>0.65448263906860715</v>
      </c>
      <c r="DC79" s="2">
        <f>9007.86694109694*(1/14151.6638359215)</f>
        <v>0.63652352440933913</v>
      </c>
      <c r="DD79" s="2">
        <f>8759.39469443635*(1/14151.6638359215)</f>
        <v>0.61896571286566138</v>
      </c>
      <c r="DE79" s="2">
        <f>8518.3842724532*(1/14151.6638359215)</f>
        <v>0.60193517675503194</v>
      </c>
      <c r="DF79" s="2">
        <f>8279.20379259341*(1/14151.6638359215)</f>
        <v>0.58503394997117675</v>
      </c>
      <c r="DG79" s="2">
        <f>8040.32170000748*(1/14151.6638359215)</f>
        <v>0.56815380814788319</v>
      </c>
      <c r="DH79" s="2">
        <f>7802.04147167172*(1/14151.6638359215)</f>
        <v>0.55131619589970859</v>
      </c>
      <c r="DI79" s="2">
        <f>7564.66658456259*(1/14151.6638359215)</f>
        <v>0.53454255784122151</v>
      </c>
      <c r="DJ79" s="2">
        <f>7328.5005156564*(1/14151.6638359215)</f>
        <v>0.51785433858697916</v>
      </c>
      <c r="DK79" s="2">
        <f>7093.84674192953*(1/14151.6638359215)</f>
        <v>0.50127298275154419</v>
      </c>
      <c r="DL79" s="2">
        <f>6861.00874035832*(1/14151.6638359215)</f>
        <v>0.48481993494947651</v>
      </c>
      <c r="DM79" s="2">
        <f>6630.28998791911*(1/14151.6638359215)</f>
        <v>0.46851663979533559</v>
      </c>
      <c r="DN79" s="2">
        <f>6401.99396158834*(1/14151.6638359215)</f>
        <v>0.45238454190368832</v>
      </c>
      <c r="DO79" s="2">
        <f>6176.42413834234*(1/14151.6638359215)</f>
        <v>0.43644508588909364</v>
      </c>
      <c r="DP79" s="2">
        <f>5953.69532014984*(1/14151.6638359215)</f>
        <v>0.42070638401100485</v>
      </c>
      <c r="DQ79" s="2">
        <f>5733.47438136179*(1/14151.6638359215)</f>
        <v>0.40514489658865255</v>
      </c>
      <c r="DR79" s="2">
        <f>5515.57591903262*(1/14151.6638359215)</f>
        <v>0.38974752248087635</v>
      </c>
      <c r="DS79" s="2">
        <f>5299.82175580489*(1/14151.6638359215)</f>
        <v>0.37450167112874944</v>
      </c>
      <c r="DT79" s="2">
        <f>5086.03371432112*(1/14151.6638359215)</f>
        <v>0.35939475197334192</v>
      </c>
      <c r="DU79" s="2">
        <f>4874.03361722393*(1/14151.6638359215)</f>
        <v>0.34441417445573125</v>
      </c>
      <c r="DV79" s="2">
        <f>4663.64328715584*(1/14151.6638359215)</f>
        <v>0.3295473480169876</v>
      </c>
      <c r="DW79" s="2">
        <f>4454.68454675939*(1/14151.6638359215)</f>
        <v>0.31478168209818269</v>
      </c>
      <c r="DX79" s="2">
        <f>4246.97921867716*(1/14151.6638359215)</f>
        <v>0.30010458614039104</v>
      </c>
      <c r="DY79" s="2">
        <f>4040.34912555164*(1/14151.6638359215)</f>
        <v>0.28550346958468076</v>
      </c>
      <c r="DZ79" s="2">
        <f>3834.49414349987*(1/14151.6638359215)</f>
        <v>0.27095712475636141</v>
      </c>
      <c r="EA79" s="2">
        <f>3626.94394996312*(1/14151.6638359215)</f>
        <v>0.25629099108168207</v>
      </c>
      <c r="EB79" s="2">
        <f>3417.78240955319*(1/14151.6638359215)</f>
        <v>0.24151099469150425</v>
      </c>
      <c r="EC79" s="2">
        <f>3208.33154982254*(1/14151.6638359215)</f>
        <v>0.22671055411016458</v>
      </c>
      <c r="ED79" s="2">
        <f>2999.91339832366*(1/14151.6638359215)</f>
        <v>0.21198308786200176</v>
      </c>
      <c r="EE79" s="2">
        <f>2793.849982609*(1/14151.6638359215)</f>
        <v>0.1974220144713518</v>
      </c>
      <c r="EF79" s="2">
        <f>2591.46333023112*(1/14151.6638359215)</f>
        <v>0.18312075246255835</v>
      </c>
      <c r="EG79" s="2">
        <f>2394.07546874245*(1/14151.6638359215)</f>
        <v>0.16917272035995601</v>
      </c>
      <c r="EH79" s="2">
        <f>2203.0084256955*(1/14151.6638359215)</f>
        <v>0.15567133668788488</v>
      </c>
      <c r="EI79" s="2">
        <f>2019.58422864273*(1/14151.6638359215)</f>
        <v>0.14271001997068161</v>
      </c>
      <c r="EJ79" s="2">
        <f>1845.1249051366*(1/14151.6638359215)</f>
        <v>0.1303821887326829</v>
      </c>
      <c r="EK79" s="2">
        <f>1679.01523107894*(1/14151.6638359215)</f>
        <v>0.11864436935090673</v>
      </c>
      <c r="EL79" s="2">
        <f>1516.55711690065*(1/14151.6638359215)</f>
        <v>0.10716458039733374</v>
      </c>
      <c r="EM79" s="2">
        <f>1358.3400128276*(1/14151.6638359215)</f>
        <v>9.5984474234025674E-2</v>
      </c>
      <c r="EN79" s="2">
        <f>1205.34812936691*(1/14151.6638359215)</f>
        <v>8.5173598196089606E-2</v>
      </c>
      <c r="EO79" s="2">
        <f>1058.56567702567*(1/14151.6638359215)</f>
        <v>7.4801499618630571E-2</v>
      </c>
      <c r="EP79" s="2">
        <f>918.976866310991*(1/14151.6638359215)</f>
        <v>6.4937725836755E-2</v>
      </c>
      <c r="EQ79" s="2">
        <f>787.565907729944*(1/14151.6638359215)</f>
        <v>5.5651824185566579E-2</v>
      </c>
      <c r="ER79" s="2">
        <f>665.317011789681*(1/14151.6638359215)</f>
        <v>4.7013342000174659E-2</v>
      </c>
      <c r="ES79" s="2">
        <f>553.214388997282*(1/14151.6638359215)</f>
        <v>3.9091826615683514E-2</v>
      </c>
      <c r="ET79" s="2">
        <f>452.242249859846*(1/14151.6638359215)</f>
        <v>3.19568253671988E-2</v>
      </c>
      <c r="EU79" s="2">
        <f>363.406700022418*(1/14151.6638359215)</f>
        <v>2.5679432767472494E-2</v>
      </c>
      <c r="EV79" s="2">
        <f>288.809667564367*(1/14151.6638359215)</f>
        <v>2.0408177505691918E-2</v>
      </c>
      <c r="EW79" s="2">
        <f>228.067674533104*(1/14151.6638359215)</f>
        <v>1.6115961852781895E-2</v>
      </c>
      <c r="EX79" s="2">
        <f>179.367405214631*(1/14151.6638359215)</f>
        <v>1.2674651355082256E-2</v>
      </c>
      <c r="EY79" s="2">
        <f>140.895543894967*(1/14151.6638359215)</f>
        <v>9.9561115589340485E-3</v>
      </c>
      <c r="EZ79" s="2">
        <f>110.83877486013*(1/14151.6638359215)</f>
        <v>7.8322080106782467E-3</v>
      </c>
      <c r="FA79" s="2">
        <f>87.3837823961398*(1/14151.6638359215)</f>
        <v>6.1748062566559479E-3</v>
      </c>
      <c r="FB79" s="2">
        <f>68.717250789011*(1/14151.6638359215)</f>
        <v>4.8557718432078916E-3</v>
      </c>
      <c r="FC79" s="2">
        <f>53.0258643247689*(1/14151.6638359215)</f>
        <v>3.746970316675563E-3</v>
      </c>
      <c r="FD79" s="2">
        <f>38.4963072894283*(1/14151.6638359215)</f>
        <v>2.7202672233997125E-3</v>
      </c>
      <c r="FE79" s="2">
        <f>23.3152639690074*(1/14151.6638359215)</f>
        <v>1.6475281097213263E-3</v>
      </c>
      <c r="FF79" s="2">
        <f>6.73323643778076*(1/14151.6638359215)</f>
        <v>4.7579115189901755E-4</v>
      </c>
      <c r="FG79" s="2">
        <f>-7.30823374171733*(1/14151.6638359215)</f>
        <v>-5.1642222613899782E-4</v>
      </c>
      <c r="FH79" s="2">
        <f>-18.2234491354976*(1/14151.6638359215)</f>
        <v>-1.287724846123082E-3</v>
      </c>
      <c r="FI79" s="2">
        <f>-26.0124097435629*(1/14151.6638359215)</f>
        <v>-1.8381167080534367E-3</v>
      </c>
      <c r="FJ79" s="2">
        <f>-30.6751155659134*(1/14151.6638359215)</f>
        <v>-2.1675978119300742E-3</v>
      </c>
      <c r="FK79" s="2">
        <f>-32.2115666025489*(1/14151.6638359215)</f>
        <v>-2.2761681577529794E-3</v>
      </c>
      <c r="FL79" s="2">
        <f>-30.6217628534695*(1/14151.6638359215)</f>
        <v>-2.1638277455221602E-3</v>
      </c>
      <c r="FM79" s="2">
        <f>-25.9057043186741*(1/14151.6638359215)</f>
        <v>-1.8305765752375381E-3</v>
      </c>
      <c r="FN79" s="2">
        <f>-18.0633909981643*(1/14151.6638359215)</f>
        <v>-1.2764146468992271E-3</v>
      </c>
      <c r="FO79" s="2">
        <f>-7.09482289193957*(1/14151.6638359215)</f>
        <v>-5.0134196050718896E-4</v>
      </c>
      <c r="FP79" s="2">
        <f t="shared" si="17"/>
        <v>4.9464148393856954E-4</v>
      </c>
      <c r="FQ79" s="2"/>
    </row>
    <row r="80" spans="2:173">
      <c r="B80" s="2">
        <v>10.028994082840237</v>
      </c>
      <c r="C80" s="2">
        <f t="shared" si="18"/>
        <v>4.9464148393856954E-4</v>
      </c>
      <c r="D80" s="2">
        <f>-8.83552887236797*(1/14151.6638359215)</f>
        <v>-6.2434558754430986E-4</v>
      </c>
      <c r="E80" s="2">
        <f>-21.3595835909348*(1/14151.6638359215)</f>
        <v>-1.5093337319614156E-3</v>
      </c>
      <c r="F80" s="2">
        <f>-30.5721641557018*(1/14151.6638359215)</f>
        <v>-2.1603229493128403E-3</v>
      </c>
      <c r="G80" s="2">
        <f>-36.4732705666656*(1/14151.6638359215)</f>
        <v>-2.5773132395983463E-3</v>
      </c>
      <c r="H80" s="2">
        <f>-39.0629028238283*(1/14151.6638359215)</f>
        <v>-2.7603046028180814E-3</v>
      </c>
      <c r="I80" s="2">
        <f>-38.3410609271897*(1/14151.6638359215)</f>
        <v>-2.7092970389720316E-3</v>
      </c>
      <c r="J80" s="2">
        <f>-34.30774487675*(1/14151.6638359215)</f>
        <v>-2.4242905480602109E-3</v>
      </c>
      <c r="K80" s="2">
        <f>-26.9629546725091*(1/14151.6638359215)</f>
        <v>-1.9052851300826127E-3</v>
      </c>
      <c r="L80" s="2">
        <f>-16.3066903144648*(1/14151.6638359215)</f>
        <v>-1.1522807850390812E-3</v>
      </c>
      <c r="M80" s="2">
        <f>-2.33895180262088*(1/14151.6638359215)</f>
        <v>-1.6527751292988349E-4</v>
      </c>
      <c r="N80" s="2">
        <f>14.1662678232305*(1/14151.6638359215)</f>
        <v>1.0010319625648491E-3</v>
      </c>
      <c r="O80" s="2">
        <f>28.0002625684096*(1/14151.6638359215)</f>
        <v>1.978584489643958E-3</v>
      </c>
      <c r="P80" s="2">
        <f>40.1534861112014*(1/14151.6638359215)</f>
        <v>2.8373685650502005E-3</v>
      </c>
      <c r="Q80" s="2">
        <f>53.0222162225763*(1/14151.6638359215)</f>
        <v>3.7467125305781193E-3</v>
      </c>
      <c r="R80" s="2">
        <f>69.0027306735083*(1/14151.6638359215)</f>
        <v>4.875944728022513E-3</v>
      </c>
      <c r="S80" s="2">
        <f>90.491307234962*(1/14151.6638359215)</f>
        <v>6.3943934991775161E-3</v>
      </c>
      <c r="T80" s="2">
        <f>119.884223677911*(1/14151.6638359215)</f>
        <v>8.4713871858378993E-3</v>
      </c>
      <c r="U80" s="2">
        <f>159.577757773325*(1/14151.6638359215)</f>
        <v>1.1276254129798154E-2</v>
      </c>
      <c r="V80" s="2">
        <f>211.968187292175*(1/14151.6638359215)</f>
        <v>1.4978322672852869E-2</v>
      </c>
      <c r="W80" s="2">
        <f>279.451790005431*(1/14151.6638359215)</f>
        <v>1.9746921156796559E-2</v>
      </c>
      <c r="X80" s="2">
        <f>364.424843684082*(1/14151.6638359215)</f>
        <v>2.5751377923425082E-2</v>
      </c>
      <c r="Y80" s="2">
        <f>468.210247316847*(1/14151.6638359215)</f>
        <v>3.3085173075435695E-2</v>
      </c>
      <c r="Z80" s="2">
        <f>588.942635916907*(1/14151.6638359215)</f>
        <v>4.1616494197804506E-2</v>
      </c>
      <c r="AA80" s="2">
        <f>724.650609965289*(1/14151.6638359215)</f>
        <v>5.1206036150031449E-2</v>
      </c>
      <c r="AB80" s="2">
        <f>873.37332897031*(1/14151.6638359215)</f>
        <v>6.17152399248918E-2</v>
      </c>
      <c r="AC80" s="2">
        <f>1033.14995244029*(1/14151.6638359215)</f>
        <v>7.3005546515161085E-2</v>
      </c>
      <c r="AD80" s="2">
        <f>1202.01963988357*(1/14151.6638359215)</f>
        <v>8.4938396913616307E-2</v>
      </c>
      <c r="AE80" s="2">
        <f>1378.02155080841*(1/14151.6638359215)</f>
        <v>9.737523211302869E-2</v>
      </c>
      <c r="AF80" s="2">
        <f>1559.19484472315*(1/14151.6638359215)</f>
        <v>0.11017749310617521</v>
      </c>
      <c r="AG80" s="2">
        <f>1743.57868113612*(1/14151.6638359215)</f>
        <v>0.12320662088583205</v>
      </c>
      <c r="AH80" s="2">
        <f>1929.21221955562*(1/14151.6638359215)</f>
        <v>0.13632405644477333</v>
      </c>
      <c r="AI80" s="2">
        <f>2114.55087480368*(1/14151.6638359215)</f>
        <v>0.14942065465378468</v>
      </c>
      <c r="AJ80" s="2">
        <f>2304.17169810029*(1/14151.6638359215)</f>
        <v>0.16281984399965446</v>
      </c>
      <c r="AK80" s="2">
        <f>2499.55287432355*(1/14151.6638359215)</f>
        <v>0.17662607756261681</v>
      </c>
      <c r="AL80" s="2">
        <f>2700.27971214425*(1/14151.6638359215)</f>
        <v>0.19081005198060647</v>
      </c>
      <c r="AM80" s="2">
        <f>2905.93752023316*(1/14151.6638359215)</f>
        <v>0.20534246389155675</v>
      </c>
      <c r="AN80" s="2">
        <f>3116.11160726106*(1/14151.6638359215)</f>
        <v>0.22019400993340166</v>
      </c>
      <c r="AO80" s="2">
        <f>3330.38728189873*(1/14151.6638359215)</f>
        <v>0.23533538674407528</v>
      </c>
      <c r="AP80" s="2">
        <f>3548.34985281699*(1/14151.6638359215)</f>
        <v>0.25073729096151437</v>
      </c>
      <c r="AQ80" s="2">
        <f>3769.58462868654*(1/14151.6638359215)</f>
        <v>0.2663704192236474</v>
      </c>
      <c r="AR80" s="2">
        <f>3993.6769181782*(1/14151.6638359215)</f>
        <v>0.28220546816841119</v>
      </c>
      <c r="AS80" s="2">
        <f>4220.21202996275*(1/14151.6638359215)</f>
        <v>0.2982131344337397</v>
      </c>
      <c r="AT80" s="2">
        <f>4449.18202191178*(1/14151.6638359215)</f>
        <v>0.31439285680446399</v>
      </c>
      <c r="AU80" s="2">
        <f>4681.39648182525*(1/14151.6638359215)</f>
        <v>0.33080184323926293</v>
      </c>
      <c r="AV80" s="2">
        <f>4916.93183750426*(1/14151.6638359215)</f>
        <v>0.34744549436112926</v>
      </c>
      <c r="AW80" s="2">
        <f>5155.82401633939*(1/14151.6638359215)</f>
        <v>0.36432634890974736</v>
      </c>
      <c r="AX80" s="2">
        <f>5398.10894572117*(1/14151.6638359215)</f>
        <v>0.38144694562479814</v>
      </c>
      <c r="AY80" s="2">
        <f>5643.82255304015*(1/14151.6638359215)</f>
        <v>0.3988098232459637</v>
      </c>
      <c r="AZ80" s="2">
        <f>5893.00076568687*(1/14151.6638359215)</f>
        <v>0.41641752051292574</v>
      </c>
      <c r="BA80" s="2">
        <f>6145.67951105191*(1/14151.6638359215)</f>
        <v>0.43427257616536846</v>
      </c>
      <c r="BB80" s="2">
        <f>6401.89471652572*(1/14151.6638359215)</f>
        <v>0.45237752894296712</v>
      </c>
      <c r="BC80" s="2">
        <f>6661.68230949888*(1/14151.6638359215)</f>
        <v>0.4707349175854062</v>
      </c>
      <c r="BD80" s="2">
        <f>6925.22289777149*(1/14151.6638359215)</f>
        <v>0.4893575043941501</v>
      </c>
      <c r="BE80" s="2">
        <f>7197.34511309973*(1/14151.6638359215)</f>
        <v>0.50858649530880884</v>
      </c>
      <c r="BF80" s="2">
        <f>7478.61844916559*(1/14151.6638359215)</f>
        <v>0.52846213250080443</v>
      </c>
      <c r="BG80" s="2">
        <f>7766.62571631321*(1/14151.6638359215)</f>
        <v>0.54881360993037454</v>
      </c>
      <c r="BH80" s="2">
        <f>8058.9497248866*(1/14151.6638359215)</f>
        <v>0.56947012155774779</v>
      </c>
      <c r="BI80" s="2">
        <f>8353.17328522991*(1/14151.6638359215)</f>
        <v>0.59026086134316269</v>
      </c>
      <c r="BJ80" s="2">
        <f>8646.87920768723*(1/14151.6638359215)</f>
        <v>0.61101502324685342</v>
      </c>
      <c r="BK80" s="2">
        <f>8937.65030260267*(1/14151.6638359215)</f>
        <v>0.6315618012290557</v>
      </c>
      <c r="BL80" s="2">
        <f>9223.06938032033*(1/14151.6638359215)</f>
        <v>0.65173038925000448</v>
      </c>
      <c r="BM80" s="2">
        <f>9500.71925118436*(1/14151.6638359215)</f>
        <v>0.67134998126993817</v>
      </c>
      <c r="BN80" s="2">
        <f>9768.18272553876*(1/14151.6638359215)</f>
        <v>0.69024977124908471</v>
      </c>
      <c r="BO80" s="2">
        <f>10026.5319896723*(1/14151.6638359215)</f>
        <v>0.70850552316129212</v>
      </c>
      <c r="BP80" s="2">
        <f>10286.3576977242*(1/14151.6638359215)</f>
        <v>0.72686560513217513</v>
      </c>
      <c r="BQ80" s="2">
        <f>10546.2498492319*(1/14151.6638359215)</f>
        <v>0.7452303822015689</v>
      </c>
      <c r="BR80" s="2">
        <f>10803.5362927253*(1/14151.6638359215)</f>
        <v>0.76341103194540505</v>
      </c>
      <c r="BS80" s="2">
        <f>11055.5448767342*(1/14151.6638359215)</f>
        <v>0.78121873193960789</v>
      </c>
      <c r="BT80" s="2">
        <f>11299.6034497886*(1/14151.6638359215)</f>
        <v>0.79846465976011605</v>
      </c>
      <c r="BU80" s="2">
        <f>11533.0398604182*(1/14151.6638359215)</f>
        <v>0.81495999298284727</v>
      </c>
      <c r="BV80" s="2">
        <f>11753.1819571532*(1/14151.6638359215)</f>
        <v>0.83051590918375429</v>
      </c>
      <c r="BW80" s="2">
        <f>11957.3575885233*(1/14151.6638359215)</f>
        <v>0.8449435859387544</v>
      </c>
      <c r="BX80" s="2">
        <f>12142.8946030584*(1/14151.6638359215)</f>
        <v>0.85805420082377915</v>
      </c>
      <c r="BY80" s="2">
        <f>12307.1563481886*(1/14151.6638359215)</f>
        <v>0.86966143987599942</v>
      </c>
      <c r="BZ80" s="2">
        <f>12457.6578144658*(1/14151.6638359215)</f>
        <v>0.88029633539232577</v>
      </c>
      <c r="CA80" s="2">
        <f>12599.8704092525*(1/14151.6638359215)</f>
        <v>0.89034551380947546</v>
      </c>
      <c r="CB80" s="2">
        <f>12731.3051133556*(1/14151.6638359215)</f>
        <v>0.89963309339213038</v>
      </c>
      <c r="CC80" s="2">
        <f>12849.4729075815*(1/14151.6638359215)</f>
        <v>0.90798319240493697</v>
      </c>
      <c r="CD80" s="2">
        <f>12951.8847727373*(1/14151.6638359215)</f>
        <v>0.91521992911259153</v>
      </c>
      <c r="CE80" s="2">
        <f>13036.0516896292*(1/14151.6638359215)</f>
        <v>0.92116742177972633</v>
      </c>
      <c r="CF80" s="2">
        <f>13099.4846390641*(1/14151.6638359215)</f>
        <v>0.92564978867102332</v>
      </c>
      <c r="CG80" s="2">
        <f>13139.6946018485*(1/14151.6638359215)</f>
        <v>0.92849114805113619</v>
      </c>
      <c r="CH80" s="2">
        <f>13154.1925587891*(1/14151.6638359215)</f>
        <v>0.92951561818473283</v>
      </c>
      <c r="CI80" s="2">
        <f>13140.4894906927*(1/14151.6638359215)</f>
        <v>0.92854731733648788</v>
      </c>
      <c r="CJ80" s="2">
        <f>13095.4352914566*(1/14151.6638359215)</f>
        <v>0.92536364934108672</v>
      </c>
      <c r="CK80" s="2">
        <f>13015.125226008*(1/14151.6638359215)</f>
        <v>0.91968869363412964</v>
      </c>
      <c r="CL80" s="2">
        <f>12902.9279136044*(1/14151.6638359215)</f>
        <v>0.91176048719109593</v>
      </c>
      <c r="CM80" s="2">
        <f>12763.1564832542*(1/14151.6638359215)</f>
        <v>0.90188380894529041</v>
      </c>
      <c r="CN80" s="2">
        <f>12600.1240639658*(1/14151.6638359215)</f>
        <v>0.89036343783001759</v>
      </c>
      <c r="CO80" s="2">
        <f>12418.1437847476*(1/14151.6638359215)</f>
        <v>0.87750415277858251</v>
      </c>
      <c r="CP80" s="2">
        <f>12221.5287746078*(1/14151.6638359215)</f>
        <v>0.86361073272427558</v>
      </c>
      <c r="CQ80" s="2">
        <f>12014.5921625549*(1/14151.6638359215)</f>
        <v>0.84898795660040904</v>
      </c>
      <c r="CR80" s="2">
        <f>11801.6470775973*(1/14151.6638359215)</f>
        <v>0.8339406033402873</v>
      </c>
      <c r="CS80" s="2">
        <f>11587.0066487434*(1/14151.6638359215)</f>
        <v>0.81877345187721529</v>
      </c>
      <c r="CT80" s="2">
        <f>11374.9840050015*(1/14151.6638359215)</f>
        <v>0.80379128114449061</v>
      </c>
      <c r="CU80" s="2">
        <f>11158.9376890007*(1/14151.6638359215)</f>
        <v>0.78852478538076265</v>
      </c>
      <c r="CV80" s="2">
        <f>10928.1947389574*(1/14151.6638359215)</f>
        <v>0.772219780349651</v>
      </c>
      <c r="CW80" s="2">
        <f>10685.3239180655*(1/14151.6638359215)</f>
        <v>0.75505778274231561</v>
      </c>
      <c r="CX80" s="2">
        <f>10432.9415718923*(1/14151.6638359215)</f>
        <v>0.73722367156645707</v>
      </c>
      <c r="CY80" s="2">
        <f>10173.6640460053*(1/14151.6638359215)</f>
        <v>0.71890232582979052</v>
      </c>
      <c r="CZ80" s="2">
        <f>9910.10768597199*(1/14151.6638359215)</f>
        <v>0.70027862454002987</v>
      </c>
      <c r="DA80" s="2">
        <f>9644.8888373598*(1/14151.6638359215)</f>
        <v>0.68153744670488514</v>
      </c>
      <c r="DB80" s="2">
        <f>9380.6238457363*(1/14151.6638359215)</f>
        <v>0.66286367133207635</v>
      </c>
      <c r="DC80" s="2">
        <f>9119.92905666891*(1/14151.6638359215)</f>
        <v>0.64444217742931265</v>
      </c>
      <c r="DD80" s="2">
        <f>8865.42081572509*(1/14151.6638359215)</f>
        <v>0.62645784400430604</v>
      </c>
      <c r="DE80" s="2">
        <f>8618.97689090791*(1/14151.6638359215)</f>
        <v>0.60904335990727532</v>
      </c>
      <c r="DF80" s="2">
        <f>8374.76475992881*(1/14151.6638359215)</f>
        <v>0.59178658121251781</v>
      </c>
      <c r="DG80" s="2">
        <f>8131.16894954293*(1/14151.6638359215)</f>
        <v>0.57457335362244777</v>
      </c>
      <c r="DH80" s="2">
        <f>7888.47376533096*(1/14151.6638359215)</f>
        <v>0.55742376704196883</v>
      </c>
      <c r="DI80" s="2">
        <f>7646.96351287376*(1/14151.6638359215)</f>
        <v>0.5403579113759962</v>
      </c>
      <c r="DJ80" s="2">
        <f>7406.92249775204*(1/14151.6638359215)</f>
        <v>0.52339587652943498</v>
      </c>
      <c r="DK80" s="2">
        <f>7168.63502554653*(1/14151.6638359215)</f>
        <v>0.50655775240719159</v>
      </c>
      <c r="DL80" s="2">
        <f>6932.38540183799*(1/14151.6638359215)</f>
        <v>0.48986362891417429</v>
      </c>
      <c r="DM80" s="2">
        <f>6698.45793220712*(1/14151.6638359215)</f>
        <v>0.47333359595528746</v>
      </c>
      <c r="DN80" s="2">
        <f>6467.13692223477*(1/14151.6638359215)</f>
        <v>0.45698774343544574</v>
      </c>
      <c r="DO80" s="2">
        <f>6238.70667750164*(1/14151.6638359215)</f>
        <v>0.44084616125955345</v>
      </c>
      <c r="DP80" s="2">
        <f>6013.3207957884*(1/14151.6638359215)</f>
        <v>0.42491970311820487</v>
      </c>
      <c r="DQ80" s="2">
        <f>5790.73469955567*(1/14151.6638359215)</f>
        <v>0.40919108641182617</v>
      </c>
      <c r="DR80" s="2">
        <f>5570.73447684103*(1/14151.6638359215)</f>
        <v>0.39364519546462828</v>
      </c>
      <c r="DS80" s="2">
        <f>5353.11028102949*(1/14151.6638359215)</f>
        <v>0.37826720187074853</v>
      </c>
      <c r="DT80" s="2">
        <f>5137.652265506*(1/14151.6638359215)</f>
        <v>0.3630422772243202</v>
      </c>
      <c r="DU80" s="2">
        <f>4924.15058365564*(1/14151.6638359215)</f>
        <v>0.3479555931194856</v>
      </c>
      <c r="DV80" s="2">
        <f>4712.39538886338*(1/14151.6638359215)</f>
        <v>0.33299232115037924</v>
      </c>
      <c r="DW80" s="2">
        <f>4502.17683451419*(1/14151.6638359215)</f>
        <v>0.31813763291113578</v>
      </c>
      <c r="DX80" s="2">
        <f>4293.28507399309*(1/14151.6638359215)</f>
        <v>0.30337669999589334</v>
      </c>
      <c r="DY80" s="2">
        <f>4085.51026068503*(1/14151.6638359215)</f>
        <v>0.28869469399878506</v>
      </c>
      <c r="DZ80" s="2">
        <f>3878.53165025033*(1/14151.6638359215)</f>
        <v>0.27406895014036176</v>
      </c>
      <c r="EA80" s="2">
        <f>3670.08043378901*(1/14151.6638359215)</f>
        <v>0.25933914742047215</v>
      </c>
      <c r="EB80" s="2">
        <f>3460.27382621854*(1/14151.6638359215)</f>
        <v>0.24451356860493292</v>
      </c>
      <c r="EC80" s="2">
        <f>3250.36420553655*(1/14151.6638359215)</f>
        <v>0.22968071056677267</v>
      </c>
      <c r="ED80" s="2">
        <f>3041.60394974068*(1/14151.6638359215)</f>
        <v>0.2149290701790206</v>
      </c>
      <c r="EE80" s="2">
        <f>2835.24543682853*(1/14151.6638359215)</f>
        <v>0.20034714431470313</v>
      </c>
      <c r="EF80" s="2">
        <f>2632.54104479781*(1/14151.6638359215)</f>
        <v>0.18602342984685444</v>
      </c>
      <c r="EG80" s="2">
        <f>2434.74315164612*(1/14151.6638359215)</f>
        <v>0.17204642364850092</v>
      </c>
      <c r="EH80" s="2">
        <f>2243.10413537111*(1/14151.6638359215)</f>
        <v>0.15850462259267253</v>
      </c>
      <c r="EI80" s="2">
        <f>2058.87637397041*(1/14151.6638359215)</f>
        <v>0.14548652355239783</v>
      </c>
      <c r="EJ80" s="2">
        <f>1883.31224544162*(1/14151.6638359215)</f>
        <v>0.1330806234007032</v>
      </c>
      <c r="EK80" s="2">
        <f>1715.73804743524*(1/14151.6638359215)</f>
        <v>0.12123931626189015</v>
      </c>
      <c r="EL80" s="2">
        <f>1551.48373148053*(1/14151.6638359215)</f>
        <v>0.10963260217801121</v>
      </c>
      <c r="EM80" s="2">
        <f>1391.20385156777*(1/14151.6638359215)</f>
        <v>9.83067339429336E-2</v>
      </c>
      <c r="EN80" s="2">
        <f>1235.947605198*(1/14151.6638359215)</f>
        <v>8.7335851072208578E-2</v>
      </c>
      <c r="EO80" s="2">
        <f>1086.76418987222*(1/14151.6638359215)</f>
        <v>7.6794093081384601E-2</v>
      </c>
      <c r="EP80" s="2">
        <f>944.702803091466*(1/14151.6638359215)</f>
        <v>6.6755599486012715E-2</v>
      </c>
      <c r="EQ80" s="2">
        <f>810.812642356733*(1/14151.6638359215)</f>
        <v>5.7294509801641011E-2</v>
      </c>
      <c r="ER80" s="2">
        <f>686.142905169091*(1/14151.6638359215)</f>
        <v>4.8484963543822909E-2</v>
      </c>
      <c r="ES80" s="2">
        <f>571.742789029538*(1/14151.6638359215)</f>
        <v>4.0401100228106744E-2</v>
      </c>
      <c r="ET80" s="2">
        <f>468.661491439094*(1/14151.6638359215)</f>
        <v>3.3117059370042383E-2</v>
      </c>
      <c r="EU80" s="2">
        <f>377.968022033577*(1/14151.6638359215)</f>
        <v>2.6708380471430638E-2</v>
      </c>
      <c r="EV80" s="2">
        <f>301.655242015075*(1/14151.6638359215)</f>
        <v>2.1315885221169287E-2</v>
      </c>
      <c r="EW80" s="2">
        <f>239.254702225871*(1/14151.6638359215)</f>
        <v>1.6906471564040772E-2</v>
      </c>
      <c r="EX80" s="2">
        <f>188.96317794222*(1/14151.6638359215)</f>
        <v>1.3352718106726811E-2</v>
      </c>
      <c r="EY80" s="2">
        <f>148.977444440389*(1/14151.6638359215)</f>
        <v>1.0527203455909974E-2</v>
      </c>
      <c r="EZ80" s="2">
        <f>117.494276996648*(1/14151.6638359215)</f>
        <v>8.3025062182730432E-3</v>
      </c>
      <c r="FA80" s="2">
        <f>92.7104508872664*(1/14151.6638359215)</f>
        <v>6.5512050004987608E-3</v>
      </c>
      <c r="FB80" s="2">
        <f>72.8227413885087*(1/14151.6638359215)</f>
        <v>5.1458784092695189E-3</v>
      </c>
      <c r="FC80" s="2">
        <f>56.0279237766515*(1/14151.6638359215)</f>
        <v>3.9591050512685659E-3</v>
      </c>
      <c r="FD80" s="2">
        <f>40.5227733279597*(1/14151.6638359215)</f>
        <v>2.8634635331783245E-3</v>
      </c>
      <c r="FE80" s="2">
        <f>24.5040653187019*(1/14151.6638359215)</f>
        <v>1.731532461681478E-3</v>
      </c>
      <c r="FF80" s="2">
        <f>7.22647273294119*(1/14151.6638359215)</f>
        <v>5.1064474232337723E-4</v>
      </c>
      <c r="FG80" s="2">
        <f>-7.39039730278987*(1/14151.6638359215)</f>
        <v>-5.22228155535369E-4</v>
      </c>
      <c r="FH80" s="2">
        <f>-18.7641067246437*(1/14151.6638359215)</f>
        <v>-1.3259293707227789E-3</v>
      </c>
      <c r="FI80" s="2">
        <f>-26.8946555326233*(1/14151.6638359215)</f>
        <v>-1.9004589032390641E-3</v>
      </c>
      <c r="FJ80" s="2">
        <f>-31.7820437267287*(1/14151.6638359215)</f>
        <v>-2.2458167530842268E-3</v>
      </c>
      <c r="FK80" s="2">
        <f>-33.4262713069599*(1/14151.6638359215)</f>
        <v>-2.3620029202582674E-3</v>
      </c>
      <c r="FL80" s="2">
        <f>-31.827338273317*(1/14151.6638359215)</f>
        <v>-2.2490174047611932E-3</v>
      </c>
      <c r="FM80" s="2">
        <f>-26.9852446257986*(1/14151.6638359215)</f>
        <v>-1.906860206592904E-3</v>
      </c>
      <c r="FN80" s="2">
        <f>-18.8999903644066*(1/14151.6638359215)</f>
        <v>-1.3355313257535353E-3</v>
      </c>
      <c r="FO80" s="2">
        <f>-7.57157548914037*(1/14151.6638359215)</f>
        <v>-5.3503076224304194E-4</v>
      </c>
      <c r="FP80" s="2">
        <f t="shared" si="17"/>
        <v>4.9464148393856954E-4</v>
      </c>
      <c r="FQ80" s="2"/>
    </row>
    <row r="81" spans="2:173">
      <c r="B81" s="2">
        <v>10.038461538461538</v>
      </c>
      <c r="C81" s="2">
        <f t="shared" si="18"/>
        <v>4.9464148393856954E-4</v>
      </c>
      <c r="D81" s="2">
        <f>-9.44228449255582*(1/14151.6638359215)</f>
        <v>-6.672208018811362E-4</v>
      </c>
      <c r="E81" s="2">
        <f>-22.4464709659985*(1/14151.6638359215)</f>
        <v>-1.5861365296865021E-3</v>
      </c>
      <c r="F81" s="2">
        <f>-32.0125594203295*(1/14151.6638359215)</f>
        <v>-2.2621056994776311E-3</v>
      </c>
      <c r="G81" s="2">
        <f>-38.1405498555452*(1/14151.6638359215)</f>
        <v>-2.6951283112542678E-3</v>
      </c>
      <c r="H81" s="2">
        <f>-40.8304422716478*(1/14151.6638359215)</f>
        <v>-2.8852043650165666E-3</v>
      </c>
      <c r="I81" s="2">
        <f>-40.0822366686372*(1/14151.6638359215)</f>
        <v>-2.8323338607645215E-3</v>
      </c>
      <c r="J81" s="2">
        <f>-35.8959330465134*(1/14151.6638359215)</f>
        <v>-2.5365167984981321E-3</v>
      </c>
      <c r="K81" s="2">
        <f>-28.2715314052766*(1/14151.6638359215)</f>
        <v>-1.9977531782174127E-3</v>
      </c>
      <c r="L81" s="2">
        <f>-17.2090317449241*(1/14151.6638359215)</f>
        <v>-1.2160429999221725E-3</v>
      </c>
      <c r="M81" s="2">
        <f>-2.70843406546028*(1/14151.6638359215)</f>
        <v>-1.913862636127208E-4</v>
      </c>
      <c r="N81" s="2">
        <f>14.4820209705538*(1/14151.6638359215)</f>
        <v>1.0233440490434592E-3</v>
      </c>
      <c r="O81" s="2">
        <f>29.3269319781217*(1/14151.6638359215)</f>
        <v>2.0723310218605153E-3</v>
      </c>
      <c r="P81" s="2">
        <f>42.7837981573335*(1/14151.6638359215)</f>
        <v>3.0232344870102399E-3</v>
      </c>
      <c r="Q81" s="2">
        <f>57.1691680749744*(1/14151.6638359215)</f>
        <v>4.0397488760198332E-3</v>
      </c>
      <c r="R81" s="2">
        <f>74.7995902978334*(1/14151.6638359215)</f>
        <v>5.2855686204167631E-3</v>
      </c>
      <c r="S81" s="2">
        <f>97.9916133926894*(1/14151.6638359215)</f>
        <v>6.9243881517277849E-3</v>
      </c>
      <c r="T81" s="2">
        <f>129.061785926331*(1/14151.6638359215)</f>
        <v>9.1199019014803363E-3</v>
      </c>
      <c r="U81" s="2">
        <f>170.326656465542*(1/14151.6638359215)</f>
        <v>1.2035804301201519E-2</v>
      </c>
      <c r="V81" s="2">
        <f>224.102773577109*(1/14151.6638359215)</f>
        <v>1.5835789782418636E-2</v>
      </c>
      <c r="W81" s="2">
        <f>292.706685827817*(1/14151.6638359215)</f>
        <v>2.0683552776658867E-2</v>
      </c>
      <c r="X81" s="2">
        <f>378.454941784469*(1/14151.6638359215)</f>
        <v>2.6742787715450671E-2</v>
      </c>
      <c r="Y81" s="2">
        <f>482.580995567017*(1/14151.6638359215)</f>
        <v>3.4100654252545937E-2</v>
      </c>
      <c r="Z81" s="2">
        <f>603.230764159537*(1/14151.6638359215)</f>
        <v>4.262613719161009E-2</v>
      </c>
      <c r="AA81" s="2">
        <f>738.53416795106*(1/14151.6638359215)</f>
        <v>5.2187090967807014E-2</v>
      </c>
      <c r="AB81" s="2">
        <f>886.63235786756*(1/14151.6638359215)</f>
        <v>6.2652163600508959E-2</v>
      </c>
      <c r="AC81" s="2">
        <f>1045.66648483501*(1/14151.6638359215)</f>
        <v>7.3890003109088151E-2</v>
      </c>
      <c r="AD81" s="2">
        <f>1213.77769977943*(1/14151.6638359215)</f>
        <v>8.5769257512920111E-2</v>
      </c>
      <c r="AE81" s="2">
        <f>1389.10715362671*(1/14151.6638359215)</f>
        <v>9.8158574831371193E-2</v>
      </c>
      <c r="AF81" s="2">
        <f>1569.79599730287*(1/14151.6638359215)</f>
        <v>0.11092660308381691</v>
      </c>
      <c r="AG81" s="2">
        <f>1753.98538173389*(1/14151.6638359215)</f>
        <v>0.12394199028962997</v>
      </c>
      <c r="AH81" s="2">
        <f>1939.81645784573*(1/14151.6638359215)</f>
        <v>0.13707338446818165</v>
      </c>
      <c r="AI81" s="2">
        <f>2125.83494694525*(1/14151.6638359215)</f>
        <v>0.15021802182363839</v>
      </c>
      <c r="AJ81" s="2">
        <f>2316.50858282364*(1/14151.6638359215)</f>
        <v>0.16369160613775974</v>
      </c>
      <c r="AK81" s="2">
        <f>2513.23186737429*(1/14151.6638359215)</f>
        <v>0.17759267719424585</v>
      </c>
      <c r="AL81" s="2">
        <f>2715.55194005878*(1/14151.6638359215)</f>
        <v>0.19188923447756234</v>
      </c>
      <c r="AM81" s="2">
        <f>2923.01594033865*(1/14151.6638359215)</f>
        <v>0.20654927747217189</v>
      </c>
      <c r="AN81" s="2">
        <f>3135.17100767546*(1/14151.6638359215)</f>
        <v>0.22154080566253856</v>
      </c>
      <c r="AO81" s="2">
        <f>3351.56428153076*(1/14151.6638359215)</f>
        <v>0.23683181853312585</v>
      </c>
      <c r="AP81" s="2">
        <f>3571.74290136614*(1/14151.6638359215)</f>
        <v>0.25239031556839991</v>
      </c>
      <c r="AQ81" s="2">
        <f>3795.25400664309*(1/14151.6638359215)</f>
        <v>0.26818429625281998</v>
      </c>
      <c r="AR81" s="2">
        <f>4021.6447368232*(1/14151.6638359215)</f>
        <v>0.28418176007085227</v>
      </c>
      <c r="AS81" s="2">
        <f>4250.46223136801*(1/14151.6638359215)</f>
        <v>0.30035070650695944</v>
      </c>
      <c r="AT81" s="2">
        <f>4481.82669415281*(1/14151.6638359215)</f>
        <v>0.31669962953589137</v>
      </c>
      <c r="AU81" s="2">
        <f>4716.8657550015*(1/14151.6638359215)</f>
        <v>0.33330821094185187</v>
      </c>
      <c r="AV81" s="2">
        <f>4955.53855970513*(1/14151.6638359215)</f>
        <v>0.35017356384104958</v>
      </c>
      <c r="AW81" s="2">
        <f>5197.74424688914*(1/14151.6638359215)</f>
        <v>0.36728856105920099</v>
      </c>
      <c r="AX81" s="2">
        <f>5443.3819551789*(1/14151.6638359215)</f>
        <v>0.38464607542201762</v>
      </c>
      <c r="AY81" s="2">
        <f>5692.35082319978*(1/14151.6638359215)</f>
        <v>0.40223897975521106</v>
      </c>
      <c r="AZ81" s="2">
        <f>5944.54998957714*(1/14151.6638359215)</f>
        <v>0.42006014688449211</v>
      </c>
      <c r="BA81" s="2">
        <f>6199.87859293641*(1/14151.6638359215)</f>
        <v>0.43810244963557665</v>
      </c>
      <c r="BB81" s="2">
        <f>6458.23577190288*(1/14151.6638359215)</f>
        <v>0.45635876083417048</v>
      </c>
      <c r="BC81" s="2">
        <f>6719.52066510193*(1/14151.6638359215)</f>
        <v>0.47482195330598603</v>
      </c>
      <c r="BD81" s="2">
        <f>6983.76114489209*(1/14151.6638359215)</f>
        <v>0.49349399659742094</v>
      </c>
      <c r="BE81" s="2">
        <f>7255.18436717907*(1/14151.6638359215)</f>
        <v>0.51267359451848105</v>
      </c>
      <c r="BF81" s="2">
        <f>7534.40492843054*(1/14151.6638359215)</f>
        <v>0.53240417634185067</v>
      </c>
      <c r="BG81" s="2">
        <f>7819.4096915536*(1/14151.6638359215)</f>
        <v>0.55254348762195793</v>
      </c>
      <c r="BH81" s="2">
        <f>8108.18551945518*(1/14151.6638359215)</f>
        <v>0.57294927391321882</v>
      </c>
      <c r="BI81" s="2">
        <f>8398.71927504239*(1/14151.6638359215)</f>
        <v>0.59347928077006207</v>
      </c>
      <c r="BJ81" s="2">
        <f>8688.99782122227*(1/14151.6638359215)</f>
        <v>0.61399125374691166</v>
      </c>
      <c r="BK81" s="2">
        <f>8977.00802090188*(1/14151.6638359215)</f>
        <v>0.63434293839819245</v>
      </c>
      <c r="BL81" s="2">
        <f>9260.73673698823*(1/14151.6638359215)</f>
        <v>0.6543920802783264</v>
      </c>
      <c r="BM81" s="2">
        <f>9538.17083238846*(1/14151.6638359215)</f>
        <v>0.67399642494174417</v>
      </c>
      <c r="BN81" s="2">
        <f>9807.29717000948*(1/14151.6638359215)</f>
        <v>0.69301371794286049</v>
      </c>
      <c r="BO81" s="2">
        <f>10069.501851443*(1/14151.6638359215)</f>
        <v>0.71154190547427698</v>
      </c>
      <c r="BP81" s="2">
        <f>10335.1239649218*(1/14151.6638359215)</f>
        <v>0.73031157924257029</v>
      </c>
      <c r="BQ81" s="2">
        <f>10602.4223711829*(1/14151.6638359215)</f>
        <v>0.74919970500362809</v>
      </c>
      <c r="BR81" s="2">
        <f>10868.4093635629*(1/14151.6638359215)</f>
        <v>0.76799516223494246</v>
      </c>
      <c r="BS81" s="2">
        <f>11130.0972353983*(1/14151.6638359215)</f>
        <v>0.78648683041399792</v>
      </c>
      <c r="BT81" s="2">
        <f>11384.4982800255*(1/14151.6638359215)</f>
        <v>0.80446358901827231</v>
      </c>
      <c r="BU81" s="2">
        <f>11628.6247907811*(1/14151.6638359215)</f>
        <v>0.82171431752525725</v>
      </c>
      <c r="BV81" s="2">
        <f>11859.4890610014*(1/14151.6638359215)</f>
        <v>0.83802789541242373</v>
      </c>
      <c r="BW81" s="2">
        <f>12074.1033840231*(1/14151.6638359215)</f>
        <v>0.85319320215727001</v>
      </c>
      <c r="BX81" s="2">
        <f>12269.4800531825*(1/14151.6638359215)</f>
        <v>0.8669991172372673</v>
      </c>
      <c r="BY81" s="2">
        <f>12442.6712349459*(1/14151.6638359215)</f>
        <v>0.87923733768762768</v>
      </c>
      <c r="BZ81" s="2">
        <f>12602.1264497302*(1/14151.6638359215)</f>
        <v>0.89050493255372043</v>
      </c>
      <c r="CA81" s="2">
        <f>12753.9814664432*(1/14151.6638359215)</f>
        <v>0.90123547409806826</v>
      </c>
      <c r="CB81" s="2">
        <f>12895.4266904109*(1/14151.6638359215)</f>
        <v>0.91123042773798357</v>
      </c>
      <c r="CC81" s="2">
        <f>13023.6525269593*(1/14151.6638359215)</f>
        <v>0.92029125889077845</v>
      </c>
      <c r="CD81" s="2">
        <f>13135.8493814143*(1/14151.6638359215)</f>
        <v>0.92821943297375864</v>
      </c>
      <c r="CE81" s="2">
        <f>13229.2076591016*(1/14151.6638359215)</f>
        <v>0.93481641540421501</v>
      </c>
      <c r="CF81" s="2">
        <f>13300.9177653473*(1/14151.6638359215)</f>
        <v>0.93988367159946729</v>
      </c>
      <c r="CG81" s="2">
        <f>13348.1701054772*(1/14151.6638359215)</f>
        <v>0.94322266697681356</v>
      </c>
      <c r="CH81" s="2">
        <f>13368.1550848171*(1/14151.6638359215)</f>
        <v>0.94463486695355203</v>
      </c>
      <c r="CI81" s="2">
        <f>13358.0631086931*(1/14151.6638359215)</f>
        <v>0.94392173694700243</v>
      </c>
      <c r="CJ81" s="2">
        <f>13314.4417112193*(1/14151.6638359215)</f>
        <v>0.94083931512158603</v>
      </c>
      <c r="CK81" s="2">
        <f>13233.4109622499*(1/14151.6638359215)</f>
        <v>0.93511343370517486</v>
      </c>
      <c r="CL81" s="2">
        <f>13118.6404527151*(1/14151.6638359215)</f>
        <v>0.92700339725536363</v>
      </c>
      <c r="CM81" s="2">
        <f>12974.7522994012*(1/14151.6638359215)</f>
        <v>0.91683581873016817</v>
      </c>
      <c r="CN81" s="2">
        <f>12806.3686190941*(1/14151.6638359215)</f>
        <v>0.90493731108757658</v>
      </c>
      <c r="CO81" s="2">
        <f>12618.1115285799*(1/14151.6638359215)</f>
        <v>0.89163448728559058</v>
      </c>
      <c r="CP81" s="2">
        <f>12414.6031446448*(1/14151.6638359215)</f>
        <v>0.87725396028221936</v>
      </c>
      <c r="CQ81" s="2">
        <f>12200.4655840748*(1/14151.6638359215)</f>
        <v>0.86212234303545798</v>
      </c>
      <c r="CR81" s="2">
        <f>11980.3209636561*(1/14151.6638359215)</f>
        <v>0.8465662485033153</v>
      </c>
      <c r="CS81" s="2">
        <f>11758.7914001747*(1/14151.6638359215)</f>
        <v>0.83091228964378616</v>
      </c>
      <c r="CT81" s="2">
        <f>11540.4990104166*(1/14151.6638359215)</f>
        <v>0.81548707941486587</v>
      </c>
      <c r="CU81" s="2">
        <f>11318.4309626278*(1/14151.6638359215)</f>
        <v>0.79979506960149538</v>
      </c>
      <c r="CV81" s="2">
        <f>11081.2360823334*(1/14151.6638359215)</f>
        <v>0.78303415137700194</v>
      </c>
      <c r="CW81" s="2">
        <f>10831.5936124795*(1/14151.6638359215)</f>
        <v>0.76539364827091305</v>
      </c>
      <c r="CX81" s="2">
        <f>10572.2332748663*(1/14151.6638359215)</f>
        <v>0.74706645080351275</v>
      </c>
      <c r="CY81" s="2">
        <f>10305.8847912942*(1/14151.6638359215)</f>
        <v>0.72824544949509973</v>
      </c>
      <c r="CZ81" s="2">
        <f>10035.2778835635*(1/14151.6638359215)</f>
        <v>0.70912353486596535</v>
      </c>
      <c r="DA81" s="2">
        <f>9763.14227347446*(1/14151.6638359215)</f>
        <v>0.689893597436398</v>
      </c>
      <c r="DB81" s="2">
        <f>9492.20768282748*(1/14151.6638359215)</f>
        <v>0.67074852772669646</v>
      </c>
      <c r="DC81" s="2">
        <f>9225.20383342287*(1/14151.6638359215)</f>
        <v>0.65188121625715267</v>
      </c>
      <c r="DD81" s="2">
        <f>8964.86044706093*(1/14151.6638359215)</f>
        <v>0.6334845535480581</v>
      </c>
      <c r="DE81" s="2">
        <f>8713.14279007127*(1/14151.6638359215)</f>
        <v>0.61569741134992872</v>
      </c>
      <c r="DF81" s="2">
        <f>8464.02150638613*(1/14151.6638359215)</f>
        <v>0.59809373685811462</v>
      </c>
      <c r="DG81" s="2">
        <f>8215.80414693758*(1/14151.6638359215)</f>
        <v>0.58055393642712261</v>
      </c>
      <c r="DH81" s="2">
        <f>7968.76167462714*(1/14151.6638359215)</f>
        <v>0.56309715712719555</v>
      </c>
      <c r="DI81" s="2">
        <f>7723.1650523565*(1/14151.6638359215)</f>
        <v>0.54574254602858852</v>
      </c>
      <c r="DJ81" s="2">
        <f>7479.2852430272*(1/14151.6638359215)</f>
        <v>0.5285092502015456</v>
      </c>
      <c r="DK81" s="2">
        <f>7237.39320954083*(1/14151.6638359215)</f>
        <v>0.51141641671631466</v>
      </c>
      <c r="DL81" s="2">
        <f>6997.75991479897*(1/14151.6638359215)</f>
        <v>0.49448319264314294</v>
      </c>
      <c r="DM81" s="2">
        <f>6760.65632170318*(1/14151.6638359215)</f>
        <v>0.47772872505227604</v>
      </c>
      <c r="DN81" s="2">
        <f>6526.35339315512*(1/14151.6638359215)</f>
        <v>0.46117216101396674</v>
      </c>
      <c r="DO81" s="2">
        <f>6295.12209205634*(1/14151.6638359215)</f>
        <v>0.44483264759846008</v>
      </c>
      <c r="DP81" s="2">
        <f>6067.15159145514*(1/14151.6638359215)</f>
        <v>0.42872355235394632</v>
      </c>
      <c r="DQ81" s="2">
        <f>5842.27151033564*(1/14151.6638359215)</f>
        <v>0.41283283563492129</v>
      </c>
      <c r="DR81" s="2">
        <f>5620.2406057486*(1/14151.6638359215)</f>
        <v>0.39714345047418464</v>
      </c>
      <c r="DS81" s="2">
        <f>5400.81899719437*(1/14151.6638359215)</f>
        <v>0.38163844617940579</v>
      </c>
      <c r="DT81" s="2">
        <f>5183.76680417329*(1/14151.6638359215)</f>
        <v>0.36630087205825324</v>
      </c>
      <c r="DU81" s="2">
        <f>4968.84414618579*(1/14151.6638359215)</f>
        <v>0.351113777418402</v>
      </c>
      <c r="DV81" s="2">
        <f>4755.8111427322*(1/14151.6638359215)</f>
        <v>0.33606021156751997</v>
      </c>
      <c r="DW81" s="2">
        <f>4544.42791331287*(1/14151.6638359215)</f>
        <v>0.32112322381327646</v>
      </c>
      <c r="DX81" s="2">
        <f>4334.45457742818*(1/14151.6638359215)</f>
        <v>0.30628586346334291</v>
      </c>
      <c r="DY81" s="2">
        <f>4125.65125457844*(1/14151.6638359215)</f>
        <v>0.29153117982538579</v>
      </c>
      <c r="DZ81" s="2">
        <f>3917.67811023339*(1/14151.6638359215)</f>
        <v>0.27683515914849927</v>
      </c>
      <c r="EA81" s="2">
        <f>3708.46655457385*(1/14151.6638359215)</f>
        <v>0.26205162852728048</v>
      </c>
      <c r="EB81" s="2">
        <f>3498.16569298315*(1/14151.6638359215)</f>
        <v>0.24719112420573999</v>
      </c>
      <c r="EC81" s="2">
        <f>3287.95751768922*(1/14151.6638359215)</f>
        <v>0.2323371693823959</v>
      </c>
      <c r="ED81" s="2">
        <f>3079.02402092*(1/14151.6638359215)</f>
        <v>0.21757328725576716</v>
      </c>
      <c r="EE81" s="2">
        <f>2872.54719490337*(1/14151.6638359215)</f>
        <v>0.20298300102436834</v>
      </c>
      <c r="EF81" s="2">
        <f>2669.70903186736*(1/14151.6638359215)</f>
        <v>0.18864983388672468</v>
      </c>
      <c r="EG81" s="2">
        <f>2471.69152403984*(1/14151.6638359215)</f>
        <v>0.17465730904135013</v>
      </c>
      <c r="EH81" s="2">
        <f>2279.67666364875*(1/14151.6638359215)</f>
        <v>0.16108894968676357</v>
      </c>
      <c r="EI81" s="2">
        <f>2094.84644292203*(1/14151.6638359215)</f>
        <v>0.14802827902148383</v>
      </c>
      <c r="EJ81" s="2">
        <f>1918.38285408758*(1/14151.6638359215)</f>
        <v>0.13555882024402699</v>
      </c>
      <c r="EK81" s="2">
        <f>1749.55887031279*(1/14151.6638359215)</f>
        <v>0.12362919940705798</v>
      </c>
      <c r="EL81" s="2">
        <f>1583.74671796198*(1/14151.6638359215)</f>
        <v>0.11191240382222185</v>
      </c>
      <c r="EM81" s="2">
        <f>1421.66063653972*(1/14151.6638359215)</f>
        <v>0.10045890384500834</v>
      </c>
      <c r="EN81" s="2">
        <f>1264.40807775169*(1/14151.6638359215)</f>
        <v>8.9346955411858595E-2</v>
      </c>
      <c r="EO81" s="2">
        <f>1113.09649330355*(1/14151.6638359215)</f>
        <v>7.8654814459212283E-2</v>
      </c>
      <c r="EP81" s="2">
        <f>968.833334900968*(1/14151.6638359215)</f>
        <v>6.8460736923509707E-2</v>
      </c>
      <c r="EQ81" s="2">
        <f>832.726054249595*(1/14151.6638359215)</f>
        <v>5.8842978741189919E-2</v>
      </c>
      <c r="ER81" s="2">
        <f>705.882103055148*(1/14151.6638359215)</f>
        <v>4.9879795848696673E-2</v>
      </c>
      <c r="ES81" s="2">
        <f>589.408933023273*(1/14151.6638359215)</f>
        <v>4.1649444182468673E-2</v>
      </c>
      <c r="ET81" s="2">
        <f>484.413995859636*(1/14151.6638359215)</f>
        <v>3.4230179678946059E-2</v>
      </c>
      <c r="EU81" s="2">
        <f>392.022560056478*(1/14151.6638359215)</f>
        <v>2.7701517263390471E-2</v>
      </c>
      <c r="EV81" s="2">
        <f>314.120718401053*(1/14151.6638359215)</f>
        <v>2.2196734040820912E-2</v>
      </c>
      <c r="EW81" s="2">
        <f>250.161687477816*(1/14151.6638359215)</f>
        <v>1.7677192616943369E-2</v>
      </c>
      <c r="EX81" s="2">
        <f>198.356002745738*(1/14151.6638359215)</f>
        <v>1.4016443935182117E-2</v>
      </c>
      <c r="EY81" s="2">
        <f>156.914199663802*(1/14151.6638359215)</f>
        <v>1.1088038938962288E-2</v>
      </c>
      <c r="EZ81" s="2">
        <f>124.046813690995*(1/14151.6638359215)</f>
        <v>8.7655285717092909E-3</v>
      </c>
      <c r="FA81" s="2">
        <f>97.9643802863013*(1/14151.6638359215)</f>
        <v>6.9224637768483472E-3</v>
      </c>
      <c r="FB81" s="2">
        <f>76.8774349087025*(1/14151.6638359215)</f>
        <v>5.4323954978044847E-3</v>
      </c>
      <c r="FC81" s="2">
        <f>58.9965130171916*(1/14151.6638359215)</f>
        <v>4.1688746780035417E-3</v>
      </c>
      <c r="FD81" s="2">
        <f>42.5321500707493*(1/14151.6638359215)</f>
        <v>3.0054522608704815E-3</v>
      </c>
      <c r="FE81" s="2">
        <f>25.6948815283608*(1/14151.6638359215)</f>
        <v>1.8156791898305893E-3</v>
      </c>
      <c r="FF81" s="2">
        <f>7.74506787148601*(1/14151.6638359215)</f>
        <v>5.4729026645096836E-4</v>
      </c>
      <c r="FG81" s="2">
        <f>-7.42759380592311*(1/14151.6638359215)</f>
        <v>-5.2485657460781931E-4</v>
      </c>
      <c r="FH81" s="2">
        <f>-19.2451099521608*(1/14151.6638359215)</f>
        <v>-1.3599185350425358E-3</v>
      </c>
      <c r="FI81" s="2">
        <f>-27.7074805672301*(1/14151.6638359215)</f>
        <v>-1.9578956148533964E-3</v>
      </c>
      <c r="FJ81" s="2">
        <f>-32.8147056511312*(1/14151.6638359215)</f>
        <v>-2.3187878140404142E-3</v>
      </c>
      <c r="FK81" s="2">
        <f>-34.5667852038639*(1/14151.6638359215)</f>
        <v>-2.4425951326035758E-3</v>
      </c>
      <c r="FL81" s="2">
        <f>-32.9637192254284*(1/14151.6638359215)</f>
        <v>-2.3293175705428938E-3</v>
      </c>
      <c r="FM81" s="2">
        <f>-28.0055077158233*(1/14151.6638359215)</f>
        <v>-1.978955127858271E-3</v>
      </c>
      <c r="FN81" s="2">
        <f>-19.6921506750505*(1/14151.6638359215)</f>
        <v>-1.3915078045498403E-3</v>
      </c>
      <c r="FO81" s="2">
        <f>-8.02364810310937*(1/14151.6638359215)</f>
        <v>-5.6697560061755824E-4</v>
      </c>
      <c r="FP81" s="2">
        <f t="shared" si="17"/>
        <v>4.9464148393856954E-4</v>
      </c>
      <c r="FQ81" s="2"/>
    </row>
    <row r="82" spans="2:173">
      <c r="B82" s="2">
        <v>10.047928994082842</v>
      </c>
      <c r="C82" s="2">
        <f t="shared" si="18"/>
        <v>4.9464148393856954E-4</v>
      </c>
      <c r="D82" s="2">
        <f>-10.0078565095354*(1/14151.6638359215)</f>
        <v>-7.0718585641726625E-4</v>
      </c>
      <c r="E82" s="2">
        <f>-23.4595801240544*(1/14151.6638359215)</f>
        <v>-1.6577259321625772E-3</v>
      </c>
      <c r="F82" s="2">
        <f>-33.3551708435585*(1/14151.6638359215)</f>
        <v>-2.3569787432974692E-3</v>
      </c>
      <c r="G82" s="2">
        <f>-39.6946286680442*(1/14151.6638359215)</f>
        <v>-2.8049442898216955E-3</v>
      </c>
      <c r="H82" s="2">
        <f>-42.4779535975135*(1/14151.6638359215)</f>
        <v>-3.0016225717353967E-3</v>
      </c>
      <c r="I82" s="2">
        <f>-41.7051456319664*(1/14151.6638359215)</f>
        <v>-2.9470135890385732E-3</v>
      </c>
      <c r="J82" s="2">
        <f>-37.376204771403*(1/14151.6638359215)</f>
        <v>-2.641117341731232E-3</v>
      </c>
      <c r="K82" s="2">
        <f>-29.4911310158233*(1/14151.6638359215)</f>
        <v>-2.083933829813373E-3</v>
      </c>
      <c r="L82" s="2">
        <f>-18.0499243652247*(1/14151.6638359215)</f>
        <v>-1.2754630532848127E-3</v>
      </c>
      <c r="M82" s="2">
        <f>-3.05258481961156*(1/14151.6638359215)</f>
        <v>-2.1570501214585895E-4</v>
      </c>
      <c r="N82" s="2">
        <f>14.7789611823973*(1/14151.6638359215)</f>
        <v>1.0443267557616453E-3</v>
      </c>
      <c r="O82" s="2">
        <f>30.5863978999222*(1/14151.6638359215)</f>
        <v>2.1613287493647236E-3</v>
      </c>
      <c r="P82" s="2">
        <f>45.2935510779251*(1/14151.6638359215)</f>
        <v>3.2005813311474672E-3</v>
      </c>
      <c r="Q82" s="2">
        <f>61.1355006049845*(1/14151.6638359215)</f>
        <v>4.3200221057966932E-3</v>
      </c>
      <c r="R82" s="2">
        <f>80.3473263696827*(1/14151.6638359215)</f>
        <v>5.6775886779994881E-3</v>
      </c>
      <c r="S82" s="2">
        <f>105.164108260591*(1/14151.6638359215)</f>
        <v>7.4312186524421583E-3</v>
      </c>
      <c r="T82" s="2">
        <f>137.820926166292*(1/14151.6638359215)</f>
        <v>9.7388496338118146E-3</v>
      </c>
      <c r="U82" s="2">
        <f>180.552859975362*(1/14151.6638359215)</f>
        <v>1.2758419226795117E-2</v>
      </c>
      <c r="V82" s="2">
        <f>235.594989576381*(1/14151.6638359215)</f>
        <v>1.6647865036078988E-2</v>
      </c>
      <c r="W82" s="2">
        <f>305.182394857927*(1/14151.6638359215)</f>
        <v>2.1565124666350213E-2</v>
      </c>
      <c r="X82" s="2">
        <f>391.550155708596*(1/14151.6638359215)</f>
        <v>2.766813572229684E-2</v>
      </c>
      <c r="Y82" s="2">
        <f>495.840401778094*(1/14151.6638359215)</f>
        <v>3.5037604590316136E-2</v>
      </c>
      <c r="Z82" s="2">
        <f>616.210658471031*(1/14151.6638359215)</f>
        <v>4.3543336360696266E-2</v>
      </c>
      <c r="AA82" s="2">
        <f>750.894320109584*(1/14151.6638359215)</f>
        <v>5.3060497254292557E-2</v>
      </c>
      <c r="AB82" s="2">
        <f>898.136696095538*(1/14151.6638359215)</f>
        <v>6.3465095448054426E-2</v>
      </c>
      <c r="AC82" s="2">
        <f>1056.18309583068*(1/14151.6638359215)</f>
        <v>7.4633139118931421E-2</v>
      </c>
      <c r="AD82" s="2">
        <f>1223.27882871681*(1/14151.6638359215)</f>
        <v>8.6440636443874022E-2</v>
      </c>
      <c r="AE82" s="2">
        <f>1397.66920415568*(1/14151.6638359215)</f>
        <v>9.8763595599829307E-2</v>
      </c>
      <c r="AF82" s="2">
        <f>1577.59953154907*(1/14151.6638359215)</f>
        <v>0.11147802476374631</v>
      </c>
      <c r="AG82" s="2">
        <f>1761.31512029879*(1/14151.6638359215)</f>
        <v>0.12445993211257622</v>
      </c>
      <c r="AH82" s="2">
        <f>1947.06127980661*(1/14151.6638359215)</f>
        <v>0.13758532582326741</v>
      </c>
      <c r="AI82" s="2">
        <f>2133.47488686678*(1/14151.6638359215)</f>
        <v>0.15075788342649368</v>
      </c>
      <c r="AJ82" s="2">
        <f>2324.898214604*(1/14151.6638359215)</f>
        <v>0.16428444326826477</v>
      </c>
      <c r="AK82" s="2">
        <f>2522.64103341458*(1/14151.6638359215)</f>
        <v>0.17825755774464491</v>
      </c>
      <c r="AL82" s="2">
        <f>2726.21791497315*(1/14151.6638359215)</f>
        <v>0.19264292500031885</v>
      </c>
      <c r="AM82" s="2">
        <f>2935.14343095434*(1/14151.6638359215)</f>
        <v>0.20740624317997131</v>
      </c>
      <c r="AN82" s="2">
        <f>3148.93215303278*(1/14151.6638359215)</f>
        <v>0.22251321042828703</v>
      </c>
      <c r="AO82" s="2">
        <f>3367.0986528831*(1/14151.6638359215)</f>
        <v>0.23792952488995073</v>
      </c>
      <c r="AP82" s="2">
        <f>3589.15750217996*(1/14151.6638359215)</f>
        <v>0.25362088470964927</v>
      </c>
      <c r="AQ82" s="2">
        <f>3814.62327259792*(1/14151.6638359215)</f>
        <v>0.26955298803206251</v>
      </c>
      <c r="AR82" s="2">
        <f>4043.01053581164*(1/14151.6638359215)</f>
        <v>0.28569153300187722</v>
      </c>
      <c r="AS82" s="2">
        <f>4273.83386349575*(1/14151.6638359215)</f>
        <v>0.30200221776377822</v>
      </c>
      <c r="AT82" s="2">
        <f>4507.3624110423*(1/14151.6638359215)</f>
        <v>0.31850406166384171</v>
      </c>
      <c r="AU82" s="2">
        <f>4745.07002614753*(1/14151.6638359215)</f>
        <v>0.3353012113037202</v>
      </c>
      <c r="AV82" s="2">
        <f>4986.77757443423*(1/14151.6638359215)</f>
        <v>0.35238100849853254</v>
      </c>
      <c r="AW82" s="2">
        <f>5232.22442048281*(1/14151.6638359215)</f>
        <v>0.36972503594960565</v>
      </c>
      <c r="AX82" s="2">
        <f>5481.14992887365*(1/14151.6638359215)</f>
        <v>0.38731487635826389</v>
      </c>
      <c r="AY82" s="2">
        <f>5733.29346418712*(1/14151.6638359215)</f>
        <v>0.4051321124258313</v>
      </c>
      <c r="AZ82" s="2">
        <f>5988.3943910036*(1/14151.6638359215)</f>
        <v>0.42315832685363242</v>
      </c>
      <c r="BA82" s="2">
        <f>6246.19207390351*(1/14151.6638359215)</f>
        <v>0.44137510234299482</v>
      </c>
      <c r="BB82" s="2">
        <f>6506.42587746712*(1/14151.6638359215)</f>
        <v>0.45976402159523511</v>
      </c>
      <c r="BC82" s="2">
        <f>6768.83516627485*(1/14151.6638359215)</f>
        <v>0.47830666731168087</v>
      </c>
      <c r="BD82" s="2">
        <f>7033.27116131847*(1/14151.6638359215)</f>
        <v>0.49699252631098778</v>
      </c>
      <c r="BE82" s="2">
        <f>7303.31661762674*(1/14151.6638359215)</f>
        <v>0.51607476705944355</v>
      </c>
      <c r="BF82" s="2">
        <f>7579.64605025547*(1/14151.6638359215)</f>
        <v>0.53560105286106907</v>
      </c>
      <c r="BG82" s="2">
        <f>7860.68949967565*(1/14151.6638359215)</f>
        <v>0.55546044555712792</v>
      </c>
      <c r="BH82" s="2">
        <f>8144.87700635813*(1/14151.6638359215)</f>
        <v>0.57554200698887414</v>
      </c>
      <c r="BI82" s="2">
        <f>8430.63861077388*(1/14151.6638359215)</f>
        <v>0.59573479899757031</v>
      </c>
      <c r="BJ82" s="2">
        <f>8716.40435339386*(1/14151.6638359215)</f>
        <v>0.61592788342447813</v>
      </c>
      <c r="BK82" s="2">
        <f>9000.604274689*(1/14151.6638359215)</f>
        <v>0.63601032211085706</v>
      </c>
      <c r="BL82" s="2">
        <f>9281.66841513025*(1/14151.6638359215)</f>
        <v>0.65587117689796837</v>
      </c>
      <c r="BM82" s="2">
        <f>9558.02681518859*(1/14151.6638359215)</f>
        <v>0.67539950962707485</v>
      </c>
      <c r="BN82" s="2">
        <f>9828.10951533486*(1/14151.6638359215)</f>
        <v>0.69448438213943009</v>
      </c>
      <c r="BO82" s="2">
        <f>10093.6290571313*(1/14151.6638359215)</f>
        <v>0.71324680787784156</v>
      </c>
      <c r="BP82" s="2">
        <f>10364.5935614966*(1/14151.6638359215)</f>
        <v>0.7323939913826889</v>
      </c>
      <c r="BQ82" s="2">
        <f>10638.9192286389*(1/14151.6638359215)</f>
        <v>0.75177868496521827</v>
      </c>
      <c r="BR82" s="2">
        <f>10913.2998653981*(1/14151.6638359215)</f>
        <v>0.7711672628695867</v>
      </c>
      <c r="BS82" s="2">
        <f>11184.4292786139*(1/14151.6638359215)</f>
        <v>0.79032609933993769</v>
      </c>
      <c r="BT82" s="2">
        <f>11449.0012751259*(1/14151.6638359215)</f>
        <v>0.80902156862040719</v>
      </c>
      <c r="BU82" s="2">
        <f>11703.709661774*(1/14151.6638359215)</f>
        <v>0.82702004495515224</v>
      </c>
      <c r="BV82" s="2">
        <f>11945.2482453978*(1/14151.6638359215)</f>
        <v>0.84408790258830879</v>
      </c>
      <c r="BW82" s="2">
        <f>12170.3108328371*(1/14151.6638359215)</f>
        <v>0.85999151576402733</v>
      </c>
      <c r="BX82" s="2">
        <f>12375.5912309316*(1/14151.6638359215)</f>
        <v>0.87449725872645079</v>
      </c>
      <c r="BY82" s="2">
        <f>12557.8276407458*(1/14151.6638359215)</f>
        <v>0.88737464275189837</v>
      </c>
      <c r="BZ82" s="2">
        <f>12726.440252095*(1/14151.6638359215)</f>
        <v>0.89928932736454492</v>
      </c>
      <c r="CA82" s="2">
        <f>12888.2460052641*(1/14151.6638359215)</f>
        <v>0.91072301848702508</v>
      </c>
      <c r="CB82" s="2">
        <f>13040.0962119842*(1/14151.6638359215)</f>
        <v>0.92145322014251207</v>
      </c>
      <c r="CC82" s="2">
        <f>13178.8421839864*(1/14151.6638359215)</f>
        <v>0.9312574363541789</v>
      </c>
      <c r="CD82" s="2">
        <f>13301.3352330021*(1/14151.6638359215)</f>
        <v>0.93991317114521966</v>
      </c>
      <c r="CE82" s="2">
        <f>13404.4266707622*(1/14151.6638359215)</f>
        <v>0.94719792853879337</v>
      </c>
      <c r="CF82" s="2">
        <f>13484.9678089981*(1/14151.6638359215)</f>
        <v>0.95288921255809444</v>
      </c>
      <c r="CG82" s="2">
        <f>13539.8099594408*(1/14151.6638359215)</f>
        <v>0.95676452722628857</v>
      </c>
      <c r="CH82" s="2">
        <f>13565.8044338215*(1/14151.6638359215)</f>
        <v>0.9586013765665562</v>
      </c>
      <c r="CI82" s="2">
        <f>13559.8025438715*(1/14151.6638359215)</f>
        <v>0.95817726460208408</v>
      </c>
      <c r="CJ82" s="2">
        <f>13518.0386866921*(1/14151.6638359215)</f>
        <v>0.95522610227491034</v>
      </c>
      <c r="CK82" s="2">
        <f>13436.6933194339*(1/14151.6638359215)</f>
        <v>0.94947798896460689</v>
      </c>
      <c r="CL82" s="2">
        <f>13319.7457907021*(1/14151.6638359215)</f>
        <v>0.94121411765677176</v>
      </c>
      <c r="CM82" s="2">
        <f>13172.1291007538*(1/14151.6638359215)</f>
        <v>0.93078306928961074</v>
      </c>
      <c r="CN82" s="2">
        <f>12998.776249846*(1/14151.6638359215)</f>
        <v>0.91853342480132283</v>
      </c>
      <c r="CO82" s="2">
        <f>12804.6202382355*(1/14151.6638359215)</f>
        <v>0.9048137651300926</v>
      </c>
      <c r="CP82" s="2">
        <f>12594.5940661795*(1/14151.6638359215)</f>
        <v>0.88997267121413293</v>
      </c>
      <c r="CQ82" s="2">
        <f>12373.6307339348*(1/14151.6638359215)</f>
        <v>0.87435872399162873</v>
      </c>
      <c r="CR82" s="2">
        <f>12146.6632417585*(1/14151.6638359215)</f>
        <v>0.85832050440078578</v>
      </c>
      <c r="CS82" s="2">
        <f>11918.6245899076*(1/14151.6638359215)</f>
        <v>0.84220659337980286</v>
      </c>
      <c r="CT82" s="2">
        <f>11694.447778639*(1/14151.6638359215)</f>
        <v>0.82636557186687187</v>
      </c>
      <c r="CU82" s="2">
        <f>11466.7580693665*(1/14151.6638359215)</f>
        <v>0.81027631819943036</v>
      </c>
      <c r="CV82" s="2">
        <f>11223.5316321324*(1/14151.6638359215)</f>
        <v>0.79308919164992087</v>
      </c>
      <c r="CW82" s="2">
        <f>10967.550594062*(1/14151.6638359215)</f>
        <v>0.77500078585973831</v>
      </c>
      <c r="CX82" s="2">
        <f>10701.6504177574*(1/14151.6638359215)</f>
        <v>0.75621146331876188</v>
      </c>
      <c r="CY82" s="2">
        <f>10428.6665658211*(1/14151.6638359215)</f>
        <v>0.73692158651689932</v>
      </c>
      <c r="CZ82" s="2">
        <f>10151.4345008553*(1/14151.6638359215)</f>
        <v>0.71733151794403671</v>
      </c>
      <c r="DA82" s="2">
        <f>9872.78968546218*(1/14151.6638359215)</f>
        <v>0.69764162009005937</v>
      </c>
      <c r="DB82" s="2">
        <f>9595.56758224428*(1/14151.6638359215)</f>
        <v>0.67805225544487757</v>
      </c>
      <c r="DC82" s="2">
        <f>9322.6036538038*(1/14151.6638359215)</f>
        <v>0.65876378649837752</v>
      </c>
      <c r="DD82" s="2">
        <f>9056.73336274305*(1/14151.6638359215)</f>
        <v>0.63997657574045341</v>
      </c>
      <c r="DE82" s="2">
        <f>8800.00212380086*(1/14151.6638359215)</f>
        <v>0.62183515845420301</v>
      </c>
      <c r="DF82" s="2">
        <f>8546.1837059757*(1/14151.6638359215)</f>
        <v>0.60389957004792061</v>
      </c>
      <c r="DG82" s="2">
        <f>8293.51552630443*(1/14151.6638359215)</f>
        <v>0.58604526099982723</v>
      </c>
      <c r="DH82" s="2">
        <f>8042.26220678729*(1/14151.6638359215)</f>
        <v>0.56829093031262001</v>
      </c>
      <c r="DI82" s="2">
        <f>7792.68836942468*(1/14151.6638359215)</f>
        <v>0.55065527698900796</v>
      </c>
      <c r="DJ82" s="2">
        <f>7545.05863621684*(1/14151.6638359215)</f>
        <v>0.5331570000316882</v>
      </c>
      <c r="DK82" s="2">
        <f>7299.63762916409*(1/14151.6638359215)</f>
        <v>0.51581479844336386</v>
      </c>
      <c r="DL82" s="2">
        <f>7056.68997026671*(1/14151.6638359215)</f>
        <v>0.49864737122673508</v>
      </c>
      <c r="DM82" s="2">
        <f>6816.48028152495*(1/14151.6638359215)</f>
        <v>0.48167341738449998</v>
      </c>
      <c r="DN82" s="2">
        <f>6579.27318493923*(1/14151.6638359215)</f>
        <v>0.46491163591936852</v>
      </c>
      <c r="DO82" s="2">
        <f>6345.33330250977*(1/14151.6638359215)</f>
        <v>0.44838072583403671</v>
      </c>
      <c r="DP82" s="2">
        <f>6114.88142196772*(1/14151.6638359215)</f>
        <v>0.43209628866721472</v>
      </c>
      <c r="DQ82" s="2">
        <f>5887.80398419612*(1/14151.6638359215)</f>
        <v>0.41605029998317011</v>
      </c>
      <c r="DR82" s="2">
        <f>5663.83391063489*(1/14151.6638359215)</f>
        <v>0.40022388719114765</v>
      </c>
      <c r="DS82" s="2">
        <f>5442.70333705684*(1/14151.6638359215)</f>
        <v>0.38459812218274281</v>
      </c>
      <c r="DT82" s="2">
        <f>5224.14439923473*(1/14151.6638359215)</f>
        <v>0.36915407684954771</v>
      </c>
      <c r="DU82" s="2">
        <f>5007.88923294144*(1/14151.6638359215)</f>
        <v>0.3538728230831627</v>
      </c>
      <c r="DV82" s="2">
        <f>4793.66997394971*(1/14151.6638359215)</f>
        <v>0.33873543277517837</v>
      </c>
      <c r="DW82" s="2">
        <f>4581.21875803237*(1/14151.6638359215)</f>
        <v>0.32372297781719173</v>
      </c>
      <c r="DX82" s="2">
        <f>4370.26772096219*(1/14151.6638359215)</f>
        <v>0.30881653010079541</v>
      </c>
      <c r="DY82" s="2">
        <f>4160.54899851195*(1/14151.6638359215)</f>
        <v>0.29399716151758293</v>
      </c>
      <c r="DZ82" s="2">
        <f>3951.70538425612*(1/14151.6638359215)</f>
        <v>0.27923963076521174</v>
      </c>
      <c r="EA82" s="2">
        <f>3741.86296749278*(1/14151.6638359215)</f>
        <v>0.26441152156220116</v>
      </c>
      <c r="EB82" s="2">
        <f>3531.20080118648*(1/14151.6638359215)</f>
        <v>0.24952548634056373</v>
      </c>
      <c r="EC82" s="2">
        <f>3320.83143156782*(1/14151.6638359215)</f>
        <v>0.23466014103150726</v>
      </c>
      <c r="ED82" s="2">
        <f>3111.86740486734*(1/14151.6638359215)</f>
        <v>0.21989410156623523</v>
      </c>
      <c r="EE82" s="2">
        <f>2905.4212673156*(1/14151.6638359215)</f>
        <v>0.20530598387595253</v>
      </c>
      <c r="EF82" s="2">
        <f>2702.60556514322*(1/14151.6638359215)</f>
        <v>0.19097440389186837</v>
      </c>
      <c r="EG82" s="2">
        <f>2504.53284458075*(1/14151.6638359215)</f>
        <v>0.17697797754518699</v>
      </c>
      <c r="EH82" s="2">
        <f>2312.31565185874*(1/14151.6638359215)</f>
        <v>0.16339532076711255</v>
      </c>
      <c r="EI82" s="2">
        <f>2127.06653320778*(1/14151.6638359215)</f>
        <v>0.15030504948885215</v>
      </c>
      <c r="EJ82" s="2">
        <f>1949.89803485839*(1/14151.6638359215)</f>
        <v>0.13778577964160782</v>
      </c>
      <c r="EK82" s="2">
        <f>1780.03551949298*(1/14151.6638359215)</f>
        <v>0.12578277297505289</v>
      </c>
      <c r="EL82" s="2">
        <f>1612.90500219341*(1/14151.6638359215)</f>
        <v>0.11397281767669858</v>
      </c>
      <c r="EM82" s="2">
        <f>1449.27431915306*(1/14151.6638359215)</f>
        <v>0.10241017140856139</v>
      </c>
      <c r="EN82" s="2">
        <f>1290.30196843549*(1/14151.6638359215)</f>
        <v>9.1176697199398291E-2</v>
      </c>
      <c r="EO82" s="2">
        <f>1137.14644810429*(1/14151.6638359215)</f>
        <v>8.0354258077968505E-2</v>
      </c>
      <c r="EP82" s="2">
        <f>990.966256223023*(1/14151.6638359215)</f>
        <v>7.0024717073029263E-2</v>
      </c>
      <c r="EQ82" s="2">
        <f>852.919890855245*(1/14151.6638359215)</f>
        <v>6.0269937213337309E-2</v>
      </c>
      <c r="ER82" s="2">
        <f>724.165850064581*(1/14151.6638359215)</f>
        <v>5.1171781527654288E-2</v>
      </c>
      <c r="ES82" s="2">
        <f>605.862631914576*(1/14151.6638359215)</f>
        <v>4.2812113044736172E-2</v>
      </c>
      <c r="ET82" s="2">
        <f>499.168734468806*(1/14151.6638359215)</f>
        <v>3.5272794793341139E-2</v>
      </c>
      <c r="EU82" s="2">
        <f>405.258605710199*(1/14151.6638359215)</f>
        <v>2.8636816872481211E-2</v>
      </c>
      <c r="EV82" s="2">
        <f>325.916463836586*(1/14151.6638359215)</f>
        <v>2.3030257616020004E-2</v>
      </c>
      <c r="EW82" s="2">
        <f>260.524881999533*(1/14151.6638359215)</f>
        <v>1.8409487747881391E-2</v>
      </c>
      <c r="EX82" s="2">
        <f>207.310809460127*(1/14151.6638359215)</f>
        <v>1.4649218061123322E-2</v>
      </c>
      <c r="EY82" s="2">
        <f>164.501195479469*(1/14151.6638359215)</f>
        <v>1.1624159348804751E-2</v>
      </c>
      <c r="EZ82" s="2">
        <f>130.322989318662*(1/14151.6638359215)</f>
        <v>9.2090224039847596E-3</v>
      </c>
      <c r="FA82" s="2">
        <f>103.003140238806*(1/14151.6638359215)</f>
        <v>7.2785180197222259E-3</v>
      </c>
      <c r="FB82" s="2">
        <f>80.7685975010013*(1/14151.6638359215)</f>
        <v>5.7073569890760461E-3</v>
      </c>
      <c r="FC82" s="2">
        <f>61.8463103663566*(1/14151.6638359215)</f>
        <v>4.3702501051057089E-3</v>
      </c>
      <c r="FD82" s="2">
        <f>44.4632280959697*(1/14151.6638359215)</f>
        <v>3.1419081608699355E-3</v>
      </c>
      <c r="FE82" s="2">
        <f>26.8462999509422*(1/14151.6638359215)</f>
        <v>1.8970419494277139E-3</v>
      </c>
      <c r="FF82" s="2">
        <f>8.26267073084531*(1/14151.6638359215)</f>
        <v>5.8386567308587266E-4</v>
      </c>
      <c r="FG82" s="2">
        <f>-7.43364058353125*(1/14151.6638359215)</f>
        <v>-5.2528385847198163E-4</v>
      </c>
      <c r="FH82" s="2">
        <f>-19.669942066507*(1/14151.6638359215)</f>
        <v>-1.3899384761089596E-3</v>
      </c>
      <c r="FI82" s="2">
        <f>-28.4462337180853*(1/14151.6638359215)</f>
        <v>-2.010098179825298E-3</v>
      </c>
      <c r="FJ82" s="2">
        <f>-33.7625155382661*(1/14151.6638359215)</f>
        <v>-2.3857629696209938E-3</v>
      </c>
      <c r="FK82" s="2">
        <f>-35.6187875270494*(1/14151.6638359215)</f>
        <v>-2.5169328454960468E-3</v>
      </c>
      <c r="FL82" s="2">
        <f>-34.0150496844352*(1/14151.6638359215)</f>
        <v>-2.4036078074504571E-3</v>
      </c>
      <c r="FM82" s="2">
        <f>-28.9513020104222*(1/14151.6638359215)</f>
        <v>-2.0457878554841326E-3</v>
      </c>
      <c r="FN82" s="2">
        <f>-20.4275445050123*(1/14151.6638359215)</f>
        <v>-1.4434729895972081E-3</v>
      </c>
      <c r="FO82" s="2">
        <f>-8.44377716820487*(1/14151.6638359215)</f>
        <v>-5.9666320978963845E-4</v>
      </c>
      <c r="FP82" s="2">
        <f t="shared" si="17"/>
        <v>4.9464148393856954E-4</v>
      </c>
      <c r="FQ82" s="2"/>
    </row>
    <row r="83" spans="2:173">
      <c r="B83" s="2">
        <v>10.057396449704143</v>
      </c>
      <c r="C83" s="2">
        <f t="shared" si="18"/>
        <v>4.9464148393856954E-4</v>
      </c>
      <c r="D83" s="2">
        <f>-10.5329444538376*(1/14151.6638359215)</f>
        <v>-7.4429018212696519E-4</v>
      </c>
      <c r="E83" s="2">
        <f>-24.4001184505205*(1/14151.6638359215)</f>
        <v>-1.7241872569489045E-3</v>
      </c>
      <c r="F83" s="2">
        <f>-34.6015219900502*(1/14151.6638359215)</f>
        <v>-2.4450497405273542E-3</v>
      </c>
      <c r="G83" s="2">
        <f>-41.1371550724229*(1/14151.6638359215)</f>
        <v>-2.9068776328620453E-3</v>
      </c>
      <c r="H83" s="2">
        <f>-44.0070176976409*(1/14151.6638359215)</f>
        <v>-3.1096709339531407E-3</v>
      </c>
      <c r="I83" s="2">
        <f>-43.2111098657041*(1/14151.6638359215)</f>
        <v>-3.0534296438006342E-3</v>
      </c>
      <c r="J83" s="2">
        <f>-38.7494315766126*(1/14151.6638359215)</f>
        <v>-2.7381537624045315E-3</v>
      </c>
      <c r="K83" s="2">
        <f>-30.6219828303663*(1/14151.6638359215)</f>
        <v>-2.1638432897648262E-3</v>
      </c>
      <c r="L83" s="2">
        <f>-18.8287636269628*(1/14151.6638359215)</f>
        <v>-1.3304982258813488E-3</v>
      </c>
      <c r="M83" s="2">
        <f>-3.36977396640632*(1/14151.6638359215)</f>
        <v>-2.3811857075439738E-4</v>
      </c>
      <c r="N83" s="2">
        <f>15.0594708500599*(1/14151.6638359215)</f>
        <v>1.0641484298004658E-3</v>
      </c>
      <c r="O83" s="2">
        <f>31.7783929196277*(1/14151.6638359215)</f>
        <v>2.245558775849654E-3</v>
      </c>
      <c r="P83" s="2">
        <f>47.6770205151675*(1/14151.6638359215)</f>
        <v>3.3690045967702965E-3</v>
      </c>
      <c r="Q83" s="2">
        <f>64.9086648036469*(1/14151.6638359215)</f>
        <v>4.586645468421015E-3</v>
      </c>
      <c r="R83" s="2">
        <f>85.6266369520382*(1/14151.6638359215)</f>
        <v>6.0506409666607613E-3</v>
      </c>
      <c r="S83" s="2">
        <f>111.984248127301*(1/14151.6638359215)</f>
        <v>7.9131506673475929E-3</v>
      </c>
      <c r="T83" s="2">
        <f>146.134809496408*(1/14151.6638359215)</f>
        <v>1.0326334146340488E-2</v>
      </c>
      <c r="U83" s="2">
        <f>190.231632226325*(1/14151.6638359215)</f>
        <v>1.3442350979497943E-2</v>
      </c>
      <c r="V83" s="2">
        <f>246.42802748402*(1/14151.6638359215)</f>
        <v>1.7413360742678609E-2</v>
      </c>
      <c r="W83" s="2">
        <f>316.877306436462*(1/14151.6638359215)</f>
        <v>2.2391523011741198E-2</v>
      </c>
      <c r="X83" s="2">
        <f>403.732780250636*(1/14151.6638359215)</f>
        <v>2.852899736254557E-2</v>
      </c>
      <c r="Y83" s="2">
        <f>508.045599701609*(1/14151.6638359215)</f>
        <v>3.5900061334980624E-2</v>
      </c>
      <c r="Z83" s="2">
        <f>627.985703664665*(1/14151.6638359215)</f>
        <v>4.4375397193270959E-2</v>
      </c>
      <c r="AA83" s="2">
        <f>761.889805180707*(1/14151.6638359215)</f>
        <v>5.3837471976036076E-2</v>
      </c>
      <c r="AB83" s="2">
        <f>908.107204080338*(1/14151.6638359215)</f>
        <v>6.416964214308625E-2</v>
      </c>
      <c r="AC83" s="2">
        <f>1064.98720019416*(1/14151.6638359215)</f>
        <v>7.5255264154231685E-2</v>
      </c>
      <c r="AD83" s="2">
        <f>1230.87909335281*(1/14151.6638359215)</f>
        <v>8.6977694469285008E-2</v>
      </c>
      <c r="AE83" s="2">
        <f>1404.13218338683*(1/14151.6638359215)</f>
        <v>9.922028954805219E-2</v>
      </c>
      <c r="AF83" s="2">
        <f>1583.09577012685*(1/14151.6638359215)</f>
        <v>0.11186640585034539</v>
      </c>
      <c r="AG83" s="2">
        <f>1766.11915340348*(1/14151.6638359215)</f>
        <v>0.12479939983597535</v>
      </c>
      <c r="AH83" s="2">
        <f>1951.55163304731*(1/14151.6638359215)</f>
        <v>0.13790262796475145</v>
      </c>
      <c r="AI83" s="2">
        <f>2138.1205039506*(1/14151.6638359215)</f>
        <v>0.15108615698765812</v>
      </c>
      <c r="AJ83" s="2">
        <f>2330.03515461401*(1/14151.6638359215)</f>
        <v>0.16464743521532976</v>
      </c>
      <c r="AK83" s="2">
        <f>2528.5211632109*(1/14151.6638359215)</f>
        <v>0.17867306576295966</v>
      </c>
      <c r="AL83" s="2">
        <f>2733.06412464433*(1/14151.6638359215)</f>
        <v>0.19312669918761988</v>
      </c>
      <c r="AM83" s="2">
        <f>2943.14963381739*(1/14151.6638359215)</f>
        <v>0.2079719860463845</v>
      </c>
      <c r="AN83" s="2">
        <f>3158.26328563315*(1/14151.6638359215)</f>
        <v>0.22317257689632625</v>
      </c>
      <c r="AO83" s="2">
        <f>3377.8906749947*(1/14151.6638359215)</f>
        <v>0.23869212229451925</v>
      </c>
      <c r="AP83" s="2">
        <f>3601.51739680515*(1/14151.6638359215)</f>
        <v>0.25449427279803905</v>
      </c>
      <c r="AQ83" s="2">
        <f>3828.62904596751*(1/14151.6638359215)</f>
        <v>0.27054267896395418</v>
      </c>
      <c r="AR83" s="2">
        <f>4058.71121738488*(1/14151.6638359215)</f>
        <v>0.28680099134933934</v>
      </c>
      <c r="AS83" s="2">
        <f>4291.24950596034*(1/14151.6638359215)</f>
        <v>0.30323286051126797</v>
      </c>
      <c r="AT83" s="2">
        <f>4526.67257193217*(1/14151.6638359215)</f>
        <v>0.31986857689779286</v>
      </c>
      <c r="AU83" s="2">
        <f>4766.81328183043*(1/14151.6638359215)</f>
        <v>0.33683765648324099</v>
      </c>
      <c r="AV83" s="2">
        <f>5011.34344573254*(1/14151.6638359215)</f>
        <v>0.35411690836042403</v>
      </c>
      <c r="AW83" s="2">
        <f>5259.83094583815*(1/14151.6638359215)</f>
        <v>0.37167579775934179</v>
      </c>
      <c r="AX83" s="2">
        <f>5511.84366434685*(1/14151.6638359215)</f>
        <v>0.38948378990998983</v>
      </c>
      <c r="AY83" s="2">
        <f>5766.94948345826*(1/14151.6638359215)</f>
        <v>0.40751035004236585</v>
      </c>
      <c r="AZ83" s="2">
        <f>6024.71628537197*(1/14151.6638359215)</f>
        <v>0.42572494338646538</v>
      </c>
      <c r="BA83" s="2">
        <f>6284.71195228762*(1/14151.6638359215)</f>
        <v>0.44409703517228755</v>
      </c>
      <c r="BB83" s="2">
        <f>6546.50436640473*(1/14151.6638359215)</f>
        <v>0.46259609062982293</v>
      </c>
      <c r="BC83" s="2">
        <f>6809.66140992294*(1/14151.6638359215)</f>
        <v>0.48119157498907067</v>
      </c>
      <c r="BD83" s="2">
        <f>7073.84577668121*(1/14151.6638359215)</f>
        <v>0.49985965316145381</v>
      </c>
      <c r="BE83" s="2">
        <f>7341.98414860311*(1/14151.6638359215)</f>
        <v>0.51880713347407104</v>
      </c>
      <c r="BF83" s="2">
        <f>7614.81977496531*(1/14151.6638359215)</f>
        <v>0.53808653620194358</v>
      </c>
      <c r="BG83" s="2">
        <f>7891.24075985493*(1/14151.6638359215)</f>
        <v>0.5576192913673097</v>
      </c>
      <c r="BH83" s="2">
        <f>8170.13520735892*(1/14151.6638359215)</f>
        <v>0.57732682899239551</v>
      </c>
      <c r="BI83" s="2">
        <f>8450.39122156441*(1/14151.6638359215)</f>
        <v>0.59713057909944023</v>
      </c>
      <c r="BJ83" s="2">
        <f>8730.89690655846*(1/14151.6638359215)</f>
        <v>0.61695197171067762</v>
      </c>
      <c r="BK83" s="2">
        <f>9010.54036642813*(1/14151.6638359215)</f>
        <v>0.63671243684834178</v>
      </c>
      <c r="BL83" s="2">
        <f>9288.2097052605*(1/14151.6638359215)</f>
        <v>0.65633340453466826</v>
      </c>
      <c r="BM83" s="2">
        <f>9562.79302714267*(1/14151.6638359215)</f>
        <v>0.67573630479189373</v>
      </c>
      <c r="BN83" s="2">
        <f>9833.17843616162*(1/14151.6638359215)</f>
        <v>0.69484256764224661</v>
      </c>
      <c r="BO83" s="2">
        <f>10101.4010004531*(1/14151.6638359215)</f>
        <v>0.71379599724609599</v>
      </c>
      <c r="BP83" s="2">
        <f>10377.0809351954*(1/14151.6638359215)</f>
        <v>0.73327638753367019</v>
      </c>
      <c r="BQ83" s="2">
        <f>10657.7973719512*(1/14151.6638359215)</f>
        <v>0.75311267251121827</v>
      </c>
      <c r="BR83" s="2">
        <f>10939.9379301155*(1/14151.6638359215)</f>
        <v>0.77304959027831055</v>
      </c>
      <c r="BS83" s="2">
        <f>11219.8902290835*(1/14151.6638359215)</f>
        <v>0.79283187893453133</v>
      </c>
      <c r="BT83" s="2">
        <f>11494.0418882502*(1/14151.6638359215)</f>
        <v>0.81220427657945093</v>
      </c>
      <c r="BU83" s="2">
        <f>11758.7805270107*(1/14151.6638359215)</f>
        <v>0.83091152131264678</v>
      </c>
      <c r="BV83" s="2">
        <f>12010.4937647603*(1/14151.6638359215)</f>
        <v>0.84869835123371029</v>
      </c>
      <c r="BW83" s="2">
        <f>12245.569220894*(1/14151.6638359215)</f>
        <v>0.86530950444221155</v>
      </c>
      <c r="BX83" s="2">
        <f>12460.3945148068*(1/14151.6638359215)</f>
        <v>0.88048971903772111</v>
      </c>
      <c r="BY83" s="2">
        <f>12651.4061022197*(1/14151.6638359215)</f>
        <v>0.89398718404448951</v>
      </c>
      <c r="BZ83" s="2">
        <f>12828.9820676444*(1/14151.6638359215)</f>
        <v>0.90653524676584629</v>
      </c>
      <c r="CA83" s="2">
        <f>13000.6037912817*(1/14151.6638359215)</f>
        <v>0.91866256448813899</v>
      </c>
      <c r="CB83" s="2">
        <f>13162.7826014806*(1/14151.6638359215)</f>
        <v>0.93012261696530696</v>
      </c>
      <c r="CC83" s="2">
        <f>13312.0298265899*(1/14151.6638359215)</f>
        <v>0.94066888395127524</v>
      </c>
      <c r="CD83" s="2">
        <f>13444.8567949585*(1/14151.6638359215)</f>
        <v>0.95005484519997607</v>
      </c>
      <c r="CE83" s="2">
        <f>13557.7748349351*(1/14151.6638359215)</f>
        <v>0.95803398046532762</v>
      </c>
      <c r="CF83" s="2">
        <f>13647.2952748686*(1/14151.6638359215)</f>
        <v>0.96435976950126179</v>
      </c>
      <c r="CG83" s="2">
        <f>13709.9294431079*(1/14151.6638359215)</f>
        <v>0.96878569206171117</v>
      </c>
      <c r="CH83" s="2">
        <f>13742.1886680017*(1/14151.6638359215)</f>
        <v>0.97106522790059357</v>
      </c>
      <c r="CI83" s="2">
        <f>13740.584277899*(1/14151.6638359215)</f>
        <v>0.97095185677184859</v>
      </c>
      <c r="CJ83" s="2">
        <f>13701.0446820437*(1/14151.6638359215)</f>
        <v>0.96815786757639177</v>
      </c>
      <c r="CK83" s="2">
        <f>13619.8515791423*(1/14151.6638359215)</f>
        <v>0.96242051373285953</v>
      </c>
      <c r="CL83" s="2">
        <f>13501.2846400719*(1/14151.6638359215)</f>
        <v>0.95404220992031152</v>
      </c>
      <c r="CM83" s="2">
        <f>13350.5695531462*(1/14151.6638359215)</f>
        <v>0.94339221931333173</v>
      </c>
      <c r="CN83" s="2">
        <f>13172.9320066792*(1/14151.6638359215)</f>
        <v>0.93083980508652553</v>
      </c>
      <c r="CO83" s="2">
        <f>12973.5976889846*(1/14151.6638359215)</f>
        <v>0.91675423041447701</v>
      </c>
      <c r="CP83" s="2">
        <f>12757.7922883762*(1/14151.6638359215)</f>
        <v>0.90150475847177758</v>
      </c>
      <c r="CQ83" s="2">
        <f>12530.741493168*(1/14151.6638359215)</f>
        <v>0.88546065243303229</v>
      </c>
      <c r="CR83" s="2">
        <f>12297.6709916735*(1/14151.6638359215)</f>
        <v>0.86899117547281146</v>
      </c>
      <c r="CS83" s="2">
        <f>12063.806472207*(1/14151.6638359215)</f>
        <v>0.85246559076574147</v>
      </c>
      <c r="CT83" s="2">
        <f>11834.373623082*(1/14151.6638359215)</f>
        <v>0.83625316148639228</v>
      </c>
      <c r="CU83" s="2">
        <f>11601.6581064427*(1/14151.6638359215)</f>
        <v>0.819808768845536</v>
      </c>
      <c r="CV83" s="2">
        <f>11353.0037375668*(1/14151.6638359215)</f>
        <v>0.80223808798716689</v>
      </c>
      <c r="CW83" s="2">
        <f>11091.2887131444*(1/14151.6638359215)</f>
        <v>0.78374450112297911</v>
      </c>
      <c r="CX83" s="2">
        <f>10819.447249249*(1/14151.6638359215)</f>
        <v>0.76453534896622855</v>
      </c>
      <c r="CY83" s="2">
        <f>10540.4135619545*(1/14151.6638359215)</f>
        <v>0.74481797223019963</v>
      </c>
      <c r="CZ83" s="2">
        <f>10257.1218673344*(1/14151.6638359215)</f>
        <v>0.72479971162814838</v>
      </c>
      <c r="DA83" s="2">
        <f>9972.5063814622*(1/14151.6638359215)</f>
        <v>0.70468790787333113</v>
      </c>
      <c r="DB83" s="2">
        <f>9689.5013204118*(1/14151.6638359215)</f>
        <v>0.68468990167903176</v>
      </c>
      <c r="DC83" s="2">
        <f>9411.04090025674*(1/14151.6638359215)</f>
        <v>0.66501303375850929</v>
      </c>
      <c r="DD83" s="2">
        <f>9140.05933707067*(1/14151.6638359215)</f>
        <v>0.6458646448250307</v>
      </c>
      <c r="DE83" s="2">
        <f>8878.67504595432*(1/14151.6638359215)</f>
        <v>0.62739442859131311</v>
      </c>
      <c r="DF83" s="2">
        <f>8620.46103270787*(1/14151.6638359215)</f>
        <v>0.60914823392189066</v>
      </c>
      <c r="DG83" s="2">
        <f>8363.59132175651*(1/14151.6638359215)</f>
        <v>0.59099703177848317</v>
      </c>
      <c r="DH83" s="2">
        <f>8108.3323690385*(1/14151.6638359215)</f>
        <v>0.57295965075547728</v>
      </c>
      <c r="DI83" s="2">
        <f>7854.95063049222*(1/14151.6638359215)</f>
        <v>0.5550549194472677</v>
      </c>
      <c r="DJ83" s="2">
        <f>7603.71256205595*(1/14151.6638359215)</f>
        <v>0.53730166644824251</v>
      </c>
      <c r="DK83" s="2">
        <f>7354.88461966799*(1/14151.6638359215)</f>
        <v>0.51971872035279087</v>
      </c>
      <c r="DL83" s="2">
        <f>7108.73325926664*(1/14151.6638359215)</f>
        <v>0.50232490975530208</v>
      </c>
      <c r="DM83" s="2">
        <f>6865.52493679016*(1/14151.6638359215)</f>
        <v>0.48513906325016265</v>
      </c>
      <c r="DN83" s="2">
        <f>6625.52610817695*(1/14151.6638359215)</f>
        <v>0.46818000943176891</v>
      </c>
      <c r="DO83" s="2">
        <f>6389.00322936528*(1/14151.6638359215)</f>
        <v>0.45146657689450792</v>
      </c>
      <c r="DP83" s="2">
        <f>6156.2040021438*(1/14151.6638359215)</f>
        <v>0.43501626900699569</v>
      </c>
      <c r="DQ83" s="2">
        <f>5927.0512916315*(1/14151.6638359215)</f>
        <v>0.41882363518180293</v>
      </c>
      <c r="DR83" s="2">
        <f>5701.25399637948*(1/14151.6638359215)</f>
        <v>0.40286810529712086</v>
      </c>
      <c r="DS83" s="2">
        <f>5478.51873337421*(1/14151.6638359215)</f>
        <v>0.38712894800878167</v>
      </c>
      <c r="DT83" s="2">
        <f>5258.55211960209*(1/14151.6638359215)</f>
        <v>0.37158543197261257</v>
      </c>
      <c r="DU83" s="2">
        <f>5041.06077204967*(1/14151.6638359215)</f>
        <v>0.35621682584445141</v>
      </c>
      <c r="DV83" s="2">
        <f>4825.75130770337*(1/14151.6638359215)</f>
        <v>0.34100239828012679</v>
      </c>
      <c r="DW83" s="2">
        <f>4612.33034354963*(1/14151.6638359215)</f>
        <v>0.32592141793546875</v>
      </c>
      <c r="DX83" s="2">
        <f>4400.50449657491*(1/14151.6638359215)</f>
        <v>0.31095315346630881</v>
      </c>
      <c r="DY83" s="2">
        <f>4189.98038376563*(1/14151.6638359215)</f>
        <v>0.2960768735284755</v>
      </c>
      <c r="DZ83" s="2">
        <f>3980.38533312561*(1/14151.6638359215)</f>
        <v>0.28126624397493849</v>
      </c>
      <c r="EA83" s="2">
        <f>3770.03032772093*(1/14151.6638359215)</f>
        <v>0.26640191368532751</v>
      </c>
      <c r="EB83" s="2">
        <f>3559.12194216801*(1/14151.6638359215)</f>
        <v>0.25149847985604401</v>
      </c>
      <c r="EC83" s="2">
        <f>3348.7058924596*(1/14151.6638359215)</f>
        <v>0.23662983598857834</v>
      </c>
      <c r="ED83" s="2">
        <f>3139.82789458845*(1/14151.6638359215)</f>
        <v>0.22186987558442078</v>
      </c>
      <c r="EE83" s="2">
        <f>2933.53366454727*(1/14151.6638359215)</f>
        <v>0.20729249214505877</v>
      </c>
      <c r="EF83" s="2">
        <f>2730.86891832889*(1/14151.6638359215)</f>
        <v>0.19297157917198834</v>
      </c>
      <c r="EG83" s="2">
        <f>2532.87937192603*(1/14151.6638359215)</f>
        <v>0.17898103016669767</v>
      </c>
      <c r="EH83" s="2">
        <f>2340.61074133142*(1/14151.6638359215)</f>
        <v>0.16539473863067555</v>
      </c>
      <c r="EI83" s="2">
        <f>2155.10874253783*(1/14151.6638359215)</f>
        <v>0.15228659806541384</v>
      </c>
      <c r="EJ83" s="2">
        <f>1977.41909153797*(1/14151.6638359215)</f>
        <v>0.13973050197239995</v>
      </c>
      <c r="EK83" s="2">
        <f>1806.72581475723*(1/14151.6638359215)</f>
        <v>0.12766879115451962</v>
      </c>
      <c r="EL83" s="2">
        <f>1638.51751002325*(1/14151.6638359215)</f>
        <v>0.11578267608817577</v>
      </c>
      <c r="EM83" s="2">
        <f>1473.60885081738*(1/14151.6638359215)</f>
        <v>0.10412972410190272</v>
      </c>
      <c r="EN83" s="2">
        <f>1313.20169865691*(1/14151.6638359215)</f>
        <v>9.2794862419186303E-2</v>
      </c>
      <c r="EO83" s="2">
        <f>1158.49791505908*(1/14151.6638359215)</f>
        <v>8.1863018263508891E-2</v>
      </c>
      <c r="EP83" s="2">
        <f>1010.69936154117*(1/14151.6638359215)</f>
        <v>7.1419118858355585E-2</v>
      </c>
      <c r="EQ83" s="2">
        <f>871.00789962041*(1/14151.6638359215)</f>
        <v>6.1548091427208032E-2</v>
      </c>
      <c r="ER83" s="2">
        <f>740.625390814123*(1/14151.6638359215)</f>
        <v>5.2334863193554397E-2</v>
      </c>
      <c r="ES83" s="2">
        <f>620.753696639545*(1/14151.6638359215)</f>
        <v>4.3864361380876737E-2</v>
      </c>
      <c r="ET83" s="2">
        <f>512.594678613941*(1/14151.6638359215)</f>
        <v>3.622151321265913E-2</v>
      </c>
      <c r="EU83" s="2">
        <f>417.364450613829*(1/14151.6638359215)</f>
        <v>2.9492253027832885E-2</v>
      </c>
      <c r="EV83" s="2">
        <f>336.752845435966*(1/14151.6638359215)</f>
        <v>2.379598959814028E-2</v>
      </c>
      <c r="EW83" s="2">
        <f>270.080537501622*(1/14151.6638359215)</f>
        <v>1.908471969324697E-2</v>
      </c>
      <c r="EX83" s="2">
        <f>215.592527920334*(1/14151.6638359215)</f>
        <v>1.5234429705225927E-2</v>
      </c>
      <c r="EY83" s="2">
        <f>171.533817801656*(1/14151.6638359215)</f>
        <v>1.2121106026151334E-2</v>
      </c>
      <c r="EZ83" s="2">
        <f>136.149408255142*(1/14151.6638359215)</f>
        <v>9.6207350480973664E-3</v>
      </c>
      <c r="FA83" s="2">
        <f>107.684300390345*(1/14151.6638359215)</f>
        <v>7.6093031631381336E-3</v>
      </c>
      <c r="FB83" s="2">
        <f>84.3834953168157*(1/14151.6638359215)</f>
        <v>5.962796763347579E-3</v>
      </c>
      <c r="FC83" s="2">
        <f>64.4919941441156*(1/14151.6638359215)</f>
        <v>4.5572022408004106E-3</v>
      </c>
      <c r="FD83" s="2">
        <f>46.2547979817941*(1/14151.6638359215)</f>
        <v>3.2685059875704834E-3</v>
      </c>
      <c r="FE83" s="2">
        <f>27.9169079394046*(1/14151.6638359215)</f>
        <v>1.9726943957319321E-3</v>
      </c>
      <c r="FF83" s="2">
        <f>8.75293018844941*(1/14151.6638359215)</f>
        <v>6.1850891103218853E-4</v>
      </c>
      <c r="FG83" s="2">
        <f>-7.42235496802851*(1/14151.6638359215)</f>
        <v>-5.2448638224349088E-4</v>
      </c>
      <c r="FH83" s="2">
        <f>-20.0420863161409*(1/14151.6638359215)</f>
        <v>-1.4162353309486904E-3</v>
      </c>
      <c r="FI83" s="2">
        <f>-29.1062638558912*(1/14151.6638359215)</f>
        <v>-2.0567379350836536E-3</v>
      </c>
      <c r="FJ83" s="2">
        <f>-34.6148875872793*(1/14151.6638359215)</f>
        <v>-2.445994194648372E-3</v>
      </c>
      <c r="FK83" s="2">
        <f>-36.5679575103053*(1/14151.6638359215)</f>
        <v>-2.5840041096428529E-3</v>
      </c>
      <c r="FL83" s="2">
        <f>-34.9654736249692*(1/14151.6638359215)</f>
        <v>-2.4707676800670973E-3</v>
      </c>
      <c r="FM83" s="2">
        <f>-29.8074359312697*(1/14151.6638359215)</f>
        <v>-2.1062849059210118E-3</v>
      </c>
      <c r="FN83" s="2">
        <f>-21.0938444292086*(1/14151.6638359215)</f>
        <v>-1.4905557872047243E-3</v>
      </c>
      <c r="FO83" s="2">
        <f>-8.82469911878533*(1/14151.6638359215)</f>
        <v>-6.2358032391819477E-4</v>
      </c>
      <c r="FP83" s="2">
        <f t="shared" si="17"/>
        <v>4.9464148393856954E-4</v>
      </c>
      <c r="FQ83" s="2"/>
    </row>
    <row r="84" spans="2:173">
      <c r="B84" s="2">
        <v>10.066863905325445</v>
      </c>
      <c r="C84" s="2">
        <f t="shared" si="18"/>
        <v>4.9464148393856954E-4</v>
      </c>
      <c r="D84" s="2">
        <f>-11.0182478559935*(1/14151.6638359215)</f>
        <v>-7.7858320998451253E-4</v>
      </c>
      <c r="E84" s="2">
        <f>-25.2692933308147*(1/14151.6638359215)</f>
        <v>-1.7856058216047404E-3</v>
      </c>
      <c r="F84" s="2">
        <f>-35.7531364244652*(1/14151.6638359215)</f>
        <v>-2.5264263509222266E-3</v>
      </c>
      <c r="G84" s="2">
        <f>-42.4697771369412*(1/14151.6638359215)</f>
        <v>-3.0010447979367037E-3</v>
      </c>
      <c r="H84" s="2">
        <f>-45.4192154682449*(1/14151.6638359215)</f>
        <v>-3.2094611626483269E-3</v>
      </c>
      <c r="I84" s="2">
        <f>-44.6014514183763*(1/14151.6638359215)</f>
        <v>-3.1516754450570958E-3</v>
      </c>
      <c r="J84" s="2">
        <f>-40.0164849873355*(1/14151.6638359215)</f>
        <v>-2.8276876451630178E-3</v>
      </c>
      <c r="K84" s="2">
        <f>-31.6643161751224*(1/14151.6638359215)</f>
        <v>-2.237497762966085E-3</v>
      </c>
      <c r="L84" s="2">
        <f>-19.5449449817344*(1/14151.6638359215)</f>
        <v>-1.3811057984661145E-3</v>
      </c>
      <c r="M84" s="2">
        <f>-3.65837140717603*(1/14151.6638359215)</f>
        <v>-2.5851175166342633E-4</v>
      </c>
      <c r="N84" s="2">
        <f>15.3259323648406*(1/14151.6638359215)</f>
        <v>1.0829774182409865E-3</v>
      </c>
      <c r="O84" s="2">
        <f>32.9026496230545*(1/14151.6638359215)</f>
        <v>2.3250022050083563E-3</v>
      </c>
      <c r="P84" s="2">
        <f>49.9284821112508*(1/14151.6638359215)</f>
        <v>3.5280997831870602E-3</v>
      </c>
      <c r="Q84" s="2">
        <f>68.4761116620006*(1/14151.6638359215)</f>
        <v>4.8387322124050242E-3</v>
      </c>
      <c r="R84" s="2">
        <f>90.6182201078797*(1/14151.6638359215)</f>
        <v>6.4033615522905048E-3</v>
      </c>
      <c r="S84" s="2">
        <f>118.427489281451*(1/14151.6638359215)</f>
        <v>8.3684498624708517E-3</v>
      </c>
      <c r="T84" s="2">
        <f>153.97660101529*(1/14151.6638359215)</f>
        <v>1.08804592025743E-2</v>
      </c>
      <c r="U84" s="2">
        <f>199.338237141967*(1/14151.6638359215)</f>
        <v>1.4085851632228719E-2</v>
      </c>
      <c r="V84" s="2">
        <f>256.585079494053*(1/14151.6638359215)</f>
        <v>1.8131089211062029E-2</v>
      </c>
      <c r="W84" s="2">
        <f>327.78980990412*(1/14151.6638359215)</f>
        <v>2.316263399870222E-2</v>
      </c>
      <c r="X84" s="2">
        <f>415.025110204756*(1/14151.6638359215)</f>
        <v>2.9326948054778409E-2</v>
      </c>
      <c r="Y84" s="2">
        <f>519.253723089087*(1/14151.6638359215)</f>
        <v>3.6692061732773291E-2</v>
      </c>
      <c r="Z84" s="2">
        <f>638.659284553714*(1/14151.6638359215)</f>
        <v>4.5129625177542036E-2</v>
      </c>
      <c r="AA84" s="2">
        <f>771.679361904272*(1/14151.6638359215)</f>
        <v>5.4529232099585365E-2</v>
      </c>
      <c r="AB84" s="2">
        <f>916.764742248053*(1/14151.6638359215)</f>
        <v>6.4781410361162459E-2</v>
      </c>
      <c r="AC84" s="2">
        <f>1072.36621269235*(1/14151.6638359215)</f>
        <v>7.5776687824532535E-2</v>
      </c>
      <c r="AD84" s="2">
        <f>1236.93456034449*(1/14151.6638359215)</f>
        <v>8.7405592351957231E-2</v>
      </c>
      <c r="AE84" s="2">
        <f>1408.92057231169*(1/14151.6638359215)</f>
        <v>9.9558651805690429E-2</v>
      </c>
      <c r="AF84" s="2">
        <f>1586.7750357013*(1/14151.6638359215)</f>
        <v>0.11212639404799539</v>
      </c>
      <c r="AG84" s="2">
        <f>1768.94873762059*(1/14151.6638359215)</f>
        <v>0.12499934694112971</v>
      </c>
      <c r="AH84" s="2">
        <f>1953.89246517685*(1/14151.6638359215)</f>
        <v>0.13806803834735243</v>
      </c>
      <c r="AI84" s="2">
        <f>2140.42160757905*(1/14151.6638359215)</f>
        <v>0.15124876003243998</v>
      </c>
      <c r="AJ84" s="2">
        <f>2332.6139640263*(1/14151.6638359215)</f>
        <v>0.16482966180311401</v>
      </c>
      <c r="AK84" s="2">
        <f>2531.61304752972*(1/14151.6638359215)</f>
        <v>0.17889154779833502</v>
      </c>
      <c r="AL84" s="2">
        <f>2736.87705682926*(1/14151.6638359215)</f>
        <v>0.19339613267820713</v>
      </c>
      <c r="AM84" s="2">
        <f>2947.86419066492*(1/14151.6638359215)</f>
        <v>0.20830513110283805</v>
      </c>
      <c r="AN84" s="2">
        <f>3164.03264777668*(1/14151.6638359215)</f>
        <v>0.22358025773233403</v>
      </c>
      <c r="AO84" s="2">
        <f>3384.8406269045*(1/14151.6638359215)</f>
        <v>0.23918322722679999</v>
      </c>
      <c r="AP84" s="2">
        <f>3609.74632678842*(1/14151.6638359215)</f>
        <v>0.25507575424634638</v>
      </c>
      <c r="AQ84" s="2">
        <f>3838.20794616833*(1/14151.6638359215)</f>
        <v>0.27121955345107318</v>
      </c>
      <c r="AR84" s="2">
        <f>4069.68368378425*(1/14151.6638359215)</f>
        <v>0.28757633950108941</v>
      </c>
      <c r="AS84" s="2">
        <f>4303.63173837616*(1/14151.6638359215)</f>
        <v>0.30410782705650136</v>
      </c>
      <c r="AT84" s="2">
        <f>4540.64057617431*(1/14151.6638359215)</f>
        <v>0.32085559894722032</v>
      </c>
      <c r="AU84" s="2">
        <f>4782.89950861722*(1/14151.6638359215)</f>
        <v>0.33797435863878239</v>
      </c>
      <c r="AV84" s="2">
        <f>5029.93073764103*(1/14151.6638359215)</f>
        <v>0.35543034345356894</v>
      </c>
      <c r="AW84" s="2">
        <f>5281.1302316729*(1/14151.6638359215)</f>
        <v>0.37318087066678923</v>
      </c>
      <c r="AX84" s="2">
        <f>5535.89395913993*(1/14151.6638359215)</f>
        <v>0.3911832575536483</v>
      </c>
      <c r="AY84" s="2">
        <f>5793.61788846924*(1/14151.6638359215)</f>
        <v>0.4093948213893524</v>
      </c>
      <c r="AZ84" s="2">
        <f>6053.69798808793*(1/14151.6638359215)</f>
        <v>0.42777287944910664</v>
      </c>
      <c r="BA84" s="2">
        <f>6315.53022642317*(1/14151.6638359215)</f>
        <v>0.44627474900812097</v>
      </c>
      <c r="BB84" s="2">
        <f>6578.51057190197*(1/14151.6638359215)</f>
        <v>0.46485774734159407</v>
      </c>
      <c r="BC84" s="2">
        <f>6842.03499295148*(1/14151.6638359215)</f>
        <v>0.4834791917247343</v>
      </c>
      <c r="BD84" s="2">
        <f>7105.57782061087*(1/14151.6638359215)</f>
        <v>0.50210193677542103</v>
      </c>
      <c r="BE84" s="2">
        <f>7371.42924426855*(1/14151.6638359215)</f>
        <v>0.52088781430473774</v>
      </c>
      <c r="BF84" s="2">
        <f>7640.404062885*(1/14151.6638359215)</f>
        <v>0.53989440050795889</v>
      </c>
      <c r="BG84" s="2">
        <f>7911.83909126696*(1/14151.6638359215)</f>
        <v>0.55907483268392466</v>
      </c>
      <c r="BH84" s="2">
        <f>8185.07114422105*(1/14151.6638359215)</f>
        <v>0.57838224813146655</v>
      </c>
      <c r="BI84" s="2">
        <f>8459.43703655401*(1/14151.6638359215)</f>
        <v>0.5977697841494245</v>
      </c>
      <c r="BJ84" s="2">
        <f>8734.27358307254*(1/14151.6638359215)</f>
        <v>0.61719057803663546</v>
      </c>
      <c r="BK84" s="2">
        <f>9008.91759858334*(1/14151.6638359215)</f>
        <v>0.63659776709193683</v>
      </c>
      <c r="BL84" s="2">
        <f>9282.70589789312*(1/14151.6638359215)</f>
        <v>0.65594448861416632</v>
      </c>
      <c r="BM84" s="2">
        <f>9554.97529580863*(1/14151.6638359215)</f>
        <v>0.67518387990216477</v>
      </c>
      <c r="BN84" s="2">
        <f>9825.06260713646*(1/14151.6638359215)</f>
        <v>0.69426907825476136</v>
      </c>
      <c r="BO84" s="2">
        <f>10095.3050751244*(1/14151.6638359215)</f>
        <v>0.71336524045315797</v>
      </c>
      <c r="BP84" s="2">
        <f>10374.9005337652*(1/14151.6638359215)</f>
        <v>0.73312231367666791</v>
      </c>
      <c r="BQ84" s="2">
        <f>10661.1137514709*(1/14151.6638359215)</f>
        <v>0.75334701806649385</v>
      </c>
      <c r="BR84" s="2">
        <f>10950.0536895997*(1/14151.6638359215)</f>
        <v>0.77376440089008625</v>
      </c>
      <c r="BS84" s="2">
        <f>11237.8293095095*(1/14151.6638359215)</f>
        <v>0.79409950941487562</v>
      </c>
      <c r="BT84" s="2">
        <f>11520.5495725586*(1/14151.6638359215)</f>
        <v>0.81407739090831988</v>
      </c>
      <c r="BU84" s="2">
        <f>11794.3234401051*(1/14151.6638359215)</f>
        <v>0.83342309263786296</v>
      </c>
      <c r="BV84" s="2">
        <f>12055.259873507*(1/14151.6638359215)</f>
        <v>0.85186166187094214</v>
      </c>
      <c r="BW84" s="2">
        <f>12299.4678341224*(1/14151.6638359215)</f>
        <v>0.86911814587500114</v>
      </c>
      <c r="BX84" s="2">
        <f>12523.0562833095*(1/14151.6638359215)</f>
        <v>0.8849175919174912</v>
      </c>
      <c r="BY84" s="2">
        <f>12722.1871559998*(1/14151.6638359215)</f>
        <v>0.89898879054113578</v>
      </c>
      <c r="BZ84" s="2">
        <f>12908.1347424624*(1/14151.6638359215)</f>
        <v>0.91212841769865816</v>
      </c>
      <c r="CA84" s="2">
        <f>13088.9945900626*(1/14151.6638359215)</f>
        <v>0.92490852961321057</v>
      </c>
      <c r="CB84" s="2">
        <f>13260.9547823056*(1/14151.6638359215)</f>
        <v>0.9370597645659875</v>
      </c>
      <c r="CC84" s="2">
        <f>13420.2034026967*(1/14151.6638359215)</f>
        <v>0.94831276083819083</v>
      </c>
      <c r="CD84" s="2">
        <f>13562.9285347412*(1/14151.6638359215)</f>
        <v>0.95839815671102235</v>
      </c>
      <c r="CE84" s="2">
        <f>13685.3182619442*(1/14151.6638359215)</f>
        <v>0.96704659046566921</v>
      </c>
      <c r="CF84" s="2">
        <f>13783.5606678111*(1/14151.6638359215)</f>
        <v>0.9739887003833404</v>
      </c>
      <c r="CG84" s="2">
        <f>13853.8438358469*(1/14151.6638359215)</f>
        <v>0.9789551247452164</v>
      </c>
      <c r="CH84" s="2">
        <f>13892.3558495571*(1/14151.6638359215)</f>
        <v>0.98167650183251298</v>
      </c>
      <c r="CI84" s="2">
        <f>13895.2847924468*(1/14151.6638359215)</f>
        <v>0.98188346992641773</v>
      </c>
      <c r="CJ84" s="2">
        <f>13858.2781614426*(1/14151.6638359215)</f>
        <v>0.97926846780134846</v>
      </c>
      <c r="CK84" s="2">
        <f>13777.7650229573*(1/14151.6638359215)</f>
        <v>0.97357916233035979</v>
      </c>
      <c r="CL84" s="2">
        <f>13658.2977133308*(1/14151.6638359215)</f>
        <v>0.96513723557095965</v>
      </c>
      <c r="CM84" s="2">
        <f>13505.3563224123*(1/14151.6638359215)</f>
        <v>0.9543299274910233</v>
      </c>
      <c r="CN84" s="2">
        <f>13324.4209400514*(1/14151.6638359215)</f>
        <v>0.94154447805845343</v>
      </c>
      <c r="CO84" s="2">
        <f>13120.9716560973*(1/14151.6638359215)</f>
        <v>0.92716812724112552</v>
      </c>
      <c r="CP84" s="2">
        <f>12900.4885603994*(1/14151.6638359215)</f>
        <v>0.9115881150069286</v>
      </c>
      <c r="CQ84" s="2">
        <f>12668.4517428073*(1/14151.6638359215)</f>
        <v>0.89519168132376581</v>
      </c>
      <c r="CR84" s="2">
        <f>12430.3412931703*(1/14151.6638359215)</f>
        <v>0.87836606615951929</v>
      </c>
      <c r="CS84" s="2">
        <f>12191.6373013377*(1/14151.6638359215)</f>
        <v>0.86149850948207107</v>
      </c>
      <c r="CT84" s="2">
        <f>11957.819857159*(1/14151.6638359215)</f>
        <v>0.84497625125931741</v>
      </c>
      <c r="CU84" s="2">
        <f>11720.8701710823*(1/14151.6638359215)</f>
        <v>0.82823265921078071</v>
      </c>
      <c r="CV84" s="2">
        <f>11467.5747478489*(1/14151.6638359215)</f>
        <v>0.81033402720749248</v>
      </c>
      <c r="CW84" s="2">
        <f>11200.9018200582*(1/14151.6638359215)</f>
        <v>0.79149009967483031</v>
      </c>
      <c r="CX84" s="2">
        <f>10923.8780180247*(1/14151.6638359215)</f>
        <v>0.77191474759995105</v>
      </c>
      <c r="CY84" s="2">
        <f>10639.5299720631*(1/14151.6638359215)</f>
        <v>0.75182184197002555</v>
      </c>
      <c r="CZ84" s="2">
        <f>10350.8843124879*(1/14151.6638359215)</f>
        <v>0.73142525377221079</v>
      </c>
      <c r="DA84" s="2">
        <f>10060.9676696137*(1/14151.6638359215)</f>
        <v>0.71093885399367029</v>
      </c>
      <c r="DB84" s="2">
        <f>9772.80667375511*(1/14151.6638359215)</f>
        <v>0.69057651362156913</v>
      </c>
      <c r="DC84" s="2">
        <f>9489.42795522668*(1/14151.6638359215)</f>
        <v>0.67055210364306728</v>
      </c>
      <c r="DD84" s="2">
        <f>9213.85814434298*(1/14151.6638359215)</f>
        <v>0.65107949504532658</v>
      </c>
      <c r="DE84" s="2">
        <f>8948.28171038926*(1/14151.6638359215)</f>
        <v>0.6323130491324721</v>
      </c>
      <c r="DF84" s="2">
        <f>8686.06316059296*(1/14151.6638359215)</f>
        <v>0.61378388161997754</v>
      </c>
      <c r="DG84" s="2">
        <f>8425.31976740681*(1/14151.6638359215)</f>
        <v>0.59535895320100973</v>
      </c>
      <c r="DH84" s="2">
        <f>8166.32916860779*(1/14151.6638359215)</f>
        <v>0.57705788261299751</v>
      </c>
      <c r="DI84" s="2">
        <f>7909.36900197302*(1/14151.6638359215)</f>
        <v>0.5589002885933797</v>
      </c>
      <c r="DJ84" s="2">
        <f>7654.71690527948*(1/14151.6638359215)</f>
        <v>0.54090578987958526</v>
      </c>
      <c r="DK84" s="2">
        <f>7402.6505163042*(1/14151.6638359215)</f>
        <v>0.52309400520904681</v>
      </c>
      <c r="DL84" s="2">
        <f>7153.4474728242*(1/14151.6638359215)</f>
        <v>0.50548455331919606</v>
      </c>
      <c r="DM84" s="2">
        <f>6907.38541261647*(1/14151.6638359215)</f>
        <v>0.48809705294746275</v>
      </c>
      <c r="DN84" s="2">
        <f>6664.74197345814*(1/14151.6638359215)</f>
        <v>0.47095112283128643</v>
      </c>
      <c r="DO84" s="2">
        <f>6425.79479312618*(1/14151.6638359215)</f>
        <v>0.45406638170809527</v>
      </c>
      <c r="DP84" s="2">
        <f>6190.81304680106*(1/14151.6638359215)</f>
        <v>0.43746185032227625</v>
      </c>
      <c r="DQ84" s="2">
        <f>5959.73260313619*(1/14151.6638359215)</f>
        <v>0.42113299695605128</v>
      </c>
      <c r="DR84" s="2">
        <f>5732.24046786193*(1/14151.6638359215)</f>
        <v>0.40505770447370643</v>
      </c>
      <c r="DS84" s="2">
        <f>5508.02061890376*(1/14151.6638359215)</f>
        <v>0.38921364178554202</v>
      </c>
      <c r="DT84" s="2">
        <f>5286.75703418712*(1/14151.6638359215)</f>
        <v>0.37357847780185538</v>
      </c>
      <c r="DU84" s="2">
        <f>5068.13369163758*(1/14151.6638359215)</f>
        <v>0.35812988143295332</v>
      </c>
      <c r="DV84" s="2">
        <f>4851.83456918057*(1/14151.6638359215)</f>
        <v>0.34284552158913245</v>
      </c>
      <c r="DW84" s="2">
        <f>4637.54364474158*(1/14151.6638359215)</f>
        <v>0.32770306718069392</v>
      </c>
      <c r="DX84" s="2">
        <f>4424.9448962461*(1/14151.6638359215)</f>
        <v>0.31268018711793866</v>
      </c>
      <c r="DY84" s="2">
        <f>4213.72230161955*(1/14151.6638359215)</f>
        <v>0.29775455031116271</v>
      </c>
      <c r="DZ84" s="2">
        <f>4003.48981764892*(1/14151.6638359215)</f>
        <v>0.28289887776211642</v>
      </c>
      <c r="EA84" s="2">
        <f>3792.72929043345*(1/14151.6638359215)</f>
        <v>0.26800589205675424</v>
      </c>
      <c r="EB84" s="2">
        <f>3581.6719072672*(1/14151.6638359215)</f>
        <v>0.25309192959881921</v>
      </c>
      <c r="EC84" s="2">
        <f>3371.30084565183*(1/14151.6638359215)</f>
        <v>0.23822646472808223</v>
      </c>
      <c r="ED84" s="2">
        <f>3162.59928308903*(1/14151.6638359215)</f>
        <v>0.22347897178431628</v>
      </c>
      <c r="EE84" s="2">
        <f>2956.55039708045*(1/14151.6638359215)</f>
        <v>0.20891892510729154</v>
      </c>
      <c r="EF84" s="2">
        <f>2754.13736512783*(1/14151.6638359215)</f>
        <v>0.19461579903678455</v>
      </c>
      <c r="EG84" s="2">
        <f>2556.34336473283*(1/14151.6638359215)</f>
        <v>0.18063906791256615</v>
      </c>
      <c r="EH84" s="2">
        <f>2364.15157339712*(1/14151.6638359215)</f>
        <v>0.16705820607440794</v>
      </c>
      <c r="EI84" s="2">
        <f>2178.54516862237*(1/14151.6638359215)</f>
        <v>0.15394268786208148</v>
      </c>
      <c r="EJ84" s="2">
        <f>2000.50732791025*(1/14151.6638359215)</f>
        <v>0.14136198761535837</v>
      </c>
      <c r="EK84" s="2">
        <f>1829.18757588693*(1/14151.6638359215)</f>
        <v>0.12925600813410085</v>
      </c>
      <c r="EL84" s="2">
        <f>1660.1431672999*(1/14151.6638359215)</f>
        <v>0.11731081140338563</v>
      </c>
      <c r="EM84" s="2">
        <f>1494.22818294231*(1/14151.6638359215)</f>
        <v>0.10558674939334523</v>
      </c>
      <c r="EN84" s="2">
        <f>1332.67968982344*(1/14151.6638359215)</f>
        <v>9.4171237055579851E-2</v>
      </c>
      <c r="EO84" s="2">
        <f>1176.73475495256*(1/14151.6638359215)</f>
        <v>8.3151689341689039E-2</v>
      </c>
      <c r="EP84" s="2">
        <f>1027.63044533893*(1/14151.6638359215)</f>
        <v>7.2615521203271638E-2</v>
      </c>
      <c r="EQ84" s="2">
        <f>886.603827991805*(1/14151.6638359215)</f>
        <v>6.2650147591926095E-2</v>
      </c>
      <c r="ER84" s="2">
        <f>754.891969920504*(1/14151.6638359215)</f>
        <v>5.334298345925545E-2</v>
      </c>
      <c r="ES84" s="2">
        <f>633.731938134271*(1/14151.6638359215)</f>
        <v>4.4781443756857366E-2</v>
      </c>
      <c r="ET84" s="2">
        <f>524.360799642376*(1/14151.6638359215)</f>
        <v>3.7052943436331406E-2</v>
      </c>
      <c r="EU84" s="2">
        <f>428.028386386446*(1/14151.6638359215)</f>
        <v>3.0245799458574727E-2</v>
      </c>
      <c r="EV84" s="2">
        <f>346.340230313479*(1/14151.6638359215)</f>
        <v>2.4473463638555029E-2</v>
      </c>
      <c r="EW84" s="2">
        <f>278.564905694678*(1/14151.6638359215)</f>
        <v>1.9684251189431887E-2</v>
      </c>
      <c r="EX84" s="2">
        <f>222.966087961302*(1/14151.6638359215)</f>
        <v>1.575546808816515E-2</v>
      </c>
      <c r="EY84" s="2">
        <f>177.807452544627*(1/14151.6638359215)</f>
        <v>1.256442031171587E-2</v>
      </c>
      <c r="EZ84" s="2">
        <f>141.352674875928*(1/14151.6638359215)</f>
        <v>9.9884138370450251E-3</v>
      </c>
      <c r="FA84" s="2">
        <f>111.86543038648*(1/14151.6638359215)</f>
        <v>7.9047546411136031E-3</v>
      </c>
      <c r="FB84" s="2">
        <f>87.6093945075547*(1/14151.6638359215)</f>
        <v>6.1907487008823455E-3</v>
      </c>
      <c r="FC84" s="2">
        <f>66.8482426704362*(1/14151.6638359215)</f>
        <v>4.7237019933128819E-3</v>
      </c>
      <c r="FD84" s="2">
        <f>47.845650306395*(1/14151.6638359215)</f>
        <v>3.3809204953658711E-3</v>
      </c>
      <c r="FE84" s="2">
        <f>28.8652928467063*(1/14151.6638359215)</f>
        <v>2.0397101840023114E-3</v>
      </c>
      <c r="FF84" s="2">
        <f>9.18949512172841*(1/14151.6638359215)</f>
        <v>6.4935792909399806E-4</v>
      </c>
      <c r="FG84" s="2">
        <f>-7.4075542918291*(1/14151.6638359215)</f>
        <v>-5.2344052103798079E-4</v>
      </c>
      <c r="FH84" s="2">
        <f>-20.3650259495207*(1/14151.6638359215)</f>
        <v>-1.4390552365883421E-3</v>
      </c>
      <c r="FI84" s="2">
        <f>-29.6829198513497*(1/14151.6638359215)</f>
        <v>-2.0974862175573198E-3</v>
      </c>
      <c r="FJ84" s="2">
        <f>-35.3612359973163*(1/14151.6638359215)</f>
        <v>-2.4987334639449284E-3</v>
      </c>
      <c r="FK84" s="2">
        <f>-37.3999743874204*(1/14151.6638359215)</f>
        <v>-2.6427969757511602E-3</v>
      </c>
      <c r="FL84" s="2">
        <f>-35.799135021662*(1/14151.6638359215)</f>
        <v>-2.5296767529760155E-3</v>
      </c>
      <c r="FM84" s="2">
        <f>-30.5587179000398*(1/14151.6638359215)</f>
        <v>-2.1593727956194021E-3</v>
      </c>
      <c r="FN84" s="2">
        <f>-21.6787230225557*(1/14151.6638359215)</f>
        <v>-1.5318851036814549E-3</v>
      </c>
      <c r="FO84" s="2">
        <f>-9.15915038920905*(1/14151.6638359215)</f>
        <v>-6.4721367716212726E-4</v>
      </c>
      <c r="FP84" s="2">
        <f t="shared" si="17"/>
        <v>4.9464148393856954E-4</v>
      </c>
      <c r="FQ84" s="2"/>
    </row>
    <row r="85" spans="2:173">
      <c r="B85" s="2">
        <v>10.076331360946746</v>
      </c>
      <c r="C85" s="2">
        <f t="shared" si="18"/>
        <v>4.9464148393856954E-4</v>
      </c>
      <c r="D85" s="2">
        <f>-11.4644662465339*(1/14151.6638359215)</f>
        <v>-8.1011437096416728E-4</v>
      </c>
      <c r="E85" s="2">
        <f>-26.068312150355*(1/14151.6638359215)</f>
        <v>-1.8420669436893485E-3</v>
      </c>
      <c r="F85" s="2">
        <f>-36.8115377114648*(1/14151.6638359215)</f>
        <v>-2.6012162342370806E-3</v>
      </c>
      <c r="G85" s="2">
        <f>-43.6941429298593*(1/14151.6638359215)</f>
        <v>-3.0875622426070801E-3</v>
      </c>
      <c r="H85" s="2">
        <f>-46.7161278055409*(1/14151.6638359215)</f>
        <v>-3.3011049687995172E-3</v>
      </c>
      <c r="I85" s="2">
        <f>-45.8774923385097*(1/14151.6638359215)</f>
        <v>-3.2418444128143988E-3</v>
      </c>
      <c r="J85" s="2">
        <f>-41.1782365287655*(1/14151.6638359215)</f>
        <v>-2.9097805746517115E-3</v>
      </c>
      <c r="K85" s="2">
        <f>-32.6183603763085*(1/14151.6638359215)</f>
        <v>-2.3049134543114678E-3</v>
      </c>
      <c r="L85" s="2">
        <f>-20.1978638811358*(1/14151.6638359215)</f>
        <v>-1.427243051793464E-3</v>
      </c>
      <c r="M85" s="2">
        <f>-3.91674704325224*(1/14151.6638359215)</f>
        <v>-2.767693670980418E-4</v>
      </c>
      <c r="N85" s="2">
        <f>15.5807281180382*(1/14151.6638359215)</f>
        <v>1.1009820681642589E-3</v>
      </c>
      <c r="O85" s="2">
        <f>33.958900596019*(1/14151.6638359215)</f>
        <v>2.3996401405338872E-3</v>
      </c>
      <c r="P85" s="2">
        <f>52.0422115083659*(1/14151.6638359215)</f>
        <v>3.6774623897061444E-3</v>
      </c>
      <c r="Q85" s="2">
        <f>71.8252921710854*(1/14151.6638359215)</f>
        <v>5.0753955862610006E-3</v>
      </c>
      <c r="R85" s="2">
        <f>95.3027739001887*(1/14151.6638359215)</f>
        <v>6.7343865007787589E-3</v>
      </c>
      <c r="S85" s="2">
        <f>124.469288011674*(1/14151.6638359215)</f>
        <v>8.7953819038388038E-3</v>
      </c>
      <c r="T85" s="2">
        <f>161.319465821551*(1/14151.6638359215)</f>
        <v>1.1399328566021334E-2</v>
      </c>
      <c r="U85" s="2">
        <f>207.847938645827*(1/14151.6638359215)</f>
        <v>1.4687173257906376E-2</v>
      </c>
      <c r="V85" s="2">
        <f>266.049337800508*(1/14151.6638359215)</f>
        <v>1.8799862750073865E-2</v>
      </c>
      <c r="W85" s="2">
        <f>337.9182946016*(1/14151.6638359215)</f>
        <v>2.3878343813103733E-2</v>
      </c>
      <c r="X85" s="2">
        <f>425.449440365128*(1/14151.6638359215)</f>
        <v>3.0063563217577267E-2</v>
      </c>
      <c r="Y85" s="2">
        <f>529.521905692058*(1/14151.6638359215)</f>
        <v>3.7417643029928407E-2</v>
      </c>
      <c r="Z85" s="2">
        <f>648.334785951455*(1/14151.6638359215)</f>
        <v>4.5813325801717514E-2</v>
      </c>
      <c r="AA85" s="2">
        <f>780.421729020123*(1/14151.6638359215)</f>
        <v>5.5146994591488266E-2</v>
      </c>
      <c r="AB85" s="2">
        <f>924.330171024776*(1/14151.6638359215)</f>
        <v>6.5316006777840996E-2</v>
      </c>
      <c r="AC85" s="2">
        <f>1078.60754809212*(1/14151.6638359215)</f>
        <v>7.6217719739375467E-2</v>
      </c>
      <c r="AD85" s="2">
        <f>1241.80129634891*(1/14151.6638359215)</f>
        <v>8.7749490854694884E-2</v>
      </c>
      <c r="AE85" s="2">
        <f>1412.45885192179*(1/14151.6638359215)</f>
        <v>9.9808677502394638E-2</v>
      </c>
      <c r="AF85" s="2">
        <f>1589.12765093751*(1/14151.6638359215)</f>
        <v>0.11229263706107759</v>
      </c>
      <c r="AG85" s="2">
        <f>1770.35512952277*(1/14151.6638359215)</f>
        <v>0.12509872690934307</v>
      </c>
      <c r="AH85" s="2">
        <f>1954.68872380428*(1/14151.6638359215)</f>
        <v>0.1381243044257911</v>
      </c>
      <c r="AI85" s="2">
        <f>2141.02800713445*(1/14151.6638359215)</f>
        <v>0.15129161008614608</v>
      </c>
      <c r="AJ85" s="2">
        <f>2333.3292040135*(1/14151.6638359215)</f>
        <v>0.16488020285577701</v>
      </c>
      <c r="AK85" s="2">
        <f>2532.65747713752*(1/14151.6638359215)</f>
        <v>0.17896535039991665</v>
      </c>
      <c r="AL85" s="2">
        <f>2738.44319928491*(1/14151.6638359215)</f>
        <v>0.19350680111082455</v>
      </c>
      <c r="AM85" s="2">
        <f>2950.11674323409*(1/14151.6638359215)</f>
        <v>0.20846430338076147</v>
      </c>
      <c r="AN85" s="2">
        <f>3167.10848176346*(1/14151.6638359215)</f>
        <v>0.22379760560198686</v>
      </c>
      <c r="AO85" s="2">
        <f>3388.84878765143*(1/14151.6638359215)</f>
        <v>0.23946645616676082</v>
      </c>
      <c r="AP85" s="2">
        <f>3614.76803367646*(1/14151.6638359215)</f>
        <v>0.25543060346734708</v>
      </c>
      <c r="AQ85" s="2">
        <f>3844.29659261686*(1/14151.6638359215)</f>
        <v>0.27164979589599858</v>
      </c>
      <c r="AR85" s="2">
        <f>4076.8648372511*(1/14151.6638359215)</f>
        <v>0.28808378184497985</v>
      </c>
      <c r="AS85" s="2">
        <f>4311.90314035758*(1/14151.6638359215)</f>
        <v>0.3046923097065502</v>
      </c>
      <c r="AT85" s="2">
        <f>4550.14982312065*(1/14151.6638359215)</f>
        <v>0.32152755152160256</v>
      </c>
      <c r="AU85" s="2">
        <f>4794.13269307497*(1/14151.6638359215)</f>
        <v>0.3387681299287163</v>
      </c>
      <c r="AV85" s="2">
        <f>5043.23401420069*(1/14151.6638359215)</f>
        <v>0.356370393804814</v>
      </c>
      <c r="AW85" s="2">
        <f>5296.68868670482*(1/14151.6638359215)</f>
        <v>0.37428027885032933</v>
      </c>
      <c r="AX85" s="2">
        <f>5553.73161079431*(1/14151.6638359215)</f>
        <v>0.3924437207656914</v>
      </c>
      <c r="AY85" s="2">
        <f>5813.59768667612*(1/14151.6638359215)</f>
        <v>0.4108066552513302</v>
      </c>
      <c r="AZ85" s="2">
        <f>6075.52181455721*(1/14151.6638359215)</f>
        <v>0.42931501800767558</v>
      </c>
      <c r="BA85" s="2">
        <f>6338.73889464459*(1/14151.6638359215)</f>
        <v>0.44791474473516113</v>
      </c>
      <c r="BB85" s="2">
        <f>6602.48382714512*(1/14151.6638359215)</f>
        <v>0.4665517711342097</v>
      </c>
      <c r="BC85" s="2">
        <f>6865.9915122658*(1/14151.6638359215)</f>
        <v>0.48517203290525412</v>
      </c>
      <c r="BD85" s="2">
        <f>7128.56012273802*(1/14151.6638359215)</f>
        <v>0.50372593677949229</v>
      </c>
      <c r="BE85" s="2">
        <f>7391.89418878342*(1/14151.6638359215)</f>
        <v>0.52233393009381712</v>
      </c>
      <c r="BF85" s="2">
        <f>7656.87687433945*(1/14151.6638359215)</f>
        <v>0.5410584199225974</v>
      </c>
      <c r="BG85" s="2">
        <f>7923.2601130873*(1/14151.6638359215)</f>
        <v>0.55988187713839721</v>
      </c>
      <c r="BH85" s="2">
        <f>8190.795838708*(1/14151.6638359215)</f>
        <v>0.57878677261376932</v>
      </c>
      <c r="BI85" s="2">
        <f>8459.23598488271*(1/14151.6638359215)</f>
        <v>0.59775557722127581</v>
      </c>
      <c r="BJ85" s="2">
        <f>8728.33248529257*(1/14151.6638359215)</f>
        <v>0.61677076183347712</v>
      </c>
      <c r="BK85" s="2">
        <f>8997.83727361871*(1/14151.6638359215)</f>
        <v>0.63581479732293311</v>
      </c>
      <c r="BL85" s="2">
        <f>9267.50228354225*(1/14151.6638359215)</f>
        <v>0.65487015456220288</v>
      </c>
      <c r="BM85" s="2">
        <f>9537.07944874436*(1/14151.6638359215)</f>
        <v>0.67391930442384929</v>
      </c>
      <c r="BN85" s="2">
        <f>9806.32070290608*(1/14151.6638359215)</f>
        <v>0.69294471778042566</v>
      </c>
      <c r="BO85" s="2">
        <f>10077.8286748611*(1/14151.6638359215)</f>
        <v>0.71213030437313751</v>
      </c>
      <c r="BP85" s="2">
        <f>10360.3668049526*(1/14151.6638359215)</f>
        <v>0.73209531579280729</v>
      </c>
      <c r="BQ85" s="2">
        <f>10650.9253175492*(1/14151.6638359215)</f>
        <v>0.75262707205591661</v>
      </c>
      <c r="BR85" s="2">
        <f>10945.3772757352*(1/14151.6638359215)</f>
        <v>0.77343395113387958</v>
      </c>
      <c r="BS85" s="2">
        <f>11239.5957425946*(1/14151.6638359215)</f>
        <v>0.79422433099808876</v>
      </c>
      <c r="BT85" s="2">
        <f>11529.4537812117*(1/14151.6638359215)</f>
        <v>0.81470658961995812</v>
      </c>
      <c r="BU85" s="2">
        <f>11810.8244546707*(1/14151.6638359215)</f>
        <v>0.83458910497089445</v>
      </c>
      <c r="BV85" s="2">
        <f>12079.5808260558*(1/14151.6638359215)</f>
        <v>0.85358025502230472</v>
      </c>
      <c r="BW85" s="2">
        <f>12331.5959584511*(1/14151.6638359215)</f>
        <v>0.8713884177455884</v>
      </c>
      <c r="BX85" s="2">
        <f>12562.7429149409*(1/14151.6638359215)</f>
        <v>0.88772197111215967</v>
      </c>
      <c r="BY85" s="2">
        <f>12768.9513387179*(1/14151.6638359215)</f>
        <v>0.90229329121754376</v>
      </c>
      <c r="BZ85" s="2">
        <f>12962.2811226332*(1/14151.6638359215)</f>
        <v>0.91595456710402756</v>
      </c>
      <c r="CA85" s="2">
        <f>13151.3581671731*(1/14151.6638359215)</f>
        <v>0.92931533137401845</v>
      </c>
      <c r="CB85" s="2">
        <f>13332.0816778645*(1/14151.6638359215)</f>
        <v>0.94208580930415864</v>
      </c>
      <c r="CC85" s="2">
        <f>13500.3508602339*(1/14151.6638359215)</f>
        <v>0.95397622617106292</v>
      </c>
      <c r="CD85" s="2">
        <f>13652.0649198081*(1/14151.6638359215)</f>
        <v>0.96469680725136664</v>
      </c>
      <c r="CE85" s="2">
        <f>13783.1230621137*(1/14151.6638359215)</f>
        <v>0.97395777782169157</v>
      </c>
      <c r="CF85" s="2">
        <f>13889.4244926776*(1/14151.6638359215)</f>
        <v>0.98146936315868016</v>
      </c>
      <c r="CG85" s="2">
        <f>13966.8684170264*(1/14151.6638359215)</f>
        <v>0.98694178853895409</v>
      </c>
      <c r="CH85" s="2">
        <f>14011.3540406869*(1/14151.6638359215)</f>
        <v>0.99008527923914869</v>
      </c>
      <c r="CI85" s="2">
        <f>14018.7805691857*(1/14151.6638359215)</f>
        <v>0.99061006053588552</v>
      </c>
      <c r="CJ85" s="2">
        <f>13984.5575890573*(1/14151.6638359215)</f>
        <v>0.98819175972509821</v>
      </c>
      <c r="CK85" s="2">
        <f>13905.3129324611*(1/14151.6638359215)</f>
        <v>0.98259208907753437</v>
      </c>
      <c r="CL85" s="2">
        <f>13785.8257229853*(1/14151.6638359215)</f>
        <v>0.97414875613370755</v>
      </c>
      <c r="CM85" s="2">
        <f>13631.7720743861*(1/14151.6638359215)</f>
        <v>0.96326285251238464</v>
      </c>
      <c r="CN85" s="2">
        <f>13448.8281004202*(1/14151.6638359215)</f>
        <v>0.95033546983236872</v>
      </c>
      <c r="CO85" s="2">
        <f>13242.6699148439*(1/14151.6638359215)</f>
        <v>0.9357676997124339</v>
      </c>
      <c r="CP85" s="2">
        <f>13018.9736314136*(1/14151.6638359215)</f>
        <v>0.91996063377136161</v>
      </c>
      <c r="CQ85" s="2">
        <f>12783.415363886*(1/14151.6638359215)</f>
        <v>0.90331536362795439</v>
      </c>
      <c r="CR85" s="2">
        <f>12541.6712260175*(1/14151.6638359215)</f>
        <v>0.88623298090099367</v>
      </c>
      <c r="CS85" s="2">
        <f>12299.4173315645*(1/14151.6638359215)</f>
        <v>0.86911457720926077</v>
      </c>
      <c r="CT85" s="2">
        <f>12062.3297942835*(1/14151.6638359215)</f>
        <v>0.85236124417154435</v>
      </c>
      <c r="CU85" s="2">
        <f>11822.1333605112*(1/14151.6638359215)</f>
        <v>0.83538822696613257</v>
      </c>
      <c r="CV85" s="2">
        <f>11565.1670121911*(1/14151.6638359215)</f>
        <v>0.81723019612965686</v>
      </c>
      <c r="CW85" s="2">
        <f>11294.483765135*(1/14151.6638359215)</f>
        <v>0.79810288712949418</v>
      </c>
      <c r="CX85" s="2">
        <f>11013.196972768*(1/14151.6638359215)</f>
        <v>0.77822629907396079</v>
      </c>
      <c r="CY85" s="2">
        <f>10724.4199885156*(1/14151.6638359215)</f>
        <v>0.75782043107140185</v>
      </c>
      <c r="CZ85" s="2">
        <f>10431.2661658032*(1/14151.6638359215)</f>
        <v>0.73710528223015537</v>
      </c>
      <c r="DA85" s="2">
        <f>10136.8488580559*(1/14151.6638359215)</f>
        <v>0.71630085165853785</v>
      </c>
      <c r="DB85" s="2">
        <f>9844.28141869929*(1/14151.6638359215)</f>
        <v>0.69562713846490043</v>
      </c>
      <c r="DC85" s="2">
        <f>9556.67720115861*(1/14151.6638359215)</f>
        <v>0.67530414175757014</v>
      </c>
      <c r="DD85" s="2">
        <f>9277.14955885921*(1/14151.6638359215)</f>
        <v>0.6555518606448808</v>
      </c>
      <c r="DE85" s="2">
        <f>9007.94227096329*(1/14151.6638359215)</f>
        <v>0.63652884744889293</v>
      </c>
      <c r="DF85" s="2">
        <f>8742.19976364132*(1/14151.6638359215)</f>
        <v>0.61775066628213637</v>
      </c>
      <c r="DG85" s="2">
        <f>8477.98909736836*(1/14151.6638359215)</f>
        <v>0.59908072970532844</v>
      </c>
      <c r="DH85" s="2">
        <f>8215.60961272225*(1/14151.6638359215)</f>
        <v>0.58054019004241575</v>
      </c>
      <c r="DI85" s="2">
        <f>7955.36065028098*(1/14151.6638359215)</f>
        <v>0.56215019961735535</v>
      </c>
      <c r="DJ85" s="2">
        <f>7697.54155062239*(1/14151.6638359215)</f>
        <v>0.54393191075409375</v>
      </c>
      <c r="DK85" s="2">
        <f>7442.45165432438*(1/14151.6638359215)</f>
        <v>0.52590647577658189</v>
      </c>
      <c r="DL85" s="2">
        <f>7190.39030196483*(1/14151.6638359215)</f>
        <v>0.50809504700876895</v>
      </c>
      <c r="DM85" s="2">
        <f>6941.65683412159*(1/14151.6638359215)</f>
        <v>0.49051877677460226</v>
      </c>
      <c r="DN85" s="2">
        <f>6696.55059137264*(1/14151.6638359215)</f>
        <v>0.47319881739803832</v>
      </c>
      <c r="DO85" s="2">
        <f>6455.37091429583*(1/14151.6638359215)</f>
        <v>0.45615632120302424</v>
      </c>
      <c r="DP85" s="2">
        <f>6218.40227075715*(1/14151.6638359215)</f>
        <v>0.43941138956204107</v>
      </c>
      <c r="DQ85" s="2">
        <f>5985.5670892046*(1/14151.6638359215)</f>
        <v>0.42295854103114683</v>
      </c>
      <c r="DR85" s="2">
        <f>5756.53292996181*(1/14151.6638359215)</f>
        <v>0.40677428440250729</v>
      </c>
      <c r="DS85" s="2">
        <f>5530.96442640281*(1/14151.6638359215)</f>
        <v>0.39083492164104644</v>
      </c>
      <c r="DT85" s="2">
        <f>5308.52621190158*(1/14151.6638359215)</f>
        <v>0.37511675471168437</v>
      </c>
      <c r="DU85" s="2">
        <f>5088.88291983224*(1/14151.6638359215)</f>
        <v>0.35959608557935141</v>
      </c>
      <c r="DV85" s="2">
        <f>4871.69918356877*(1/14151.6638359215)</f>
        <v>0.34424921620896776</v>
      </c>
      <c r="DW85" s="2">
        <f>4656.63963648519*(1/14151.6638359215)</f>
        <v>0.32905244856545646</v>
      </c>
      <c r="DX85" s="2">
        <f>4443.36891195553*(1/14151.6638359215)</f>
        <v>0.3139820846137415</v>
      </c>
      <c r="DY85" s="2">
        <f>4231.55164335379*(1/14151.6638359215)</f>
        <v>0.29901442631874442</v>
      </c>
      <c r="DZ85" s="2">
        <f>4020.79069863312*(1/14151.6638359215)</f>
        <v>0.28412141111118344</v>
      </c>
      <c r="EA85" s="2">
        <f>3809.72051080549*(1/14151.6638359215)</f>
        <v>0.26920654383657611</v>
      </c>
      <c r="EB85" s="2">
        <f>3598.59348782352*(1/14151.6638359215)</f>
        <v>0.25428766041552836</v>
      </c>
      <c r="EC85" s="2">
        <f>3388.33623643178*(1/14151.6638359215)</f>
        <v>0.23943023772449193</v>
      </c>
      <c r="ED85" s="2">
        <f>3179.87536337483*(1/14151.6638359215)</f>
        <v>0.22469975263991773</v>
      </c>
      <c r="EE85" s="2">
        <f>2974.1374753972*(1/14151.6638359215)</f>
        <v>0.21016168203825455</v>
      </c>
      <c r="EF85" s="2">
        <f>2772.04917924352*(1/14151.6638359215)</f>
        <v>0.19588150279595837</v>
      </c>
      <c r="EG85" s="2">
        <f>2574.53708165832*(1/14151.6638359215)</f>
        <v>0.18192469178947795</v>
      </c>
      <c r="EH85" s="2">
        <f>2382.52778938616*(1/14151.6638359215)</f>
        <v>0.16835672589526426</v>
      </c>
      <c r="EI85" s="2">
        <f>2196.94790917159*(1/14151.6638359215)</f>
        <v>0.15524308198976755</v>
      </c>
      <c r="EJ85" s="2">
        <f>2018.72404775915*(1/14151.6638359215)</f>
        <v>0.14264923694943737</v>
      </c>
      <c r="EK85" s="2">
        <f>1846.97862266349*(1/14151.6638359215)</f>
        <v>0.13051317810244056</v>
      </c>
      <c r="EL85" s="2">
        <f>1677.34089987179*(1/14151.6638359215)</f>
        <v>0.11852605596906254</v>
      </c>
      <c r="EM85" s="2">
        <f>1510.69626693745*(1/14151.6638359215)</f>
        <v>0.10675043475119966</v>
      </c>
      <c r="EN85" s="2">
        <f>1348.30836334261*(1/14151.6638359215)</f>
        <v>9.5275607092938946E-2</v>
      </c>
      <c r="EO85" s="2">
        <f>1191.44082856936*(1/14151.6638359215)</f>
        <v>8.4190865638363879E-2</v>
      </c>
      <c r="EP85" s="2">
        <f>1041.35730209985*(1/14151.6638359215)</f>
        <v>7.3585503031562152E-2</v>
      </c>
      <c r="EQ85" s="2">
        <f>899.321423416153*(1/14151.6638359215)</f>
        <v>6.3548811916616085E-2</v>
      </c>
      <c r="ER85" s="2">
        <f>766.596832000456*(1/14151.6638359215)</f>
        <v>5.4170084937615978E-2</v>
      </c>
      <c r="ES85" s="2">
        <f>644.447167334847*(1/14151.6638359215)</f>
        <v>4.5538614738645192E-2</v>
      </c>
      <c r="ET85" s="2">
        <f>534.136068901448*(1/14151.6638359215)</f>
        <v>3.7743693963789467E-2</v>
      </c>
      <c r="EU85" s="2">
        <f>436.938704647137*(1/14151.6638359215)</f>
        <v>3.0875429893836601E-2</v>
      </c>
      <c r="EV85" s="2">
        <f>354.388985583415*(1/14151.6638359215)</f>
        <v>2.5042213388637817E-2</v>
      </c>
      <c r="EW85" s="2">
        <f>285.7142382893*(1/14151.6638359215)</f>
        <v>2.0189444972828204E-2</v>
      </c>
      <c r="EX85" s="2">
        <f>229.196419417977*(1/14151.6638359215)</f>
        <v>1.6195722430616417E-2</v>
      </c>
      <c r="EY85" s="2">
        <f>183.117485622648*(1/14151.6638359215)</f>
        <v>1.2939643546212326E-2</v>
      </c>
      <c r="EZ85" s="2">
        <f>145.759393556513*(1/14151.6638359215)</f>
        <v>1.0299806103825653E-2</v>
      </c>
      <c r="FA85" s="2">
        <f>115.404099872774*(1/14151.6638359215)</f>
        <v>8.15480788766626E-3</v>
      </c>
      <c r="FB85" s="2">
        <f>90.3335612246284*(1/14151.6638359215)</f>
        <v>6.3832466819436877E-3</v>
      </c>
      <c r="FC85" s="2">
        <f>68.8297342652868*(1/14151.6638359215)</f>
        <v>4.8637202708684104E-3</v>
      </c>
      <c r="FD85" s="2">
        <f>49.1745756479455*(1/14151.6638359215)</f>
        <v>3.4748264386498871E-3</v>
      </c>
      <c r="FE85" s="2">
        <f>29.6500420258057*(1/14151.6638359215)</f>
        <v>2.0951629694979262E-3</v>
      </c>
      <c r="FF85" s="2">
        <f>9.54601440811258*(1/14151.6638359215)</f>
        <v>6.7455067607539597E-4</v>
      </c>
      <c r="FG85" s="2">
        <f>-7.40305588734723*(1/14151.6638359215)</f>
        <v>-5.2312264997108531E-4</v>
      </c>
      <c r="FH85" s="2">
        <f>-20.6422442151046*(1/14151.6638359215)</f>
        <v>-1.4586443300545276E-3</v>
      </c>
      <c r="FI85" s="2">
        <f>-30.1715505751631*(1/14151.6638359215)</f>
        <v>-2.1320143641751824E-3</v>
      </c>
      <c r="FJ85" s="2">
        <f>-35.9909749675227*(1/14151.6638359215)</f>
        <v>-2.5432327523330486E-3</v>
      </c>
      <c r="FK85" s="2">
        <f>-38.1005173921834*(1/14151.6638359215)</f>
        <v>-2.692299494528125E-3</v>
      </c>
      <c r="FL85" s="2">
        <f>-36.5001778491452*(1/14151.6638359215)</f>
        <v>-2.5792145907604126E-3</v>
      </c>
      <c r="FM85" s="2">
        <f>-31.1899563384068*(1/14151.6638359215)</f>
        <v>-2.203978041029819E-3</v>
      </c>
      <c r="FN85" s="2">
        <f>-22.1698528599701*(1/14151.6638359215)</f>
        <v>-1.5665898453364785E-3</v>
      </c>
      <c r="FO85" s="2">
        <f>-9.43986741383446*(1/14151.6638359215)</f>
        <v>-6.6705000368034626E-4</v>
      </c>
      <c r="FP85" s="2">
        <f t="shared" si="17"/>
        <v>4.9464148393856954E-4</v>
      </c>
      <c r="FQ85" s="2"/>
    </row>
    <row r="86" spans="2:173">
      <c r="B86" s="2">
        <v>10.085798816568047</v>
      </c>
      <c r="C86" s="2">
        <f t="shared" si="18"/>
        <v>4.9464148393856954E-4</v>
      </c>
      <c r="D86" s="2">
        <f>-11.87229915599*(1/14151.6638359215)</f>
        <v>-8.3893309604021716E-4</v>
      </c>
      <c r="E86" s="2">
        <f>-26.7983822945594*(1/14151.6638359215)</f>
        <v>-1.8936559407619928E-3</v>
      </c>
      <c r="F86" s="2">
        <f>-37.7782494157099*(1/14151.6638359215)</f>
        <v>-2.6695270502268774E-3</v>
      </c>
      <c r="G86" s="2">
        <f>-44.8119005194374*(1/14151.6638359215)</f>
        <v>-3.1665464244345818E-3</v>
      </c>
      <c r="H86" s="2">
        <f>-47.8993356057443*(1/14151.6638359215)</f>
        <v>-3.3847140633852745E-3</v>
      </c>
      <c r="I86" s="2">
        <f>-47.0405546746306*(1/14151.6638359215)</f>
        <v>-3.3240299670789565E-3</v>
      </c>
      <c r="J86" s="2">
        <f>-42.2355577260963*(1/14151.6638359215)</f>
        <v>-2.9844941355156272E-3</v>
      </c>
      <c r="K86" s="2">
        <f>-33.4843447601415*(1/14151.6638359215)</f>
        <v>-2.3661065686952937E-3</v>
      </c>
      <c r="L86" s="2">
        <f>-20.7869157767633*(1/14151.6638359215)</f>
        <v>-1.4688672666177518E-3</v>
      </c>
      <c r="M86" s="2">
        <f>-4.14327077596652*(1/14151.6638359215)</f>
        <v>-2.9277622928334114E-4</v>
      </c>
      <c r="N86" s="2">
        <f>15.8262405009517*(1/14151.6638359215)</f>
        <v>1.1183307266513485E-3</v>
      </c>
      <c r="O86" s="2">
        <f>34.9468784243378*(1/14151.6638359215)</f>
        <v>2.469453686119318E-3</v>
      </c>
      <c r="P86" s="2">
        <f>54.0124843487038*(1/14151.6638359215)</f>
        <v>3.8166879156359443E-3</v>
      </c>
      <c r="Q86" s="2">
        <f>74.9436573219411*(1/14151.6638359215)</f>
        <v>5.2957488385012271E-3</v>
      </c>
      <c r="R86" s="2">
        <f>99.6609963919466*(1/14151.6638359215)</f>
        <v>7.0423518780155557E-3</v>
      </c>
      <c r="S86" s="2">
        <f>130.085100606603*(1/14151.6638359215)</f>
        <v>9.1922124574783173E-3</v>
      </c>
      <c r="T86" s="2">
        <f>168.136569013805*(1/14151.6638359215)</f>
        <v>1.1881046000189745E-2</v>
      </c>
      <c r="U86" s="2">
        <f>215.736000661445*(1/14151.6638359215)</f>
        <v>1.524456792944991E-2</v>
      </c>
      <c r="V86" s="2">
        <f>274.803994597414*(1/14151.6638359215)</f>
        <v>1.9418493668558787E-2</v>
      </c>
      <c r="W86" s="2">
        <f>347.261149869604*(1/14151.6638359215)</f>
        <v>2.4538538640816419E-2</v>
      </c>
      <c r="X86" s="2">
        <f>435.028065525924*(1/14151.6638359215)</f>
        <v>3.0740418269524044E-2</v>
      </c>
      <c r="Y86" s="2">
        <f>538.90728126205*(1/14151.6638359215)</f>
        <v>3.8080842472680072E-2</v>
      </c>
      <c r="Z86" s="2">
        <f>657.115592671164*(1/14151.6638359215)</f>
        <v>4.6433804554005309E-2</v>
      </c>
      <c r="AA86" s="2">
        <f>788.275645268107*(1/14151.6638359215)</f>
        <v>5.5701976418292845E-2</v>
      </c>
      <c r="AB86" s="2">
        <f>931.024350836601*(1/14151.6638359215)</f>
        <v>6.5789038068679959E-2</v>
      </c>
      <c r="AC86" s="2">
        <f>1083.99862116037*(1/14151.6638359215)</f>
        <v>7.6598669508304101E-2</v>
      </c>
      <c r="AD86" s="2">
        <f>1245.83536802317*(1/14151.6638359215)</f>
        <v>8.8034550740304973E-2</v>
      </c>
      <c r="AE86" s="2">
        <f>1415.17150320865*(1/14151.6638359215)</f>
        <v>0.10000036176781468</v>
      </c>
      <c r="AF86" s="2">
        <f>1590.64393850057*(1/14151.6638359215)</f>
        <v>0.11239978259397324</v>
      </c>
      <c r="AG86" s="2">
        <f>1770.88958568266*(1/14151.6638359215)</f>
        <v>0.1251364932219185</v>
      </c>
      <c r="AH86" s="2">
        <f>1954.54535653864*(1/14151.6638359215)</f>
        <v>0.13811417365478762</v>
      </c>
      <c r="AI86" s="2">
        <f>2140.58951199914*(1/14151.6638359215)</f>
        <v>0.15126062467408471</v>
      </c>
      <c r="AJ86" s="2">
        <f>2332.87543574824*(1/14151.6638359215)</f>
        <v>0.16484813819747807</v>
      </c>
      <c r="AK86" s="2">
        <f>2532.39524280079*(1/14151.6638359215)</f>
        <v>0.17894682011685101</v>
      </c>
      <c r="AL86" s="2">
        <f>2738.54903976824*(1/14151.6638359215)</f>
        <v>0.19351428012421529</v>
      </c>
      <c r="AM86" s="2">
        <f>2950.73693326204*(1/14151.6638359215)</f>
        <v>0.20850812791158277</v>
      </c>
      <c r="AN86" s="2">
        <f>3168.35902989362*(1/14151.6638359215)</f>
        <v>0.22388597317096384</v>
      </c>
      <c r="AO86" s="2">
        <f>3390.81543627444*(1/14151.6638359215)</f>
        <v>0.23960542559437101</v>
      </c>
      <c r="AP86" s="2">
        <f>3617.50625901597*(1/14151.6638359215)</f>
        <v>0.25562409487381754</v>
      </c>
      <c r="AQ86" s="2">
        <f>3847.83160472959*(1/14151.6638359215)</f>
        <v>0.27189959070131026</v>
      </c>
      <c r="AR86" s="2">
        <f>4081.19158002677*(1/14151.6638359215)</f>
        <v>0.28838952276886243</v>
      </c>
      <c r="AS86" s="2">
        <f>4316.98629151897*(1/14151.6638359215)</f>
        <v>0.30505150076848647</v>
      </c>
      <c r="AT86" s="2">
        <f>4556.08371212308*(1/14151.6638359215)</f>
        <v>0.32194685833041525</v>
      </c>
      <c r="AU86" s="2">
        <f>4801.31682177072*(1/14151.6638359215)</f>
        <v>0.33927578251141216</v>
      </c>
      <c r="AV86" s="2">
        <f>5051.9478394525*(1/14151.6638359215)</f>
        <v>0.35698613944100499</v>
      </c>
      <c r="AW86" s="2">
        <f>5307.07271965166*(1/14151.6638359215)</f>
        <v>0.37501404648834247</v>
      </c>
      <c r="AX86" s="2">
        <f>5565.78741685142*(1/14151.6638359215)</f>
        <v>0.39329562102257204</v>
      </c>
      <c r="AY86" s="2">
        <f>5827.18788553497*(1/14151.6638359215)</f>
        <v>0.41176698041283899</v>
      </c>
      <c r="AZ86" s="2">
        <f>6090.37008018551*(1/14151.6638359215)</f>
        <v>0.43036424202828938</v>
      </c>
      <c r="BA86" s="2">
        <f>6354.4299552863*(1/14151.6638359215)</f>
        <v>0.44902352323807337</v>
      </c>
      <c r="BB86" s="2">
        <f>6618.46346532045*(1/14151.6638359215)</f>
        <v>0.46768094141133071</v>
      </c>
      <c r="BC86" s="2">
        <f>6881.56656477121*(1/14151.6638359215)</f>
        <v>0.48627261391721083</v>
      </c>
      <c r="BD86" s="2">
        <f>7142.88551269323*(1/14151.6638359215)</f>
        <v>0.50473821280026998</v>
      </c>
      <c r="BE86" s="2">
        <f>7403.62126630808*(1/14151.6638359215)</f>
        <v>0.52316260138368287</v>
      </c>
      <c r="BF86" s="2">
        <f>7664.71616965361*(1/14151.6638359215)</f>
        <v>0.54161236858934436</v>
      </c>
      <c r="BG86" s="2">
        <f>7926.27944449149*(1/14151.6638359215)</f>
        <v>0.5600952323621502</v>
      </c>
      <c r="BH86" s="2">
        <f>8188.42031258325*(1/14151.6638359215)</f>
        <v>0.57861891064698634</v>
      </c>
      <c r="BI86" s="2">
        <f>8451.24799569056*(1/14151.6638359215)</f>
        <v>0.59719112138874864</v>
      </c>
      <c r="BJ86" s="2">
        <f>8714.87171557504*(1/14151.6638359215)</f>
        <v>0.61581958253232927</v>
      </c>
      <c r="BK86" s="2">
        <f>8979.40069399831*(1/14151.6638359215)</f>
        <v>0.63451201202262075</v>
      </c>
      <c r="BL86" s="2">
        <f>9244.94415272201*(1/14151.6638359215)</f>
        <v>0.6532761278045166</v>
      </c>
      <c r="BM86" s="2">
        <f>9511.6113135078*(1/14151.6638359215)</f>
        <v>0.67211964782291211</v>
      </c>
      <c r="BN86" s="2">
        <f>9779.5113981172*(1/14151.6638359215)</f>
        <v>0.69105029002269236</v>
      </c>
      <c r="BO86" s="2">
        <f>10051.4591933794*(1/14151.6638359215)</f>
        <v>0.7102669558801662</v>
      </c>
      <c r="BP86" s="2">
        <f>10335.7941965046*(1/14151.6638359215)</f>
        <v>0.73035893986324141</v>
      </c>
      <c r="BQ86" s="2">
        <f>10629.2890205374*(1/14151.6638359215)</f>
        <v>0.75109818490436631</v>
      </c>
      <c r="BR86" s="2">
        <f>10927.6388204067*(1/14151.6638359215)</f>
        <v>0.77218049743867001</v>
      </c>
      <c r="BS86" s="2">
        <f>11226.5387510412*(1/14151.6638359215)</f>
        <v>0.79330168390126776</v>
      </c>
      <c r="BT86" s="2">
        <f>11521.6839673698*(1/14151.6638359215)</f>
        <v>0.81415755072728901</v>
      </c>
      <c r="BU86" s="2">
        <f>11808.7696243214*(1/14151.6638359215)</f>
        <v>0.83444390435186311</v>
      </c>
      <c r="BV86" s="2">
        <f>12083.4908768247*(1/14151.6638359215)</f>
        <v>0.85385655121010529</v>
      </c>
      <c r="BW86" s="2">
        <f>12341.5428798088*(1/14151.6638359215)</f>
        <v>0.87209129773715888</v>
      </c>
      <c r="BX86" s="2">
        <f>12578.6207882023*(1/14151.6638359215)</f>
        <v>0.88884395036813224</v>
      </c>
      <c r="BY86" s="2">
        <f>12790.4791870059*(1/14151.6638359215)</f>
        <v>0.90381451504942667</v>
      </c>
      <c r="BZ86" s="2">
        <f>12989.8040542409*(1/14151.6638359215)</f>
        <v>0.91789942192299512</v>
      </c>
      <c r="CA86" s="2">
        <f>13185.6342881799*(1/14151.6638359215)</f>
        <v>0.93173738728236999</v>
      </c>
      <c r="CB86" s="2">
        <f>13373.6322115625*(1/14151.6638359215)</f>
        <v>0.94502189753941845</v>
      </c>
      <c r="CC86" s="2">
        <f>13549.4601471283*(1/14151.6638359215)</f>
        <v>0.95744643910600735</v>
      </c>
      <c r="CD86" s="2">
        <f>13708.7804176168*(1/14151.6638359215)</f>
        <v>0.96870449839399664</v>
      </c>
      <c r="CE86" s="2">
        <f>13847.2553457677*(1/14151.6638359215)</f>
        <v>0.97848956181526081</v>
      </c>
      <c r="CF86" s="2">
        <f>13960.5472543206*(1/14151.6638359215)</f>
        <v>0.98649511578166627</v>
      </c>
      <c r="CG86" s="2">
        <f>14044.318466015*(1/14151.6638359215)</f>
        <v>0.99241464670507351</v>
      </c>
      <c r="CH86" s="2">
        <f>14094.2313035906*(1/14151.6638359215)</f>
        <v>0.99594164099735638</v>
      </c>
      <c r="CI86" s="2">
        <f>14105.9480897869*(1/14151.6638359215)</f>
        <v>0.99676958507037472</v>
      </c>
      <c r="CJ86" s="2">
        <f>14074.7014290564*(1/14151.6638359215)</f>
        <v>0.99456160012296624</v>
      </c>
      <c r="CK86" s="2">
        <f>13997.374589236*(1/14151.6638359215)</f>
        <v>0.98909744829481727</v>
      </c>
      <c r="CL86" s="2">
        <f>13878.9093815418*(1/14151.6638359215)</f>
        <v>0.98072633313353863</v>
      </c>
      <c r="CM86" s="2">
        <f>13725.0994749016*(1/14151.6638359215)</f>
        <v>0.96985765306711569</v>
      </c>
      <c r="CN86" s="2">
        <f>13541.7385382433*(1/14151.6638359215)</f>
        <v>0.95690080652354026</v>
      </c>
      <c r="CO86" s="2">
        <f>13334.6202404946*(1/14151.6638359215)</f>
        <v>0.94226519193079061</v>
      </c>
      <c r="CP86" s="2">
        <f>13109.5382505833*(1/14151.6638359215)</f>
        <v>0.92636020771685179</v>
      </c>
      <c r="CQ86" s="2">
        <f>12872.2862374372*(1/14151.6638359215)</f>
        <v>0.90959525230970895</v>
      </c>
      <c r="CR86" s="2">
        <f>12628.6578699842*(1/14151.6638359215)</f>
        <v>0.89237972413735422</v>
      </c>
      <c r="CS86" s="2">
        <f>12384.4468171521*(1/14151.6638359215)</f>
        <v>0.87512302162777278</v>
      </c>
      <c r="CT86" s="2">
        <f>12145.4467478687*(1/14151.6638359215)</f>
        <v>0.85823454320894965</v>
      </c>
      <c r="CU86" s="2">
        <f>11903.1867719552*(1/14151.6638359215)</f>
        <v>0.84111570978255301</v>
      </c>
      <c r="CV86" s="2">
        <f>11643.7028798058*(1/14151.6638359215)</f>
        <v>0.82277978157241949</v>
      </c>
      <c r="CW86" s="2">
        <f>11370.1283987062*(1/14151.6638359215)</f>
        <v>0.80344816910115802</v>
      </c>
      <c r="CX86" s="2">
        <f>11085.6583621624*(1/14151.6638359215)</f>
        <v>0.78334664324228886</v>
      </c>
      <c r="CY86" s="2">
        <f>10793.4878036807*(1/14151.6638359215)</f>
        <v>0.7627009748693534</v>
      </c>
      <c r="CZ86" s="2">
        <f>10496.8117567672*(1/14151.6638359215)</f>
        <v>0.74173693485587866</v>
      </c>
      <c r="DA86" s="2">
        <f>10198.825254928*(1/14151.6638359215)</f>
        <v>0.72068029407539225</v>
      </c>
      <c r="DB86" s="2">
        <f>9902.72333166945*(1/14151.6638359215)</f>
        <v>0.69975682340143885</v>
      </c>
      <c r="DC86" s="2">
        <f>9611.70102049757*(1/14151.6638359215)</f>
        <v>0.6791922937075402</v>
      </c>
      <c r="DD86" s="2">
        <f>9328.95335491856*(1/14151.6638359215)</f>
        <v>0.65921247586723053</v>
      </c>
      <c r="DE86" s="2">
        <f>9056.77688153406*(1/14151.6638359215)</f>
        <v>0.6399796509117911</v>
      </c>
      <c r="DF86" s="2">
        <f>8788.0805158633*(1/14151.6638359215)</f>
        <v>0.62099274104832169</v>
      </c>
      <c r="DG86" s="2">
        <f>8520.88754575417*(1/14151.6638359215)</f>
        <v>0.60211206572935982</v>
      </c>
      <c r="DH86" s="2">
        <f>8255.53070860894*(1/14151.6638359215)</f>
        <v>0.58336113720096527</v>
      </c>
      <c r="DI86" s="2">
        <f>7992.34274183002*(1/14151.6638359215)</f>
        <v>0.56476346770920804</v>
      </c>
      <c r="DJ86" s="2">
        <f>7731.65638281967*(1/14151.6638359215)</f>
        <v>0.54634256950014781</v>
      </c>
      <c r="DK86" s="2">
        <f>7473.80436898022*(1/14151.6638359215)</f>
        <v>0.52812195481984858</v>
      </c>
      <c r="DL86" s="2">
        <f>7219.11943771397*(1/14151.6638359215)</f>
        <v>0.51012513591437281</v>
      </c>
      <c r="DM86" s="2">
        <f>6967.9343264232*(1/14151.6638359215)</f>
        <v>0.49237562502978127</v>
      </c>
      <c r="DN86" s="2">
        <f>6720.58177251031*(1/14151.6638359215)</f>
        <v>0.47489693441214309</v>
      </c>
      <c r="DO86" s="2">
        <f>6477.39451337757*(1/14151.6638359215)</f>
        <v>0.45771257630751855</v>
      </c>
      <c r="DP86" s="2">
        <f>6238.66538882976*(1/14151.6638359215)</f>
        <v>0.44084324367527788</v>
      </c>
      <c r="DQ86" s="2">
        <f>6004.27392033114*(1/14151.6638359215)</f>
        <v>0.42428042313232112</v>
      </c>
      <c r="DR86" s="2">
        <f>5773.87098755869*(1/14151.6638359215)</f>
        <v>0.40799944476512634</v>
      </c>
      <c r="DS86" s="2">
        <f>5547.10558862866*(1/14151.6638359215)</f>
        <v>0.39197550570331613</v>
      </c>
      <c r="DT86" s="2">
        <f>5323.62672165723*(1/14151.6638359215)</f>
        <v>0.37618380307650773</v>
      </c>
      <c r="DU86" s="2">
        <f>5103.08338476074*(1/14151.6638359215)</f>
        <v>0.36059953401433009</v>
      </c>
      <c r="DV86" s="2">
        <f>4885.12457605538*(1/14151.6638359215)</f>
        <v>0.34519789564640124</v>
      </c>
      <c r="DW86" s="2">
        <f>4669.39929365738*(1/14151.6638359215)</f>
        <v>0.32995408510234214</v>
      </c>
      <c r="DX86" s="2">
        <f>4455.556535683*(1/14151.6638359215)</f>
        <v>0.31484329951177592</v>
      </c>
      <c r="DY86" s="2">
        <f>4243.24530024842*(1/14151.6638359215)</f>
        <v>0.29984073600431993</v>
      </c>
      <c r="DZ86" s="2">
        <f>4032.05983688531*(1/14151.6638359215)</f>
        <v>0.28491772300657947</v>
      </c>
      <c r="EA86" s="2">
        <f>3820.76464401218*(1/14151.6638359215)</f>
        <v>0.26998695618488644</v>
      </c>
      <c r="EB86" s="2">
        <f>3609.62947517645*(1/14151.6638359215)</f>
        <v>0.2550674971528113</v>
      </c>
      <c r="EC86" s="2">
        <f>3399.53201008672*(1/14151.6638359215)</f>
        <v>0.24022136545228051</v>
      </c>
      <c r="ED86" s="2">
        <f>3191.34992845158*(1/14151.6638359215)</f>
        <v>0.22551058062521961</v>
      </c>
      <c r="EE86" s="2">
        <f>2985.9609099796*(1/14151.6638359215)</f>
        <v>0.21099716221355297</v>
      </c>
      <c r="EF86" s="2">
        <f>2784.24263437944*(1/14151.6638359215)</f>
        <v>0.19674312975921118</v>
      </c>
      <c r="EG86" s="2">
        <f>2587.07278135967*(1/14151.6638359215)</f>
        <v>0.18281050280411854</v>
      </c>
      <c r="EH86" s="2">
        <f>2395.32903062888*(1/14151.6638359215)</f>
        <v>0.16926130089020064</v>
      </c>
      <c r="EI86" s="2">
        <f>2209.88906189566*(1/14151.6638359215)</f>
        <v>0.15615754355938322</v>
      </c>
      <c r="EJ86" s="2">
        <f>2031.63055486859*(1/14151.6638359215)</f>
        <v>0.14356125035359127</v>
      </c>
      <c r="EK86" s="2">
        <f>1859.65677486832*(1/14151.6638359215)</f>
        <v>0.13140905524818289</v>
      </c>
      <c r="EL86" s="2">
        <f>1689.66963358734*(1/14151.6638359215)</f>
        <v>0.11939724213194014</v>
      </c>
      <c r="EM86" s="2">
        <f>1522.57705421242*(1/14151.6638359215)</f>
        <v>0.10758996764377819</v>
      </c>
      <c r="EN86" s="2">
        <f>1359.6601406219*(1/14151.6638359215)</f>
        <v>9.6077758515620101E-2</v>
      </c>
      <c r="EO86" s="2">
        <f>1202.19999669413*(1/14151.6638359215)</f>
        <v>8.4951141479389702E-2</v>
      </c>
      <c r="EP86" s="2">
        <f>1051.47772630745*(1/14151.6638359215)</f>
        <v>7.4300643267010025E-2</v>
      </c>
      <c r="EQ86" s="2">
        <f>908.774433340177*(1/14151.6638359215)</f>
        <v>6.4216790610402544E-2</v>
      </c>
      <c r="ER86" s="2">
        <f>775.371221670712*(1/14151.6638359215)</f>
        <v>5.4790110241494647E-2</v>
      </c>
      <c r="ES86" s="2">
        <f>652.54919517737*(1/14151.6638359215)</f>
        <v>4.6111128892207656E-2</v>
      </c>
      <c r="ET86" s="2">
        <f>541.589457738494*(1/14151.6638359215)</f>
        <v>3.8270373294464845E-2</v>
      </c>
      <c r="EU86" s="2">
        <f>443.783697014984*(1/14151.6638359215)</f>
        <v>3.1359118062748034E-2</v>
      </c>
      <c r="EV86" s="2">
        <f>360.609478360063*(1/14151.6638359215)</f>
        <v>2.5481772499762152E-2</v>
      </c>
      <c r="EW86" s="2">
        <f>291.264786996086*(1/14151.6638359215)</f>
        <v>2.0581663779827907E-2</v>
      </c>
      <c r="EX86" s="2">
        <f>234.048452125304*(1/14151.6638359215)</f>
        <v>1.653858195325509E-2</v>
      </c>
      <c r="EY86" s="2">
        <f>187.259302949983*(1/14151.6638359215)</f>
        <v>1.3232317070354535E-2</v>
      </c>
      <c r="EZ86" s="2">
        <f>149.196168672389*(1/14151.6638359215)</f>
        <v>1.0542659181437089E-2</v>
      </c>
      <c r="FA86" s="2">
        <f>118.15787849479*(1/14151.6638359215)</f>
        <v>8.3493983368137306E-3</v>
      </c>
      <c r="FB86" s="2">
        <f>92.4432616194469*(1/14151.6638359215)</f>
        <v>6.5323245867949468E-3</v>
      </c>
      <c r="FC86" s="2">
        <f>70.351147248636*(1/14151.6638359215)</f>
        <v>4.9712279816923038E-3</v>
      </c>
      <c r="FD86" s="2">
        <f>50.1803645846187*(1/14151.6638359215)</f>
        <v>3.5458985718163196E-3</v>
      </c>
      <c r="FE86" s="2">
        <f>30.2297428296612*(1/14151.6638359215)</f>
        <v>2.1361264074778495E-3</v>
      </c>
      <c r="FF86" s="2">
        <f>9.79613692503213*(1/14151.6638359215)</f>
        <v>6.922251007804726E-4</v>
      </c>
      <c r="FG86" s="2">
        <f>-7.42267708699713*(1/14151.6638359215)</f>
        <v>-5.2450914415843989E-4</v>
      </c>
      <c r="FH86" s="2">
        <f>-20.8772243613511*(1/14151.6638359215)</f>
        <v>-1.4752487483738804E-3</v>
      </c>
      <c r="FI86" s="2">
        <f>-30.5675048980335*(1/14151.6638359215)</f>
        <v>-2.1599937118661119E-3</v>
      </c>
      <c r="FJ86" s="2">
        <f>-36.4935186970442*(1/14151.6638359215)</f>
        <v>-2.5787440346351255E-3</v>
      </c>
      <c r="FK86" s="2">
        <f>-38.6552657583832*(1/14151.6638359215)</f>
        <v>-2.7314997166809204E-3</v>
      </c>
      <c r="FL86" s="2">
        <f>-37.0527460820506*(1/14151.6638359215)</f>
        <v>-2.6182607580035036E-3</v>
      </c>
      <c r="FM86" s="2">
        <f>-31.685959668045*(1/14151.6638359215)</f>
        <v>-2.2390271586027778E-3</v>
      </c>
      <c r="FN86" s="2">
        <f>-22.5549065163683*(1/14151.6638359215)</f>
        <v>-1.5937989184788754E-3</v>
      </c>
      <c r="FO86" s="2">
        <f>-9.65958662701995*(1/14151.6638359215)</f>
        <v>-6.8257603763175855E-4</v>
      </c>
      <c r="FP86" s="2">
        <f t="shared" si="17"/>
        <v>4.9464148393856954E-4</v>
      </c>
      <c r="FQ86" s="2"/>
    </row>
    <row r="87" spans="2:173">
      <c r="B87" s="2">
        <v>10.095266272189349</v>
      </c>
      <c r="C87" s="2">
        <f t="shared" si="18"/>
        <v>4.9464148393856954E-4</v>
      </c>
      <c r="D87" s="2">
        <f>-12.2424461148925*(1/14151.6638359215)</f>
        <v>-8.6508881618691457E-4</v>
      </c>
      <c r="E87" s="2">
        <f>-27.4607111488458*(1/14151.6638359215)</f>
        <v>-1.9404581303819296E-3</v>
      </c>
      <c r="F87" s="2">
        <f>-38.6547951018614*(1/14151.6638359215)</f>
        <v>-2.7314664586465822E-3</v>
      </c>
      <c r="G87" s="2">
        <f>-45.8246979739354*(1/14151.6638359215)</f>
        <v>-3.2381138009805956E-3</v>
      </c>
      <c r="H87" s="2">
        <f>-48.97041976507*(1/14151.6638359215)</f>
        <v>-3.4604001573841259E-3</v>
      </c>
      <c r="I87" s="2">
        <f>-48.0919604752653*(1/14151.6638359215)</f>
        <v>-3.3983255278571805E-3</v>
      </c>
      <c r="J87" s="2">
        <f>-43.1893201045214*(1/14151.6638359215)</f>
        <v>-3.0518899123997659E-3</v>
      </c>
      <c r="K87" s="2">
        <f>-34.2624986528382*(1/14151.6638359215)</f>
        <v>-2.4210933110118751E-3</v>
      </c>
      <c r="L87" s="2">
        <f>-21.3114961202129*(1/14151.6638359215)</f>
        <v>-1.5059357236933109E-3</v>
      </c>
      <c r="M87" s="2">
        <f>-4.33631250665036*(1/14151.6638359215)</f>
        <v>-3.0641715044441606E-4</v>
      </c>
      <c r="N87" s="2">
        <f>16.0648519048799*(1/14151.6638359215)</f>
        <v>1.1351917407833071E-3</v>
      </c>
      <c r="O87" s="2">
        <f>35.8663156938269*(1/14151.6638359215)</f>
        <v>2.5344239454576775E-3</v>
      </c>
      <c r="P87" s="2">
        <f>55.8335762744545*(1/14151.6638359215)</f>
        <v>3.9453718602847831E-3</v>
      </c>
      <c r="Q87" s="2">
        <f>77.8186581056067*(1/14151.6638359215)</f>
        <v>5.4989052176379278E-3</v>
      </c>
      <c r="R87" s="2">
        <f>103.673585646133*(1/14151.6638359215)</f>
        <v>7.3258937498908022E-3</v>
      </c>
      <c r="S87" s="2">
        <f>135.250383354869*(1/14151.6638359215)</f>
        <v>9.5572071894161163E-3</v>
      </c>
      <c r="T87" s="2">
        <f>174.401075690662*(1/14151.6638359215)</f>
        <v>1.2323715268587405E-2</v>
      </c>
      <c r="U87" s="2">
        <f>222.977687112357*(1/14151.6638359215)</f>
        <v>1.5756287719778047E-2</v>
      </c>
      <c r="V87" s="2">
        <f>282.832242078797*(1/14151.6638359215)</f>
        <v>1.9985794275361266E-2</v>
      </c>
      <c r="W87" s="2">
        <f>355.816765048828*(1/14151.6638359215)</f>
        <v>2.5143104667710518E-2</v>
      </c>
      <c r="X87" s="2">
        <f>443.783280481311*(1/14151.6638359215)</f>
        <v>3.1359088629200303E-2</v>
      </c>
      <c r="Y87" s="2">
        <f>547.466983550588*(1/14151.6638359215)</f>
        <v>3.8685697307262186E-2</v>
      </c>
      <c r="Z87" s="2">
        <f>665.105089526115*(1/14151.6638359215)</f>
        <v>4.6998366922613236E-2</v>
      </c>
      <c r="AA87" s="2">
        <f>795.399849388065*(1/14151.6638359215)</f>
        <v>5.6205394546546744E-2</v>
      </c>
      <c r="AB87" s="2">
        <f>937.068142109621*(1/14151.6638359215)</f>
        <v>6.6216110909237333E-2</v>
      </c>
      <c r="AC87" s="2">
        <f>1088.82684666397*(1/14151.6638359215)</f>
        <v>7.6939846740859921E-2</v>
      </c>
      <c r="AD87" s="2">
        <f>1249.39284202431*(1/14151.6638359215)</f>
        <v>8.828593277159022E-2</v>
      </c>
      <c r="AE87" s="2">
        <f>1417.48300716379*(1/14151.6638359215)</f>
        <v>0.10016369973160044</v>
      </c>
      <c r="AF87" s="2">
        <f>1591.81422105559*(1/14151.6638359215)</f>
        <v>0.11248247835106504</v>
      </c>
      <c r="AG87" s="2">
        <f>1771.10336267292*(1/14151.6638359215)</f>
        <v>0.12515159936016051</v>
      </c>
      <c r="AH87" s="2">
        <f>1954.06731098895*(1/14151.6638359215)</f>
        <v>0.13808039348906065</v>
      </c>
      <c r="AI87" s="2">
        <f>2139.75593155546*(1/14151.6638359215)</f>
        <v>0.15120172132156415</v>
      </c>
      <c r="AJ87" s="2">
        <f>2331.94722040314*(1/14151.6638359215)</f>
        <v>0.16478254765237596</v>
      </c>
      <c r="AK87" s="2">
        <f>2531.567135286*(1/14151.6638359215)</f>
        <v>0.17888830349828291</v>
      </c>
      <c r="AL87" s="2">
        <f>2737.9810660362*(1/14151.6638359215)</f>
        <v>0.19347414535712179</v>
      </c>
      <c r="AM87" s="2">
        <f>2950.5544024859*(1/14151.6638359215)</f>
        <v>0.20849522972672929</v>
      </c>
      <c r="AN87" s="2">
        <f>3168.65253446726*(1/14151.6638359215)</f>
        <v>0.22390671310494212</v>
      </c>
      <c r="AO87" s="2">
        <f>3391.64085181245*(1/14151.6638359215)</f>
        <v>0.23966375198959775</v>
      </c>
      <c r="AP87" s="2">
        <f>3618.88474435366*(1/14151.6638359215)</f>
        <v>0.25572150287853507</v>
      </c>
      <c r="AQ87" s="2">
        <f>3849.74960192298*(1/14151.6638359215)</f>
        <v>0.27203512226958576</v>
      </c>
      <c r="AR87" s="2">
        <f>4083.60081435261*(1/14151.6638359215)</f>
        <v>0.28855976666058947</v>
      </c>
      <c r="AS87" s="2">
        <f>4319.80377147472*(1/14151.6638359215)</f>
        <v>0.30525059254938353</v>
      </c>
      <c r="AT87" s="2">
        <f>4559.32564253353*(1/14151.6638359215)</f>
        <v>0.3221759430831368</v>
      </c>
      <c r="AU87" s="2">
        <f>4805.25588127153*(1/14151.6638359215)</f>
        <v>0.3395541285452412</v>
      </c>
      <c r="AV87" s="2">
        <f>5056.76677743743*(1/14151.6638359215)</f>
        <v>0.35732666038898697</v>
      </c>
      <c r="AW87" s="2">
        <f>5312.84873923118*(1/14151.6638359215)</f>
        <v>0.37542219775920987</v>
      </c>
      <c r="AX87" s="2">
        <f>5572.49217485268*(1/14151.6638359215)</f>
        <v>0.39376939980074238</v>
      </c>
      <c r="AY87" s="2">
        <f>5834.68749250183*(1/14151.6638359215)</f>
        <v>0.41229692565841669</v>
      </c>
      <c r="AZ87" s="2">
        <f>6098.42510037853*(1/14151.6638359215)</f>
        <v>0.43093343447706517</v>
      </c>
      <c r="BA87" s="2">
        <f>6362.69540668274*(1/14151.6638359215)</f>
        <v>0.4496075854015244</v>
      </c>
      <c r="BB87" s="2">
        <f>6626.48881961424*(1/14151.6638359215)</f>
        <v>0.46824803757661826</v>
      </c>
      <c r="BC87" s="2">
        <f>6888.795747373*(1/14151.6638359215)</f>
        <v>0.48678345014718399</v>
      </c>
      <c r="BD87" s="2">
        <f>7148.64682010707*(1/14151.6638359215)</f>
        <v>0.50514532446435678</v>
      </c>
      <c r="BE87" s="2">
        <f>7406.8527610029*(1/14151.6638359215)</f>
        <v>0.52339094871670933</v>
      </c>
      <c r="BF87" s="2">
        <f>7664.39990915239*(1/14151.6638359215)</f>
        <v>0.54159002065168227</v>
      </c>
      <c r="BG87" s="2">
        <f>7921.67270465506*(1/14151.6638359215)</f>
        <v>0.5597697059866058</v>
      </c>
      <c r="BH87" s="2">
        <f>8179.05558761028*(1/14151.6638359215)</f>
        <v>0.57795717043879968</v>
      </c>
      <c r="BI87" s="2">
        <f>8436.93299811757*(1/14151.6638359215)</f>
        <v>0.59617957972559421</v>
      </c>
      <c r="BJ87" s="2">
        <f>8695.6893762764*(1/14151.6638359215)</f>
        <v>0.61446409956431602</v>
      </c>
      <c r="BK87" s="2">
        <f>8955.70916218623*(1/14151.6638359215)</f>
        <v>0.63283789567229143</v>
      </c>
      <c r="BL87" s="2">
        <f>9217.37679594655*(1/14151.6638359215)</f>
        <v>0.65132813376684839</v>
      </c>
      <c r="BM87" s="2">
        <f>9481.07671765685*(1/14151.6638359215)</f>
        <v>0.66996197956531522</v>
      </c>
      <c r="BN87" s="2">
        <f>9747.19336741652*(1/14151.6638359215)</f>
        <v>0.6887665987850129</v>
      </c>
      <c r="BO87" s="2">
        <f>10018.684024395*(1/14151.6638359215)</f>
        <v>0.70795096184834039</v>
      </c>
      <c r="BP87" s="2">
        <f>10303.4971561679*(1/14151.6638359215)</f>
        <v>0.72807673186910304</v>
      </c>
      <c r="BQ87" s="2">
        <f>10598.2618107866*(1/14151.6638359215)</f>
        <v>0.74890570703670789</v>
      </c>
      <c r="BR87" s="2">
        <f>10898.5684554988*(1/14151.6638359215)</f>
        <v>0.7701262962334301</v>
      </c>
      <c r="BS87" s="2">
        <f>11200.0075575518*(1/14151.6638359215)</f>
        <v>0.79142690834151663</v>
      </c>
      <c r="BT87" s="2">
        <f>11498.1695841933*(1/14151.6638359215)</f>
        <v>0.81249595224324267</v>
      </c>
      <c r="BU87" s="2">
        <f>11788.6450026707*(1/14151.6638359215)</f>
        <v>0.8330218368208625</v>
      </c>
      <c r="BV87" s="2">
        <f>12067.0242802318*(1/14151.6638359215)</f>
        <v>0.85269297095665819</v>
      </c>
      <c r="BW87" s="2">
        <f>12328.897884124*(1/14151.6638359215)</f>
        <v>0.8711977635328837</v>
      </c>
      <c r="BX87" s="2">
        <f>12569.8562815949*(1/14151.6638359215)</f>
        <v>0.88822462343180741</v>
      </c>
      <c r="BY87" s="2">
        <f>12785.5512374956*(1/14151.6638359215)</f>
        <v>0.9034662910124911</v>
      </c>
      <c r="BZ87" s="2">
        <f>12989.0863833696*(1/14151.6638359215)</f>
        <v>0.91784870909660099</v>
      </c>
      <c r="CA87" s="2">
        <f>13189.7627186493*(1/14151.6638359215)</f>
        <v>0.93202911485004436</v>
      </c>
      <c r="CB87" s="2">
        <f>13383.075306805*(1/14151.6638359215)</f>
        <v>0.94568917563137889</v>
      </c>
      <c r="CC87" s="2">
        <f>13564.5192113069*(1/14151.6638359215)</f>
        <v>0.95851055879915437</v>
      </c>
      <c r="CD87" s="2">
        <f>13729.5894956252*(1/14151.6638359215)</f>
        <v>0.97017493171192082</v>
      </c>
      <c r="CE87" s="2">
        <f>13873.7812232302*(1/14151.6638359215)</f>
        <v>0.98036396172823559</v>
      </c>
      <c r="CF87" s="2">
        <f>13992.589457592*(1/14151.6638359215)</f>
        <v>0.98875931620664148</v>
      </c>
      <c r="CG87" s="2">
        <f>14081.5092621811*(1/14151.6638359215)</f>
        <v>0.99504266250571016</v>
      </c>
      <c r="CH87" s="2">
        <f>14136.0357004675*(1/14151.6638359215)</f>
        <v>0.99889566798397733</v>
      </c>
      <c r="CI87" s="2">
        <f>14151.6638359215*(1/14151.6638359215)</f>
        <v>1</v>
      </c>
      <c r="CJ87" s="2">
        <f>14123.5281456085*(1/14151.6638359215)</f>
        <v>0.99801184577027735</v>
      </c>
      <c r="CK87" s="2">
        <f>14048.8292748641*(1/14151.6638359215)</f>
        <v>0.99273339430262808</v>
      </c>
      <c r="CL87" s="2">
        <f>13932.5894015068*(1/14151.6638359215)</f>
        <v>0.98451952809544441</v>
      </c>
      <c r="CM87" s="2">
        <f>13780.6211897928*(1/14151.6638359215)</f>
        <v>0.97378098784491529</v>
      </c>
      <c r="CN87" s="2">
        <f>13598.7373039783*(1/14151.6638359215)</f>
        <v>0.9609285142472298</v>
      </c>
      <c r="CO87" s="2">
        <f>13392.7504083196*(1/14151.6638359215)</f>
        <v>0.94637284799858434</v>
      </c>
      <c r="CP87" s="2">
        <f>13168.4731670727*(1/14151.6638359215)</f>
        <v>0.93052472979515355</v>
      </c>
      <c r="CQ87" s="2">
        <f>12931.7182444939*(1/14151.6638359215)</f>
        <v>0.91379490033313382</v>
      </c>
      <c r="CR87" s="2">
        <f>12688.2983048394*(1/14151.6638359215)</f>
        <v>0.89659410030871389</v>
      </c>
      <c r="CS87" s="2">
        <f>12444.0260123653*(1/14151.6638359215)</f>
        <v>0.87933307041807607</v>
      </c>
      <c r="CT87" s="2">
        <f>12204.7140313279*(1/14151.6638359215)</f>
        <v>0.8624225513574163</v>
      </c>
      <c r="CU87" s="2">
        <f>11961.7695026403*(1/14151.6638359215)</f>
        <v>0.84525534533101754</v>
      </c>
      <c r="CV87" s="2">
        <f>11701.1046999054*(1/14151.6638359215)</f>
        <v>0.8268359703545396</v>
      </c>
      <c r="CW87" s="2">
        <f>11425.9295711034*(1/14151.6638359215)</f>
        <v>0.80739125120402411</v>
      </c>
      <c r="CX87" s="2">
        <f>11139.5164348915*(1/14151.6638359215)</f>
        <v>0.78715241995897367</v>
      </c>
      <c r="CY87" s="2">
        <f>10845.137609927*(1/14151.6638359215)</f>
        <v>0.76635070869889754</v>
      </c>
      <c r="CZ87" s="2">
        <f>10546.0654148672*(1/14151.6638359215)</f>
        <v>0.74521734950330543</v>
      </c>
      <c r="DA87" s="2">
        <f>10245.5721683693*(1/14151.6638359215)</f>
        <v>0.7239835744516997</v>
      </c>
      <c r="DB87" s="2">
        <f>9946.93018909065*(1/14151.6638359215)</f>
        <v>0.70288061562359361</v>
      </c>
      <c r="DC87" s="2">
        <f>9653.41179568854*(1/14151.6638359215)</f>
        <v>0.68213970509849586</v>
      </c>
      <c r="DD87" s="2">
        <f>9368.28930682023*(1/14151.6638359215)</f>
        <v>0.66199207495591306</v>
      </c>
      <c r="DE87" s="2">
        <f>9093.90569595917*(1/14151.6638359215)</f>
        <v>0.64260328689237922</v>
      </c>
      <c r="DF87" s="2">
        <f>8822.91509126921*(1/14151.6638359215)</f>
        <v>0.62345425905848595</v>
      </c>
      <c r="DG87" s="2">
        <f>8553.30334667723*(1/14151.6638359215)</f>
        <v>0.60440266571102264</v>
      </c>
      <c r="DH87" s="2">
        <f>8285.44946349489*(1/14151.6638359215)</f>
        <v>0.58547528824587669</v>
      </c>
      <c r="DI87" s="2">
        <f>8019.73244303402*(1/14151.6638359215)</f>
        <v>0.56669890805894818</v>
      </c>
      <c r="DJ87" s="2">
        <f>7756.53128660627*(1/14151.6638359215)</f>
        <v>0.54810030654612396</v>
      </c>
      <c r="DK87" s="2">
        <f>7496.22499552338*(1/14151.6638359215)</f>
        <v>0.52970626510329732</v>
      </c>
      <c r="DL87" s="2">
        <f>7239.19257109706*(1/14151.6638359215)</f>
        <v>0.51154356512635979</v>
      </c>
      <c r="DM87" s="2">
        <f>6985.81301463899*(1/14151.6638359215)</f>
        <v>0.49363898801120032</v>
      </c>
      <c r="DN87" s="2">
        <f>6736.46532746099*(1/14151.6638359215)</f>
        <v>0.47601931515371798</v>
      </c>
      <c r="DO87" s="2">
        <f>6491.52851087472*(1/14151.6638359215)</f>
        <v>0.45871132794980063</v>
      </c>
      <c r="DP87" s="2">
        <f>6251.29611583655*(1/14151.6638359215)</f>
        <v>0.44173576961097244</v>
      </c>
      <c r="DQ87" s="2">
        <f>6015.57226701021*(1/14151.6638359215)</f>
        <v>0.42507879898480505</v>
      </c>
      <c r="DR87" s="2">
        <f>5783.99424553214*(1/14151.6638359215)</f>
        <v>0.4087147852431664</v>
      </c>
      <c r="DS87" s="2">
        <f>5556.1995383386*(1/14151.6638359215)</f>
        <v>0.39261811210037145</v>
      </c>
      <c r="DT87" s="2">
        <f>5331.82563236583*(1/14151.6638359215)</f>
        <v>0.37676316327073373</v>
      </c>
      <c r="DU87" s="2">
        <f>5110.51001455016*(1/14151.6638359215)</f>
        <v>0.36112432246857312</v>
      </c>
      <c r="DV87" s="2">
        <f>4891.89017182783*(1/14151.6638359215)</f>
        <v>0.34567597340820316</v>
      </c>
      <c r="DW87" s="2">
        <f>4675.60359113511*(1/14151.6638359215)</f>
        <v>0.33039249980393937</v>
      </c>
      <c r="DX87" s="2">
        <f>4461.28775940826*(1/14151.6638359215)</f>
        <v>0.31524828537009686</v>
      </c>
      <c r="DY87" s="2">
        <f>4248.58016358351*(1/14151.6638359215)</f>
        <v>0.30021771382098827</v>
      </c>
      <c r="DZ87" s="2">
        <f>4037.06909321256*(1/14151.6638359215)</f>
        <v>0.28527169243274231</v>
      </c>
      <c r="EA87" s="2">
        <f>3825.62234522867*(1/14151.6638359215)</f>
        <v>0.27033021626178</v>
      </c>
      <c r="EB87" s="2">
        <f>3614.52266066545*(1/14151.6638359215)</f>
        <v>0.2554132646573064</v>
      </c>
      <c r="EC87" s="2">
        <f>3404.6081119039*(1/14151.6638359215)</f>
        <v>0.2405800583859195</v>
      </c>
      <c r="ED87" s="2">
        <f>3196.71677132499*(1/14151.6638359215)</f>
        <v>0.22588981821421514</v>
      </c>
      <c r="EE87" s="2">
        <f>2991.68671130969*(1/14151.6638359215)</f>
        <v>0.21140176490878915</v>
      </c>
      <c r="EF87" s="2">
        <f>2790.35600423905*(1/14151.6638359215)</f>
        <v>0.19717511923624303</v>
      </c>
      <c r="EG87" s="2">
        <f>2593.56272249403*(1/14151.6638359215)</f>
        <v>0.18326910196317192</v>
      </c>
      <c r="EH87" s="2">
        <f>2402.1449384556*(1/14151.6638359215)</f>
        <v>0.16974293385617167</v>
      </c>
      <c r="EI87" s="2">
        <f>2216.94072450477*(1/14151.6638359215)</f>
        <v>0.15665583568184099</v>
      </c>
      <c r="EJ87" s="2">
        <f>2038.78815302249*(1/14151.6638359215)</f>
        <v>0.14406702820677425</v>
      </c>
      <c r="EK87" s="2">
        <f>1866.77985228282*(1/14151.6638359215)</f>
        <v>0.1319123937599711</v>
      </c>
      <c r="EL87" s="2">
        <f>1696.68829429496*(1/14151.6638359215)</f>
        <v>0.11989320223875136</v>
      </c>
      <c r="EM87" s="2">
        <f>1529.43449617681*(1/14151.6638359215)</f>
        <v>0.10807453553939082</v>
      </c>
      <c r="EN87" s="2">
        <f>1366.30744306883*(1/14151.6638359215)</f>
        <v>9.6547477307982674E-2</v>
      </c>
      <c r="EO87" s="2">
        <f>1208.59612011149*(1/14151.6638359215)</f>
        <v>8.5403111190620731E-2</v>
      </c>
      <c r="EP87" s="2">
        <f>1057.58951244527*(1/14151.6638359215)</f>
        <v>7.4732520833399513E-2</v>
      </c>
      <c r="EQ87" s="2">
        <f>914.576605210595*(1/14151.6638359215)</f>
        <v>6.4626789882409705E-2</v>
      </c>
      <c r="ER87" s="2">
        <f>780.846383548003*(1/14151.6638359215)</f>
        <v>5.5177001983749953E-2</v>
      </c>
      <c r="ES87" s="2">
        <f>657.687832597931*(1/14151.6638359215)</f>
        <v>4.6474240783511728E-2</v>
      </c>
      <c r="ET87" s="2">
        <f>546.389937500848*(1/14151.6638359215)</f>
        <v>3.8609589927788818E-2</v>
      </c>
      <c r="EU87" s="2">
        <f>448.25165510907*(1/14151.6638359215)</f>
        <v>3.1674837694438608E-2</v>
      </c>
      <c r="EV87" s="2">
        <f>364.71207575771*(1/14151.6638359215)</f>
        <v>2.5771674623301384E-2</v>
      </c>
      <c r="EW87" s="2">
        <f>294.952803525632*(1/14151.6638359215)</f>
        <v>2.0842270346822855E-2</v>
      </c>
      <c r="EX87" s="2">
        <f>237.287115918226*(1/14151.6638359215)</f>
        <v>1.6767435876756383E-2</v>
      </c>
      <c r="EY87" s="2">
        <f>190.028290440897*(1/14151.6638359215)</f>
        <v>1.3427982224856397E-2</v>
      </c>
      <c r="EZ87" s="2">
        <f>151.48960459905*(1/14151.6638359215)</f>
        <v>1.0704720402877321E-2</v>
      </c>
      <c r="FA87" s="2">
        <f>119.984335898091*(1/14151.6638359215)</f>
        <v>8.4784614225736459E-3</v>
      </c>
      <c r="FB87" s="2">
        <f>93.8257618434195*(1/14151.6638359215)</f>
        <v>6.6300162956994058E-3</v>
      </c>
      <c r="FC87" s="2">
        <f>71.3271599404517*(1/14151.6638359215)</f>
        <v>5.0401960340098169E-3</v>
      </c>
      <c r="FD87" s="2">
        <f>50.8018076945872*(1/14151.6638359215)</f>
        <v>3.5898116492589218E-3</v>
      </c>
      <c r="FE87" s="2">
        <f>30.5629826112312*(1/14151.6638359215)</f>
        <v>2.1596741532011569E-3</v>
      </c>
      <c r="FF87" s="2">
        <f>9.91351154991722*(1/14151.6638359215)</f>
        <v>7.0051915201331473E-4</v>
      </c>
      <c r="FG87" s="2">
        <f>-7.48023522319299*(1/14151.6638359215)</f>
        <v>-5.2857637871567677E-4</v>
      </c>
      <c r="FH87" s="2">
        <f>-21.0734496367185*(1/14151.6638359215)</f>
        <v>-1.4891146285730213E-3</v>
      </c>
      <c r="FI87" s="2">
        <f>-30.8661316906629*(1/14151.6638359215)</f>
        <v>-2.1810955975589724E-3</v>
      </c>
      <c r="FJ87" s="2">
        <f>-36.8582813850263*(1/14151.6638359215)</f>
        <v>-2.6045192856735378E-3</v>
      </c>
      <c r="FK87" s="2">
        <f>-39.0498987198085*(1/14151.6638359215)</f>
        <v>-2.7593856929167037E-3</v>
      </c>
      <c r="FL87" s="2">
        <f>-37.4409836950097*(1/14151.6638359215)</f>
        <v>-2.6456948192884835E-3</v>
      </c>
      <c r="FM87" s="2">
        <f>-32.0315363106284*(1/14151.6638359215)</f>
        <v>-2.2634466647887719E-3</v>
      </c>
      <c r="FN87" s="2">
        <f>-22.8215565666667*(1/14151.6638359215)</f>
        <v>-1.6126412294177176E-3</v>
      </c>
      <c r="FO87" s="2">
        <f>-9.81104446312386*(1/14151.6638359215)</f>
        <v>-6.9327851317526755E-4</v>
      </c>
      <c r="FP87" s="2">
        <f t="shared" si="17"/>
        <v>4.9464148393856954E-4</v>
      </c>
      <c r="FQ87" s="2"/>
    </row>
    <row r="88" spans="2:173">
      <c r="B88" s="2">
        <v>10.104733727810652</v>
      </c>
      <c r="C88" s="2">
        <f t="shared" si="18"/>
        <v>4.9464148393856954E-4</v>
      </c>
      <c r="D88" s="2">
        <f>-12.5855962793308*(1/14151.6638359215)</f>
        <v>-8.8933685997998947E-4</v>
      </c>
      <c r="E88" s="2">
        <f>-28.0743598631916*(1/14151.6638359215)</f>
        <v>-1.9838204319077872E-3</v>
      </c>
      <c r="F88" s="2">
        <f>-39.4662907515842*(1/14151.6638359215)</f>
        <v>-2.7888092318449501E-3</v>
      </c>
      <c r="G88" s="2">
        <f>-46.7613889445042*(1/14151.6638359215)</f>
        <v>-3.3043032597911679E-3</v>
      </c>
      <c r="H88" s="2">
        <f>-49.9596544419542*(1/14151.6638359215)</f>
        <v>-3.5303025157466246E-3</v>
      </c>
      <c r="I88" s="2">
        <f>-49.0610872439343*(1/14151.6638359215)</f>
        <v>-3.466806999711327E-3</v>
      </c>
      <c r="J88" s="2">
        <f>-44.0656873504443*(1/14151.6638359215)</f>
        <v>-3.1138167116852604E-3</v>
      </c>
      <c r="K88" s="2">
        <f>-34.9734547614844*(1/14151.6638359215)</f>
        <v>-2.4713316516684391E-3</v>
      </c>
      <c r="L88" s="2">
        <f>-21.7843894770516*(1/14151.6638359215)</f>
        <v>-1.5393518196606519E-3</v>
      </c>
      <c r="M88" s="2">
        <f>-4.49849149715088*(1/14151.6638359215)</f>
        <v>-3.1787721566224982E-4</v>
      </c>
      <c r="N88" s="2">
        <f>16.3064288189313*(1/14151.6638359215)</f>
        <v>1.1522623069621192E-3</v>
      </c>
      <c r="O88" s="2">
        <f>36.7419071989369*(1/14151.6638359215)</f>
        <v>2.59629592851648E-3</v>
      </c>
      <c r="P88" s="2">
        <f>57.5473487360448*(1/14151.6638359215)</f>
        <v>4.0664722822182234E-3</v>
      </c>
      <c r="Q88" s="2">
        <f>80.5116508086714*(1/14151.6638359215)</f>
        <v>5.6892003471921649E-3</v>
      </c>
      <c r="R88" s="2">
        <f>107.423710795239*(1/14151.6638359215)</f>
        <v>7.5908891025635366E-3</v>
      </c>
      <c r="S88" s="2">
        <f>140.072426074154*(1/14151.6638359215)</f>
        <v>9.8979475274564455E-3</v>
      </c>
      <c r="T88" s="2">
        <f>180.246694023837*(1/14151.6638359215)</f>
        <v>1.2736784600996004E-2</v>
      </c>
      <c r="U88" s="2">
        <f>229.735412022706*(1/14151.6638359215)</f>
        <v>1.6233809302307139E-2</v>
      </c>
      <c r="V88" s="2">
        <f>290.327477449175*(1/14151.6638359215)</f>
        <v>2.0515430610514501E-2</v>
      </c>
      <c r="W88" s="2">
        <f>363.811787681664*(1/14151.6638359215)</f>
        <v>2.5708057504743153E-2</v>
      </c>
      <c r="X88" s="2">
        <f>451.977240098604*(1/14151.6638359215)</f>
        <v>3.1938098964118949E-2</v>
      </c>
      <c r="Y88" s="2">
        <f>555.503706071126*(1/14151.6638359215)</f>
        <v>3.9253596786342389E-2</v>
      </c>
      <c r="Z88" s="2">
        <f>672.654655454203*(1/14151.6638359215)</f>
        <v>4.7531842421722023E-2</v>
      </c>
      <c r="AA88" s="2">
        <f>802.200374629098*(1/14151.6638359215)</f>
        <v>5.6685940531801919E-2</v>
      </c>
      <c r="AB88" s="2">
        <f>942.925960764516*(1/14151.6638359215)</f>
        <v>6.6630042353823096E-2</v>
      </c>
      <c r="AC88" s="2">
        <f>1093.61651102916*(1/14151.6638359215)</f>
        <v>7.7278299125026387E-2</v>
      </c>
      <c r="AD88" s="2">
        <f>1253.05712259177*(1/14151.6638359215)</f>
        <v>8.8544862082655301E-2</v>
      </c>
      <c r="AE88" s="2">
        <f>1420.03289262099*(1/14151.6638359215)</f>
        <v>0.10034388246394656</v>
      </c>
      <c r="AF88" s="2">
        <f>1593.32891828555*(1/14151.6638359215)</f>
        <v>0.11258951150614289</v>
      </c>
      <c r="AG88" s="2">
        <f>1771.73029675416*(1/14151.6638359215)</f>
        <v>0.12519590044648571</v>
      </c>
      <c r="AH88" s="2">
        <f>1954.02212519552*(1/14151.6638359215)</f>
        <v>0.13807720052221562</v>
      </c>
      <c r="AI88" s="2">
        <f>2139.31705867944*(1/14151.6638359215)</f>
        <v>0.15117070921718487</v>
      </c>
      <c r="AJ88" s="2">
        <f>2331.35081177483*(1/14151.6638359215)</f>
        <v>0.16474040358824155</v>
      </c>
      <c r="AK88" s="2">
        <f>2530.99174208661*(1/14151.6638359215)</f>
        <v>0.17884764444885515</v>
      </c>
      <c r="AL88" s="2">
        <f>2737.56540189271*(1/14151.6638359215)</f>
        <v>0.19344477325301379</v>
      </c>
      <c r="AM88" s="2">
        <f>2950.39734347103*(1/14151.6638359215)</f>
        <v>0.2084841314547034</v>
      </c>
      <c r="AN88" s="2">
        <f>3168.8131190995*(1/14151.6638359215)</f>
        <v>0.22391806050791196</v>
      </c>
      <c r="AO88" s="2">
        <f>3392.13828105602*(1/14151.6638359215)</f>
        <v>0.23969890186662546</v>
      </c>
      <c r="AP88" s="2">
        <f>3619.69838161857*(1/14151.6638359215)</f>
        <v>0.25577899698483542</v>
      </c>
      <c r="AQ88" s="2">
        <f>3850.81897306497*(1/14151.6638359215)</f>
        <v>0.27211068731652222</v>
      </c>
      <c r="AR88" s="2">
        <f>4084.82560767319*(1/14151.6638359215)</f>
        <v>0.28864631431567656</v>
      </c>
      <c r="AS88" s="2">
        <f>4321.04383772113*(1/14151.6638359215)</f>
        <v>0.30533821943628447</v>
      </c>
      <c r="AT88" s="2">
        <f>4560.5031543712*(1/14151.6638359215)</f>
        <v>0.32225914968352826</v>
      </c>
      <c r="AU88" s="2">
        <f>4806.48998985118*(1/14151.6638359215)</f>
        <v>0.33964133444512401</v>
      </c>
      <c r="AV88" s="2">
        <f>5058.12312340905*(1/14151.6638359215)</f>
        <v>0.35742250395814928</v>
      </c>
      <c r="AW88" s="2">
        <f>5314.327838281*(1/14151.6638359215)</f>
        <v>0.3755267154376235</v>
      </c>
      <c r="AX88" s="2">
        <f>5574.0294177032*(1/14151.6638359215)</f>
        <v>0.39387802609856454</v>
      </c>
      <c r="AY88" s="2">
        <f>5836.1531449118*(1/14151.6638359215)</f>
        <v>0.41240049315598892</v>
      </c>
      <c r="AZ88" s="2">
        <f>6099.62430314296*(1/14151.6638359215)</f>
        <v>0.43101817382491386</v>
      </c>
      <c r="BA88" s="2">
        <f>6363.3681756329*(1/14151.6638359215)</f>
        <v>0.44965512532036078</v>
      </c>
      <c r="BB88" s="2">
        <f>6626.31004561766*(1/14151.6638359215)</f>
        <v>0.46823540485733856</v>
      </c>
      <c r="BC88" s="2">
        <f>6887.37519633347*(1/14151.6638359215)</f>
        <v>0.48668306965086922</v>
      </c>
      <c r="BD88" s="2">
        <f>7145.52242479438*(1/14151.6638359215)</f>
        <v>0.50492454510237395</v>
      </c>
      <c r="BE88" s="2">
        <f>7401.30548159355*(1/14151.6638359215)</f>
        <v>0.52299896092830045</v>
      </c>
      <c r="BF88" s="2">
        <f>7655.73583718892*(1/14151.6638359215)</f>
        <v>0.54097779073554497</v>
      </c>
      <c r="BG88" s="2">
        <f>7909.37575861186*(1/14151.6638359215)</f>
        <v>0.55890076603821714</v>
      </c>
      <c r="BH88" s="2">
        <f>8162.78751289358*(1/14151.6638359215)</f>
        <v>0.57680761835041516</v>
      </c>
      <c r="BI88" s="2">
        <f>8416.53336706545*(1/14151.6638359215)</f>
        <v>0.59473807918624855</v>
      </c>
      <c r="BJ88" s="2">
        <f>8671.17558815877*(1/14151.6638359215)</f>
        <v>0.61273188005982182</v>
      </c>
      <c r="BK88" s="2">
        <f>8927.27644320487*(1/14151.6638359215)</f>
        <v>0.63082875248524173</v>
      </c>
      <c r="BL88" s="2">
        <f>9185.39819923506*(1/14151.6638359215)</f>
        <v>0.64906842797661357</v>
      </c>
      <c r="BM88" s="2">
        <f>9446.10312328069*(1/14151.6638359215)</f>
        <v>0.66749063804804531</v>
      </c>
      <c r="BN88" s="2">
        <f>9709.95348237299*(1/14151.6638359215)</f>
        <v>0.68613511421363671</v>
      </c>
      <c r="BO88" s="2">
        <f>9979.9665331716*(1/14151.6638359215)</f>
        <v>0.70521506508932308</v>
      </c>
      <c r="BP88" s="2">
        <f>10263.7392544801*(1/14151.6638359215)</f>
        <v>0.72526731651351206</v>
      </c>
      <c r="BQ88" s="2">
        <f>10557.8448192927*(1/14151.6638359215)</f>
        <v>0.74604971837258294</v>
      </c>
      <c r="BR88" s="2">
        <f>10857.8556549701*(1/14151.6638359215)</f>
        <v>0.76724940479502857</v>
      </c>
      <c r="BS88" s="2">
        <f>11159.3441888729*(1/14151.6638359215)</f>
        <v>0.78855350990933482</v>
      </c>
      <c r="BT88" s="2">
        <f>11457.8828483617*(1/14151.6638359215)</f>
        <v>0.80964916784398788</v>
      </c>
      <c r="BU88" s="2">
        <f>11749.0440607974*(1/14151.6638359215)</f>
        <v>0.83022351272749473</v>
      </c>
      <c r="BV88" s="2">
        <f>12028.4002535405*(1/14151.6638359215)</f>
        <v>0.84996367868833411</v>
      </c>
      <c r="BW88" s="2">
        <f>12291.5238539518*(1/14151.6638359215)</f>
        <v>0.86855679985500622</v>
      </c>
      <c r="BX88" s="2">
        <f>12533.9872893919*(1/14151.6638359215)</f>
        <v>0.88569001035599693</v>
      </c>
      <c r="BY88" s="2">
        <f>12751.4250037254*(1/14151.6638359215)</f>
        <v>0.90105482659630165</v>
      </c>
      <c r="BZ88" s="2">
        <f>12957.1152360789*(1/14151.6638359215)</f>
        <v>0.91558952970530227</v>
      </c>
      <c r="CA88" s="2">
        <f>13160.443916682*(1/14151.6638359215)</f>
        <v>0.92995735831970061</v>
      </c>
      <c r="CB88" s="2">
        <f>13356.8191988056*(1/14151.6638359215)</f>
        <v>0.94383383845662538</v>
      </c>
      <c r="CC88" s="2">
        <f>13541.6492357211*(1/14151.6638359215)</f>
        <v>0.95689449613324007</v>
      </c>
      <c r="CD88" s="2">
        <f>13710.3421806995*(1/14151.6638359215)</f>
        <v>0.9688148573666806</v>
      </c>
      <c r="CE88" s="2">
        <f>13858.3061870121*(1/14151.6638359215)</f>
        <v>0.97927044817410358</v>
      </c>
      <c r="CF88" s="2">
        <f>13980.9494079299*(1/14151.6638359215)</f>
        <v>0.98793679457264449</v>
      </c>
      <c r="CG88" s="2">
        <f>14073.6799967243*(1/14151.6638359215)</f>
        <v>0.99448942257946726</v>
      </c>
      <c r="CH88" s="2">
        <f>14131.9061066662*(1/14151.6638359215)</f>
        <v>0.99860385821170028</v>
      </c>
      <c r="CI88" s="2">
        <f>14151.035891027*(1/14151.6638359215)</f>
        <v>0.99995562748650768</v>
      </c>
      <c r="CJ88" s="2">
        <f>14126.1981351265*(1/14151.6638359215)</f>
        <v>0.99820051542417509</v>
      </c>
      <c r="CK88" s="2">
        <f>14054.98966377*(1/14151.6638359215)</f>
        <v>0.99316870628977849</v>
      </c>
      <c r="CL88" s="2">
        <f>13942.4161758942*(1/14151.6638359215)</f>
        <v>0.98521391813334613</v>
      </c>
      <c r="CM88" s="2">
        <f>13794.1921694137*(1/14151.6638359215)</f>
        <v>0.97473995491608412</v>
      </c>
      <c r="CN88" s="2">
        <f>13616.0321422434*(1/14151.6638359215)</f>
        <v>0.96215062059921941</v>
      </c>
      <c r="CO88" s="2">
        <f>13413.6505922978*(1/14151.6638359215)</f>
        <v>0.94784971914395089</v>
      </c>
      <c r="CP88" s="2">
        <f>13192.7620174918*(1/14151.6638359215)</f>
        <v>0.93224105451150574</v>
      </c>
      <c r="CQ88" s="2">
        <f>12959.08091574*(1/14151.6638359215)</f>
        <v>0.91572843066309006</v>
      </c>
      <c r="CR88" s="2">
        <f>12718.3217849572*(1/14151.6638359215)</f>
        <v>0.89871565155992372</v>
      </c>
      <c r="CS88" s="2">
        <f>12476.199123058*(1/14151.6638359215)</f>
        <v>0.88160652116321281</v>
      </c>
      <c r="CT88" s="2">
        <f>12238.4274279572*(1/14151.6638359215)</f>
        <v>0.86480484343417718</v>
      </c>
      <c r="CU88" s="2">
        <f>11996.3743712278*(1/14151.6638359215)</f>
        <v>0.84770063155239184</v>
      </c>
      <c r="CV88" s="2">
        <f>11736.0374239102*(1/14151.6638359215)</f>
        <v>0.82930442384593261</v>
      </c>
      <c r="CW88" s="2">
        <f>11460.7023396738*(1/14151.6638359215)</f>
        <v>0.80984840175349782</v>
      </c>
      <c r="CX88" s="2">
        <f>11173.7170951567*(1/14151.6638359215)</f>
        <v>0.78956914357972474</v>
      </c>
      <c r="CY88" s="2">
        <f>10878.4296669968*(1/14151.6638359215)</f>
        <v>0.7687032276292366</v>
      </c>
      <c r="CZ88" s="2">
        <f>10578.1880318321*(1/14151.6638359215)</f>
        <v>0.7474872322066638</v>
      </c>
      <c r="DA88" s="2">
        <f>10276.3401663006*(1/14151.6638359215)</f>
        <v>0.72615773561663655</v>
      </c>
      <c r="DB88" s="2">
        <f>9976.23404704026*(1/14151.6638359215)</f>
        <v>0.70495131616378215</v>
      </c>
      <c r="DC88" s="2">
        <f>9681.21765068918*(1/14151.6638359215)</f>
        <v>0.68410455215273824</v>
      </c>
      <c r="DD88" s="2">
        <f>9394.63895388529*(1/14151.6638359215)</f>
        <v>0.66385402188813014</v>
      </c>
      <c r="DE88" s="2">
        <f>9118.88274849222*(1/14151.6638359215)</f>
        <v>0.6443682420822876</v>
      </c>
      <c r="DF88" s="2">
        <f>8846.32060764833*(1/14151.6638359215)</f>
        <v>0.62510816468050256</v>
      </c>
      <c r="DG88" s="2">
        <f>8574.90587047727*(1/14151.6638359215)</f>
        <v>0.60592916634377547</v>
      </c>
      <c r="DH88" s="2">
        <f>8305.07803530821*(1/14151.6638359215)</f>
        <v>0.58686230337292467</v>
      </c>
      <c r="DI88" s="2">
        <f>8037.27660047052*(1/14151.6638359215)</f>
        <v>0.56793863206878281</v>
      </c>
      <c r="DJ88" s="2">
        <f>7771.9410642934*(1/14151.6638359215)</f>
        <v>0.54918920873217036</v>
      </c>
      <c r="DK88" s="2">
        <f>7509.5109251061*(1/14151.6638359215)</f>
        <v>0.53064508966391166</v>
      </c>
      <c r="DL88" s="2">
        <f>7250.42568123786*(1/14151.6638359215)</f>
        <v>0.51233733116482982</v>
      </c>
      <c r="DM88" s="2">
        <f>6995.12483101789*(1/14151.6638359215)</f>
        <v>0.49429698953574636</v>
      </c>
      <c r="DN88" s="2">
        <f>6744.04787277555*(1/14151.6638359215)</f>
        <v>0.47655512107749304</v>
      </c>
      <c r="DO88" s="2">
        <f>6497.63430484002*(1/14151.6638359215)</f>
        <v>0.45914278209088905</v>
      </c>
      <c r="DP88" s="2">
        <f>6256.17034910131*(1/14151.6638359215)</f>
        <v>0.44208019789313585</v>
      </c>
      <c r="DQ88" s="2">
        <f>6019.34943037925*(1/14151.6638359215)</f>
        <v>0.42534570494108226</v>
      </c>
      <c r="DR88" s="2">
        <f>5786.79826161497*(1/14151.6638359215)</f>
        <v>0.40891292562548048</v>
      </c>
      <c r="DS88" s="2">
        <f>5558.14697602648*(1/14151.6638359215)</f>
        <v>0.39275572402434444</v>
      </c>
      <c r="DT88" s="2">
        <f>5333.02570683178*(1/14151.6638359215)</f>
        <v>0.37684796421568717</v>
      </c>
      <c r="DU88" s="2">
        <f>5111.06458724898*(1/14151.6638359215)</f>
        <v>0.36116351027752974</v>
      </c>
      <c r="DV88" s="2">
        <f>4891.89375049606*(1/14151.6638359215)</f>
        <v>0.34567622628788369</v>
      </c>
      <c r="DW88" s="2">
        <f>4675.14332979105*(1/14151.6638359215)</f>
        <v>0.33035997632476433</v>
      </c>
      <c r="DX88" s="2">
        <f>4460.44345835198*(1/14151.6638359215)</f>
        <v>0.3151886244661869</v>
      </c>
      <c r="DY88" s="2">
        <f>4247.42426939683*(1/14151.6638359215)</f>
        <v>0.30013603479016321</v>
      </c>
      <c r="DZ88" s="2">
        <f>4035.67054179519*(1/14151.6638359215)</f>
        <v>0.2851728664972491</v>
      </c>
      <c r="EA88" s="2">
        <f>3824.12187201731*(1/14151.6638359215)</f>
        <v>0.27022418821951183</v>
      </c>
      <c r="EB88" s="2">
        <f>3613.06946518569*(1/14151.6638359215)</f>
        <v>0.25531057740465479</v>
      </c>
      <c r="EC88" s="2">
        <f>3403.32332877078*(1/14151.6638359215)</f>
        <v>0.24048927166656153</v>
      </c>
      <c r="ED88" s="2">
        <f>3195.693470243*(1/14151.6638359215)</f>
        <v>0.22581750861911348</v>
      </c>
      <c r="EE88" s="2">
        <f>2990.98989707274*(1/14151.6638359215)</f>
        <v>0.21135252587618994</v>
      </c>
      <c r="EF88" s="2">
        <f>2790.02261673053*(1/14151.6638359215)</f>
        <v>0.19715156105168002</v>
      </c>
      <c r="EG88" s="2">
        <f>2593.60163668674*(1/14151.6638359215)</f>
        <v>0.1832718517594617</v>
      </c>
      <c r="EH88" s="2">
        <f>2402.53696441181*(1/14151.6638359215)</f>
        <v>0.16977063561341771</v>
      </c>
      <c r="EI88" s="2">
        <f>2217.63860737617*(1/14151.6638359215)</f>
        <v>0.15670515022743023</v>
      </c>
      <c r="EJ88" s="2">
        <f>2039.71657305022*(1/14151.6638359215)</f>
        <v>0.14413263321537922</v>
      </c>
      <c r="EK88" s="2">
        <f>1867.86260158861*(1/14151.6638359215)</f>
        <v>0.13198890414902104</v>
      </c>
      <c r="EL88" s="2">
        <f>1697.91521795876*(1/14151.6638359215)</f>
        <v>0.11997990043042868</v>
      </c>
      <c r="EM88" s="2">
        <f>1530.79768294184*(1/14151.6638359215)</f>
        <v>0.10817086250001082</v>
      </c>
      <c r="EN88" s="2">
        <f>1367.7960188649*(1/14151.6638359215)</f>
        <v>9.6652664642371683E-2</v>
      </c>
      <c r="EO88" s="2">
        <f>1210.196248055*(1/14151.6638359215)</f>
        <v>8.5516181142116343E-2</v>
      </c>
      <c r="EP88" s="2">
        <f>1059.28439283916*(1/14151.6638359215)</f>
        <v>7.4852286283846978E-2</v>
      </c>
      <c r="EQ88" s="2">
        <f>916.346475544428*(1/14151.6638359215)</f>
        <v>6.4751854352167709E-2</v>
      </c>
      <c r="ER88" s="2">
        <f>782.668518497888*(1/14151.6638359215)</f>
        <v>5.5305759631685304E-2</v>
      </c>
      <c r="ES88" s="2">
        <f>659.536544026565*(1/14151.6638359215)</f>
        <v>4.6604876407002262E-2</v>
      </c>
      <c r="ET88" s="2">
        <f>548.236574457505*(1/14151.6638359215)</f>
        <v>3.8740078962722621E-2</v>
      </c>
      <c r="EU88" s="2">
        <f>450.064377565617*(1/14151.6638359215)</f>
        <v>3.1802930226706494E-2</v>
      </c>
      <c r="EV88" s="2">
        <f>366.441453105043*(1/14151.6638359215)</f>
        <v>2.5893877734354889E-2</v>
      </c>
      <c r="EW88" s="2">
        <f>296.547848933758*(1/14151.6638359215)</f>
        <v>2.0954981150769259E-2</v>
      </c>
      <c r="EX88" s="2">
        <f>238.708200682936*(1/14151.6638359215)</f>
        <v>1.6867854087730474E-2</v>
      </c>
      <c r="EY88" s="2">
        <f>191.247143983766*(1/14151.6638359215)</f>
        <v>1.3514110157020469E-2</v>
      </c>
      <c r="EZ88" s="2">
        <f>152.489314467438*(1/14151.6638359215)</f>
        <v>1.0775362970421245E-2</v>
      </c>
      <c r="FA88" s="2">
        <f>120.75934776514*(1/14151.6638359215)</f>
        <v>8.5332261397146614E-3</v>
      </c>
      <c r="FB88" s="2">
        <f>94.381879508058*(1/14151.6638359215)</f>
        <v>6.6693132766824405E-3</v>
      </c>
      <c r="FC88" s="2">
        <f>71.6815453273911*(1/14151.6638359215)</f>
        <v>5.0652379931072251E-3</v>
      </c>
      <c r="FD88" s="2">
        <f>50.9829808543233*(1/14151.6638359215)</f>
        <v>3.6026139007705941E-3</v>
      </c>
      <c r="FE88" s="2">
        <f>30.6108217200438*(1/14151.6638359215)</f>
        <v>2.1630546114544944E-3</v>
      </c>
      <c r="FF88" s="2">
        <f>9.87258943910392*(1/14151.6638359215)</f>
        <v>6.9762747006780188E-4</v>
      </c>
      <c r="FG88" s="2">
        <f>-7.59003448695819*(1/14151.6638359215)</f>
        <v>-5.3633513168198843E-4</v>
      </c>
      <c r="FH88" s="2">
        <f>-21.235910639206*(1/14151.6638359215)</f>
        <v>-1.5005946216233876E-3</v>
      </c>
      <c r="FI88" s="2">
        <f>-31.0650390176431*(1/14151.6638359215)</f>
        <v>-2.1951509997566497E-3</v>
      </c>
      <c r="FJ88" s="2">
        <f>-37.0774196222695*(1/14151.6638359215)</f>
        <v>-2.6200042660817747E-3</v>
      </c>
      <c r="FK88" s="2">
        <f>-39.2730524530852*(1/14151.6638359215)</f>
        <v>-2.775154420598763E-3</v>
      </c>
      <c r="FL88" s="2">
        <f>-37.6519375100903*(1/14151.6638359215)</f>
        <v>-2.6606014633076222E-3</v>
      </c>
      <c r="FM88" s="2">
        <f>-32.2140747932832*(1/14151.6638359215)</f>
        <v>-2.2763453942082389E-3</v>
      </c>
      <c r="FN88" s="2">
        <f>-22.9594643026662*(1/14151.6638359215)</f>
        <v>-1.6223862133007748E-3</v>
      </c>
      <c r="FO88" s="2">
        <f>-9.8881060382384*(1/14151.6638359215)</f>
        <v>-6.9872392058516739E-4</v>
      </c>
      <c r="FP88" s="2">
        <f t="shared" si="17"/>
        <v>4.9464148393856954E-4</v>
      </c>
      <c r="FQ88" s="2"/>
    </row>
    <row r="89" spans="2:173">
      <c r="B89" s="2">
        <v>10.114201183431954</v>
      </c>
      <c r="C89" s="2">
        <f t="shared" si="18"/>
        <v>4.9464148393856954E-4</v>
      </c>
      <c r="D89" s="2">
        <f>-12.9529013954514*(1/14151.6638359215)</f>
        <v>-9.1529176679372123E-4</v>
      </c>
      <c r="E89" s="2">
        <f>-28.7307392911279*(1/14151.6638359215)</f>
        <v>-2.0302022168022385E-3</v>
      </c>
      <c r="F89" s="2">
        <f>-40.3335136870313*(1/14151.6638359215)</f>
        <v>-2.8500898660871097E-3</v>
      </c>
      <c r="G89" s="2">
        <f>-47.7612245831574*(1/14151.6638359215)</f>
        <v>-3.3749547146480377E-3</v>
      </c>
      <c r="H89" s="2">
        <f>-51.0138719795086*(1/14151.6638359215)</f>
        <v>-3.6047967624851926E-3</v>
      </c>
      <c r="I89" s="2">
        <f>-50.091455876085*(1/14151.6638359215)</f>
        <v>-3.5396160095985804E-3</v>
      </c>
      <c r="J89" s="2">
        <f>-44.9939762728865*(1/14151.6638359215)</f>
        <v>-3.1794124559881951E-3</v>
      </c>
      <c r="K89" s="2">
        <f>-35.7214331699132*(1/14151.6638359215)</f>
        <v>-2.5241861016540436E-3</v>
      </c>
      <c r="L89" s="2">
        <f>-22.2738265671621*(1/14151.6638359215)</f>
        <v>-1.5739369465959136E-3</v>
      </c>
      <c r="M89" s="2">
        <f>-4.65115646463833*(1/14151.6638359215)</f>
        <v>-3.286649908141678E-4</v>
      </c>
      <c r="N89" s="2">
        <f>16.5896887915625*(1/14151.6638359215)</f>
        <v>1.1722783259910758E-3</v>
      </c>
      <c r="O89" s="2">
        <f>37.7010428561981*(1/14151.6638359215)</f>
        <v>2.6640713977744905E-3</v>
      </c>
      <c r="P89" s="2">
        <f>59.3955376037534*(1/14151.6638359215)</f>
        <v>4.197070979949956E-3</v>
      </c>
      <c r="Q89" s="2">
        <f>83.3972959863188*(1/14151.6638359215)</f>
        <v>5.8931088918766916E-3</v>
      </c>
      <c r="R89" s="2">
        <f>111.430440955991*(1/14151.6638359215)</f>
        <v>7.874016952914363E-3</v>
      </c>
      <c r="S89" s="2">
        <f>145.219095464849*(1/14151.6638359215)</f>
        <v>1.0261626982421387E-2</v>
      </c>
      <c r="T89" s="2">
        <f>186.487382464989*(1/14151.6638359215)</f>
        <v>1.3177770799757391E-2</v>
      </c>
      <c r="U89" s="2">
        <f>236.959424908501*(1/14151.6638359215)</f>
        <v>1.6744280224281569E-2</v>
      </c>
      <c r="V89" s="2">
        <f>298.359345747476*(1/14151.6638359215)</f>
        <v>2.1082987075353183E-2</v>
      </c>
      <c r="W89" s="2">
        <f>372.411267934005*(1/14151.6638359215)</f>
        <v>2.6315723172331495E-2</v>
      </c>
      <c r="X89" s="2">
        <f>460.839314420195*(1/14151.6638359215)</f>
        <v>3.2564320334576902E-2</v>
      </c>
      <c r="Y89" s="2">
        <f>564.283330533543*(1/14151.6638359215)</f>
        <v>3.9873991996701434E-2</v>
      </c>
      <c r="Z89" s="2">
        <f>681.052440146678*(1/14151.6638359215)</f>
        <v>4.8125255662019521E-2</v>
      </c>
      <c r="AA89" s="2">
        <f>809.973574335603*(1/14151.6638359215)</f>
        <v>5.7235218680055704E-2</v>
      </c>
      <c r="AB89" s="2">
        <f>949.88828559721*(1/14151.6638359215)</f>
        <v>6.7122021594809678E-2</v>
      </c>
      <c r="AC89" s="2">
        <f>1099.63812642839*(1/14151.6638359215)</f>
        <v>7.7703804950281022E-2</v>
      </c>
      <c r="AD89" s="2">
        <f>1258.06464932608*(1/14151.6638359215)</f>
        <v>8.8898709290472611E-2</v>
      </c>
      <c r="AE89" s="2">
        <f>1424.0094067871*(1/14151.6638359215)</f>
        <v>0.10062487515937904</v>
      </c>
      <c r="AF89" s="2">
        <f>1596.31395130838*(1/14151.6638359215)</f>
        <v>0.11280044310100265</v>
      </c>
      <c r="AG89" s="2">
        <f>1773.81983538681*(1/14151.6638359215)</f>
        <v>0.12534355365934297</v>
      </c>
      <c r="AH89" s="2">
        <f>1955.36861151929*(1/14151.6638359215)</f>
        <v>0.13817234737840028</v>
      </c>
      <c r="AI89" s="2">
        <f>2140.12582755229*(1/14151.6638359215)</f>
        <v>0.15122785930796057</v>
      </c>
      <c r="AJ89" s="2">
        <f>2331.80422264016*(1/14151.6638359215)</f>
        <v>0.16477244299156446</v>
      </c>
      <c r="AK89" s="2">
        <f>2531.223851981*(1/14151.6638359215)</f>
        <v>0.17886404604636913</v>
      </c>
      <c r="AL89" s="2">
        <f>2737.67172458165*(1/14151.6638359215)</f>
        <v>0.19345228634053288</v>
      </c>
      <c r="AM89" s="2">
        <f>2950.43484944894*(1/14151.6638359215)</f>
        <v>0.20848678174221338</v>
      </c>
      <c r="AN89" s="2">
        <f>3168.80023558973*(1/14151.6638359215)</f>
        <v>0.22391715011957042</v>
      </c>
      <c r="AO89" s="2">
        <f>3392.05489201085*(1/14151.6638359215)</f>
        <v>0.2396930093407616</v>
      </c>
      <c r="AP89" s="2">
        <f>3619.48582771918*(1/14151.6638359215)</f>
        <v>0.25576397727394812</v>
      </c>
      <c r="AQ89" s="2">
        <f>3850.38005172149*(1/14151.6638359215)</f>
        <v>0.27207967178728343</v>
      </c>
      <c r="AR89" s="2">
        <f>4084.02457302465*(1/14151.6638359215)</f>
        <v>0.28858971074892797</v>
      </c>
      <c r="AS89" s="2">
        <f>4319.7064006355*(1/14151.6638359215)</f>
        <v>0.30524371202704015</v>
      </c>
      <c r="AT89" s="2">
        <f>4558.49786289282*(1/14151.6638359215)</f>
        <v>0.32211744963315753</v>
      </c>
      <c r="AU89" s="2">
        <f>4803.84297858336*(1/14151.6638359215)</f>
        <v>0.33945428850490728</v>
      </c>
      <c r="AV89" s="2">
        <f>5054.82559708871*(1/14151.6638359215)</f>
        <v>0.35718949062780364</v>
      </c>
      <c r="AW89" s="2">
        <f>5310.32697236082*(1/14151.6638359215)</f>
        <v>0.37524400197250962</v>
      </c>
      <c r="AX89" s="2">
        <f>5569.22835835156*(1/14151.6638359215)</f>
        <v>0.39353876850968272</v>
      </c>
      <c r="AY89" s="2">
        <f>5830.41100901282*(1/14151.6638359215)</f>
        <v>0.41199473620998195</v>
      </c>
      <c r="AZ89" s="2">
        <f>6092.75617829648*(1/14151.6638359215)</f>
        <v>0.43053285104406558</v>
      </c>
      <c r="BA89" s="2">
        <f>6355.14512015447*(1/14151.6638359215)</f>
        <v>0.44907405898259511</v>
      </c>
      <c r="BB89" s="2">
        <f>6616.45908853859*(1/14151.6638359215)</f>
        <v>0.46753930599622334</v>
      </c>
      <c r="BC89" s="2">
        <f>6875.57933740075*(1/14151.6638359215)</f>
        <v>0.48584953805561054</v>
      </c>
      <c r="BD89" s="2">
        <f>7131.41606381296*(1/14151.6638359215)</f>
        <v>0.50392774634111359</v>
      </c>
      <c r="BE89" s="2">
        <f>7384.34810773947*(1/14151.6638359215)</f>
        <v>0.52180070084731711</v>
      </c>
      <c r="BF89" s="2">
        <f>7635.40378365329*(1/14151.6638359215)</f>
        <v>0.53954106543091884</v>
      </c>
      <c r="BG89" s="2">
        <f>7885.26616569288*(1/14151.6638359215)</f>
        <v>0.55719710820698864</v>
      </c>
      <c r="BH89" s="2">
        <f>8134.61832799653*(1/14151.6638359215)</f>
        <v>0.57481709729058417</v>
      </c>
      <c r="BI89" s="2">
        <f>8384.14334470271*(1/14151.6638359215)</f>
        <v>0.59244930079677582</v>
      </c>
      <c r="BJ89" s="2">
        <f>8634.5242899498*(1/14151.6638359215)</f>
        <v>0.61014198684062759</v>
      </c>
      <c r="BK89" s="2">
        <f>8886.44423787621*(1/14151.6638359215)</f>
        <v>0.62794342353720567</v>
      </c>
      <c r="BL89" s="2">
        <f>9140.58626262036*(1/14151.6638359215)</f>
        <v>0.64590187900157692</v>
      </c>
      <c r="BM89" s="2">
        <f>9397.63343832066*(1/14151.6638359215)</f>
        <v>0.66406562134880753</v>
      </c>
      <c r="BN89" s="2">
        <f>9658.26883911545*(1/14151.6638359215)</f>
        <v>0.68248291869395883</v>
      </c>
      <c r="BO89" s="2">
        <f>9925.50201068302*(1/14151.6638359215)</f>
        <v>0.70136643477135785</v>
      </c>
      <c r="BP89" s="2">
        <f>10206.5419123685*(1/14151.6638359215)</f>
        <v>0.72122557677359433</v>
      </c>
      <c r="BQ89" s="2">
        <f>10497.9794562382*(1/14151.6638359215)</f>
        <v>0.74181944808432576</v>
      </c>
      <c r="BR89" s="2">
        <f>10795.4497120003*(1/14151.6638359215)</f>
        <v>0.76283960933257589</v>
      </c>
      <c r="BS89" s="2">
        <f>11094.5877493628*(1/14151.6638359215)</f>
        <v>0.7839776211473557</v>
      </c>
      <c r="BT89" s="2">
        <f>11391.0286380339*(1/14151.6638359215)</f>
        <v>0.80492504415769017</v>
      </c>
      <c r="BU89" s="2">
        <f>11680.4074477217*(1/14151.6638359215)</f>
        <v>0.8253734389925973</v>
      </c>
      <c r="BV89" s="2">
        <f>11958.3592481344*(1/14151.6638359215)</f>
        <v>0.84501436628110238</v>
      </c>
      <c r="BW89" s="2">
        <f>12220.51910898*(1/14151.6638359215)</f>
        <v>0.86353938665221608</v>
      </c>
      <c r="BX89" s="2">
        <f>12462.5220999668*(1/14151.6638359215)</f>
        <v>0.88064006073497081</v>
      </c>
      <c r="BY89" s="2">
        <f>12680.0651341226*(1/14151.6638359215)</f>
        <v>0.89601231919715996</v>
      </c>
      <c r="BZ89" s="2">
        <f>12886.4206162094*(1/14151.6638359215)</f>
        <v>0.91059403089405622</v>
      </c>
      <c r="CA89" s="2">
        <f>13090.9122067108*(1/14151.6638359215)</f>
        <v>0.92504403429099491</v>
      </c>
      <c r="CB89" s="2">
        <f>13288.9100051612*(1/14151.6638359215)</f>
        <v>0.93903516641129148</v>
      </c>
      <c r="CC89" s="2">
        <f>13475.784111095*(1/14151.6638359215)</f>
        <v>0.95224026427826114</v>
      </c>
      <c r="CD89" s="2">
        <f>13646.9046240464*(1/14151.6638359215)</f>
        <v>0.96433216491520535</v>
      </c>
      <c r="CE89" s="2">
        <f>13797.6416435498*(1/14151.6638359215)</f>
        <v>0.97498370534543954</v>
      </c>
      <c r="CF89" s="2">
        <f>13923.3652691396*(1/14151.6638359215)</f>
        <v>0.98386772259227895</v>
      </c>
      <c r="CG89" s="2">
        <f>14019.44560035*(1/14151.6638359215)</f>
        <v>0.9906570536790249</v>
      </c>
      <c r="CH89" s="2">
        <f>14081.2527367154*(1/14151.6638359215)</f>
        <v>0.99502453562899273</v>
      </c>
      <c r="CI89" s="2">
        <f>14104.1567777701*(1/14151.6638359215)</f>
        <v>0.99664300546549089</v>
      </c>
      <c r="CJ89" s="2">
        <f>14083.3548802359*(1/14151.6638359215)</f>
        <v>0.99517307954191159</v>
      </c>
      <c r="CK89" s="2">
        <f>14016.9791367657*(1/14151.6638359215)</f>
        <v>0.99048276579225081</v>
      </c>
      <c r="CL89" s="2">
        <f>13909.9369207326*(1/14151.6638359215)</f>
        <v>0.98291883428043858</v>
      </c>
      <c r="CM89" s="2">
        <f>13767.7307316548*(1/14151.6638359215)</f>
        <v>0.97287010851033973</v>
      </c>
      <c r="CN89" s="2">
        <f>13595.8630690508*(1/14151.6638359215)</f>
        <v>0.96072541198584027</v>
      </c>
      <c r="CO89" s="2">
        <f>13399.8364324388*(1/14151.6638359215)</f>
        <v>0.94687356821080515</v>
      </c>
      <c r="CP89" s="2">
        <f>13185.1533213372*(1/14151.6638359215)</f>
        <v>0.93170340068911306</v>
      </c>
      <c r="CQ89" s="2">
        <f>12957.3162352644*(1/14151.6638359215)</f>
        <v>0.91560373292464314</v>
      </c>
      <c r="CR89" s="2">
        <f>12721.8276737386*(1/14151.6638359215)</f>
        <v>0.89896338842126022</v>
      </c>
      <c r="CS89" s="2">
        <f>12484.1901362782*(1/14151.6638359215)</f>
        <v>0.882171190682843</v>
      </c>
      <c r="CT89" s="2">
        <f>12249.9061224015*(1/14151.6638359215)</f>
        <v>0.86561596321326384</v>
      </c>
      <c r="CU89" s="2">
        <f>12010.3686019419*(1/14151.6638359215)</f>
        <v>0.84868950684482058</v>
      </c>
      <c r="CV89" s="2">
        <f>11751.8504895562*(1/14151.6638359215)</f>
        <v>0.83042182359689765</v>
      </c>
      <c r="CW89" s="2">
        <f>11477.7233910063*(1/14151.6638359215)</f>
        <v>0.81105116148054102</v>
      </c>
      <c r="CX89" s="2">
        <f>11191.4202737228*(1/14151.6638359215)</f>
        <v>0.790820104510634</v>
      </c>
      <c r="CY89" s="2">
        <f>10896.3741051366*(1/14151.6638359215)</f>
        <v>0.76997123670208145</v>
      </c>
      <c r="CZ89" s="2">
        <f>10596.0178526787*(1/14151.6638359215)</f>
        <v>0.74874714206979542</v>
      </c>
      <c r="DA89" s="2">
        <f>10293.7844837797*(1/14151.6638359215)</f>
        <v>0.727390404628659</v>
      </c>
      <c r="DB89" s="2">
        <f>9993.10696587064*(1/14151.6638359215)</f>
        <v>0.70614360839358714</v>
      </c>
      <c r="DC89" s="2">
        <f>9697.41826638231*(1/14151.6638359215)</f>
        <v>0.68524933737947669</v>
      </c>
      <c r="DD89" s="2">
        <f>9410.15135274554*(1/14151.6638359215)</f>
        <v>0.66495017560122738</v>
      </c>
      <c r="DE89" s="2">
        <f>9133.73608233274*(1/14151.6638359215)</f>
        <v>0.64541782423833183</v>
      </c>
      <c r="DF89" s="2">
        <f>8860.20917755421*(1/14151.6638359215)</f>
        <v>0.62608957365593532</v>
      </c>
      <c r="DG89" s="2">
        <f>8587.48962645058*(1/14151.6638359215)</f>
        <v>0.60681837316208398</v>
      </c>
      <c r="DH89" s="2">
        <f>8316.09289220893*(1/14151.6638359215)</f>
        <v>0.58764064696760221</v>
      </c>
      <c r="DI89" s="2">
        <f>8046.53443801645*(1/14151.6638359215)</f>
        <v>0.56859281928332295</v>
      </c>
      <c r="DJ89" s="2">
        <f>7779.32972706023*(1/14151.6638359215)</f>
        <v>0.54971131432007136</v>
      </c>
      <c r="DK89" s="2">
        <f>7514.99422252736*(1/14151.6638359215)</f>
        <v>0.53103255628867285</v>
      </c>
      <c r="DL89" s="2">
        <f>7254.04338760497*(1/14151.6638359215)</f>
        <v>0.5125929693999558</v>
      </c>
      <c r="DM89" s="2">
        <f>6996.99268548013*(1/14151.6638359215)</f>
        <v>0.49442897786474405</v>
      </c>
      <c r="DN89" s="2">
        <f>6744.35757934003*(1/14151.6638359215)</f>
        <v>0.47657700589387014</v>
      </c>
      <c r="DO89" s="2">
        <f>6496.65353237174*(1/14151.6638359215)</f>
        <v>0.45907347769815815</v>
      </c>
      <c r="DP89" s="2">
        <f>6254.15308087585*(1/14151.6638359215)</f>
        <v>0.44193765152905812</v>
      </c>
      <c r="DQ89" s="2">
        <f>6016.40407489788*(1/14151.6638359215)</f>
        <v>0.4251375770830777</v>
      </c>
      <c r="DR89" s="2">
        <f>5783.02387253067*(1/14151.6638359215)</f>
        <v>0.40864621570867765</v>
      </c>
      <c r="DS89" s="2">
        <f>5553.63755170074*(1/14151.6638359215)</f>
        <v>0.39243707426145974</v>
      </c>
      <c r="DT89" s="2">
        <f>5327.87019033456*(1/14151.6638359215)</f>
        <v>0.37648365959702224</v>
      </c>
      <c r="DU89" s="2">
        <f>5105.34686635869*(1/14151.6638359215)</f>
        <v>0.36075947857096979</v>
      </c>
      <c r="DV89" s="2">
        <f>4885.69265769962*(1/14151.6638359215)</f>
        <v>0.34523803803890196</v>
      </c>
      <c r="DW89" s="2">
        <f>4668.53264228385*(1/14151.6638359215)</f>
        <v>0.32989284485641923</v>
      </c>
      <c r="DX89" s="2">
        <f>4453.49189803787*(1/14151.6638359215)</f>
        <v>0.31469740587912121</v>
      </c>
      <c r="DY89" s="2">
        <f>4240.19550288816*(1/14151.6638359215)</f>
        <v>0.29962522796260699</v>
      </c>
      <c r="DZ89" s="2">
        <f>4028.22518651807*(1/14151.6638359215)</f>
        <v>0.28464675484257418</v>
      </c>
      <c r="EA89" s="2">
        <f>3816.55745793112*(1/14151.6638359215)</f>
        <v>0.26968966350398055</v>
      </c>
      <c r="EB89" s="2">
        <f>3605.48898251452*(1/14151.6638359215)</f>
        <v>0.25477491723359219</v>
      </c>
      <c r="EC89" s="2">
        <f>3395.81639311866*(1/14151.6638359215)</f>
        <v>0.2399588085535907</v>
      </c>
      <c r="ED89" s="2">
        <f>3188.33632259395*(1/14151.6638359215)</f>
        <v>0.22529762998615904</v>
      </c>
      <c r="EE89" s="2">
        <f>2983.84540379072*(1/14151.6638359215)</f>
        <v>0.21084767405347457</v>
      </c>
      <c r="EF89" s="2">
        <f>2783.14026955946*(1/14151.6638359215)</f>
        <v>0.19666523327772598</v>
      </c>
      <c r="EG89" s="2">
        <f>2587.01755275051*(1/14151.6638359215)</f>
        <v>0.18280660018109127</v>
      </c>
      <c r="EH89" s="2">
        <f>2396.27388621427*(1/14151.6638359215)</f>
        <v>0.16932806728575278</v>
      </c>
      <c r="EI89" s="2">
        <f>2211.70590280113*(1/14151.6638359215)</f>
        <v>0.15628592711389208</v>
      </c>
      <c r="EJ89" s="2">
        <f>2034.11023536144*(1/14151.6638359215)</f>
        <v>0.14373647218768795</v>
      </c>
      <c r="EK89" s="2">
        <f>1862.59104290681*(1/14151.6638359215)</f>
        <v>0.13161639963344463</v>
      </c>
      <c r="EL89" s="2">
        <f>1693.04933827687*(1/14151.6638359215)</f>
        <v>0.11963606243806917</v>
      </c>
      <c r="EM89" s="2">
        <f>1526.39586511929*(1/14151.6638359215)</f>
        <v>0.10785981654290032</v>
      </c>
      <c r="EN89" s="2">
        <f>1363.89872541036*(1/14151.6638359215)</f>
        <v>9.6377269925557715E-2</v>
      </c>
      <c r="EO89" s="2">
        <f>1206.82602112635*(1/14151.6638359215)</f>
        <v>8.527803056365961E-2</v>
      </c>
      <c r="EP89" s="2">
        <f>1056.44585424353*(1/14151.6638359215)</f>
        <v>7.4651706434824203E-2</v>
      </c>
      <c r="EQ89" s="2">
        <f>914.026326738168*(1/14151.6638359215)</f>
        <v>6.4587905516669611E-2</v>
      </c>
      <c r="ER89" s="2">
        <f>780.83554058658*(1/14151.6638359215)</f>
        <v>5.5176235786817296E-2</v>
      </c>
      <c r="ES89" s="2">
        <f>658.141597765017*(1/14151.6638359215)</f>
        <v>4.650630522288416E-2</v>
      </c>
      <c r="ET89" s="2">
        <f>547.212600249755*(1/14151.6638359215)</f>
        <v>3.8667721802488869E-2</v>
      </c>
      <c r="EU89" s="2">
        <f>449.3266268445*(1/14151.6638359215)</f>
        <v>3.1750798496496487E-2</v>
      </c>
      <c r="EV89" s="2">
        <f>365.911159631243*(1/14151.6638359215)</f>
        <v>2.5856405569954406E-2</v>
      </c>
      <c r="EW89" s="2">
        <f>296.163879138845*(1/14151.6638359215)</f>
        <v>2.0927848666605922E-2</v>
      </c>
      <c r="EX89" s="2">
        <f>238.419258027951*(1/14151.6638359215)</f>
        <v>1.6847436512925484E-2</v>
      </c>
      <c r="EY89" s="2">
        <f>191.011768959225*(1/14151.6638359215)</f>
        <v>1.3497477835388894E-2</v>
      </c>
      <c r="EZ89" s="2">
        <f>152.275884593329*(1/14151.6638359215)</f>
        <v>1.0760281360471803E-2</v>
      </c>
      <c r="FA89" s="2">
        <f>120.546077590926*(1/14151.6638359215)</f>
        <v>8.5181558146499407E-3</v>
      </c>
      <c r="FB89" s="2">
        <f>94.1568206126759*(1/14151.6638359215)</f>
        <v>6.6534099243988143E-3</v>
      </c>
      <c r="FC89" s="2">
        <f>71.4425863192505*(1/14151.6638359215)</f>
        <v>5.048352416194773E-3</v>
      </c>
      <c r="FD89" s="2">
        <f>50.7378473713078*(1/14151.6638359215)</f>
        <v>3.5852920165131918E-3</v>
      </c>
      <c r="FE89" s="2">
        <f>30.3770764295105*(1/14151.6638359215)</f>
        <v>2.1465374518297737E-3</v>
      </c>
      <c r="FF89" s="2">
        <f>9.67186094857095*(1/14151.6638359215)</f>
        <v>6.8344337886409087E-4</v>
      </c>
      <c r="FG89" s="2">
        <f>-7.75749998023*(1/14151.6638359215)</f>
        <v>-5.481687574106273E-4</v>
      </c>
      <c r="FH89" s="2">
        <f>-21.3730442792628*(1/14151.6638359215)</f>
        <v>-1.5102849055113295E-3</v>
      </c>
      <c r="FI89" s="2">
        <f>-31.1747719485312*(1/14151.6638359215)</f>
        <v>-2.2029050654382805E-3</v>
      </c>
      <c r="FJ89" s="2">
        <f>-37.162682988035*(1/14151.6638359215)</f>
        <v>-2.6260292371914668E-3</v>
      </c>
      <c r="FK89" s="2">
        <f>-39.3367773977743*(1/14151.6638359215)</f>
        <v>-2.7796574207708943E-3</v>
      </c>
      <c r="FL89" s="2">
        <f>-37.6970551777492*(1/14151.6638359215)</f>
        <v>-2.6637896161765713E-3</v>
      </c>
      <c r="FM89" s="2">
        <f>-32.2435163279581*(1/14151.6638359215)</f>
        <v>-2.2784258234083842E-3</v>
      </c>
      <c r="FN89" s="2">
        <f>-22.9761608484033*(1/14151.6638359215)</f>
        <v>-1.6235660424664959E-3</v>
      </c>
      <c r="FO89" s="2">
        <f>-9.89498873908384*(1/14151.6638359215)</f>
        <v>-6.9921027335083786E-4</v>
      </c>
      <c r="FP89" s="2">
        <f t="shared" si="17"/>
        <v>4.9464148393856954E-4</v>
      </c>
      <c r="FQ89" s="2"/>
    </row>
    <row r="90" spans="2:173">
      <c r="B90" s="2">
        <v>10.123668639053255</v>
      </c>
      <c r="C90" s="2">
        <f t="shared" si="18"/>
        <v>4.9464148393856954E-4</v>
      </c>
      <c r="D90" s="2">
        <f>-13.3308098006895*(1/14151.6638359215)</f>
        <v>-9.4199593455941157E-4</v>
      </c>
      <c r="E90" s="2">
        <f>-29.4056728334526*(1/14151.6638359215)</f>
        <v>-2.0778950923644392E-3</v>
      </c>
      <c r="F90" s="2">
        <f>-41.2245890982911*(1/14151.6638359215)</f>
        <v>-2.9130559894766407E-3</v>
      </c>
      <c r="G90" s="2">
        <f>-48.7875585952005*(1/14151.6638359215)</f>
        <v>-3.4474786258956985E-3</v>
      </c>
      <c r="H90" s="2">
        <f>-52.0945813241834*(1/14151.6638359215)</f>
        <v>-3.6811630016217955E-3</v>
      </c>
      <c r="I90" s="2">
        <f>-51.1456572852399*(1/14151.6638359215)</f>
        <v>-3.6141091166549391E-3</v>
      </c>
      <c r="J90" s="2">
        <f>-45.94078647837*(1/14151.6638359215)</f>
        <v>-3.2463169709951297E-3</v>
      </c>
      <c r="K90" s="2">
        <f>-36.4799689035736*(1/14151.6638359215)</f>
        <v>-2.5777865646423597E-3</v>
      </c>
      <c r="L90" s="2">
        <f>-22.7632045608478*(1/14151.6638359215)</f>
        <v>-1.6085178975964243E-3</v>
      </c>
      <c r="M90" s="2">
        <f>-4.79049345019766*(1/14151.6638359215)</f>
        <v>-3.3851096985768124E-4</v>
      </c>
      <c r="N90" s="2">
        <f>16.9025986582039*(1/14151.6638359215)</f>
        <v>1.1943894975302931E-3</v>
      </c>
      <c r="O90" s="2">
        <f>38.7118989950524*(1/14151.6638359215)</f>
        <v>2.7355015949989629E-3</v>
      </c>
      <c r="P90" s="2">
        <f>61.32275362906*(1/14151.6638359215)</f>
        <v>4.3332539791825055E-3</v>
      </c>
      <c r="Q90" s="2">
        <f>86.393270946195*(1/14151.6638359215)</f>
        <v>6.1048136775904002E-3</v>
      </c>
      <c r="R90" s="2">
        <f>115.581559332432*(1/14151.6638359215)</f>
        <v>8.1673477177325697E-3</v>
      </c>
      <c r="S90" s="2">
        <f>150.545727173728*(1/14151.6638359215)</f>
        <v>1.0638023127117695E-2</v>
      </c>
      <c r="T90" s="2">
        <f>192.943882856056*(1/14151.6638359215)</f>
        <v>1.3634006933255581E-2</v>
      </c>
      <c r="U90" s="2">
        <f>244.434134765386*(1/14151.6638359215)</f>
        <v>1.7272466163655832E-2</v>
      </c>
      <c r="V90" s="2">
        <f>306.674591287684*(1/14151.6638359215)</f>
        <v>2.167056784582776E-2</v>
      </c>
      <c r="W90" s="2">
        <f>381.32336080892*(1/14151.6638359215)</f>
        <v>2.6945479007280965E-2</v>
      </c>
      <c r="X90" s="2">
        <f>470.03855171508*(1/14151.6638359215)</f>
        <v>3.3214366675526179E-2</v>
      </c>
      <c r="Y90" s="2">
        <f>573.432323328698*(1/14151.6638359215)</f>
        <v>4.0520487907092687E-2</v>
      </c>
      <c r="Z90" s="2">
        <f>689.874978429881*(1/14151.6638359215)</f>
        <v>4.8748683294663572E-2</v>
      </c>
      <c r="AA90" s="2">
        <f>818.240869937502*(1/14151.6638359215)</f>
        <v>5.7819411160724581E-2</v>
      </c>
      <c r="AB90" s="2">
        <f>957.418484112068*(1/14151.6638359215)</f>
        <v>6.7654128533058439E-2</v>
      </c>
      <c r="AC90" s="2">
        <f>1106.29630721409*(1/14151.6638359215)</f>
        <v>7.8174292439448151E-2</v>
      </c>
      <c r="AD90" s="2">
        <f>1263.7628255041*(1/14151.6638359215)</f>
        <v>8.9301359907678221E-2</v>
      </c>
      <c r="AE90" s="2">
        <f>1428.70652524255*(1/14151.6638359215)</f>
        <v>0.10095678796552747</v>
      </c>
      <c r="AF90" s="2">
        <f>1600.01589268997*(1/14151.6638359215)</f>
        <v>0.11306203364078027</v>
      </c>
      <c r="AG90" s="2">
        <f>1776.57941410688*(1/14151.6638359215)</f>
        <v>0.12553855396122024</v>
      </c>
      <c r="AH90" s="2">
        <f>1957.28557575378*(1/14151.6638359215)</f>
        <v>0.1383078059546296</v>
      </c>
      <c r="AI90" s="2">
        <f>2141.34471418807*(1/14151.6638359215)</f>
        <v>0.15131398957857131</v>
      </c>
      <c r="AJ90" s="2">
        <f>2332.46101843887*(1/14151.6638359215)</f>
        <v>0.16481885419849568</v>
      </c>
      <c r="AK90" s="2">
        <f>2531.41383090175*(1/14151.6638359215)</f>
        <v>0.1788774705399801</v>
      </c>
      <c r="AL90" s="2">
        <f>2737.45322276479*(1/14151.6638359215)</f>
        <v>0.19343684633154221</v>
      </c>
      <c r="AM90" s="2">
        <f>2949.82926521605*(1/14151.6638359215)</f>
        <v>0.20844398930169816</v>
      </c>
      <c r="AN90" s="2">
        <f>3167.79202944358*(1/14151.6638359215)</f>
        <v>0.2238459071789636</v>
      </c>
      <c r="AO90" s="2">
        <f>3390.59158663544*(1/14151.6638359215)</f>
        <v>0.23958960769185472</v>
      </c>
      <c r="AP90" s="2">
        <f>3617.47800797974*(1/14151.6638359215)</f>
        <v>0.25562209856889134</v>
      </c>
      <c r="AQ90" s="2">
        <f>3847.70136466445*(1/14151.6638359215)</f>
        <v>0.27189038753858324</v>
      </c>
      <c r="AR90" s="2">
        <f>4080.51172787768*(1/14151.6638359215)</f>
        <v>0.28834148232945034</v>
      </c>
      <c r="AS90" s="2">
        <f>4315.15916880748*(1/14151.6638359215)</f>
        <v>0.30492239067000798</v>
      </c>
      <c r="AT90" s="2">
        <f>4552.74481408671*(1/14151.6638359215)</f>
        <v>0.32171092154763958</v>
      </c>
      <c r="AU90" s="2">
        <f>4796.84054886653*(1/14151.6638359215)</f>
        <v>0.33895947532972043</v>
      </c>
      <c r="AV90" s="2">
        <f>5046.5085685426*(1/14151.6638359215)</f>
        <v>0.35660178386465974</v>
      </c>
      <c r="AW90" s="2">
        <f>5300.60125306642*(1/14151.6638359215)</f>
        <v>0.37455675279763079</v>
      </c>
      <c r="AX90" s="2">
        <f>5557.97098238948*(1/14151.6638359215)</f>
        <v>0.39274328777380596</v>
      </c>
      <c r="AY90" s="2">
        <f>5817.47013646324*(1/14151.6638359215)</f>
        <v>0.4110802944383557</v>
      </c>
      <c r="AZ90" s="2">
        <f>6077.9510952392*(1/14151.6638359215)</f>
        <v>0.42948667843645316</v>
      </c>
      <c r="BA90" s="2">
        <f>6338.26623866887*(1/14151.6638359215)</f>
        <v>0.44788134541327218</v>
      </c>
      <c r="BB90" s="2">
        <f>6597.26794670363*(1/14151.6638359215)</f>
        <v>0.46618320101397759</v>
      </c>
      <c r="BC90" s="2">
        <f>6853.80859929502*(1/14151.6638359215)</f>
        <v>0.48431115088374538</v>
      </c>
      <c r="BD90" s="2">
        <f>7106.76666646642*(1/14151.6638359215)</f>
        <v>0.50218594427230157</v>
      </c>
      <c r="BE90" s="2">
        <f>7356.41108221824*(1/14151.6638359215)</f>
        <v>0.51982658488150979</v>
      </c>
      <c r="BF90" s="2">
        <f>7603.78180446616*(1/14151.6638359215)</f>
        <v>0.53730655932946225</v>
      </c>
      <c r="BG90" s="2">
        <f>7849.63875705741*(1/14151.6638359215)</f>
        <v>0.55467956616751224</v>
      </c>
      <c r="BH90" s="2">
        <f>8094.74186383907*(1/14151.6638359215)</f>
        <v>0.57199930394700282</v>
      </c>
      <c r="BI90" s="2">
        <f>8339.85104865836*(1/14151.6638359215)</f>
        <v>0.58931947121928663</v>
      </c>
      <c r="BJ90" s="2">
        <f>8585.72623536246*(1/14151.6638359215)</f>
        <v>0.60669376653571361</v>
      </c>
      <c r="BK90" s="2">
        <f>8833.12734779853*(1/14151.6638359215)</f>
        <v>0.62417588844763228</v>
      </c>
      <c r="BL90" s="2">
        <f>9082.81430981376*(1/14151.6638359215)</f>
        <v>0.64181953550639326</v>
      </c>
      <c r="BM90" s="2">
        <f>9335.54704525537*(1/14151.6638359215)</f>
        <v>0.65967840626334928</v>
      </c>
      <c r="BN90" s="2">
        <f>9592.08547797043*(1/14151.6638359215)</f>
        <v>0.67780619926984231</v>
      </c>
      <c r="BO90" s="2">
        <f>9855.37577367946*(1/14151.6638359215)</f>
        <v>0.6964110996378623</v>
      </c>
      <c r="BP90" s="2">
        <f>10132.1999712631*(1/14151.6638359215)</f>
        <v>0.7159723470497017</v>
      </c>
      <c r="BQ90" s="2">
        <f>10419.2274800818*(1/14151.6638359215)</f>
        <v>0.73625459174874053</v>
      </c>
      <c r="BR90" s="2">
        <f>10712.2236009442*(1/14151.6638359215)</f>
        <v>0.75695859689325806</v>
      </c>
      <c r="BS90" s="2">
        <f>11006.9536346589*(1/14151.6638359215)</f>
        <v>0.77778512564152991</v>
      </c>
      <c r="BT90" s="2">
        <f>11299.1828820346*(1/14151.6638359215)</f>
        <v>0.79843494115183966</v>
      </c>
      <c r="BU90" s="2">
        <f>11584.67664388*(1/14151.6638359215)</f>
        <v>0.81860880658247015</v>
      </c>
      <c r="BV90" s="2">
        <f>11859.2002210035*(1/14151.6638359215)</f>
        <v>0.83800748509168332</v>
      </c>
      <c r="BW90" s="2">
        <f>12118.518914214*(1/14151.6638359215)</f>
        <v>0.85633173983777655</v>
      </c>
      <c r="BX90" s="2">
        <f>12358.39802432*(1/14151.6638359215)</f>
        <v>0.87328233397901878</v>
      </c>
      <c r="BY90" s="2">
        <f>12574.6637820251*(1/14151.6638359215)</f>
        <v>0.88856433616706865</v>
      </c>
      <c r="BZ90" s="2">
        <f>12780.4334266833*(1/14151.6638359215)</f>
        <v>0.90310465079324642</v>
      </c>
      <c r="CA90" s="2">
        <f>12984.845745083*(1/14151.6638359215)</f>
        <v>0.91754905258018227</v>
      </c>
      <c r="CB90" s="2">
        <f>13183.2726762914*(1/14151.6638359215)</f>
        <v>0.93157050853822509</v>
      </c>
      <c r="CC90" s="2">
        <f>13371.0861593758*(1/14151.6638359215)</f>
        <v>0.94484198567773059</v>
      </c>
      <c r="CD90" s="2">
        <f>13543.6581334036*(1/14151.6638359215)</f>
        <v>0.95703645100906198</v>
      </c>
      <c r="CE90" s="2">
        <f>13696.3605374419*(1/14151.6638359215)</f>
        <v>0.96782687154256075</v>
      </c>
      <c r="CF90" s="2">
        <f>13824.5653105579*(1/14151.6638359215)</f>
        <v>0.97688621428857592</v>
      </c>
      <c r="CG90" s="2">
        <f>13923.6443918191*(1/14151.6638359215)</f>
        <v>0.98388744625747737</v>
      </c>
      <c r="CH90" s="2">
        <f>13988.9697202926*(1/14151.6638359215)</f>
        <v>0.98850353445960681</v>
      </c>
      <c r="CI90" s="2">
        <f>14015.9132350458*(1/14151.6638359215)</f>
        <v>0.99040744590532737</v>
      </c>
      <c r="CJ90" s="2">
        <f>13999.8019745471*(1/14151.6638359215)</f>
        <v>0.9892689747908705</v>
      </c>
      <c r="CK90" s="2">
        <f>13939.4221538336*(1/14151.6638359215)</f>
        <v>0.98500235134548908</v>
      </c>
      <c r="CL90" s="2">
        <f>13839.5146591425*(1/14151.6638359215)</f>
        <v>0.97794258114111898</v>
      </c>
      <c r="CM90" s="2">
        <f>13705.2745750391*(1/14151.6638359215)</f>
        <v>0.9684567647975556</v>
      </c>
      <c r="CN90" s="2">
        <f>13541.8969860885*(1/14151.6638359215)</f>
        <v>0.95691200293457979</v>
      </c>
      <c r="CO90" s="2">
        <f>13354.5769768557*(1/14151.6638359215)</f>
        <v>0.94367539617196561</v>
      </c>
      <c r="CP90" s="2">
        <f>13148.5096319058*(1/14151.6638359215)</f>
        <v>0.92911404512949425</v>
      </c>
      <c r="CQ90" s="2">
        <f>12928.8900358041*(1/14151.6638359215)</f>
        <v>0.91359505042696076</v>
      </c>
      <c r="CR90" s="2">
        <f>12700.9132731156*(1/14151.6638359215)</f>
        <v>0.89748551268413934</v>
      </c>
      <c r="CS90" s="2">
        <f>12469.7744284054*(1/14151.6638359215)</f>
        <v>0.88115253252081072</v>
      </c>
      <c r="CT90" s="2">
        <f>12240.6685862387*(1/14151.6638359215)</f>
        <v>0.86496321055676328</v>
      </c>
      <c r="CU90" s="2">
        <f>12005.0709426486*(1/14151.6638359215)</f>
        <v>0.84831515797992929</v>
      </c>
      <c r="CV90" s="2">
        <f>11749.6915073016*(1/14151.6638359215)</f>
        <v>0.83026926328458173</v>
      </c>
      <c r="CW90" s="2">
        <f>11477.994300864*(1/14151.6638359215)</f>
        <v>0.81107030480254472</v>
      </c>
      <c r="CX90" s="2">
        <f>11193.5032332798*(1/14151.6638359215)</f>
        <v>0.79096729282581379</v>
      </c>
      <c r="CY90" s="2">
        <f>10899.7422144932*(1/14151.6638359215)</f>
        <v>0.77020923764639815</v>
      </c>
      <c r="CZ90" s="2">
        <f>10600.2351544483*(1/14151.6638359215)</f>
        <v>0.74904514955629997</v>
      </c>
      <c r="DA90" s="2">
        <f>10298.5059630894*(1/14151.6638359215)</f>
        <v>0.72772403884753545</v>
      </c>
      <c r="DB90" s="2">
        <f>9998.07855036061*(1/14151.6638359215)</f>
        <v>0.70649491581210777</v>
      </c>
      <c r="DC90" s="2">
        <f>9702.47682620613*(1/14151.6638359215)</f>
        <v>0.68560679074202613</v>
      </c>
      <c r="DD90" s="2">
        <f>9415.2247005701*(1/14151.6638359215)</f>
        <v>0.66530867392929549</v>
      </c>
      <c r="DE90" s="2">
        <f>9138.79817175855*(1/14151.6638359215)</f>
        <v>0.6457755270133908</v>
      </c>
      <c r="DF90" s="2">
        <f>8864.85667933205*(1/14151.6638359215)</f>
        <v>0.62641798039536356</v>
      </c>
      <c r="DG90" s="2">
        <f>8591.28482159613*(1/14151.6638359215)</f>
        <v>0.60708655329903116</v>
      </c>
      <c r="DH90" s="2">
        <f>8318.68805931595*(1/14151.6638359215)</f>
        <v>0.5878240294403001</v>
      </c>
      <c r="DI90" s="2">
        <f>8047.67185325687*(1/14151.6638359215)</f>
        <v>0.56867319253509097</v>
      </c>
      <c r="DJ90" s="2">
        <f>7778.84166418405*(1/14151.6638359215)</f>
        <v>0.54967682629931014</v>
      </c>
      <c r="DK90" s="2">
        <f>7512.80295286273*(1/14151.6638359215)</f>
        <v>0.53087771444886978</v>
      </c>
      <c r="DL90" s="2">
        <f>7250.16118005815*(1/14151.6638359215)</f>
        <v>0.51231864069968203</v>
      </c>
      <c r="DM90" s="2">
        <f>6991.52180653549*(1/14151.6638359215)</f>
        <v>0.49404238876765477</v>
      </c>
      <c r="DN90" s="2">
        <f>6737.49029306007*(1/14151.6638359215)</f>
        <v>0.47609174236870583</v>
      </c>
      <c r="DO90" s="2">
        <f>6488.67210039709*(1/14151.6638359215)</f>
        <v>0.45850948521874446</v>
      </c>
      <c r="DP90" s="2">
        <f>6245.32000794395*(1/14151.6638359215)</f>
        <v>0.44131347948580496</v>
      </c>
      <c r="DQ90" s="2">
        <f>6006.80420531048*(1/14151.6638359215)</f>
        <v>0.42445922083474513</v>
      </c>
      <c r="DR90" s="2">
        <f>5772.73406253029*(1/14151.6638359215)</f>
        <v>0.40791910615324428</v>
      </c>
      <c r="DS90" s="2">
        <f>5542.73197131478*(1/14151.6638359215)</f>
        <v>0.39166645248069937</v>
      </c>
      <c r="DT90" s="2">
        <f>5316.42032337526*(1/14151.6638359215)</f>
        <v>0.37567457685650119</v>
      </c>
      <c r="DU90" s="2">
        <f>5093.4215104232*(1/14151.6638359215)</f>
        <v>0.35991679632005169</v>
      </c>
      <c r="DV90" s="2">
        <f>4873.35792416993*(1/14151.6638359215)</f>
        <v>0.34436642791074301</v>
      </c>
      <c r="DW90" s="2">
        <f>4655.85195632683*(1/14151.6638359215)</f>
        <v>0.32899678866797077</v>
      </c>
      <c r="DX90" s="2">
        <f>4440.52599860527*(1/14151.6638359215)</f>
        <v>0.31378119563112988</v>
      </c>
      <c r="DY90" s="2">
        <f>4227.00244271659*(1/14151.6638359215)</f>
        <v>0.29869296583961319</v>
      </c>
      <c r="DZ90" s="2">
        <f>4014.86075103699*(1/14151.6638359215)</f>
        <v>0.28370238281423665</v>
      </c>
      <c r="EA90" s="2">
        <f>3803.08437978313*(1/14151.6638359215)</f>
        <v>0.26873761445136024</v>
      </c>
      <c r="EB90" s="2">
        <f>3591.97253103444*(1/14151.6638359215)</f>
        <v>0.25381980328820786</v>
      </c>
      <c r="EC90" s="2">
        <f>3382.32075444473*(1/14151.6638359215)</f>
        <v>0.23900516530496621</v>
      </c>
      <c r="ED90" s="2">
        <f>3174.9245996678*(1/14151.6638359215)</f>
        <v>0.22434991648182134</v>
      </c>
      <c r="EE90" s="2">
        <f>2970.57961635743*(1/14151.6638359215)</f>
        <v>0.20991027279895796</v>
      </c>
      <c r="EF90" s="2">
        <f>2770.08135416749*(1/14151.6638359215)</f>
        <v>0.19574245023656708</v>
      </c>
      <c r="EG90" s="2">
        <f>2574.22536275176*(1/14151.6638359215)</f>
        <v>0.18190266477483327</v>
      </c>
      <c r="EH90" s="2">
        <f>2383.80719176403*(1/14151.6638359215)</f>
        <v>0.16844713239394202</v>
      </c>
      <c r="EI90" s="2">
        <f>2199.62239085813*(1/14151.6638359215)</f>
        <v>0.15543206907408139</v>
      </c>
      <c r="EJ90" s="2">
        <f>2022.46650968781*(1/14151.6638359215)</f>
        <v>0.14291369079543395</v>
      </c>
      <c r="EK90" s="2">
        <f>1851.46800020596*(1/14151.6638359215)</f>
        <v>0.13083041129809311</v>
      </c>
      <c r="EL90" s="2">
        <f>1682.58916727775*(1/14151.6638359215)</f>
        <v>0.11889691465160404</v>
      </c>
      <c r="EM90" s="2">
        <f>1516.71510402356*(1/14151.6638359215)</f>
        <v>0.10717574425232222</v>
      </c>
      <c r="EN90" s="2">
        <f>1355.08252566673*(1/14151.6638359215)</f>
        <v>9.5754290193573718E-2</v>
      </c>
      <c r="EO90" s="2">
        <f>1198.92814743059*(1/14151.6638359215)</f>
        <v>8.471994256868387E-2</v>
      </c>
      <c r="EP90" s="2">
        <f>1049.48868453847*(1/14151.6638359215)</f>
        <v>7.4160091470978004E-2</v>
      </c>
      <c r="EQ90" s="2">
        <f>908.00085221368*(1/14151.6638359215)</f>
        <v>6.4162126993780072E-2</v>
      </c>
      <c r="ER90" s="2">
        <f>775.701365679606*(1/14151.6638359215)</f>
        <v>5.4813439230419335E-2</v>
      </c>
      <c r="ES90" s="2">
        <f>653.826940159553*(1/14151.6638359215)</f>
        <v>4.6201418274219377E-2</v>
      </c>
      <c r="ET90" s="2">
        <f>543.614290876856*(1/14151.6638359215)</f>
        <v>3.8413454218505894E-2</v>
      </c>
      <c r="EU90" s="2">
        <f>446.31074169009*(1/14151.6638359215)</f>
        <v>3.1537686795329964E-2</v>
      </c>
      <c r="EV90" s="2">
        <f>363.370165671201*(1/14151.6638359215)</f>
        <v>2.5676851138086675E-2</v>
      </c>
      <c r="EW90" s="2">
        <f>294.024955989886*(1/14151.6638359215)</f>
        <v>2.0776705792258546E-2</v>
      </c>
      <c r="EX90" s="2">
        <f>236.618479363927*(1/14151.6638359215)</f>
        <v>1.672018796569438E-2</v>
      </c>
      <c r="EY90" s="2">
        <f>189.494102511125*(1/14151.6638359215)</f>
        <v>1.3390234866244327E-2</v>
      </c>
      <c r="EZ90" s="2">
        <f>150.995192149278*(1/14151.6638359215)</f>
        <v>1.0669783701758332E-2</v>
      </c>
      <c r="FA90" s="2">
        <f>119.465114996186*(1/14151.6638359215)</f>
        <v>8.4417716800864722E-3</v>
      </c>
      <c r="FB90" s="2">
        <f>93.2472377696441*(1/14151.6638359215)</f>
        <v>6.5891360090784843E-3</v>
      </c>
      <c r="FC90" s="2">
        <f>70.6849271874619*(1/14151.6638359215)</f>
        <v>4.9948138965851272E-3</v>
      </c>
      <c r="FD90" s="2">
        <f>50.1215499674332*(1/14151.6638359215)</f>
        <v>3.5417425504560454E-3</v>
      </c>
      <c r="FE90" s="2">
        <f>29.9004728273575*(1/14151.6638359215)</f>
        <v>2.1128591785412845E-3</v>
      </c>
      <c r="FF90" s="2">
        <f>9.33695940327788*(1/14151.6638359215)</f>
        <v>6.5977820781593598E-4</v>
      </c>
      <c r="FG90" s="2">
        <f>-7.96802391747275*(1/14151.6638359215)</f>
        <v>-5.6304502494239079E-4</v>
      </c>
      <c r="FH90" s="2">
        <f>-21.4793878203488*(1/14151.6638359215)</f>
        <v>-1.5177994665070526E-3</v>
      </c>
      <c r="FI90" s="2">
        <f>-31.197132305354*(1/14151.6638359215)</f>
        <v>-2.204485116878313E-3</v>
      </c>
      <c r="FJ90" s="2">
        <f>-37.1212573724882*(1/14151.6638359215)</f>
        <v>-2.6231019760561613E-3</v>
      </c>
      <c r="FK90" s="2">
        <f>-39.2517630217514*(1/14151.6638359215)</f>
        <v>-2.7736500440405979E-3</v>
      </c>
      <c r="FL90" s="2">
        <f>-37.5886492531437*(1/14151.6638359215)</f>
        <v>-2.6561293208316292E-3</v>
      </c>
      <c r="FM90" s="2">
        <f>-32.1319160666637*(1/14151.6638359215)</f>
        <v>-2.2705398064291568E-3</v>
      </c>
      <c r="FN90" s="2">
        <f>-22.8815634623134*(1/14151.6638359215)</f>
        <v>-1.616881500833322E-3</v>
      </c>
      <c r="FO90" s="2">
        <f>-9.83759144009216*(1/14151.6638359215)</f>
        <v>-6.9515440404407935E-4</v>
      </c>
      <c r="FP90" s="2">
        <f t="shared" si="17"/>
        <v>4.9464148393856954E-4</v>
      </c>
      <c r="FQ90" s="2"/>
    </row>
    <row r="91" spans="2:173">
      <c r="B91" s="2">
        <v>10.133136094674557</v>
      </c>
      <c r="C91" s="2">
        <f t="shared" si="18"/>
        <v>4.9464148393856954E-4</v>
      </c>
      <c r="D91" s="2">
        <f>-13.6947262582854*(1/14151.6638359215)</f>
        <v>-9.6771138836154063E-4</v>
      </c>
      <c r="E91" s="2">
        <f>-30.0552502242664*(1/14151.6638359215)</f>
        <v>-2.1237962244394508E-3</v>
      </c>
      <c r="F91" s="2">
        <f>-42.0815718979448*(1/14151.6638359215)</f>
        <v>-2.9736130242952888E-3</v>
      </c>
      <c r="G91" s="2">
        <f>-49.7736912793162*(1/14151.6638359215)</f>
        <v>-3.5171617879287435E-3</v>
      </c>
      <c r="H91" s="2">
        <f>-53.1316083683831*(1/14151.6638359215)</f>
        <v>-3.7544425153399909E-3</v>
      </c>
      <c r="I91" s="2">
        <f>-52.1553231651457*(1/14151.6638359215)</f>
        <v>-3.6854552065290463E-3</v>
      </c>
      <c r="J91" s="2">
        <f>-46.8448356696037*(1/14151.6638359215)</f>
        <v>-3.3101998614958866E-3</v>
      </c>
      <c r="K91" s="2">
        <f>-37.2001458817575*(1/14151.6638359215)</f>
        <v>-2.6286764802405426E-3</v>
      </c>
      <c r="L91" s="2">
        <f>-23.2212538016037*(1/14151.6638359215)</f>
        <v>-1.6408850627627721E-3</v>
      </c>
      <c r="M91" s="2">
        <f>-4.90815942914775*(1/14151.6638359215)</f>
        <v>-3.4682560906296075E-4</v>
      </c>
      <c r="N91" s="2">
        <f>17.2246889976207*(1/14151.6638359215)</f>
        <v>1.2171493894519222E-3</v>
      </c>
      <c r="O91" s="2">
        <f>39.7152324117423*(1/14151.6638359215)</f>
        <v>2.8064002135870549E-3</v>
      </c>
      <c r="P91" s="2">
        <f>63.2217934639506*(1/14151.6638359215)</f>
        <v>4.4674459623237541E-3</v>
      </c>
      <c r="Q91" s="2">
        <f>89.3371007882701*(1/14151.6638359215)</f>
        <v>6.3128337292399257E-3</v>
      </c>
      <c r="R91" s="2">
        <f>119.653883018732*(1/14151.6638359215)</f>
        <v>8.4551106079139432E-3</v>
      </c>
      <c r="S91" s="2">
        <f>155.764868789348*(1/14151.6638359215)</f>
        <v>1.100682369192281E-2</v>
      </c>
      <c r="T91" s="2">
        <f>199.26278673415*(1/14151.6638359215)</f>
        <v>1.4080520074844954E-2</v>
      </c>
      <c r="U91" s="2">
        <f>251.74036548716*(1/14151.6638359215)</f>
        <v>1.7788746850258098E-2</v>
      </c>
      <c r="V91" s="2">
        <f>314.790333682405*(1/14151.6638359215)</f>
        <v>2.2244051111740326E-2</v>
      </c>
      <c r="W91" s="2">
        <f>390.005419953908*(1/14151.6638359215)</f>
        <v>2.7558979952869437E-2</v>
      </c>
      <c r="X91" s="2">
        <f>478.978352935712*(1/14151.6638359215)</f>
        <v>3.3846080467224642E-2</v>
      </c>
      <c r="Y91" s="2">
        <f>582.302189906291*(1/14151.6638359215)</f>
        <v>4.1147259902275218E-2</v>
      </c>
      <c r="Z91" s="2">
        <f>698.417122131121*(1/14151.6638359215)</f>
        <v>4.9352297385577552E-2</v>
      </c>
      <c r="AA91" s="2">
        <f>826.237926972022*(1/14151.6638359215)</f>
        <v>5.838450775482406E-2</v>
      </c>
      <c r="AB91" s="2">
        <f>964.692844474682*(1/14151.6638359215)</f>
        <v>6.8168157162268053E-2</v>
      </c>
      <c r="AC91" s="2">
        <f>1112.71011468479*(1/14151.6638359215)</f>
        <v>7.8627511760162916E-2</v>
      </c>
      <c r="AD91" s="2">
        <f>1269.21797764806*(1/14151.6638359215)</f>
        <v>8.96868377007638E-2</v>
      </c>
      <c r="AE91" s="2">
        <f>1433.14467341013*(1/14151.6638359215)</f>
        <v>0.10127040113632048</v>
      </c>
      <c r="AF91" s="2">
        <f>1603.4184420167*(1/14151.6638359215)</f>
        <v>0.11330246821908711</v>
      </c>
      <c r="AG91" s="2">
        <f>1778.96752351348*(1/14151.6638359215)</f>
        <v>0.12570730510131856</v>
      </c>
      <c r="AH91" s="2">
        <f>1958.72015794615*(1/14151.6638359215)</f>
        <v>0.13840917793526758</v>
      </c>
      <c r="AI91" s="2">
        <f>2141.9254582001*(1/14151.6638359215)</f>
        <v>0.15135502673284257</v>
      </c>
      <c r="AJ91" s="2">
        <f>2332.29121597116*(1/14151.6638359215)</f>
        <v>0.16480685543498078</v>
      </c>
      <c r="AK91" s="2">
        <f>2530.56171668226*(1/14151.6638359215)</f>
        <v>0.17881725753397815</v>
      </c>
      <c r="AL91" s="2">
        <f>2735.95071274642*(1/14151.6638359215)</f>
        <v>0.19333067436223944</v>
      </c>
      <c r="AM91" s="2">
        <f>2947.67195657667*(1/14151.6638359215)</f>
        <v>0.20829154725217011</v>
      </c>
      <c r="AN91" s="2">
        <f>3164.93920058601*(1/14151.6638359215)</f>
        <v>0.22364431753617342</v>
      </c>
      <c r="AO91" s="2">
        <f>3386.96619718748*(1/14151.6638359215)</f>
        <v>0.23933342654665554</v>
      </c>
      <c r="AP91" s="2">
        <f>3612.96669879411*(1/14151.6638359215)</f>
        <v>0.25530331561602193</v>
      </c>
      <c r="AQ91" s="2">
        <f>3842.15445781886*(1/14151.6638359215)</f>
        <v>0.27149842607667302</v>
      </c>
      <c r="AR91" s="2">
        <f>4073.74322667478*(1/14151.6638359215)</f>
        <v>0.28786319926101567</v>
      </c>
      <c r="AS91" s="2">
        <f>4306.94675777488*(1/14151.6638359215)</f>
        <v>0.30434207650145395</v>
      </c>
      <c r="AT91" s="2">
        <f>4542.88306570729*(1/14151.6638359215)</f>
        <v>0.32101406014012174</v>
      </c>
      <c r="AU91" s="2">
        <f>4785.22816531093*(1/14151.6638359215)</f>
        <v>0.33813890866771962</v>
      </c>
      <c r="AV91" s="2">
        <f>5033.03398422486*(1/14151.6638359215)</f>
        <v>0.3556496283814623</v>
      </c>
      <c r="AW91" s="2">
        <f>5285.13693477625*(1/14151.6638359215)</f>
        <v>0.37346399660518104</v>
      </c>
      <c r="AX91" s="2">
        <f>5540.37342929223*(1/14151.6638359215)</f>
        <v>0.39149979066270429</v>
      </c>
      <c r="AY91" s="2">
        <f>5797.57988009994*(1/14151.6638359215)</f>
        <v>0.40967478787786121</v>
      </c>
      <c r="AZ91" s="2">
        <f>6055.5926995265*(1/14151.6638359215)</f>
        <v>0.42790676557447949</v>
      </c>
      <c r="BA91" s="2">
        <f>6313.2482998991*(1/14151.6638359215)</f>
        <v>0.44611350107639175</v>
      </c>
      <c r="BB91" s="2">
        <f>6569.38309354476*(1/14151.6638359215)</f>
        <v>0.4642127717074187</v>
      </c>
      <c r="BC91" s="2">
        <f>6822.83349279067*(1/14151.6638359215)</f>
        <v>0.48212235479139293</v>
      </c>
      <c r="BD91" s="2">
        <f>7072.46067924316*(1/14151.6638359215)</f>
        <v>0.49976177792543142</v>
      </c>
      <c r="BE91" s="2">
        <f>7318.4813508096*(1/14151.6638359215)</f>
        <v>0.51714635364874395</v>
      </c>
      <c r="BF91" s="2">
        <f>7561.94296767513*(1/14151.6638359215)</f>
        <v>0.53435009871280814</v>
      </c>
      <c r="BG91" s="2">
        <f>7803.64372522933*(1/14151.6638359215)</f>
        <v>0.55142941605362039</v>
      </c>
      <c r="BH91" s="2">
        <f>8044.3818188617*(1/14151.6638359215)</f>
        <v>0.56844070860717144</v>
      </c>
      <c r="BI91" s="2">
        <f>8284.95544396185*(1/14151.6638359215)</f>
        <v>0.58544037930945991</v>
      </c>
      <c r="BJ91" s="2">
        <f>8526.16279591934*(1/14151.6638359215)</f>
        <v>0.60248483109648077</v>
      </c>
      <c r="BK91" s="2">
        <f>8768.80207012375*(1/14151.6638359215)</f>
        <v>0.61963046690423029</v>
      </c>
      <c r="BL91" s="2">
        <f>9013.67146196464*(1/14151.6638359215)</f>
        <v>0.63693368966870356</v>
      </c>
      <c r="BM91" s="2">
        <f>9261.56916683164*(1/14151.6638359215)</f>
        <v>0.65445090232590053</v>
      </c>
      <c r="BN91" s="2">
        <f>9513.29338011422*(1/14151.6638359215)</f>
        <v>0.67223850781180972</v>
      </c>
      <c r="BO91" s="2">
        <f>9771.68073047171*(1/14151.6638359215)</f>
        <v>0.69049695101349307</v>
      </c>
      <c r="BP91" s="2">
        <f>10043.0605094072*(1/14151.6638359215)</f>
        <v>0.70967347909400336</v>
      </c>
      <c r="BQ91" s="2">
        <f>10324.2308437446*(1/14151.6638359215)</f>
        <v>0.72954183786773996</v>
      </c>
      <c r="BR91" s="2">
        <f>10611.1424106217*(1/14151.6638359215)</f>
        <v>0.74981588975334401</v>
      </c>
      <c r="BS91" s="2">
        <f>10899.7458871761*(1/14151.6638359215)</f>
        <v>0.77020949716944376</v>
      </c>
      <c r="BT91" s="2">
        <f>11185.9919505455*(1/14151.6638359215)</f>
        <v>0.79043652253467434</v>
      </c>
      <c r="BU91" s="2">
        <f>11465.8312778678*(1/14151.6638359215)</f>
        <v>0.81021082826768476</v>
      </c>
      <c r="BV91" s="2">
        <f>11735.2145462807*(1/14151.6638359215)</f>
        <v>0.82924627678711038</v>
      </c>
      <c r="BW91" s="2">
        <f>11990.0924329218*(1/14151.6638359215)</f>
        <v>0.8472567305115789</v>
      </c>
      <c r="BX91" s="2">
        <f>12226.415614929*(1/14151.6638359215)</f>
        <v>0.86395605185973978</v>
      </c>
      <c r="BY91" s="2">
        <f>12440.1941516818*(1/14151.6638359215)</f>
        <v>0.87906229938168579</v>
      </c>
      <c r="BZ91" s="2">
        <f>12644.2604546592*(1/14151.6638359215)</f>
        <v>0.89348225065691411</v>
      </c>
      <c r="CA91" s="2">
        <f>12847.4653737963*(1/14151.6638359215)</f>
        <v>0.90784133390628441</v>
      </c>
      <c r="CB91" s="2">
        <f>13045.219664512*(1/14151.6638359215)</f>
        <v>0.92181525902268913</v>
      </c>
      <c r="CC91" s="2">
        <f>13232.9340822254*(1/14151.6638359215)</f>
        <v>0.93507973589903493</v>
      </c>
      <c r="CD91" s="2">
        <f>13406.0193823554*(1/14151.6638359215)</f>
        <v>0.94731047442821437</v>
      </c>
      <c r="CE91" s="2">
        <f>13559.8863203208*(1/14151.6638359215)</f>
        <v>0.95818318450311291</v>
      </c>
      <c r="CF91" s="2">
        <f>13689.9456515405*(1/14151.6638359215)</f>
        <v>0.96737357601662288</v>
      </c>
      <c r="CG91" s="2">
        <f>13791.6081314336*(1/14151.6638359215)</f>
        <v>0.97455735886165118</v>
      </c>
      <c r="CH91" s="2">
        <f>13860.2845154188*(1/14151.6638359215)</f>
        <v>0.97941024293107604</v>
      </c>
      <c r="CI91" s="2">
        <f>13891.3855589152*(1/14151.6638359215)</f>
        <v>0.98160793811780434</v>
      </c>
      <c r="CJ91" s="2">
        <f>13880.4203488694*(1/14151.6638359215)</f>
        <v>0.9808331027222682</v>
      </c>
      <c r="CK91" s="2">
        <f>13826.9146423552*(1/14151.6638359215)</f>
        <v>0.97705222528378732</v>
      </c>
      <c r="CL91" s="2">
        <f>13735.3858915679*(1/14151.6638359215)</f>
        <v>0.97058452283914831</v>
      </c>
      <c r="CM91" s="2">
        <f>13610.6448852292*(1/14151.6638359215)</f>
        <v>0.9617699404843818</v>
      </c>
      <c r="CN91" s="2">
        <f>13457.5024120608*(1/14151.6638359215)</f>
        <v>0.95094842331551899</v>
      </c>
      <c r="CO91" s="2">
        <f>13280.7692607846*(1/14151.6638359215)</f>
        <v>0.93845991642860482</v>
      </c>
      <c r="CP91" s="2">
        <f>13085.2562201221*(1/14151.6638359215)</f>
        <v>0.92464436491965618</v>
      </c>
      <c r="CQ91" s="2">
        <f>12875.7740787954*(1/14151.6638359215)</f>
        <v>0.90984171388473223</v>
      </c>
      <c r="CR91" s="2">
        <f>12657.1336255259*(1/14151.6638359215)</f>
        <v>0.89439190841984251</v>
      </c>
      <c r="CS91" s="2">
        <f>12434.1456490356*(1/14151.6638359215)</f>
        <v>0.87863489362103953</v>
      </c>
      <c r="CT91" s="2">
        <f>12211.6209380462*(1/14151.6638359215)</f>
        <v>0.86291061458435414</v>
      </c>
      <c r="CU91" s="2">
        <f>11981.1692862656*(1/14151.6638359215)</f>
        <v>0.84662619358251834</v>
      </c>
      <c r="CV91" s="2">
        <f>11730.0734270939*(1/14151.6638359215)</f>
        <v>0.8288829895265869</v>
      </c>
      <c r="CW91" s="2">
        <f>11461.8905040127*(1/14151.6638359215)</f>
        <v>0.80993236109232003</v>
      </c>
      <c r="CX91" s="2">
        <f>11180.2355531081*(1/14151.6638359215)</f>
        <v>0.79002975782459206</v>
      </c>
      <c r="CY91" s="2">
        <f>10888.7236104657*(1/14151.6638359215)</f>
        <v>0.76943062926824179</v>
      </c>
      <c r="CZ91" s="2">
        <f>10590.9697121716*(1/14151.6638359215)</f>
        <v>0.74839042496814356</v>
      </c>
      <c r="DA91" s="2">
        <f>10290.5888943116*(1/14151.6638359215)</f>
        <v>0.72716459446915049</v>
      </c>
      <c r="DB91" s="2">
        <f>9991.19619297159*(1/14151.6638359215)</f>
        <v>0.70600858731612204</v>
      </c>
      <c r="DC91" s="2">
        <f>9696.40664423753*(1/14151.6638359215)</f>
        <v>0.68517785305392243</v>
      </c>
      <c r="DD91" s="2">
        <f>9409.83528419526*(1/14151.6638359215)</f>
        <v>0.66492784122740778</v>
      </c>
      <c r="DE91" s="2">
        <f>9134.00145586991*(1/14151.6638359215)</f>
        <v>0.6454365763469353</v>
      </c>
      <c r="DF91" s="2">
        <f>8860.16018931148*(1/14151.6638359215)</f>
        <v>0.62608611199635256</v>
      </c>
      <c r="DG91" s="2">
        <f>8586.16491088874*(1/14151.6638359215)</f>
        <v>0.60672476469475456</v>
      </c>
      <c r="DH91" s="2">
        <f>8312.72336179464*(1/14151.6638359215)</f>
        <v>0.5874025456069879</v>
      </c>
      <c r="DI91" s="2">
        <f>8040.54328322223*(1/14151.6638359215)</f>
        <v>0.56816946589790596</v>
      </c>
      <c r="DJ91" s="2">
        <f>7770.33241636445*(1/14151.6638359215)</f>
        <v>0.54907553673235465</v>
      </c>
      <c r="DK91" s="2">
        <f>7502.79850241429*(1/14151.6638359215)</f>
        <v>0.53017076927518314</v>
      </c>
      <c r="DL91" s="2">
        <f>7238.64928256472*(1/14151.6638359215)</f>
        <v>0.51150517469123924</v>
      </c>
      <c r="DM91" s="2">
        <f>6978.59249800867*(1/14151.6638359215)</f>
        <v>0.49312876414536821</v>
      </c>
      <c r="DN91" s="2">
        <f>6723.33588993921*(1/14151.6638359215)</f>
        <v>0.47509154880242482</v>
      </c>
      <c r="DO91" s="2">
        <f>6473.58719954929*(1/14151.6638359215)</f>
        <v>0.45744353982725566</v>
      </c>
      <c r="DP91" s="2">
        <f>6229.57333151629*(1/14151.6638359215)</f>
        <v>0.44020077100076516</v>
      </c>
      <c r="DQ91" s="2">
        <f>5990.45755239699*(1/14151.6638359215)</f>
        <v>0.42330411616980834</v>
      </c>
      <c r="DR91" s="2">
        <f>5755.84314242547*(1/14151.6638359215)</f>
        <v>0.40672554189813914</v>
      </c>
      <c r="DS91" s="2">
        <f>5525.35262984455*(1/14151.6638359215)</f>
        <v>0.39043837487288374</v>
      </c>
      <c r="DT91" s="2">
        <f>5298.60854289698*(1/14151.6638359215)</f>
        <v>0.37441594178116344</v>
      </c>
      <c r="DU91" s="2">
        <f>5075.23340982565*(1/14151.6638359215)</f>
        <v>0.35863156931010937</v>
      </c>
      <c r="DV91" s="2">
        <f>4854.84975887333*(1/14151.6638359215)</f>
        <v>0.34305858414684437</v>
      </c>
      <c r="DW91" s="2">
        <f>4637.0801182828*(1/14151.6638359215)</f>
        <v>0.3276703129784917</v>
      </c>
      <c r="DX91" s="2">
        <f>4421.54701629689*(1/14151.6638359215)</f>
        <v>0.31244008249217836</v>
      </c>
      <c r="DY91" s="2">
        <f>4207.87298115835*(1/14151.6638359215)</f>
        <v>0.2973412193750255</v>
      </c>
      <c r="DZ91" s="2">
        <f>3995.63673039429*(1/14151.6638359215)</f>
        <v>0.28234395451452654</v>
      </c>
      <c r="EA91" s="2">
        <f>3783.80453022744*(1/14151.6638359215)</f>
        <v>0.26737524110931182</v>
      </c>
      <c r="EB91" s="2">
        <f>3572.67496902824*(1/14151.6638359215)</f>
        <v>0.25245617833004452</v>
      </c>
      <c r="EC91" s="2">
        <f>3363.05165815073*(1/14151.6638359215)</f>
        <v>0.23764355182139199</v>
      </c>
      <c r="ED91" s="2">
        <f>3155.73820894894*(1/14151.6638359215)</f>
        <v>0.22299414722802105</v>
      </c>
      <c r="EE91" s="2">
        <f>2951.53823277689*(1/14151.6638359215)</f>
        <v>0.20856475019459769</v>
      </c>
      <c r="EF91" s="2">
        <f>2751.25534098868*(1/14151.6638359215)</f>
        <v>0.19441214636579368</v>
      </c>
      <c r="EG91" s="2">
        <f>2555.69314493832*(1/14151.6638359215)</f>
        <v>0.18059312138627434</v>
      </c>
      <c r="EH91" s="2">
        <f>2365.65525597986*(1/14151.6638359215)</f>
        <v>0.1671644609007078</v>
      </c>
      <c r="EI91" s="2">
        <f>2181.94528546733*(1/14151.6638359215)</f>
        <v>0.15418295055376083</v>
      </c>
      <c r="EJ91" s="2">
        <f>2005.36684475474*(1/14151.6638359215)</f>
        <v>0.1417053759900988</v>
      </c>
      <c r="EK91" s="2">
        <f>1835.08233043638*(1/14151.6638359215)</f>
        <v>0.12967254958235708</v>
      </c>
      <c r="EL91" s="2">
        <f>1667.1164232248*(1/14151.6638359215)</f>
        <v>0.11780356306889649</v>
      </c>
      <c r="EM91" s="2">
        <f>1502.31792971108*(1/14151.6638359215)</f>
        <v>0.10615839572854403</v>
      </c>
      <c r="EN91" s="2">
        <f>1341.88110863809*(1/14151.6638359215)</f>
        <v>9.4821437549411094E-2</v>
      </c>
      <c r="EO91" s="2">
        <f>1187.00021874872*(1/14151.6638359215)</f>
        <v>8.3877078519610501E-2</v>
      </c>
      <c r="EP91" s="2">
        <f>1038.86951878584*(1/14151.6638359215)</f>
        <v>7.3409708627253656E-2</v>
      </c>
      <c r="EQ91" s="2">
        <f>898.683267492304*(1/14151.6638359215)</f>
        <v>6.3503717860450809E-2</v>
      </c>
      <c r="ER91" s="2">
        <f>767.635723611056*(1/14151.6638359215)</f>
        <v>5.424349620731863E-2</v>
      </c>
      <c r="ES91" s="2">
        <f>646.921145884945*(1/14151.6638359215)</f>
        <v>4.5713433655967001E-2</v>
      </c>
      <c r="ET91" s="2">
        <f>537.733793056853*(1/14151.6638359215)</f>
        <v>3.7997920194508206E-2</v>
      </c>
      <c r="EU91" s="2">
        <f>441.279490356062*(1/14151.6638359215)</f>
        <v>3.1182163134482601E-2</v>
      </c>
      <c r="EV91" s="2">
        <f>359.055059215242*(1/14151.6638359215)</f>
        <v>2.5371932472268325E-2</v>
      </c>
      <c r="EW91" s="2">
        <f>290.341592894703*(1/14151.6638359215)</f>
        <v>2.0516428051217707E-2</v>
      </c>
      <c r="EX91" s="2">
        <f>233.490691768729*(1/14151.6638359215)</f>
        <v>1.649916889461818E-2</v>
      </c>
      <c r="EY91" s="2">
        <f>186.85395621162*(1/14151.6638359215)</f>
        <v>1.3203674025758316E-2</v>
      </c>
      <c r="EZ91" s="2">
        <f>148.782986597677*(1/14151.6638359215)</f>
        <v>1.0513462467926751E-2</v>
      </c>
      <c r="FA91" s="2">
        <f>117.629383301201*(1/14151.6638359215)</f>
        <v>8.3120532444121223E-3</v>
      </c>
      <c r="FB91" s="2">
        <f>91.744746696487*(1/14151.6638359215)</f>
        <v>6.4829653785026435E-3</v>
      </c>
      <c r="FC91" s="2">
        <f>69.4806771578457*(1/14151.6638359215)</f>
        <v>4.909717893487639E-3</v>
      </c>
      <c r="FD91" s="2">
        <f>49.1887750595723*(1/14151.6638359215)</f>
        <v>3.4758298126553347E-3</v>
      </c>
      <c r="FE91" s="2">
        <f>29.220640775967*(1/14151.6638359215)</f>
        <v>2.0648201592943127E-3</v>
      </c>
      <c r="FF91" s="2">
        <f>8.89494116095774*(1/14151.6638359215)</f>
        <v>6.2854384220034274E-4</v>
      </c>
      <c r="FG91" s="2">
        <f>-8.20525461208254*(1/14151.6638359215)</f>
        <v>-5.798084739163284E-4</v>
      </c>
      <c r="FH91" s="2">
        <f>-21.5475166835768*(1/14151.6638359215)</f>
        <v>-1.5226136610793589E-3</v>
      </c>
      <c r="FI91" s="2">
        <f>-31.1318450535287*(1/14151.6638359215)</f>
        <v>-2.1998717192890076E-3</v>
      </c>
      <c r="FJ91" s="2">
        <f>-36.9582397219381*(1/14151.6638359215)</f>
        <v>-2.6115826485452638E-3</v>
      </c>
      <c r="FK91" s="2">
        <f>-39.0267006888051*(1/14151.6638359215)</f>
        <v>-2.7577464488481355E-3</v>
      </c>
      <c r="FL91" s="2">
        <f>-37.3372279541296*(1/14151.6638359215)</f>
        <v>-2.6383631201976152E-3</v>
      </c>
      <c r="FM91" s="2">
        <f>-31.8898215179104*(1/14151.6638359215)</f>
        <v>-2.2534326625936181E-3</v>
      </c>
      <c r="FN91" s="2">
        <f>-22.6844813801494*(1/14151.6638359215)</f>
        <v>-1.6029550760362785E-3</v>
      </c>
      <c r="FO91" s="2">
        <f>-9.72120754084587*(1/14151.6638359215)</f>
        <v>-6.8693036052554473E-4</v>
      </c>
      <c r="FP91" s="2">
        <f t="shared" si="17"/>
        <v>4.9464148393856954E-4</v>
      </c>
      <c r="FQ91" s="2"/>
    </row>
    <row r="92" spans="2:173">
      <c r="B92" s="2">
        <v>10.142603550295858</v>
      </c>
      <c r="C92" s="2">
        <f t="shared" si="18"/>
        <v>4.9464148393856954E-4</v>
      </c>
      <c r="D92" s="2">
        <f>-14.020055531479*(1/14151.6638359215)</f>
        <v>-9.9070015328456057E-4</v>
      </c>
      <c r="E92" s="2">
        <f>-30.6355611976697*(1/14151.6638359215)</f>
        <v>-2.1648027788723143E-3</v>
      </c>
      <c r="F92" s="2">
        <f>-42.8465169985739*(1/14151.6638359215)</f>
        <v>-3.0276663928248196E-3</v>
      </c>
      <c r="G92" s="2">
        <f>-50.6529229341871*(1/14151.6638359215)</f>
        <v>-3.5792909951417587E-3</v>
      </c>
      <c r="H92" s="2">
        <f>-54.054779004512*(1/14151.6638359215)</f>
        <v>-3.8196765858233214E-3</v>
      </c>
      <c r="I92" s="2">
        <f>-53.0520852095485*(1/14151.6638359215)</f>
        <v>-3.7488231648695014E-3</v>
      </c>
      <c r="J92" s="2">
        <f>-47.6448415492967*(1/14151.6638359215)</f>
        <v>-3.366730732280305E-3</v>
      </c>
      <c r="K92" s="2">
        <f>-37.8330480237566*(1/14151.6638359215)</f>
        <v>-2.6733992880557328E-3</v>
      </c>
      <c r="L92" s="2">
        <f>-23.6167046329251*(1/14151.6638359215)</f>
        <v>-1.668828832195566E-3</v>
      </c>
      <c r="M92" s="2">
        <f>-4.99581137680747*(1/14151.6638359215)</f>
        <v>-3.5301936470017646E-4</v>
      </c>
      <c r="N92" s="2">
        <f>17.5354903885781*(1/14151.6638359215)</f>
        <v>1.2391115696281135E-3</v>
      </c>
      <c r="O92" s="2">
        <f>40.6517999025105*(1/14151.6638359215)</f>
        <v>2.8725809469359411E-3</v>
      </c>
      <c r="P92" s="2">
        <f>64.9854537604112*(1/14151.6638359215)</f>
        <v>4.5920716117815851E-3</v>
      </c>
      <c r="Q92" s="2">
        <f>92.0663106125138*(1/14151.6638359215)</f>
        <v>6.5056880717318721E-3</v>
      </c>
      <c r="R92" s="2">
        <f>123.424229109058*(1/14151.6638359215)</f>
        <v>8.7215348343540628E-3</v>
      </c>
      <c r="S92" s="2">
        <f>160.589067900267*(1/14151.6638359215)</f>
        <v>1.1347716407214253E-2</v>
      </c>
      <c r="T92" s="2">
        <f>205.090685636378*(1/14151.6638359215)</f>
        <v>1.4492337297879526E-2</v>
      </c>
      <c r="U92" s="2">
        <f>258.458940967626*(1/14151.6638359215)</f>
        <v>1.826350201391681E-2</v>
      </c>
      <c r="V92" s="2">
        <f>322.223692544244*(1/14151.6638359215)</f>
        <v>2.2769315062892891E-2</v>
      </c>
      <c r="W92" s="2">
        <f>397.914799016466*(1/14151.6638359215)</f>
        <v>2.8117880952374628E-2</v>
      </c>
      <c r="X92" s="2">
        <f>487.062119034542*(1/14151.6638359215)</f>
        <v>3.4417304189930005E-2</v>
      </c>
      <c r="Y92" s="2">
        <f>590.244435716017*(1/14151.6638359215)</f>
        <v>4.1708483367007755E-2</v>
      </c>
      <c r="Z92" s="2">
        <f>705.973723077708*(1/14151.6638359215)</f>
        <v>4.9886270000684893E-2</v>
      </c>
      <c r="AA92" s="2">
        <f>833.200410976391*(1/14151.6638359215)</f>
        <v>5.8876498243369726E-2</v>
      </c>
      <c r="AB92" s="2">
        <f>970.887654850645*(1/14151.6638359215)</f>
        <v>6.8605901476137252E-2</v>
      </c>
      <c r="AC92" s="2">
        <f>1117.99861013905*(1/14151.6638359215)</f>
        <v>7.9001213080062568E-2</v>
      </c>
      <c r="AD92" s="2">
        <f>1273.49643228021*(1/14151.6638359215)</f>
        <v>8.9989166436222442E-2</v>
      </c>
      <c r="AE92" s="2">
        <f>1436.34427671264*(1/14151.6638359215)</f>
        <v>0.10149649492568738</v>
      </c>
      <c r="AF92" s="2">
        <f>1605.50529887496*(1/14151.6638359215)</f>
        <v>0.11344993192953527</v>
      </c>
      <c r="AG92" s="2">
        <f>1779.94265420574*(1/14151.6638359215)</f>
        <v>0.12577621082884047</v>
      </c>
      <c r="AH92" s="2">
        <f>1958.61949814356*(1/14151.6638359215)</f>
        <v>0.13840206500467811</v>
      </c>
      <c r="AI92" s="2">
        <f>2140.81979920167*(1/14151.6638359215)</f>
        <v>0.15127689747459777</v>
      </c>
      <c r="AJ92" s="2">
        <f>2330.26483203725*(1/14151.6638359215)</f>
        <v>0.16466366492696669</v>
      </c>
      <c r="AK92" s="2">
        <f>2527.66754715592*(1/14151.6638359215)</f>
        <v>0.17861274663265264</v>
      </c>
      <c r="AL92" s="2">
        <f>2732.20501083083*(1/14151.6638359215)</f>
        <v>0.19306599156882245</v>
      </c>
      <c r="AM92" s="2">
        <f>2943.05428933514*(1/14151.6638359215)</f>
        <v>0.20796524871264369</v>
      </c>
      <c r="AN92" s="2">
        <f>3159.39244894203*(1/14151.6638359215)</f>
        <v>0.22325236704128532</v>
      </c>
      <c r="AO92" s="2">
        <f>3380.39655592463*(1/14151.6638359215)</f>
        <v>0.23886919553191266</v>
      </c>
      <c r="AP92" s="2">
        <f>3605.24367655616*(1/14151.6638359215)</f>
        <v>0.25475758316169761</v>
      </c>
      <c r="AQ92" s="2">
        <f>3833.1108771097*(1/14151.6638359215)</f>
        <v>0.27085937890780198</v>
      </c>
      <c r="AR92" s="2">
        <f>4063.17522385844*(1/14151.6638359215)</f>
        <v>0.28711643174739548</v>
      </c>
      <c r="AS92" s="2">
        <f>4294.61378307555*(1/14151.6638359215)</f>
        <v>0.30347059065764626</v>
      </c>
      <c r="AT92" s="2">
        <f>4528.55167550902*(1/14151.6638359215)</f>
        <v>0.32000136012375391</v>
      </c>
      <c r="AU92" s="2">
        <f>4768.75129252675*(1/14151.6638359215)</f>
        <v>0.33697460226705761</v>
      </c>
      <c r="AV92" s="2">
        <f>5014.26379058963*(1/14151.6638359215)</f>
        <v>0.35432326889095589</v>
      </c>
      <c r="AW92" s="2">
        <f>5263.92027186874*(1/14151.6638359215)</f>
        <v>0.37196476208735318</v>
      </c>
      <c r="AX92" s="2">
        <f>5516.55183853511*(1/14151.6638359215)</f>
        <v>0.38981648394815011</v>
      </c>
      <c r="AY92" s="2">
        <f>5770.98959275977*(1/14151.6638359215)</f>
        <v>0.4077958365652477</v>
      </c>
      <c r="AZ92" s="2">
        <f>6026.06463671376*(1/14151.6638359215)</f>
        <v>0.42582022203054731</v>
      </c>
      <c r="BA92" s="2">
        <f>6280.60807256816*(1/14151.6638359215)</f>
        <v>0.44380704243595342</v>
      </c>
      <c r="BB92" s="2">
        <f>6533.45100249391*(1/14151.6638359215)</f>
        <v>0.46167369987336038</v>
      </c>
      <c r="BC92" s="2">
        <f>6783.4245286621*(1/14151.6638359215)</f>
        <v>0.47933759643467327</v>
      </c>
      <c r="BD92" s="2">
        <f>7029.38454863157*(1/14151.6638359215)</f>
        <v>0.49671788632999597</v>
      </c>
      <c r="BE92" s="2">
        <f>7271.54585929331*(1/14151.6638359215)</f>
        <v>0.51382974776688628</v>
      </c>
      <c r="BF92" s="2">
        <f>7510.96034132776*(1/14151.6638359215)</f>
        <v>0.5307475098625869</v>
      </c>
      <c r="BG92" s="2">
        <f>7748.43126273248*(1/14151.6638359215)</f>
        <v>0.54752793399914257</v>
      </c>
      <c r="BH92" s="2">
        <f>7984.76189150489*(1/14151.6638359215)</f>
        <v>0.56422778155858833</v>
      </c>
      <c r="BI92" s="2">
        <f>8220.75549564256*(1/14151.6638359215)</f>
        <v>0.58090381392296953</v>
      </c>
      <c r="BJ92" s="2">
        <f>8457.21534314302*(1/14151.6638359215)</f>
        <v>0.59761279247432886</v>
      </c>
      <c r="BK92" s="2">
        <f>8694.94470200378*(1/14151.6638359215)</f>
        <v>0.61441147859470768</v>
      </c>
      <c r="BL92" s="2">
        <f>8934.74684022237*(1/14151.6638359215)</f>
        <v>0.63135663366614836</v>
      </c>
      <c r="BM92" s="2">
        <f>9177.42502579635*(1/14151.6638359215)</f>
        <v>0.64850501907069591</v>
      </c>
      <c r="BN92" s="2">
        <f>9423.78252672314*(1/14151.6638359215)</f>
        <v>0.66591339619038525</v>
      </c>
      <c r="BO92" s="2">
        <f>9676.50978937054*(1/14151.6638359215)</f>
        <v>0.68377188022290558</v>
      </c>
      <c r="BP92" s="2">
        <f>9941.47060504427*(1/14151.6638359215)</f>
        <v>0.70249482465868085</v>
      </c>
      <c r="BQ92" s="2">
        <f>10215.6315001479*(1/14151.6638359215)</f>
        <v>0.72186787494325033</v>
      </c>
      <c r="BR92" s="2">
        <f>10495.1712298525*(1/14151.6638359215)</f>
        <v>0.74162101018908899</v>
      </c>
      <c r="BS92" s="2">
        <f>10776.2685493289*(1/14151.6638359215)</f>
        <v>0.7614842095086547</v>
      </c>
      <c r="BT92" s="2">
        <f>11055.1022137481*(1/14151.6638359215)</f>
        <v>0.78118745201441786</v>
      </c>
      <c r="BU92" s="2">
        <f>11327.8509782809*(1/14151.6638359215)</f>
        <v>0.80046071681883446</v>
      </c>
      <c r="BV92" s="2">
        <f>11590.6935980984*(1/14151.6638359215)</f>
        <v>0.81903398303438146</v>
      </c>
      <c r="BW92" s="2">
        <f>11839.8088283716*(1/14151.6638359215)</f>
        <v>0.83663722977352928</v>
      </c>
      <c r="BX92" s="2">
        <f>12071.3754242713*(1/14151.6638359215)</f>
        <v>0.85300043614873367</v>
      </c>
      <c r="BY92" s="2">
        <f>12281.6294473415*(1/14151.6638359215)</f>
        <v>0.86785763071666189</v>
      </c>
      <c r="BZ92" s="2">
        <f>12483.0084872952*(1/14151.6638359215)</f>
        <v>0.88208769173906509</v>
      </c>
      <c r="CA92" s="2">
        <f>12683.9919348483*(1/14151.6638359215)</f>
        <v>0.89628979898831584</v>
      </c>
      <c r="CB92" s="2">
        <f>12880.063422139*(1/14151.6638359215)</f>
        <v>0.91014481204996067</v>
      </c>
      <c r="CC92" s="2">
        <f>13066.7065813056*(1/14151.6638359215)</f>
        <v>0.92333359050955355</v>
      </c>
      <c r="CD92" s="2">
        <f>13239.4050444863*(1/14151.6638359215)</f>
        <v>0.93553699395264101</v>
      </c>
      <c r="CE92" s="2">
        <f>13393.6424438193*(1/14151.6638359215)</f>
        <v>0.94643588196476969</v>
      </c>
      <c r="CF92" s="2">
        <f>13524.9024114429*(1/14151.6638359215)</f>
        <v>0.95571111413149334</v>
      </c>
      <c r="CG92" s="2">
        <f>13628.6685794954*(1/14151.6638359215)</f>
        <v>0.96304355003836584</v>
      </c>
      <c r="CH92" s="2">
        <f>13700.424580115*(1/14151.6638359215)</f>
        <v>0.96811404927093381</v>
      </c>
      <c r="CI92" s="2">
        <f>13735.6540454398*(1/14151.6638359215)</f>
        <v>0.97060347141473702</v>
      </c>
      <c r="CJ92" s="2">
        <f>13730.0909340121*(1/14151.6638359215)</f>
        <v>0.97021036488732082</v>
      </c>
      <c r="CK92" s="2">
        <f>13684.0525297122*(1/14151.6638359215)</f>
        <v>0.96695714994145421</v>
      </c>
      <c r="CL92" s="2">
        <f>13601.7871184523*(1/14151.6638359215)</f>
        <v>0.96114402349825212</v>
      </c>
      <c r="CM92" s="2">
        <f>13487.6628478874*(1/14151.6638359215)</f>
        <v>0.95307965227744817</v>
      </c>
      <c r="CN92" s="2">
        <f>13346.0478656722*(1/14151.6638359215)</f>
        <v>0.94307270299875379</v>
      </c>
      <c r="CO92" s="2">
        <f>13181.3103194618*(1/14151.6638359215)</f>
        <v>0.93143184238190924</v>
      </c>
      <c r="CP92" s="2">
        <f>12997.8183569109*(1/14151.6638359215)</f>
        <v>0.91846573714662683</v>
      </c>
      <c r="CQ92" s="2">
        <f>12799.9401256745*(1/14151.6638359215)</f>
        <v>0.90448305401263929</v>
      </c>
      <c r="CR92" s="2">
        <f>12592.0437734075*(1/14151.6638359215)</f>
        <v>0.88979245969967302</v>
      </c>
      <c r="CS92" s="2">
        <f>12378.4974477648*(1/14151.6638359215)</f>
        <v>0.87470262092745377</v>
      </c>
      <c r="CT92" s="2">
        <f>12163.6692964012*(1/14151.6638359215)</f>
        <v>0.85952220441570082</v>
      </c>
      <c r="CU92" s="2">
        <f>11939.3515257106*(1/14151.6638359215)</f>
        <v>0.84367122227738789</v>
      </c>
      <c r="CV92" s="2">
        <f>11693.5091988804*(1/14151.6638359215)</f>
        <v>0.82629924894050211</v>
      </c>
      <c r="CW92" s="2">
        <f>11429.7874352183*(1/14151.6638359215)</f>
        <v>0.80766385972268528</v>
      </c>
      <c r="CX92" s="2">
        <f>11151.886812488*(1/14151.6638359215)</f>
        <v>0.78802654880628975</v>
      </c>
      <c r="CY92" s="2">
        <f>10863.5079084536*(1/14151.6638359215)</f>
        <v>0.76764881037369637</v>
      </c>
      <c r="CZ92" s="2">
        <f>10568.3513008791*(1/14151.6638359215)</f>
        <v>0.74679213860727856</v>
      </c>
      <c r="DA92" s="2">
        <f>10270.1175675282*(1/14151.6638359215)</f>
        <v>0.72571802768938865</v>
      </c>
      <c r="DB92" s="2">
        <f>9972.50728616498*(1/14151.6638359215)</f>
        <v>0.70468797180240617</v>
      </c>
      <c r="DC92" s="2">
        <f>9679.2210345534*(1/14151.6638359215)</f>
        <v>0.68396346512870143</v>
      </c>
      <c r="DD92" s="2">
        <f>9393.95939045735*(1/14151.6638359215)</f>
        <v>0.66380600185064054</v>
      </c>
      <c r="DE92" s="2">
        <f>9119.27837376707*(1/14151.6638359215)</f>
        <v>0.64439619817843563</v>
      </c>
      <c r="DF92" s="2">
        <f>8846.01678382209*(1/14151.6638359215)</f>
        <v>0.62508669555646446</v>
      </c>
      <c r="DG92" s="2">
        <f>8572.00334930328*(1/14151.6638359215)</f>
        <v>0.60572406528939471</v>
      </c>
      <c r="DH92" s="2">
        <f>8298.0586248103*(1/14151.6638359215)</f>
        <v>0.58636629028363041</v>
      </c>
      <c r="DI92" s="2">
        <f>8025.003164943*(1/14151.6638359215)</f>
        <v>0.56707135344558901</v>
      </c>
      <c r="DJ92" s="2">
        <f>7753.65752430103*(1/14151.6638359215)</f>
        <v>0.54789723768167387</v>
      </c>
      <c r="DK92" s="2">
        <f>7484.84225748412*(1/14151.6638359215)</f>
        <v>0.52890192589829399</v>
      </c>
      <c r="DL92" s="2">
        <f>7219.377919092*(1/14151.6638359215)</f>
        <v>0.51014340100185851</v>
      </c>
      <c r="DM92" s="2">
        <f>6958.08506372434*(1/14151.6638359215)</f>
        <v>0.491679645898772</v>
      </c>
      <c r="DN92" s="2">
        <f>6701.78424598097*(1/14151.6638359215)</f>
        <v>0.47356864349545064</v>
      </c>
      <c r="DO92" s="2">
        <f>6451.29602046154*(1/14151.6638359215)</f>
        <v>0.45586837669829777</v>
      </c>
      <c r="DP92" s="2">
        <f>6206.81525280354*(1/14151.6638359215)</f>
        <v>0.43859261531132726</v>
      </c>
      <c r="DQ92" s="2">
        <f>5967.27184693733*(1/14151.6638359215)</f>
        <v>0.42166574306198995</v>
      </c>
      <c r="DR92" s="2">
        <f>5732.26542302785*(1/14151.6638359215)</f>
        <v>0.40505946788232117</v>
      </c>
      <c r="DS92" s="2">
        <f>5501.42192226605*(1/14151.6638359215)</f>
        <v>0.38874735762883672</v>
      </c>
      <c r="DT92" s="2">
        <f>5274.36728584283*(1/14151.6638359215)</f>
        <v>0.37270298015804898</v>
      </c>
      <c r="DU92" s="2">
        <f>5050.72745494923*(1/14151.6638359215)</f>
        <v>0.35689990332648031</v>
      </c>
      <c r="DV92" s="2">
        <f>4830.12837077617*(1/14151.6638359215)</f>
        <v>0.34131169499064434</v>
      </c>
      <c r="DW92" s="2">
        <f>4612.19597451459*(1/14151.6638359215)</f>
        <v>0.32591192300705624</v>
      </c>
      <c r="DX92" s="2">
        <f>4396.55620735545*(1/14151.6638359215)</f>
        <v>0.31067415523223274</v>
      </c>
      <c r="DY92" s="2">
        <f>4182.83501048966*(1/14151.6638359215)</f>
        <v>0.29557195952268678</v>
      </c>
      <c r="DZ92" s="2">
        <f>3970.61261963229*(1/14151.6638359215)</f>
        <v>0.28057567404573241</v>
      </c>
      <c r="EA92" s="2">
        <f>3758.81980191816*(1/14151.6638359215)</f>
        <v>0.26560974352549699</v>
      </c>
      <c r="EB92" s="2">
        <f>3547.75115477871*(1/14151.6638359215)</f>
        <v>0.25069498512064498</v>
      </c>
      <c r="EC92" s="2">
        <f>3338.22434963842*(1/14151.6638359215)</f>
        <v>0.23588917800357345</v>
      </c>
      <c r="ED92" s="2">
        <f>3131.05705792175*(1/14151.6638359215)</f>
        <v>0.22125010134667802</v>
      </c>
      <c r="EE92" s="2">
        <f>2927.06695105312*(1/14151.6638359215)</f>
        <v>0.20683553432235138</v>
      </c>
      <c r="EF92" s="2">
        <f>2727.07170045708*(1/14151.6638359215)</f>
        <v>0.19270325610299549</v>
      </c>
      <c r="EG92" s="2">
        <f>2531.88897755806*(1/14151.6638359215)</f>
        <v>0.17891104586100379</v>
      </c>
      <c r="EH92" s="2">
        <f>2342.33645378051*(1/14151.6638359215)</f>
        <v>0.16551668276877116</v>
      </c>
      <c r="EI92" s="2">
        <f>2159.23180054891*(1/14151.6638359215)</f>
        <v>0.15257794599869462</v>
      </c>
      <c r="EJ92" s="2">
        <f>1983.39268928768*(1/14151.6638359215)</f>
        <v>0.1401526147231669</v>
      </c>
      <c r="EK92" s="2">
        <f>1814.02289054841*(1/14151.6638359215)</f>
        <v>0.1281844249256284</v>
      </c>
      <c r="EL92" s="2">
        <f>1647.21282438143*(1/14151.6638359215)</f>
        <v>0.11639711368781042</v>
      </c>
      <c r="EM92" s="2">
        <f>1483.76687223827*(1/14151.6638359215)</f>
        <v>0.10484752107183255</v>
      </c>
      <c r="EN92" s="2">
        <f>1324.8281633285*(1/14151.6638359215)</f>
        <v>9.3616424096059844E-2</v>
      </c>
      <c r="EO92" s="2">
        <f>1171.53982686172*(1/14151.6638359215)</f>
        <v>8.2784599778859436E-2</v>
      </c>
      <c r="EP92" s="2">
        <f>1025.04499204749*(1/14151.6638359215)</f>
        <v>7.2432825138595669E-2</v>
      </c>
      <c r="EQ92" s="2">
        <f>886.486788095379*(1/14151.6638359215)</f>
        <v>6.2641877193633497E-2</v>
      </c>
      <c r="ER92" s="2">
        <f>757.008344215018*(1/14151.6638359215)</f>
        <v>5.3492532962342285E-2</v>
      </c>
      <c r="ES92" s="2">
        <f>637.752789615961*(1/14151.6638359215)</f>
        <v>4.5065569463085896E-2</v>
      </c>
      <c r="ET92" s="2">
        <f>529.86325350779*(1/14151.6638359215)</f>
        <v>3.744176371423024E-2</v>
      </c>
      <c r="EU92" s="2">
        <f>434.49564109609*(1/14151.6638359215)</f>
        <v>3.0702795525230014E-2</v>
      </c>
      <c r="EV92" s="2">
        <f>353.202428253692*(1/14151.6638359215)</f>
        <v>2.4958367606016052E-2</v>
      </c>
      <c r="EW92" s="2">
        <f>285.324303261118*(1/14151.6638359215)</f>
        <v>2.0161890966973978E-2</v>
      </c>
      <c r="EX92" s="2">
        <f>229.220722320219*(1/14151.6638359215)</f>
        <v>1.6197439748277705E-2</v>
      </c>
      <c r="EY92" s="2">
        <f>183.251141632864*(1/14151.6638359215)</f>
        <v>1.2949088090102406E-2</v>
      </c>
      <c r="EZ92" s="2">
        <f>145.775017400919*(1/14151.6638359215)</f>
        <v>1.0300910132623055E-2</v>
      </c>
      <c r="FA92" s="2">
        <f>115.151805826253*(1/14151.6638359215)</f>
        <v>8.1369800160148286E-3</v>
      </c>
      <c r="FB92" s="2">
        <f>89.7409631107283*(1/14151.6638359215)</f>
        <v>6.3413718804524394E-3</v>
      </c>
      <c r="FC92" s="2">
        <f>67.9019454562223*(1/14151.6638359215)</f>
        <v>4.7981598661116578E-3</v>
      </c>
      <c r="FD92" s="2">
        <f>47.9942090645975*(1/14151.6638359215)</f>
        <v>3.3914181131672076E-3</v>
      </c>
      <c r="FE92" s="2">
        <f>28.3772101377211*(1/14151.6638359215)</f>
        <v>2.0052207617941406E-3</v>
      </c>
      <c r="FF92" s="2">
        <f>8.37286257934347*(1/14151.6638359215)</f>
        <v>5.9165216729431048E-4</v>
      </c>
      <c r="FG92" s="2">
        <f>-8.45284037745553*(1/14151.6638359215)</f>
        <v>-5.9730364397149449E-4</v>
      </c>
      <c r="FH92" s="2">
        <f>-21.5700062900596*(1/14151.6638359215)</f>
        <v>-1.5242028456970513E-3</v>
      </c>
      <c r="FI92" s="2">
        <f>-30.9786351584724*(1/14151.6638359215)</f>
        <v>-2.1890454378826188E-3</v>
      </c>
      <c r="FJ92" s="2">
        <f>-36.6787269826938*(1/14151.6638359215)</f>
        <v>-2.591831420528188E-3</v>
      </c>
      <c r="FK92" s="2">
        <f>-38.6702817627238*(1/14151.6638359215)</f>
        <v>-2.7325607936337579E-3</v>
      </c>
      <c r="FL92" s="2">
        <f>-36.9532994985625*(1/14151.6638359215)</f>
        <v>-2.6112335571993363E-3</v>
      </c>
      <c r="FM92" s="2">
        <f>-31.5277801902084*(1/14151.6638359215)</f>
        <v>-2.2278497112248169E-3</v>
      </c>
      <c r="FN92" s="2">
        <f>-22.3937238376637*(1/14151.6638359215)</f>
        <v>-1.5824092557103558E-3</v>
      </c>
      <c r="FO92" s="2">
        <f>-9.55113044092748*(1/14151.6638359215)</f>
        <v>-6.7491219065588751E-4</v>
      </c>
      <c r="FP92" s="2">
        <f t="shared" si="17"/>
        <v>4.9464148393856954E-4</v>
      </c>
      <c r="FQ92" s="2"/>
    </row>
    <row r="93" spans="2:173">
      <c r="B93" s="2">
        <v>10.152071005917159</v>
      </c>
      <c r="C93" s="2">
        <f t="shared" si="18"/>
        <v>4.9464148393856954E-4</v>
      </c>
      <c r="D93" s="2">
        <f>-14.2822023835103*(1/14151.6638359215)</f>
        <v>-1.0092242544129299E-3</v>
      </c>
      <c r="E93" s="2">
        <f>-31.1026954877629*(1/14151.6638359215)</f>
        <v>-2.1978119215080704E-3</v>
      </c>
      <c r="F93" s="2">
        <f>-43.4614793127595*(1/14151.6638359215)</f>
        <v>-3.0711215173469717E-3</v>
      </c>
      <c r="G93" s="2">
        <f>-51.3585538584957*(1/14151.6638359215)</f>
        <v>-3.6291530419293233E-3</v>
      </c>
      <c r="H93" s="2">
        <f>-54.7939191249741*(1/14151.6638359215)</f>
        <v>-3.8719064952553082E-3</v>
      </c>
      <c r="I93" s="2">
        <f>-53.7675751121948*(1/14151.6638359215)</f>
        <v>-3.7993818773249337E-3</v>
      </c>
      <c r="J93" s="2">
        <f>-48.2795218201576*(1/14151.6638359215)</f>
        <v>-3.4115791881381861E-3</v>
      </c>
      <c r="K93" s="2">
        <f>-38.3297592488627*(1/14151.6638359215)</f>
        <v>-2.7084984276950796E-3</v>
      </c>
      <c r="L93" s="2">
        <f>-23.918287398307*(1/14151.6638359215)</f>
        <v>-1.6901395959953948E-3</v>
      </c>
      <c r="M93" s="2">
        <f>-5.04510626849567*(1/14151.6638359215)</f>
        <v>-3.565026930394968E-4</v>
      </c>
      <c r="N93" s="2">
        <f>17.8145334098412*(1/14151.6638359215)</f>
        <v>1.258829605931011E-3</v>
      </c>
      <c r="O93" s="2">
        <f>41.4623582635992*(1/14151.6638359215)</f>
        <v>2.9298574884427599E-3</v>
      </c>
      <c r="P93" s="2">
        <f>66.5065311704272*(1/14151.6638359215)</f>
        <v>4.699555609963834E-3</v>
      </c>
      <c r="Q93" s="2">
        <f>94.4184255188953*(1/14151.6638359215)</f>
        <v>6.6718957299728111E-3</v>
      </c>
      <c r="R93" s="2">
        <f>126.66941469758*(1/14151.6638359215)</f>
        <v>8.9508496079487177E-3</v>
      </c>
      <c r="S93" s="2">
        <f>164.73087209504*(1/14151.6638359215)</f>
        <v>1.1640389003369327E-2</v>
      </c>
      <c r="T93" s="2">
        <f>210.074171099851*(1/14151.6638359215)</f>
        <v>1.4844485675713608E-2</v>
      </c>
      <c r="U93" s="2">
        <f>264.170685100582*(1/14151.6638359215)</f>
        <v>1.8667111384460061E-2</v>
      </c>
      <c r="V93" s="2">
        <f>328.491787485804*(1/14151.6638359215)</f>
        <v>2.3212237889087335E-2</v>
      </c>
      <c r="W93" s="2">
        <f>404.508851644087*(1/14151.6638359215)</f>
        <v>2.858383694907398E-2</v>
      </c>
      <c r="X93" s="2">
        <f>493.69325096402*(1/14151.6638359215)</f>
        <v>3.4885880323899929E-2</v>
      </c>
      <c r="Y93" s="2">
        <f>596.610566207573*(1/14151.6638359215)</f>
        <v>4.2158333686049161E-2</v>
      </c>
      <c r="Z93" s="2">
        <f>711.839633096948*(1/14151.6638359215)</f>
        <v>5.0300773205908748E-2</v>
      </c>
      <c r="AA93" s="2">
        <f>838.363987487833*(1/14151.6638359215)</f>
        <v>5.9241372407376869E-2</v>
      </c>
      <c r="AB93" s="2">
        <f>975.179203405548*(1/14151.6638359215)</f>
        <v>6.8909155468364638E-2</v>
      </c>
      <c r="AC93" s="2">
        <f>1121.28085487541*(1/14151.6638359215)</f>
        <v>7.9233146566782944E-2</v>
      </c>
      <c r="AD93" s="2">
        <f>1275.66451592277*(1/14151.6638359215)</f>
        <v>9.0142369880545137E-2</v>
      </c>
      <c r="AE93" s="2">
        <f>1437.3257605729*(1/14151.6638359215)</f>
        <v>0.1015658495875589</v>
      </c>
      <c r="AF93" s="2">
        <f>1605.26016285113*(1/14151.6638359215)</f>
        <v>0.11343260986573611</v>
      </c>
      <c r="AG93" s="2">
        <f>1778.46329678279*(1/14151.6638359215)</f>
        <v>0.12567167489298856</v>
      </c>
      <c r="AH93" s="2">
        <f>1955.93073639319*(1/14151.6638359215)</f>
        <v>0.13821206884722667</v>
      </c>
      <c r="AI93" s="2">
        <f>2136.9794768061*(1/14151.6638359215)</f>
        <v>0.15100552850766247</v>
      </c>
      <c r="AJ93" s="2">
        <f>2325.35188343738*(1/14151.6638359215)</f>
        <v>0.1643165009004019</v>
      </c>
      <c r="AK93" s="2">
        <f>2521.73136015613*(1/14151.6638359215)</f>
        <v>0.17819327744029365</v>
      </c>
      <c r="AL93" s="2">
        <f>2725.2569333223*(1/14151.6638359215)</f>
        <v>0.19257501908748825</v>
      </c>
      <c r="AM93" s="2">
        <f>2935.06762929581*(1/14151.6638359215)</f>
        <v>0.20740088680213412</v>
      </c>
      <c r="AN93" s="2">
        <f>3150.30247443659*(1/14151.6638359215)</f>
        <v>0.22261004154438033</v>
      </c>
      <c r="AO93" s="2">
        <f>3370.10049510458*(1/14151.6638359215)</f>
        <v>0.23814164427437678</v>
      </c>
      <c r="AP93" s="2">
        <f>3593.60071765976*(1/14151.6638359215)</f>
        <v>0.25393485595227605</v>
      </c>
      <c r="AQ93" s="2">
        <f>3819.94216846196*(1/14151.6638359215)</f>
        <v>0.26992883753822017</v>
      </c>
      <c r="AR93" s="2">
        <f>4048.26387387117*(1/14151.6638359215)</f>
        <v>0.28606274999236253</v>
      </c>
      <c r="AS93" s="2">
        <f>4277.70486024732*(1/14151.6638359215)</f>
        <v>0.3022757542748522</v>
      </c>
      <c r="AT93" s="2">
        <f>4509.38970124633*(1/14151.6638359215)</f>
        <v>0.31864731621168396</v>
      </c>
      <c r="AU93" s="2">
        <f>4747.15539512421*(1/14151.6638359215)</f>
        <v>0.33544856987588939</v>
      </c>
      <c r="AV93" s="2">
        <f>4990.05993409108*(1/14151.6638359215)</f>
        <v>0.3526129501058875</v>
      </c>
      <c r="AW93" s="2">
        <f>5236.93751872234*(1/14151.6638359215)</f>
        <v>0.37005807793634127</v>
      </c>
      <c r="AX93" s="2">
        <f>5486.62234959339*(1/14151.6638359215)</f>
        <v>0.38770157440191366</v>
      </c>
      <c r="AY93" s="2">
        <f>5737.9486272796*(1/14151.6638359215)</f>
        <v>0.40546106053726566</v>
      </c>
      <c r="AZ93" s="2">
        <f>5989.75055235635*(1/14151.6638359215)</f>
        <v>0.42325415737705885</v>
      </c>
      <c r="BA93" s="2">
        <f>6240.86232539907*(1/14151.6638359215)</f>
        <v>0.44099848595595825</v>
      </c>
      <c r="BB93" s="2">
        <f>6490.11814698304*(1/14151.6638359215)</f>
        <v>0.45861166730861858</v>
      </c>
      <c r="BC93" s="2">
        <f>6736.35221768371*(1/14151.6638359215)</f>
        <v>0.47601132246970629</v>
      </c>
      <c r="BD93" s="2">
        <f>6978.42472112006*(1/14151.6638359215)</f>
        <v>0.49311690851548928</v>
      </c>
      <c r="BE93" s="2">
        <f>7216.59155344912*(1/14151.6638359215)</f>
        <v>0.5099465078538028</v>
      </c>
      <c r="BF93" s="2">
        <f>7451.90699347166*(1/14151.6638359215)</f>
        <v>0.52657461906043235</v>
      </c>
      <c r="BG93" s="2">
        <f>7685.15156209071*(1/14151.6638359215)</f>
        <v>0.54305639613790924</v>
      </c>
      <c r="BH93" s="2">
        <f>7917.10578020914*(1/14151.6638359215)</f>
        <v>0.55944699308875367</v>
      </c>
      <c r="BI93" s="2">
        <f>8148.55016872995*(1/14151.6638359215)</f>
        <v>0.57580156391549486</v>
      </c>
      <c r="BJ93" s="2">
        <f>8380.2652485561*(1/14151.6638359215)</f>
        <v>0.59217526262065923</v>
      </c>
      <c r="BK93" s="2">
        <f>8613.03154059058*(1/14151.6638359215)</f>
        <v>0.60862324320677552</v>
      </c>
      <c r="BL93" s="2">
        <f>8847.62956573632*(1/14151.6638359215)</f>
        <v>0.62520065967636795</v>
      </c>
      <c r="BM93" s="2">
        <f>9084.83984489635*(1/14151.6638359215)</f>
        <v>0.64196266603196783</v>
      </c>
      <c r="BN93" s="2">
        <f>9325.44289897354*(1/14151.6638359215)</f>
        <v>0.65896441627609548</v>
      </c>
      <c r="BO93" s="2">
        <f>9571.95585868675*(1/14151.6638359215)</f>
        <v>0.67638377859075693</v>
      </c>
      <c r="BP93" s="2">
        <f>9829.77733641759*(1/14151.6638359215)</f>
        <v>0.69460223549590239</v>
      </c>
      <c r="BQ93" s="2">
        <f>10096.0714022129*(1/14151.6638359215)</f>
        <v>0.71341939147719191</v>
      </c>
      <c r="BR93" s="2">
        <f>10367.2751474566*(1/14151.6638359215)</f>
        <v>0.73258348047676924</v>
      </c>
      <c r="BS93" s="2">
        <f>10639.8256635322*(1/14151.6638359215)</f>
        <v>0.75184273643674893</v>
      </c>
      <c r="BT93" s="2">
        <f>10910.1600418238*(1/14151.6638359215)</f>
        <v>0.77094539329928713</v>
      </c>
      <c r="BU93" s="2">
        <f>11174.715373715*(1/14151.6638359215)</f>
        <v>0.78963968500650494</v>
      </c>
      <c r="BV93" s="2">
        <f>11429.9287505896*(1/14151.6638359215)</f>
        <v>0.80767384550053722</v>
      </c>
      <c r="BW93" s="2">
        <f>11672.2372638315*(1/14151.6638359215)</f>
        <v>0.82479610872352593</v>
      </c>
      <c r="BX93" s="2">
        <f>11898.0780048245*(1/14151.6638359215)</f>
        <v>0.84075470861760648</v>
      </c>
      <c r="BY93" s="2">
        <f>12103.942873253*(1/14151.6638359215)</f>
        <v>0.85530175204764813</v>
      </c>
      <c r="BZ93" s="2">
        <f>12301.7843117498*(1/14151.6638359215)</f>
        <v>0.8692818352937336</v>
      </c>
      <c r="CA93" s="2">
        <f>12499.6462702368*(1/14151.6638359215)</f>
        <v>0.88326336854530529</v>
      </c>
      <c r="CB93" s="2">
        <f>12693.1164014882*(1/14151.6638359215)</f>
        <v>0.89693456180530273</v>
      </c>
      <c r="CC93" s="2">
        <f>12877.782358278*(1/14151.6638359215)</f>
        <v>0.90998362507665165</v>
      </c>
      <c r="CD93" s="2">
        <f>13049.2317933807*(1/14151.6638359215)</f>
        <v>0.92209876836231297</v>
      </c>
      <c r="CE93" s="2">
        <f>13203.0523595701*(1/14151.6638359215)</f>
        <v>0.932968201665198</v>
      </c>
      <c r="CF93" s="2">
        <f>13334.8317096207*(1/14151.6638359215)</f>
        <v>0.9422801349882679</v>
      </c>
      <c r="CG93" s="2">
        <f>13440.1574963066*(1/14151.6638359215)</f>
        <v>0.94972277833445518</v>
      </c>
      <c r="CH93" s="2">
        <f>13514.6173724019*(1/14151.6638359215)</f>
        <v>0.95498434170669255</v>
      </c>
      <c r="CI93" s="2">
        <f>13553.7989906809*(1/14151.6638359215)</f>
        <v>0.95775303510792664</v>
      </c>
      <c r="CJ93" s="2">
        <f>13553.6946607847*(1/14151.6638359215)</f>
        <v>0.9577456628372587</v>
      </c>
      <c r="CK93" s="2">
        <f>13515.4317432862*(1/14151.6638359215)</f>
        <v>0.95504188765279063</v>
      </c>
      <c r="CL93" s="2">
        <f>13442.9548402397*(1/14151.6638359215)</f>
        <v>0.9499204472421916</v>
      </c>
      <c r="CM93" s="2">
        <f>13340.1496486763*(1/14151.6638359215)</f>
        <v>0.94265591688340467</v>
      </c>
      <c r="CN93" s="2">
        <f>13210.9018656272*(1/14151.6638359215)</f>
        <v>0.93352287185437932</v>
      </c>
      <c r="CO93" s="2">
        <f>13059.0971881236*(1/14151.6638359215)</f>
        <v>0.92279588743306551</v>
      </c>
      <c r="CP93" s="2">
        <f>12888.6213131968*(1/14151.6638359215)</f>
        <v>0.91074953889742005</v>
      </c>
      <c r="CQ93" s="2">
        <f>12703.3599378779*(1/14151.6638359215)</f>
        <v>0.89765840152538556</v>
      </c>
      <c r="CR93" s="2">
        <f>12507.1987591982*(1/14151.6638359215)</f>
        <v>0.88379705059491909</v>
      </c>
      <c r="CS93" s="2">
        <f>12304.0234741889*(1/14151.6638359215)</f>
        <v>0.86944006138397023</v>
      </c>
      <c r="CT93" s="2">
        <f>12097.7197798812*(1/14151.6638359215)</f>
        <v>0.85486200917048882</v>
      </c>
      <c r="CU93" s="2">
        <f>11880.3055539011*(1/14151.6638359215)</f>
        <v>0.83949885268932423</v>
      </c>
      <c r="CV93" s="2">
        <f>11640.5117726087*(1/14151.6638359215)</f>
        <v>0.8225542881439365</v>
      </c>
      <c r="CW93" s="2">
        <f>11382.0605292463*(1/14151.6638359215)</f>
        <v>0.80429133006643005</v>
      </c>
      <c r="CX93" s="2">
        <f>11108.7265907001*(1/14151.6638359215)</f>
        <v>0.78497671507024913</v>
      </c>
      <c r="CY93" s="2">
        <f>10824.2847238564*(1/14151.6638359215)</f>
        <v>0.76487717976884562</v>
      </c>
      <c r="CZ93" s="2">
        <f>10532.5096956013*(1/14151.6638359215)</f>
        <v>0.74425946077565697</v>
      </c>
      <c r="DA93" s="2">
        <f>10237.1762728212*(1/14151.6638359215)</f>
        <v>0.72339029470414185</v>
      </c>
      <c r="DB93" s="2">
        <f>9942.05922240219*(1/14151.6638359215)</f>
        <v>0.70253641816773715</v>
      </c>
      <c r="DC93" s="2">
        <f>9650.93331123062*(1/14151.6638359215)</f>
        <v>0.681964567779898</v>
      </c>
      <c r="DD93" s="2">
        <f>9367.57330619266*(1/14151.6638359215)</f>
        <v>0.66194148015406706</v>
      </c>
      <c r="DE93" s="2">
        <f>9094.56136455032*(1/14151.6638359215)</f>
        <v>0.64264961844736457</v>
      </c>
      <c r="DF93" s="2">
        <f>8822.3235391935*(1/14151.6638359215)</f>
        <v>0.62341245817326363</v>
      </c>
      <c r="DG93" s="2">
        <f>8548.67359181456*(1/14151.6638359215)</f>
        <v>0.60407551302308793</v>
      </c>
      <c r="DH93" s="2">
        <f>8274.55367352829*(1/14151.6638359215)</f>
        <v>0.58470535828619641</v>
      </c>
      <c r="DI93" s="2">
        <f>8000.90593544963*(1/14151.6638359215)</f>
        <v>0.56536856925195911</v>
      </c>
      <c r="DJ93" s="2">
        <f>7728.67252869336*(1/14151.6638359215)</f>
        <v>0.5461317212097343</v>
      </c>
      <c r="DK93" s="2">
        <f>7458.79560437432*(1/14151.6638359215)</f>
        <v>0.5270613894488847</v>
      </c>
      <c r="DL93" s="2">
        <f>7192.21731360734*(1/14151.6638359215)</f>
        <v>0.50822414925877235</v>
      </c>
      <c r="DM93" s="2">
        <f>6929.87980750721*(1/14151.6638359215)</f>
        <v>0.48968657592875642</v>
      </c>
      <c r="DN93" s="2">
        <f>6672.72523718887*(1/14151.6638359215)</f>
        <v>0.47151524474820661</v>
      </c>
      <c r="DO93" s="2">
        <f>6421.69575376709*(1/14151.6638359215)</f>
        <v>0.45377673100648058</v>
      </c>
      <c r="DP93" s="2">
        <f>6176.94797301639*(1/14151.6638359215)</f>
        <v>0.43648210165488094</v>
      </c>
      <c r="DQ93" s="2">
        <f>5937.15481971145*(1/14151.6638359215)</f>
        <v>0.41953758148501458</v>
      </c>
      <c r="DR93" s="2">
        <f>5701.91521514907*(1/14151.6638359215)</f>
        <v>0.40291482904474912</v>
      </c>
      <c r="DS93" s="2">
        <f>5470.86224355524*(1/14151.6638359215)</f>
        <v>0.38658791693937938</v>
      </c>
      <c r="DT93" s="2">
        <f>5243.62898915589*(1/14151.6638359215)</f>
        <v>0.37053091777419583</v>
      </c>
      <c r="DU93" s="2">
        <f>5019.84853617711*(1/14151.6638359215)</f>
        <v>0.35471790415450027</v>
      </c>
      <c r="DV93" s="2">
        <f>4799.15396884482*(1/14151.6638359215)</f>
        <v>0.33912294868558251</v>
      </c>
      <c r="DW93" s="2">
        <f>4581.17837138502*(1/14151.6638359215)</f>
        <v>0.32372012397273792</v>
      </c>
      <c r="DX93" s="2">
        <f>4365.55482802369*(1/14151.6638359215)</f>
        <v>0.30848350262126067</v>
      </c>
      <c r="DY93" s="2">
        <f>4151.91642298677*(1/14151.6638359215)</f>
        <v>0.29338715723644193</v>
      </c>
      <c r="DZ93" s="2">
        <f>3939.84791379333*(1/14151.6638359215)</f>
        <v>0.27840174551014429</v>
      </c>
      <c r="EA93" s="2">
        <f>3728.23208750938*(1/14151.6638359215)</f>
        <v>0.26344832174757582</v>
      </c>
      <c r="EB93" s="2">
        <f>3517.35594656865*(1/14151.6638359215)</f>
        <v>0.2485471664215527</v>
      </c>
      <c r="EC93" s="2">
        <f>3308.05407430958*(1/14151.6638359215)</f>
        <v>0.23375725375221737</v>
      </c>
      <c r="ED93" s="2">
        <f>3101.16105407061*(1/14151.6638359215)</f>
        <v>0.21913755795971215</v>
      </c>
      <c r="EE93" s="2">
        <f>2897.51146919017*(1/14151.6638359215)</f>
        <v>0.20474705326417864</v>
      </c>
      <c r="EF93" s="2">
        <f>2697.93990300677*(1/14151.6638359215)</f>
        <v>0.19064471388576415</v>
      </c>
      <c r="EG93" s="2">
        <f>2503.28093885881*(1/14151.6638359215)</f>
        <v>0.17688951404460818</v>
      </c>
      <c r="EH93" s="2">
        <f>2314.36916008475*(1/14151.6638359215)</f>
        <v>0.16354042796085452</v>
      </c>
      <c r="EI93" s="2">
        <f>2132.03915002303*(1/14151.6638359215)</f>
        <v>0.15065642985464542</v>
      </c>
      <c r="EJ93" s="2">
        <f>1957.12549201206*(1/14151.6638359215)</f>
        <v>0.1382964939461212</v>
      </c>
      <c r="EK93" s="2">
        <f>1788.8785374924*(1/14151.6638359215)</f>
        <v>0.12640764776729982</v>
      </c>
      <c r="EL93" s="2">
        <f>1623.46008901104*(1/14151.6638359215)</f>
        <v>0.11471867250620901</v>
      </c>
      <c r="EM93" s="2">
        <f>1461.62446166155*(1/14151.6638359215)</f>
        <v>0.10328287038245457</v>
      </c>
      <c r="EN93" s="2">
        <f>1304.45737874203*(1/14151.6638359215)</f>
        <v>9.2176961936510621E-2</v>
      </c>
      <c r="EO93" s="2">
        <f>1153.04456355058*(1/14151.6638359215)</f>
        <v>8.1477667708851315E-2</v>
      </c>
      <c r="EP93" s="2">
        <f>1008.4717393853*(1/14151.6638359215)</f>
        <v>7.1261708239950733E-2</v>
      </c>
      <c r="EQ93" s="2">
        <f>871.824629544247*(1/14151.6638359215)</f>
        <v>6.1605804070280004E-2</v>
      </c>
      <c r="ER93" s="2">
        <f>744.188957325582*(1/14151.6638359215)</f>
        <v>5.2586675740317529E-2</v>
      </c>
      <c r="ES93" s="2">
        <f>626.650446027373*(1/14151.6638359215)</f>
        <v>4.4281043790535185E-2</v>
      </c>
      <c r="ET93" s="2">
        <f>520.294818947715*(1/14151.6638359215)</f>
        <v>3.6765628761406738E-2</v>
      </c>
      <c r="EU93" s="2">
        <f>426.221962163851*(1/14151.6638359215)</f>
        <v>3.0118151978848016E-2</v>
      </c>
      <c r="EV93" s="2">
        <f>346.048860776879*(1/14151.6638359215)</f>
        <v>2.4452874572846697E-2</v>
      </c>
      <c r="EW93" s="2">
        <f>279.183600496955*(1/14151.6638359215)</f>
        <v>1.9727970063018085E-2</v>
      </c>
      <c r="EX93" s="2">
        <f>223.993398096265*(1/14151.6638359215)</f>
        <v>1.5828060975254181E-2</v>
      </c>
      <c r="EY93" s="2">
        <f>178.845470347011*(1/14151.6638359215)</f>
        <v>1.2637769835448138E-2</v>
      </c>
      <c r="EZ93" s="2">
        <f>142.107034021397*(1/14151.6638359215)</f>
        <v>1.0041719169493228E-2</v>
      </c>
      <c r="FA93" s="2">
        <f>112.145305891625*(1/14151.6638359215)</f>
        <v>7.9245315032825999E-3</v>
      </c>
      <c r="FB93" s="2">
        <f>87.3275027298925*(1/14151.6638359215)</f>
        <v>6.1708293627090729E-3</v>
      </c>
      <c r="FC93" s="2">
        <f>66.0208413084123*(1/14151.6638359215)</f>
        <v>4.6652352736665532E-3</v>
      </c>
      <c r="FD93" s="2">
        <f>46.5925383993815*(1/14151.6638359215)</f>
        <v>3.292371762047836E-3</v>
      </c>
      <c r="FE93" s="2">
        <f>27.4098107750025*(1/14151.6638359215)</f>
        <v>1.9368613537460902E-3</v>
      </c>
      <c r="FF93" s="2">
        <f>7.79778001616818*(1/14151.6638359215)</f>
        <v>5.5101506837485024E-4</v>
      </c>
      <c r="FG93" s="2">
        <f>-8.69442952698776*(1/14151.6638359215)</f>
        <v>-6.1437507474693435E-4</v>
      </c>
      <c r="FH93" s="2">
        <f>-21.5394320609101*(1/14151.6638359215)</f>
        <v>-1.5220423768289391E-3</v>
      </c>
      <c r="FI93" s="2">
        <f>-30.7372275856023*(1/14151.6638359215)</f>
        <v>-2.1719868378714084E-3</v>
      </c>
      <c r="FJ93" s="2">
        <f>-36.2878161010644*(1/14151.6638359215)</f>
        <v>-2.5642084578743445E-3</v>
      </c>
      <c r="FK93" s="2">
        <f>-38.1911976072962*(1/14151.6638359215)</f>
        <v>-2.6987072368377346E-3</v>
      </c>
      <c r="FL93" s="2">
        <f>-36.447372104298*(1/14151.6638359215)</f>
        <v>-2.5754831747615979E-3</v>
      </c>
      <c r="FM93" s="2">
        <f>-31.0563395920682*(1/14151.6638359215)</f>
        <v>-2.1945362716458234E-3</v>
      </c>
      <c r="FN93" s="2">
        <f>-22.018100070609*(1/14151.6638359215)</f>
        <v>-1.5558665274905657E-3</v>
      </c>
      <c r="FO93" s="2">
        <f>-9.33265353991954*(1/14151.6638359215)</f>
        <v>-6.5947394229576371E-4</v>
      </c>
      <c r="FP93" s="2">
        <f t="shared" si="17"/>
        <v>4.9464148393856954E-4</v>
      </c>
      <c r="FQ93" s="2"/>
    </row>
    <row r="94" spans="2:173">
      <c r="B94" s="2">
        <v>10.161538461538463</v>
      </c>
      <c r="C94" s="2">
        <f t="shared" si="18"/>
        <v>4.9464148393856954E-4</v>
      </c>
      <c r="D94" s="2">
        <f>-14.4565715776194*(1/14151.6638359215)</f>
        <v>-1.0215457168311153E-3</v>
      </c>
      <c r="E94" s="2">
        <f>-31.4127428286464*(1/14151.6638359215)</f>
        <v>-2.2197208181917592E-3</v>
      </c>
      <c r="F94" s="2">
        <f>-43.868513753083*(1/14151.6638359215)</f>
        <v>-3.0998838201435033E-3</v>
      </c>
      <c r="G94" s="2">
        <f>-51.8238843509246*(1/14151.6638359215)</f>
        <v>-3.6620347226860223E-3</v>
      </c>
      <c r="H94" s="2">
        <f>-55.2788546221738*(1/14151.6638359215)</f>
        <v>-3.9061735258195006E-3</v>
      </c>
      <c r="I94" s="2">
        <f>-54.2334245668308*(1/14151.6638359215)</f>
        <v>-3.8323002295439514E-3</v>
      </c>
      <c r="J94" s="2">
        <f>-48.6875941848953*(1/14151.6638359215)</f>
        <v>-3.4404148338593545E-3</v>
      </c>
      <c r="K94" s="2">
        <f>-38.6413634763677*(1/14151.6638359215)</f>
        <v>-2.7305173387657373E-3</v>
      </c>
      <c r="L94" s="2">
        <f>-24.0947324412445*(1/14151.6638359215)</f>
        <v>-1.702607744262853E-3</v>
      </c>
      <c r="M94" s="2">
        <f>-5.04770107953125*(1/14151.6638359215)</f>
        <v>-3.5668605035109384E-4</v>
      </c>
      <c r="N94" s="2">
        <f>18.0413486401754*(1/14151.6638359215)</f>
        <v>1.2748570662327791E-3</v>
      </c>
      <c r="O94" s="2">
        <f>42.0876642912512*(1/14151.6638359215)</f>
        <v>2.9740435315046914E-3</v>
      </c>
      <c r="P94" s="2">
        <f>67.6778223459847*(1/14151.6638359215)</f>
        <v>4.7823226392783927E-3</v>
      </c>
      <c r="Q94" s="2">
        <f>96.2309706073845*(1/14151.6638359215)</f>
        <v>6.7999757288693631E-3</v>
      </c>
      <c r="R94" s="2">
        <f>129.166256878466*(1/14151.6638359215)</f>
        <v>9.1272841395935549E-3</v>
      </c>
      <c r="S94" s="2">
        <f>167.902828962225*(1/14151.6638359215)</f>
        <v>1.1864529210765543E-2</v>
      </c>
      <c r="T94" s="2">
        <f>213.859834661677*(1/14151.6638359215)</f>
        <v>1.5111992281701294E-2</v>
      </c>
      <c r="U94" s="2">
        <f>268.45642177983*(1/14151.6638359215)</f>
        <v>1.8969954691716234E-2</v>
      </c>
      <c r="V94" s="2">
        <f>333.111738119692*(1/14151.6638359215)</f>
        <v>2.3538697780125802E-2</v>
      </c>
      <c r="W94" s="2">
        <f>409.244931484272*(1/14151.6638359215)</f>
        <v>2.8918502886245503E-2</v>
      </c>
      <c r="X94" s="2">
        <f>498.275149676596*(1/14151.6638359215)</f>
        <v>3.5209651349392045E-2</v>
      </c>
      <c r="Y94" s="2">
        <f>600.752086830656*(1/14151.6638359215)</f>
        <v>4.2450986244158301E-2</v>
      </c>
      <c r="Z94" s="2">
        <f>715.309704016153*(1/14151.6638359215)</f>
        <v>5.0545979067172696E-2</v>
      </c>
      <c r="AA94" s="2">
        <f>840.964322043577*(1/14151.6638359215)</f>
        <v>5.9425120027861149E-2</v>
      </c>
      <c r="AB94" s="2">
        <f>976.743778304983*(1/14151.6638359215)</f>
        <v>6.9019713132648861E-2</v>
      </c>
      <c r="AC94" s="2">
        <f>1121.67591019243*(1/14151.6638359215)</f>
        <v>7.9261062387961309E-2</v>
      </c>
      <c r="AD94" s="2">
        <f>1274.78855509799*(1/14151.6638359215)</f>
        <v>9.0080471800224951E-2</v>
      </c>
      <c r="AE94" s="2">
        <f>1435.10955041368*(1/14151.6638359215)</f>
        <v>0.10140924537586229</v>
      </c>
      <c r="AF94" s="2">
        <f>1601.66673353158*(1/14151.6638359215)</f>
        <v>0.1131786871213003</v>
      </c>
      <c r="AG94" s="2">
        <f>1773.48794184373*(1/14151.6638359215)</f>
        <v>0.12532010104296315</v>
      </c>
      <c r="AH94" s="2">
        <f>1949.60101274221*(1/14151.6638359215)</f>
        <v>0.13776479114727783</v>
      </c>
      <c r="AI94" s="2">
        <f>2129.35623062669*(1/14151.6638359215)</f>
        <v>0.1504668465358607</v>
      </c>
      <c r="AJ94" s="2">
        <f>2316.52238697175*(1/14151.6638359215)</f>
        <v>0.16369258158123196</v>
      </c>
      <c r="AK94" s="2">
        <f>2511.7531935163*(1/14151.6638359215)</f>
        <v>0.17748818956119197</v>
      </c>
      <c r="AL94" s="2">
        <f>2714.14729652512*(1/14151.6638359215)</f>
        <v>0.1917899780544346</v>
      </c>
      <c r="AM94" s="2">
        <f>2922.80334226299*(1/14151.6638359215)</f>
        <v>0.20653425463965375</v>
      </c>
      <c r="AN94" s="2">
        <f>3136.8199769947*(1/14151.6638359215)</f>
        <v>0.22165732689554402</v>
      </c>
      <c r="AO94" s="2">
        <f>3355.29584698501*(1/14151.6638359215)</f>
        <v>0.23709550240079785</v>
      </c>
      <c r="AP94" s="2">
        <f>3577.32959849876*(1/14151.6638359215)</f>
        <v>0.25278508873411337</v>
      </c>
      <c r="AQ94" s="2">
        <f>3802.01987780064*(1/14151.6638359215)</f>
        <v>0.2686623934741782</v>
      </c>
      <c r="AR94" s="2">
        <f>4028.46533115546*(1/14151.6638359215)</f>
        <v>0.28466372419968822</v>
      </c>
      <c r="AS94" s="2">
        <f>4255.76460482801*(1/14151.6638359215)</f>
        <v>0.30072538848933816</v>
      </c>
      <c r="AT94" s="2">
        <f>4485.03620067366*(1/14151.6638359215)</f>
        <v>0.31692642311706043</v>
      </c>
      <c r="AU94" s="2">
        <f>4720.18593771353*(1/14151.6638359215)</f>
        <v>0.33354282524236983</v>
      </c>
      <c r="AV94" s="2">
        <f>4960.28436118334*(1/14151.6638359215)</f>
        <v>0.35050891673900092</v>
      </c>
      <c r="AW94" s="2">
        <f>5204.1749297155*(1/14151.6638359215)</f>
        <v>0.36774297284433943</v>
      </c>
      <c r="AX94" s="2">
        <f>5450.70110194236*(1/14151.6638359215)</f>
        <v>0.38516326879576646</v>
      </c>
      <c r="AY94" s="2">
        <f>5698.70633649629*(1/14151.6638359215)</f>
        <v>0.40268807983066485</v>
      </c>
      <c r="AZ94" s="2">
        <f>5947.03409200965*(1/14151.6638359215)</f>
        <v>0.42023568118641669</v>
      </c>
      <c r="BA94" s="2">
        <f>6194.52782711483*(1/14151.6638359215)</f>
        <v>0.43772434810040606</v>
      </c>
      <c r="BB94" s="2">
        <f>6440.03100044411*(1/14151.6638359215)</f>
        <v>0.45507235581000932</v>
      </c>
      <c r="BC94" s="2">
        <f>6682.3870706299*(1/14151.6638359215)</f>
        <v>0.47219797955261211</v>
      </c>
      <c r="BD94" s="2">
        <f>6920.46764319705*(1/14151.6638359215)</f>
        <v>0.48902148351140629</v>
      </c>
      <c r="BE94" s="2">
        <f>7154.60537905676*(1/14151.6638359215)</f>
        <v>0.50556637452735831</v>
      </c>
      <c r="BF94" s="2">
        <f>7385.85599215442*(1/14151.6638359215)</f>
        <v>0.52190725258797688</v>
      </c>
      <c r="BG94" s="2">
        <f>7614.95481582789*(1/14151.6638359215)</f>
        <v>0.53809607860375208</v>
      </c>
      <c r="BH94" s="2">
        <f>7842.63718341493*(1/14151.6638359215)</f>
        <v>0.55418481348516635</v>
      </c>
      <c r="BI94" s="2">
        <f>8069.63842825341*(1/14151.6638359215)</f>
        <v>0.57022541814271044</v>
      </c>
      <c r="BJ94" s="2">
        <f>8296.69388368118*(1/14151.6638359215)</f>
        <v>0.58626985348687322</v>
      </c>
      <c r="BK94" s="2">
        <f>8524.53888303605*(1/14151.6638359215)</f>
        <v>0.60237008042814111</v>
      </c>
      <c r="BL94" s="2">
        <f>8753.90875965586*(1/14151.6638359215)</f>
        <v>0.61857805987700254</v>
      </c>
      <c r="BM94" s="2">
        <f>8985.5388468785*(1/14151.6638359215)</f>
        <v>0.63494575274394927</v>
      </c>
      <c r="BN94" s="2">
        <f>9220.16447804171*(1/14151.6638359215)</f>
        <v>0.6515251199394626</v>
      </c>
      <c r="BO94" s="2">
        <f>9460.11184673112*(1/14151.6638359215)</f>
        <v>0.66848053744170333</v>
      </c>
      <c r="BP94" s="2">
        <f>9710.32778177053*(1/14151.6638359215)</f>
        <v>0.68616156335784184</v>
      </c>
      <c r="BQ94" s="2">
        <f>9968.19250286073*(1/14151.6638359215)</f>
        <v>0.70438307597147931</v>
      </c>
      <c r="BR94" s="2">
        <f>10230.4192522536*(1/14151.6638359215)</f>
        <v>0.72291282289263303</v>
      </c>
      <c r="BS94" s="2">
        <f>10493.7212722008*(1/14151.6638359215)</f>
        <v>0.74151855173130543</v>
      </c>
      <c r="BT94" s="2">
        <f>10754.8118049542*(1/14151.6638359215)</f>
        <v>0.75996801009751302</v>
      </c>
      <c r="BU94" s="2">
        <f>11010.4040927657*(1/14151.6638359215)</f>
        <v>0.77802894560127511</v>
      </c>
      <c r="BV94" s="2">
        <f>11257.2113778869*(1/14151.6638359215)</f>
        <v>0.79546910585258945</v>
      </c>
      <c r="BW94" s="2">
        <f>11491.9469025697*(1/14151.6638359215)</f>
        <v>0.8120562384614749</v>
      </c>
      <c r="BX94" s="2">
        <f>11711.323909066*(1/14151.6638359215)</f>
        <v>0.82755809103795086</v>
      </c>
      <c r="BY94" s="2">
        <f>11912.1076336651*(1/14151.6638359215)</f>
        <v>0.84174608525029537</v>
      </c>
      <c r="BZ94" s="2">
        <f>12105.6947151814*(1/14151.6638359215)</f>
        <v>0.85542554257494674</v>
      </c>
      <c r="CA94" s="2">
        <f>12299.6492219596*(1/14151.6638359215)</f>
        <v>0.86913096329628126</v>
      </c>
      <c r="CB94" s="2">
        <f>12489.6910548754*(1/14151.6638359215)</f>
        <v>0.88255990247397798</v>
      </c>
      <c r="CC94" s="2">
        <f>12671.5401148046*(1/14151.6638359215)</f>
        <v>0.89540991516772284</v>
      </c>
      <c r="CD94" s="2">
        <f>12840.9163026229*(1/14151.6638359215)</f>
        <v>0.90737855643719445</v>
      </c>
      <c r="CE94" s="2">
        <f>12993.5395192059*(1/14151.6638359215)</f>
        <v>0.91816338134206488</v>
      </c>
      <c r="CF94" s="2">
        <f>13125.1296654294*(1/14151.6638359215)</f>
        <v>0.92746194494201994</v>
      </c>
      <c r="CG94" s="2">
        <f>13231.4066421691*(1/14151.6638359215)</f>
        <v>0.93497180229673849</v>
      </c>
      <c r="CH94" s="2">
        <f>13308.0903503006*(1/14151.6638359215)</f>
        <v>0.94039050846589234</v>
      </c>
      <c r="CI94" s="2">
        <f>13350.9006906997*(1/14151.6638359215)</f>
        <v>0.94341561850916755</v>
      </c>
      <c r="CJ94" s="2">
        <f>13356.1124599965*(1/14151.6638359215)</f>
        <v>0.94378389812329821</v>
      </c>
      <c r="CK94" s="2">
        <f>13325.6482104589*(1/14151.6638359215)</f>
        <v>0.94163120075210482</v>
      </c>
      <c r="CL94" s="2">
        <f>13263.1255573737*(1/14151.6638359215)</f>
        <v>0.93721315819469919</v>
      </c>
      <c r="CM94" s="2">
        <f>13171.9264732583*(1/14151.6638359215)</f>
        <v>0.93076875100888778</v>
      </c>
      <c r="CN94" s="2">
        <f>13055.4329306301*(1/14151.6638359215)</f>
        <v>0.92253695975247729</v>
      </c>
      <c r="CO94" s="2">
        <f>12917.0269020063*(1/14151.6638359215)</f>
        <v>0.91275676498326008</v>
      </c>
      <c r="CP94" s="2">
        <f>12760.0903599044*(1/14151.6638359215)</f>
        <v>0.90166714725904973</v>
      </c>
      <c r="CQ94" s="2">
        <f>12588.0052768418*(1/14151.6638359215)</f>
        <v>0.88950708713765325</v>
      </c>
      <c r="CR94" s="2">
        <f>12404.1536253359*(1/14151.6638359215)</f>
        <v>0.87651556517687679</v>
      </c>
      <c r="CS94" s="2">
        <f>12211.9173779039*(1/14151.6638359215)</f>
        <v>0.86293156193451281</v>
      </c>
      <c r="CT94" s="2">
        <f>12014.6785070633*(1/14151.6638359215)</f>
        <v>0.84899405796837546</v>
      </c>
      <c r="CU94" s="2">
        <f>11804.7192637549*(1/14151.6638359215)</f>
        <v>0.83415769344313451</v>
      </c>
      <c r="CV94" s="2">
        <f>11571.5940982261*(1/14151.6638359215)</f>
        <v>0.81768435375447879</v>
      </c>
      <c r="CW94" s="2">
        <f>11319.0852208625*(1/14151.6638359215)</f>
        <v>0.79984130149636545</v>
      </c>
      <c r="CX94" s="2">
        <f>11051.0244670246*(1/14151.6638359215)</f>
        <v>0.78089930591578394</v>
      </c>
      <c r="CY94" s="2">
        <f>10771.2436720732*(1/14151.6638359215)</f>
        <v>0.76112913625974499</v>
      </c>
      <c r="CZ94" s="2">
        <f>10483.5746713689*(1/14151.6638359215)</f>
        <v>0.74080156177524492</v>
      </c>
      <c r="DA94" s="2">
        <f>10191.8493002724*(1/14151.6638359215)</f>
        <v>0.72018735170928749</v>
      </c>
      <c r="DB94" s="2">
        <f>9899.89939414462*(1/14151.6638359215)</f>
        <v>0.69955727530889156</v>
      </c>
      <c r="DC94" s="2">
        <f>9611.55678834608*(1/14151.6638359215)</f>
        <v>0.6791821018210481</v>
      </c>
      <c r="DD94" s="2">
        <f>9330.65331823751*(1/14151.6638359215)</f>
        <v>0.65933260049276288</v>
      </c>
      <c r="DE94" s="2">
        <f>9059.78286731992*(1/14151.6638359215)</f>
        <v>0.64019206309319343</v>
      </c>
      <c r="DF94" s="2">
        <f>8788.97753175531*(1/14151.6638359215)</f>
        <v>0.62105612694431334</v>
      </c>
      <c r="DG94" s="2">
        <f>8516.04909339744*(1/14151.6638359215)</f>
        <v>0.6017701658359742</v>
      </c>
      <c r="DH94" s="2">
        <f>8242.06833311394*(1/14151.6638359215)</f>
        <v>0.58240984443065313</v>
      </c>
      <c r="DI94" s="2">
        <f>7968.10603177259*(1/14151.6638359215)</f>
        <v>0.56305082739083723</v>
      </c>
      <c r="DJ94" s="2">
        <f>7695.23297024104*(1/14151.6638359215)</f>
        <v>0.54376877937900492</v>
      </c>
      <c r="DK94" s="2">
        <f>7424.51992938697*(1/14151.6638359215)</f>
        <v>0.52463936505763631</v>
      </c>
      <c r="DL94" s="2">
        <f>7157.03769007807*(1/14151.6638359215)</f>
        <v>0.50573824908921272</v>
      </c>
      <c r="DM94" s="2">
        <f>6893.85703318196*(1/14151.6638359215)</f>
        <v>0.48714109613620987</v>
      </c>
      <c r="DN94" s="2">
        <f>6636.04873956645*(1/14151.6638359215)</f>
        <v>0.46892357086111758</v>
      </c>
      <c r="DO94" s="2">
        <f>6384.68359009916*(1/14151.6638359215)</f>
        <v>0.45116133792641178</v>
      </c>
      <c r="DP94" s="2">
        <f>6139.87369336554*(1/14151.6638359215)</f>
        <v>0.43386231926881663</v>
      </c>
      <c r="DQ94" s="2">
        <f>5900.01420149927*(1/14151.6638359215)</f>
        <v>0.41691311141260479</v>
      </c>
      <c r="DR94" s="2">
        <f>5664.70682960077*(1/14151.6638359215)</f>
        <v>0.40028557032438206</v>
      </c>
      <c r="DS94" s="2">
        <f>5433.59598868809*(1/14151.6638359215)</f>
        <v>0.3839545689953337</v>
      </c>
      <c r="DT94" s="2">
        <f>5206.32608977927*(1/14151.6638359215)</f>
        <v>0.36789498041664404</v>
      </c>
      <c r="DU94" s="2">
        <f>4982.54154389245*(1/14151.6638359215)</f>
        <v>0.3520816775795047</v>
      </c>
      <c r="DV94" s="2">
        <f>4761.88676204564*(1/14151.6638359215)</f>
        <v>0.33648953347509797</v>
      </c>
      <c r="DW94" s="2">
        <f>4544.00615525691*(1/14151.6638359215)</f>
        <v>0.32109342109461025</v>
      </c>
      <c r="DX94" s="2">
        <f>4328.54413454432*(1/14151.6638359215)</f>
        <v>0.30586821342922765</v>
      </c>
      <c r="DY94" s="2">
        <f>4115.1451109259*(1/14151.6638359215)</f>
        <v>0.29078878347013376</v>
      </c>
      <c r="DZ94" s="2">
        <f>3903.40210791974*(1/14151.6638359215)</f>
        <v>0.27582637301005153</v>
      </c>
      <c r="EA94" s="2">
        <f>3692.14327965521*(1/14151.6638359215)</f>
        <v>0.26089817582321001</v>
      </c>
      <c r="EB94" s="2">
        <f>3481.64420268083*(1/14151.6638359215)</f>
        <v>0.24602366499430908</v>
      </c>
      <c r="EC94" s="2">
        <f>3272.75607756594*(1/14151.6638359215)</f>
        <v>0.23126298896802697</v>
      </c>
      <c r="ED94" s="2">
        <f>3066.33010487991*(1/14151.6638359215)</f>
        <v>0.21667629618904402</v>
      </c>
      <c r="EE94" s="2">
        <f>2863.21748519205*(1/14151.6638359215)</f>
        <v>0.20232373510203641</v>
      </c>
      <c r="EF94" s="2">
        <f>2664.26941907178*(1/14151.6638359215)</f>
        <v>0.18826545415168797</v>
      </c>
      <c r="EG94" s="2">
        <f>2470.33710708843*(1/14151.6638359215)</f>
        <v>0.1745616017826763</v>
      </c>
      <c r="EH94" s="2">
        <f>2282.27174981134*(1/14151.6638359215)</f>
        <v>0.16127232643967959</v>
      </c>
      <c r="EI94" s="2">
        <f>2100.92454780986*(1/14151.6638359215)</f>
        <v>0.14845777656737677</v>
      </c>
      <c r="EJ94" s="2">
        <f>1927.14670165332*(1/14151.6638359215)</f>
        <v>0.13617810061044541</v>
      </c>
      <c r="EK94" s="2">
        <f>1760.23812821869*(1/14151.6638359215)</f>
        <v>0.12438382854676328</v>
      </c>
      <c r="EL94" s="2">
        <f>1596.43993537702*(1/14151.6638359215)</f>
        <v>0.11280934552195475</v>
      </c>
      <c r="EM94" s="2">
        <f>1436.45322803735*(1/14151.6638359215)</f>
        <v>0.10150419376067761</v>
      </c>
      <c r="EN94" s="2">
        <f>1281.30244388274*(1/14151.6638359215)</f>
        <v>9.0540763173753452E-2</v>
      </c>
      <c r="EO94" s="2">
        <f>1132.0120205963*(1/14151.6638359215)</f>
        <v>7.9991443672007487E-2</v>
      </c>
      <c r="EP94" s="2">
        <f>989.606395861117*(1/14151.6638359215)</f>
        <v>6.9928625166263206E-2</v>
      </c>
      <c r="EQ94" s="2">
        <f>855.110007360249*(1/14151.6638359215)</f>
        <v>6.0424697567342103E-2</v>
      </c>
      <c r="ER94" s="2">
        <f>729.547292776839*(1/14151.6638359215)</f>
        <v>5.1552050786071668E-2</v>
      </c>
      <c r="ES94" s="2">
        <f>613.942689793951*(1/14151.6638359215)</f>
        <v>4.3383074733273831E-2</v>
      </c>
      <c r="ET94" s="2">
        <f>509.320636094674*(1/14151.6638359215)</f>
        <v>3.5990159319772244E-2</v>
      </c>
      <c r="EU94" s="2">
        <f>416.72122181302*(1/14151.6638359215)</f>
        <v>2.9446800506612289E-2</v>
      </c>
      <c r="EV94" s="2">
        <f>337.83094477513*(1/14151.6638359215)</f>
        <v>2.3872171406277034E-2</v>
      </c>
      <c r="EW94" s="2">
        <f>272.129998010036*(1/14151.6638359215)</f>
        <v>1.9229540862840597E-2</v>
      </c>
      <c r="EX94" s="2">
        <f>217.993546174728*(1/14151.6638359215)</f>
        <v>1.5404093024128363E-2</v>
      </c>
      <c r="EY94" s="2">
        <f>173.796753926215*(1/14151.6638359215)</f>
        <v>1.2281012037967057E-2</v>
      </c>
      <c r="EZ94" s="2">
        <f>137.914785921502*(1/14151.6638359215)</f>
        <v>9.7454820521831256E-3</v>
      </c>
      <c r="FA94" s="2">
        <f>108.722806817598*(1/14151.6638359215)</f>
        <v>7.6826872146033001E-3</v>
      </c>
      <c r="FB94" s="2">
        <f>84.5959812715035*(1/14151.6638359215)</f>
        <v>5.9778116730537043E-3</v>
      </c>
      <c r="FC94" s="2">
        <f>63.9094739402359*(1/14151.6638359215)</f>
        <v>4.5160395753616606E-3</v>
      </c>
      <c r="FD94" s="2">
        <f>45.0384494807968*(1/14151.6638359215)</f>
        <v>3.1825550693533751E-3</v>
      </c>
      <c r="FE94" s="2">
        <f>26.3580725501931*(1/14151.6638359215)</f>
        <v>1.8625423028554274E-3</v>
      </c>
      <c r="FF94" s="2">
        <f>7.19674982916484*(1/14151.6638359215)</f>
        <v>5.0854443071896341E-4</v>
      </c>
      <c r="FG94" s="2">
        <f>-8.91367037407537*(1/14151.6638359215)</f>
        <v>-6.2986730588170071E-4</v>
      </c>
      <c r="FH94" s="2">
        <f>-21.448369417241*(1/14151.6638359215)</f>
        <v>-1.5156076109438172E-3</v>
      </c>
      <c r="FI94" s="2">
        <f>-30.4073473003355*(1/14151.6638359215)</f>
        <v>-2.1486764844676296E-3</v>
      </c>
      <c r="FJ94" s="2">
        <f>-35.7906040233588*(1/14151.6638359215)</f>
        <v>-2.5290739264531336E-3</v>
      </c>
      <c r="FK94" s="2">
        <f>-37.5981395863109*(1/14151.6638359215)</f>
        <v>-2.6567999369003286E-3</v>
      </c>
      <c r="FL94" s="2">
        <f>-35.8299539891918*(1/14151.6638359215)</f>
        <v>-2.5318545158092144E-3</v>
      </c>
      <c r="FM94" s="2">
        <f>-30.4860472320001*(1/14151.6638359215)</f>
        <v>-2.1542376631796928E-3</v>
      </c>
      <c r="FN94" s="2">
        <f>-21.5664193147379*(1/14151.6638359215)</f>
        <v>-1.5239493790119118E-3</v>
      </c>
      <c r="FO94" s="2">
        <f>-9.07107023740454*(1/14151.6638359215)</f>
        <v>-6.4098966330582477E-4</v>
      </c>
      <c r="FP94" s="2">
        <f t="shared" si="17"/>
        <v>4.9464148393856954E-4</v>
      </c>
      <c r="FQ94" s="2"/>
    </row>
    <row r="95" spans="2:173">
      <c r="B95" s="2">
        <v>10.171005917159764</v>
      </c>
      <c r="C95" s="2">
        <f t="shared" si="18"/>
        <v>4.9464148393856954E-4</v>
      </c>
      <c r="D95" s="2">
        <f>-14.5185678770462*(1/14151.6638359215)</f>
        <v>-1.0259265656235685E-3</v>
      </c>
      <c r="E95" s="2">
        <f>-31.5217929544208*(1/14151.6638359215)</f>
        <v>-2.227426634768436E-3</v>
      </c>
      <c r="F95" s="2">
        <f>-44.0096752321257*(1/14151.6638359215)</f>
        <v>-3.1098587234961667E-3</v>
      </c>
      <c r="G95" s="2">
        <f>-51.9822147101563*(1/14151.6638359215)</f>
        <v>-3.6732228318064357E-3</v>
      </c>
      <c r="H95" s="2">
        <f>-55.4394113885154*(1/14151.6638359215)</f>
        <v>-3.9175189596994415E-3</v>
      </c>
      <c r="I95" s="2">
        <f>-54.3812652672029*(1/14151.6638359215)</f>
        <v>-3.8427471071751759E-3</v>
      </c>
      <c r="J95" s="2">
        <f>-48.8077763462187*(1/14151.6638359215)</f>
        <v>-3.4489072742336334E-3</v>
      </c>
      <c r="K95" s="2">
        <f>-38.7189446255631*(1/14151.6638359215)</f>
        <v>-2.7359994608748333E-3</v>
      </c>
      <c r="L95" s="2">
        <f>-24.1147701052327*(1/14151.6638359215)</f>
        <v>-1.7040236670985368E-3</v>
      </c>
      <c r="M95" s="2">
        <f>-4.99525278523305*(1/14151.6638359215)</f>
        <v>-3.5297989290513547E-4</v>
      </c>
      <c r="N95" s="2">
        <f>18.1954666583458*(1/14151.6638359215)</f>
        <v>1.2857475184055618E-3</v>
      </c>
      <c r="O95" s="2">
        <f>42.4684747817089*(1/14151.6638359215)</f>
        <v>3.0009527695188869E-3</v>
      </c>
      <c r="P95" s="2">
        <f>68.3921239390694*(1/14151.6638359215)</f>
        <v>4.8327973821331227E-3</v>
      </c>
      <c r="Q95" s="2">
        <f>97.341470977951*(1/14151.6638359215)</f>
        <v>6.8784470933281267E-3</v>
      </c>
      <c r="R95" s="2">
        <f>130.691572745884*(1/14151.6638359215)</f>
        <v>9.2350676401842247E-3</v>
      </c>
      <c r="S95" s="2">
        <f>169.81748609038*(1/14151.6638359215)</f>
        <v>1.1999824759780422E-2</v>
      </c>
      <c r="T95" s="2">
        <f>216.094267858967*(1/14151.6638359215)</f>
        <v>1.5269884189196881E-2</v>
      </c>
      <c r="U95" s="2">
        <f>270.89697489917*(1/14151.6638359215)</f>
        <v>1.9142411665513556E-2</v>
      </c>
      <c r="V95" s="2">
        <f>335.600664058511*(1/14151.6638359215)</f>
        <v>2.3714572925810175E-2</v>
      </c>
      <c r="W95" s="2">
        <f>411.580392184515*(1/14151.6638359215)</f>
        <v>2.9083533707166705E-2</v>
      </c>
      <c r="X95" s="2">
        <f>500.211216124723*(1/14151.6638359215)</f>
        <v>3.534645974666422E-2</v>
      </c>
      <c r="Y95" s="2">
        <f>602.020503034962*(1/14151.6638359215)</f>
        <v>4.2540616426093955E-2</v>
      </c>
      <c r="Z95" s="2">
        <f>715.67878766263*(1/14151.6638359215)</f>
        <v>5.0572059650399966E-2</v>
      </c>
      <c r="AA95" s="2">
        <f>840.237080180847*(1/14151.6638359215)</f>
        <v>5.9373730885837861E-2</v>
      </c>
      <c r="AB95" s="2">
        <f>974.757667714543*(1/14151.6638359215)</f>
        <v>6.8879368462688662E-2</v>
      </c>
      <c r="AC95" s="2">
        <f>1118.30283738864*(1/14151.6638359215)</f>
        <v>7.9022710711232819E-2</v>
      </c>
      <c r="AD95" s="2">
        <f>1269.93487632811*(1/14151.6638359215)</f>
        <v>8.9737495961754302E-2</v>
      </c>
      <c r="AE95" s="2">
        <f>1428.71607165781*(1/14151.6638359215)</f>
        <v>0.10095746254452898</v>
      </c>
      <c r="AF95" s="2">
        <f>1593.7087105027*(1/14151.6638359215)</f>
        <v>0.11261634878983995</v>
      </c>
      <c r="AG95" s="2">
        <f>1763.97507998771*(1/14151.6638359215)</f>
        <v>0.12464789302796825</v>
      </c>
      <c r="AH95" s="2">
        <f>1938.57746723776*(1/14151.6638359215)</f>
        <v>0.13698583358919419</v>
      </c>
      <c r="AI95" s="2">
        <f>2116.90180027675*(1/14151.6638359215)</f>
        <v>0.14958677826301728</v>
      </c>
      <c r="AJ95" s="2">
        <f>2302.74635944058*(1/14151.6638359215)</f>
        <v>0.16271912519540388</v>
      </c>
      <c r="AK95" s="2">
        <f>2496.7330850698*(1/14151.6638359215)</f>
        <v>0.17642682259963552</v>
      </c>
      <c r="AL95" s="2">
        <f>2697.91691674357*(1/14151.6638359215)</f>
        <v>0.19064308960585852</v>
      </c>
      <c r="AM95" s="2">
        <f>2905.35279404102*(1/14151.6638359215)</f>
        <v>0.20530114534421703</v>
      </c>
      <c r="AN95" s="2">
        <f>3118.09565654132*(1/14151.6638359215)</f>
        <v>0.22033420894485811</v>
      </c>
      <c r="AO95" s="2">
        <f>3335.20044382359*(1/14151.6638359215)</f>
        <v>0.23567549953792519</v>
      </c>
      <c r="AP95" s="2">
        <f>3555.72209546703*(1/14151.6638359215)</f>
        <v>0.25125823625356741</v>
      </c>
      <c r="AQ95" s="2">
        <f>3778.71555105071*(1/14151.6638359215)</f>
        <v>0.2670156382219247</v>
      </c>
      <c r="AR95" s="2">
        <f>4003.23575015381*(1/14151.6638359215)</f>
        <v>0.28288092457314473</v>
      </c>
      <c r="AS95" s="2">
        <f>4228.33763235547*(1/14151.6638359215)</f>
        <v>0.2987873144373725</v>
      </c>
      <c r="AT95" s="2">
        <f>4455.13023154545*(1/14151.6638359215)</f>
        <v>0.31481317555303207</v>
      </c>
      <c r="AU95" s="2">
        <f>4687.58838490489*(1/14151.6638359215)</f>
        <v>0.33123938211465104</v>
      </c>
      <c r="AV95" s="2">
        <f>4924.79901832055*(1/14151.6638359215)</f>
        <v>0.34800141350304109</v>
      </c>
      <c r="AW95" s="2">
        <f>5165.61875922664*(1/14151.6638359215)</f>
        <v>0.36501847550353966</v>
      </c>
      <c r="AX95" s="2">
        <f>5408.90423505729*(1/14151.6638359215)</f>
        <v>0.38220977390147876</v>
      </c>
      <c r="AY95" s="2">
        <f>5653.51207324671*(1/14151.6638359215)</f>
        <v>0.39949451448219597</v>
      </c>
      <c r="AZ95" s="2">
        <f>5898.29890122902*(1/14151.6638359215)</f>
        <v>0.41679190303102237</v>
      </c>
      <c r="BA95" s="2">
        <f>6142.12134643845*(1/14151.6638359215)</f>
        <v>0.43402114533329711</v>
      </c>
      <c r="BB95" s="2">
        <f>6383.83603630906*(1/14151.6638359215)</f>
        <v>0.45110144717434703</v>
      </c>
      <c r="BC95" s="2">
        <f>6622.29959827505*(1/14151.6638359215)</f>
        <v>0.46795201433950911</v>
      </c>
      <c r="BD95" s="2">
        <f>6856.39976135092*(1/14151.6638359215)</f>
        <v>0.48449425034723903</v>
      </c>
      <c r="BE95" s="2">
        <f>7086.57428189599*(1/14151.6638359215)</f>
        <v>0.50075908840541927</v>
      </c>
      <c r="BF95" s="2">
        <f>7313.88040542359*(1/14151.6638359215)</f>
        <v>0.51682123672685021</v>
      </c>
      <c r="BG95" s="2">
        <f>7538.99121646785*(1/14151.6638359215)</f>
        <v>0.53272825753049979</v>
      </c>
      <c r="BH95" s="2">
        <f>7762.57979956274*(1/14151.6638359215)</f>
        <v>0.54852771303532533</v>
      </c>
      <c r="BI95" s="2">
        <f>7985.31923924237*(1/14151.6638359215)</f>
        <v>0.56426716546029354</v>
      </c>
      <c r="BJ95" s="2">
        <f>8207.88262004081*(1/14151.6638359215)</f>
        <v>0.57999417702436862</v>
      </c>
      <c r="BK95" s="2">
        <f>8430.94302649212*(1/14151.6638359215)</f>
        <v>0.59575630994651385</v>
      </c>
      <c r="BL95" s="2">
        <f>8655.17354313036*(1/14151.6638359215)</f>
        <v>0.61160112644569264</v>
      </c>
      <c r="BM95" s="2">
        <f>8881.24725448965*(1/14151.6638359215)</f>
        <v>0.6275761887408724</v>
      </c>
      <c r="BN95" s="2">
        <f>9109.83724510396*(1/14151.6638359215)</f>
        <v>0.64372905905101041</v>
      </c>
      <c r="BO95" s="2">
        <f>9343.07066181443*(1/14151.6638359215)</f>
        <v>0.6602100481004004</v>
      </c>
      <c r="BP95" s="2">
        <f>9585.46901934641*(1/14151.6638359215)</f>
        <v>0.67733865999667053</v>
      </c>
      <c r="BQ95" s="2">
        <f>9834.63675501255*(1/14151.6638359215)</f>
        <v>0.69494561692802947</v>
      </c>
      <c r="BR95" s="2">
        <f>10087.5686330634*(1/14151.6638359215)</f>
        <v>0.71281855971294972</v>
      </c>
      <c r="BS95" s="2">
        <f>10341.2594177494*(1/14151.6638359215)</f>
        <v>0.73074512916989576</v>
      </c>
      <c r="BT95" s="2">
        <f>10592.7038733209*(1/14151.6638359215)</f>
        <v>0.74851296611732621</v>
      </c>
      <c r="BU95" s="2">
        <f>10838.8967640286*(1/14151.6638359215)</f>
        <v>0.76590971137372366</v>
      </c>
      <c r="BV95" s="2">
        <f>11076.8328541229*(1/14151.6638359215)</f>
        <v>0.78272300575755027</v>
      </c>
      <c r="BW95" s="2">
        <f>11303.5069078543*(1/14151.6638359215)</f>
        <v>0.79874049008727466</v>
      </c>
      <c r="BX95" s="2">
        <f>11515.9136894733*(1/14151.6638359215)</f>
        <v>0.81374980518136575</v>
      </c>
      <c r="BY95" s="2">
        <f>11711.0969328267*(1/14151.6638359215)</f>
        <v>0.82754205220026134</v>
      </c>
      <c r="BZ95" s="2">
        <f>11899.8464847481*(1/14151.6638359215)</f>
        <v>0.84087967483671</v>
      </c>
      <c r="CA95" s="2">
        <f>12089.2216320142*(1/14151.6638359215)</f>
        <v>0.85426150396025136</v>
      </c>
      <c r="CB95" s="2">
        <f>12275.0998346166*(1/14151.6638359215)</f>
        <v>0.8673962282412635</v>
      </c>
      <c r="CC95" s="2">
        <f>12453.3585525471*(1/14151.6638359215)</f>
        <v>0.87999253635013919</v>
      </c>
      <c r="CD95" s="2">
        <f>12619.8752457975*(1/14151.6638359215)</f>
        <v>0.89175911695727084</v>
      </c>
      <c r="CE95" s="2">
        <f>12770.5273743594*(1/14151.6638359215)</f>
        <v>0.90240465873303688</v>
      </c>
      <c r="CF95" s="2">
        <f>12901.1923982246*(1/14151.6638359215)</f>
        <v>0.91163785034782996</v>
      </c>
      <c r="CG95" s="2">
        <f>13007.7477773849*(1/14151.6638359215)</f>
        <v>0.91916738047204238</v>
      </c>
      <c r="CH95" s="2">
        <f>13086.0709718319*(1/14151.6638359215)</f>
        <v>0.92470193777605281</v>
      </c>
      <c r="CI95" s="2">
        <f>13132.0394415575*(1/14151.6638359215)</f>
        <v>0.92795021093026075</v>
      </c>
      <c r="CJ95" s="2">
        <f>13142.2252624567*(1/14151.6638359215)</f>
        <v>0.92866997229664849</v>
      </c>
      <c r="CK95" s="2">
        <f>13119.2978586118*(1/14151.6638359215)</f>
        <v>0.92704985157369124</v>
      </c>
      <c r="CL95" s="2">
        <f>13066.5357702982*(1/14151.6638359215)</f>
        <v>0.92332152047952876</v>
      </c>
      <c r="CM95" s="2">
        <f>12986.814507296*(1/14151.6638359215)</f>
        <v>0.91768817136054803</v>
      </c>
      <c r="CN95" s="2">
        <f>12883.0095793853*(1/14151.6638359215)</f>
        <v>0.91035299656313595</v>
      </c>
      <c r="CO95" s="2">
        <f>12757.9964963461*(1/14151.6638359215)</f>
        <v>0.90151918843367229</v>
      </c>
      <c r="CP95" s="2">
        <f>12614.6507679585*(1/14151.6638359215)</f>
        <v>0.89138993931854404</v>
      </c>
      <c r="CQ95" s="2">
        <f>12455.8479040025*(1/14151.6638359215)</f>
        <v>0.8801684415641311</v>
      </c>
      <c r="CR95" s="2">
        <f>12284.4634142582*(1/14151.6638359215)</f>
        <v>0.86805788751682034</v>
      </c>
      <c r="CS95" s="2">
        <f>12103.3728085057*(1/14151.6638359215)</f>
        <v>0.85526146952299875</v>
      </c>
      <c r="CT95" s="2">
        <f>11915.451596525*(1/14151.6638359215)</f>
        <v>0.84198237992904623</v>
      </c>
      <c r="CU95" s="2">
        <f>11713.2805481895*(1/14151.6638359215)</f>
        <v>0.82769635316360501</v>
      </c>
      <c r="CV95" s="2">
        <f>11487.2691256802*(1/14151.6638359215)</f>
        <v>0.81172569238973846</v>
      </c>
      <c r="CW95" s="2">
        <f>11241.2369448326*(1/14151.6638359215)</f>
        <v>0.7943403033852956</v>
      </c>
      <c r="CX95" s="2">
        <f>10979.0500207419*(1/14151.6638359215)</f>
        <v>0.77581337064222233</v>
      </c>
      <c r="CY95" s="2">
        <f>10704.5743685034*(1/14151.6638359215)</f>
        <v>0.75641807865247113</v>
      </c>
      <c r="CZ95" s="2">
        <f>10421.6760032123*(1/14151.6638359215)</f>
        <v>0.73642761190798756</v>
      </c>
      <c r="DA95" s="2">
        <f>10134.220939964*(1/14151.6638359215)</f>
        <v>0.71611515490073119</v>
      </c>
      <c r="DB95" s="2">
        <f>9846.07519385368*(1/14151.6638359215)</f>
        <v>0.69575389212264616</v>
      </c>
      <c r="DC95" s="2">
        <f>9561.10477997667*(1/14151.6638359215)</f>
        <v>0.67561700806568714</v>
      </c>
      <c r="DD95" s="2">
        <f>9283.1757134282*(1/14151.6638359215)</f>
        <v>0.65597768722180194</v>
      </c>
      <c r="DE95" s="2">
        <f>9014.87532117611*(1/14151.6638359215)</f>
        <v>0.63701875805539143</v>
      </c>
      <c r="DF95" s="2">
        <f>8745.87583783712*(1/14151.6638359215)</f>
        <v>0.61801042896717617</v>
      </c>
      <c r="DG95" s="2">
        <f>8474.00330902674*(1/14151.6638359215)</f>
        <v>0.59879908166819085</v>
      </c>
      <c r="DH95" s="2">
        <f>8200.46242873256*(1/14151.6638359215)</f>
        <v>0.57946984353296571</v>
      </c>
      <c r="DI95" s="2">
        <f>7926.45789094233*(1/14151.6638359215)</f>
        <v>0.56010784193604257</v>
      </c>
      <c r="DJ95" s="2">
        <f>7653.19438964364*(1/14151.6638359215)</f>
        <v>0.54079820425195213</v>
      </c>
      <c r="DK95" s="2">
        <f>7381.87661882415*(1/14151.6638359215)</f>
        <v>0.52162605785522964</v>
      </c>
      <c r="DL95" s="2">
        <f>7113.70927247149*(1/14151.6638359215)</f>
        <v>0.50267653012040858</v>
      </c>
      <c r="DM95" s="2">
        <f>6849.89704457327*(1/14151.6638359215)</f>
        <v>0.4840347484220206</v>
      </c>
      <c r="DN95" s="2">
        <f>6591.64462911722*(1/14151.6638359215)</f>
        <v>0.46578584013460622</v>
      </c>
      <c r="DO95" s="2">
        <f>6340.15672009095*(1/14151.6638359215)</f>
        <v>0.44801493263269737</v>
      </c>
      <c r="DP95" s="2">
        <f>6095.49461506163*(1/14151.6638359215)</f>
        <v>0.43072635739052062</v>
      </c>
      <c r="DQ95" s="2">
        <f>5855.75772308071*(1/14151.6638359215)</f>
        <v>0.41378581281848309</v>
      </c>
      <c r="DR95" s="2">
        <f>5620.55457719458*(1/14151.6638359215)</f>
        <v>0.39716563666017807</v>
      </c>
      <c r="DS95" s="2">
        <f>5389.54555264059*(1/14151.6638359215)</f>
        <v>0.38084182998752281</v>
      </c>
      <c r="DT95" s="2">
        <f>5162.39102465605*(1/14151.6638359215)</f>
        <v>0.36479039387243162</v>
      </c>
      <c r="DU95" s="2">
        <f>4938.75136847841*(1/14151.6638359215)</f>
        <v>0.3489873293868288</v>
      </c>
      <c r="DV95" s="2">
        <f>4718.28695934496*(1/14151.6638359215)</f>
        <v>0.33340863760262751</v>
      </c>
      <c r="DW95" s="2">
        <f>4500.65817249307*(1/14151.6638359215)</f>
        <v>0.3180303195917461</v>
      </c>
      <c r="DX95" s="2">
        <f>4285.52538316007*(1/14151.6638359215)</f>
        <v>0.30282837642610055</v>
      </c>
      <c r="DY95" s="2">
        <f>4072.54896658329*(1/14151.6638359215)</f>
        <v>0.28777880917760668</v>
      </c>
      <c r="DZ95" s="2">
        <f>3861.33469705386*(1/14151.6638359215)</f>
        <v>0.27285376064774403</v>
      </c>
      <c r="EA95" s="2">
        <f>3650.65527100975*(1/14151.6638359215)</f>
        <v>0.25796650580006047</v>
      </c>
      <c r="EB95" s="2">
        <f>3440.77078139804*(1/14151.6638359215)</f>
        <v>0.24313542360045687</v>
      </c>
      <c r="EC95" s="2">
        <f>3232.54560480928*(1/14151.6638359215)</f>
        <v>0.22842159355170902</v>
      </c>
      <c r="ED95" s="2">
        <f>3026.84411783403*(1/14151.6638359215)</f>
        <v>0.21388609515659357</v>
      </c>
      <c r="EE95" s="2">
        <f>2824.53069706278*(1/14151.6638359215)</f>
        <v>0.19959000791788223</v>
      </c>
      <c r="EF95" s="2">
        <f>2626.46971908619*(1/14151.6638359215)</f>
        <v>0.18559441133835869</v>
      </c>
      <c r="EG95" s="2">
        <f>2433.52556049475*(1/14151.6638359215)</f>
        <v>0.17196038492079463</v>
      </c>
      <c r="EH95" s="2">
        <f>2246.56259787902*(1/14151.6638359215)</f>
        <v>0.15874900816796661</v>
      </c>
      <c r="EI95" s="2">
        <f>2066.44520782956*(1/14151.6638359215)</f>
        <v>0.14602136058265133</v>
      </c>
      <c r="EJ95" s="2">
        <f>1894.03776693689*(1/14151.6638359215)</f>
        <v>0.13383852166762256</v>
      </c>
      <c r="EK95" s="2">
        <f>1728.6905196776*(1/14151.6638359215)</f>
        <v>0.12215457770340929</v>
      </c>
      <c r="EL95" s="2">
        <f>1566.73408174278*(1/14151.6638359215)</f>
        <v>0.11071023873291155</v>
      </c>
      <c r="EM95" s="2">
        <f>1408.81570142207*(1/14151.6638359215)</f>
        <v>9.9551241306767069E-2</v>
      </c>
      <c r="EN95" s="2">
        <f>1255.89704775469*(1/14151.6638359215)</f>
        <v>8.874553991077834E-2</v>
      </c>
      <c r="EO95" s="2">
        <f>1108.93978977987*(1/14151.6638359215)</f>
        <v>7.8361089030748607E-2</v>
      </c>
      <c r="EP95" s="2">
        <f>968.905596536809*(1/14151.6638359215)</f>
        <v>6.8465843152478875E-2</v>
      </c>
      <c r="EQ95" s="2">
        <f>836.756137064721*(1/14151.6638359215)</f>
        <v>5.912775676177124E-2</v>
      </c>
      <c r="ER95" s="2">
        <f>713.453080402874*(1/14151.6638359215)</f>
        <v>5.0414784344431592E-2</v>
      </c>
      <c r="ES95" s="2">
        <f>599.958095590462*(1/14151.6638359215)</f>
        <v>4.239488038626061E-2</v>
      </c>
      <c r="ET95" s="2">
        <f>497.232851666709*(1/14151.6638359215)</f>
        <v>3.5135999373061083E-2</v>
      </c>
      <c r="EU95" s="2">
        <f>406.256188297269*(1/14151.6638359215)</f>
        <v>2.8707309119798293E-2</v>
      </c>
      <c r="EV95" s="2">
        <f>328.785268238769*(1/14151.6638359215)</f>
        <v>2.323297613982362E-2</v>
      </c>
      <c r="EW95" s="2">
        <f>264.374009208182*(1/14151.6638359215)</f>
        <v>1.8681478889932025E-2</v>
      </c>
      <c r="EX95" s="2">
        <f>211.405993633475*(1/14151.6638359215)</f>
        <v>1.4938596343481408E-2</v>
      </c>
      <c r="EY95" s="2">
        <f>168.264803942629*(1/14151.6638359215)</f>
        <v>1.1890107473830638E-2</v>
      </c>
      <c r="EZ95" s="2">
        <f>133.334022563628*(1/14151.6638359215)</f>
        <v>9.4217912543388092E-3</v>
      </c>
      <c r="FA95" s="2">
        <f>104.997231924454*(1/14151.6638359215)</f>
        <v>7.4194266583648676E-3</v>
      </c>
      <c r="FB95" s="2">
        <f>81.6380144530852*(1/14151.6638359215)</f>
        <v>5.7687926592674939E-3</v>
      </c>
      <c r="FC95" s="2">
        <f>61.6399525775133*(1/14151.6638359215)</f>
        <v>4.3556682304063191E-3</v>
      </c>
      <c r="FD95" s="2">
        <f>43.3866287257159*(1/14151.6638359215)</f>
        <v>3.0658323451399831E-3</v>
      </c>
      <c r="FE95" s="2">
        <f>25.2616253256753*(1/14151.6638359215)</f>
        <v>1.7850639768274544E-3</v>
      </c>
      <c r="FF95" s="2">
        <f>6.59682837606641*(1/14151.6638359215)</f>
        <v>4.6615213960365048E-4</v>
      </c>
      <c r="FG95" s="2">
        <f>-9.09421123211449*(1/14151.6638359215)</f>
        <v>-6.4262487701484557E-4</v>
      </c>
      <c r="FH95" s="2">
        <f>-21.2893937801652*(1/14151.6638359215)</f>
        <v>-1.5043739045104952E-3</v>
      </c>
      <c r="FI95" s="2">
        <f>-29.9887192680891*(1/14151.6638359215)</f>
        <v>-2.1190949428835379E-3</v>
      </c>
      <c r="FJ95" s="2">
        <f>-35.1921876958861*(1/14151.6638359215)</f>
        <v>-2.4867879921339668E-3</v>
      </c>
      <c r="FK95" s="2">
        <f>-36.8997990635561*(1/14151.6638359215)</f>
        <v>-2.6074530522617757E-3</v>
      </c>
      <c r="FL95" s="2">
        <f>-35.1115533710993*(1/14151.6638359215)</f>
        <v>-2.4810901232669774E-3</v>
      </c>
      <c r="FM95" s="2">
        <f>-29.8274506185143*(1/14151.6638359215)</f>
        <v>-2.107699205149474E-3</v>
      </c>
      <c r="FN95" s="2">
        <f>-21.0474908058031*(1/14151.6638359215)</f>
        <v>-1.4872802979094065E-3</v>
      </c>
      <c r="FO95" s="2">
        <f>-8.77167393296498*(1/14151.6638359215)</f>
        <v>-6.198334015467238E-4</v>
      </c>
      <c r="FP95" s="2">
        <f t="shared" si="17"/>
        <v>4.9464148393856954E-4</v>
      </c>
      <c r="FQ95" s="2"/>
    </row>
    <row r="96" spans="2:173">
      <c r="B96" s="2">
        <v>10.180473372781066</v>
      </c>
      <c r="C96" s="2">
        <f t="shared" si="18"/>
        <v>4.9464148393856954E-4</v>
      </c>
      <c r="D96" s="2">
        <f>-14.4435960450308*(1/14151.6638359215)</f>
        <v>-1.0206288258747555E-3</v>
      </c>
      <c r="E96" s="2">
        <f>-31.3859355991864*(1/14151.6638359215)</f>
        <v>-2.217826537083134E-3</v>
      </c>
      <c r="F96" s="2">
        <f>-43.8270186624689*(1/14151.6638359215)</f>
        <v>-3.0969516496867143E-3</v>
      </c>
      <c r="G96" s="2">
        <f>-51.7668452348735*(1/14151.6638359215)</f>
        <v>-3.6580041636851564E-3</v>
      </c>
      <c r="H96" s="2">
        <f>-55.205415316403*(1/14151.6638359215)</f>
        <v>-3.9009840790786591E-3</v>
      </c>
      <c r="I96" s="2">
        <f>-54.1427289070574*(1/14151.6638359215)</f>
        <v>-3.8258913958672228E-3</v>
      </c>
      <c r="J96" s="2">
        <f>-48.5787860068367*(1/14151.6638359215)</f>
        <v>-3.4327261140508461E-3</v>
      </c>
      <c r="K96" s="2">
        <f>-38.5135866157409*(1/14151.6638359215)</f>
        <v>-2.72148823362953E-3</v>
      </c>
      <c r="L96" s="2">
        <f>-23.9471307337669*(1/14151.6638359215)</f>
        <v>-1.6921777546030552E-3</v>
      </c>
      <c r="M96" s="2">
        <f>-4.87941836091997*(1/14151.6638359215)</f>
        <v>-3.4479467697179377E-4</v>
      </c>
      <c r="N96" s="2">
        <f>18.2564180431177*(1/14151.6638359215)</f>
        <v>1.2900545303215166E-3</v>
      </c>
      <c r="O96" s="2">
        <f>42.5455465312148*(1/14151.6638359215)</f>
        <v>3.0063988958825066E-3</v>
      </c>
      <c r="P96" s="2">
        <f>68.5422326016672*(1/14151.6638359215)</f>
        <v>4.8434045209358942E-3</v>
      </c>
      <c r="Q96" s="2">
        <f>97.5874517305644*(1/14151.6638359215)</f>
        <v>6.8958288482556997E-3</v>
      </c>
      <c r="R96" s="2">
        <f>131.022179394003*(1/14151.6638359215)</f>
        <v>9.2584293206164434E-3</v>
      </c>
      <c r="S96" s="2">
        <f>170.187391068059*(1/14151.6638359215)</f>
        <v>1.2025963380791193E-2</v>
      </c>
      <c r="T96" s="2">
        <f>216.424062228829*(1/14151.6638359215)</f>
        <v>1.5293188471554472E-2</v>
      </c>
      <c r="U96" s="2">
        <f>271.073168352402*(1/14151.6638359215)</f>
        <v>1.9154862035680259E-2</v>
      </c>
      <c r="V96" s="2">
        <f>335.475684914867*(1/14151.6638359215)</f>
        <v>2.3705741515942541E-2</v>
      </c>
      <c r="W96" s="2">
        <f>410.972587392314*(1/14151.6638359215)</f>
        <v>2.9040584355115379E-2</v>
      </c>
      <c r="X96" s="2">
        <f>498.90485126085*(1/14151.6638359215)</f>
        <v>3.5254147995974025E-2</v>
      </c>
      <c r="Y96" s="2">
        <f>599.767320270189*(1/14151.6638359215)</f>
        <v>4.2381399616615086E-2</v>
      </c>
      <c r="Z96" s="2">
        <f>712.241735863688*(1/14151.6638359215)</f>
        <v>5.0329187021513899E-2</v>
      </c>
      <c r="AA96" s="2">
        <f>835.417927436872*(1/14151.6638359215)</f>
        <v>5.9033194762322654E-2</v>
      </c>
      <c r="AB96" s="2">
        <f>968.397159799819*(1/14151.6638359215)</f>
        <v>6.8429915452182646E-2</v>
      </c>
      <c r="AC96" s="2">
        <f>1110.28069776261*(1/14151.6638359215)</f>
        <v>7.8455841704235418E-2</v>
      </c>
      <c r="AD96" s="2">
        <f>1260.16980613535*(1/14151.6638359215)</f>
        <v>8.9047466131624148E-2</v>
      </c>
      <c r="AE96" s="2">
        <f>1417.16574972807*(1/14151.6638359215)</f>
        <v>0.10014128134748686</v>
      </c>
      <c r="AF96" s="2">
        <f>1580.36979335087*(1/14151.6638359215)</f>
        <v>0.1116737799649664</v>
      </c>
      <c r="AG96" s="2">
        <f>1748.88320181383*(1/14151.6638359215)</f>
        <v>0.12358145459720424</v>
      </c>
      <c r="AH96" s="2">
        <f>1921.80723992703*(1/14151.6638359215)</f>
        <v>0.13580079785734181</v>
      </c>
      <c r="AI96" s="2">
        <f>2098.56792536959*(1/14151.6638359215)</f>
        <v>0.14829125039295704</v>
      </c>
      <c r="AJ96" s="2">
        <f>2282.9938176441*(1/14151.6638359215)</f>
        <v>0.16132334996886538</v>
      </c>
      <c r="AK96" s="2">
        <f>2475.67107265005*(1/14151.6638359215)</f>
        <v>0.17493851615991585</v>
      </c>
      <c r="AL96" s="2">
        <f>2675.60661028194*(1/14151.6638359215)</f>
        <v>0.18906657487795783</v>
      </c>
      <c r="AM96" s="2">
        <f>2881.80735043425*(1/14151.6638359215)</f>
        <v>0.20363735203483926</v>
      </c>
      <c r="AN96" s="2">
        <f>3093.28021300144*(1/14151.6638359215)</f>
        <v>0.21858067354240671</v>
      </c>
      <c r="AO96" s="2">
        <f>3309.032117878*(1/14151.6638359215)</f>
        <v>0.23382636531250878</v>
      </c>
      <c r="AP96" s="2">
        <f>3528.06998495845*(1/14151.6638359215)</f>
        <v>0.24930425325699634</v>
      </c>
      <c r="AQ96" s="2">
        <f>3749.40073413718*(1/14151.6638359215)</f>
        <v>0.26494416328771098</v>
      </c>
      <c r="AR96" s="2">
        <f>3972.03128530872*(1/14151.6638359215)</f>
        <v>0.28067592131650415</v>
      </c>
      <c r="AS96" s="2">
        <f>4194.96855836753*(1/14151.6638359215)</f>
        <v>0.29642935325522241</v>
      </c>
      <c r="AT96" s="2">
        <f>4419.31085161616*(1/14151.6638359215)</f>
        <v>0.31228206823274873</v>
      </c>
      <c r="AU96" s="2">
        <f>4649.10820130854*(1/14151.6638359215)</f>
        <v>0.32852025424088999</v>
      </c>
      <c r="AV96" s="2">
        <f>4883.46585195689*(1/14151.6638359215)</f>
        <v>0.34508068511075529</v>
      </c>
      <c r="AW96" s="2">
        <f>5121.25526163422*(1/14151.6638359215)</f>
        <v>0.36188361460613683</v>
      </c>
      <c r="AX96" s="2">
        <f>5361.3478884135*(1/14151.6638359215)</f>
        <v>0.37884929649082433</v>
      </c>
      <c r="AY96" s="2">
        <f>5602.61519036773*(1/14151.6638359215)</f>
        <v>0.39589798452860936</v>
      </c>
      <c r="AZ96" s="2">
        <f>5843.92862556987*(1/14151.6638359215)</f>
        <v>0.41294993248328082</v>
      </c>
      <c r="BA96" s="2">
        <f>6084.15965209295*(1/14151.6638359215)</f>
        <v>0.42992539411863251</v>
      </c>
      <c r="BB96" s="2">
        <f>6322.17972800985*(1/14151.6638359215)</f>
        <v>0.44674462319844777</v>
      </c>
      <c r="BC96" s="2">
        <f>6556.8603113936*(1/14151.6638359215)</f>
        <v>0.46332787348652021</v>
      </c>
      <c r="BD96" s="2">
        <f>6787.1075220701*(1/14151.6638359215)</f>
        <v>0.47959784805248312</v>
      </c>
      <c r="BE96" s="2">
        <f>7013.48520774656*(1/14151.6638359215)</f>
        <v>0.49559439010585221</v>
      </c>
      <c r="BF96" s="2">
        <f>7237.05330132681*(1/14151.6638359215)</f>
        <v>0.51139239775868817</v>
      </c>
      <c r="BG96" s="2">
        <f>7458.41095653448*(1/14151.6638359215)</f>
        <v>0.52703420905198584</v>
      </c>
      <c r="BH96" s="2">
        <f>7678.15732709308*(1/14151.6638359215)</f>
        <v>0.54256216202673169</v>
      </c>
      <c r="BI96" s="2">
        <f>7896.89156672627*(1/14151.6638359215)</f>
        <v>0.55801859472392257</v>
      </c>
      <c r="BJ96" s="2">
        <f>8115.21282915762*(1/14151.6638359215)</f>
        <v>0.57344584518454889</v>
      </c>
      <c r="BK96" s="2">
        <f>8333.72026811073*(1/14151.6638359215)</f>
        <v>0.5888862514496036</v>
      </c>
      <c r="BL96" s="2">
        <f>8553.0130373092*(1/14151.6638359215)</f>
        <v>0.60438215156007924</v>
      </c>
      <c r="BM96" s="2">
        <f>8773.69029047667*(1/14151.6638359215)</f>
        <v>0.61997588355697131</v>
      </c>
      <c r="BN96" s="2">
        <f>8996.35118133664*(1/14151.6638359215)</f>
        <v>0.63570978548126555</v>
      </c>
      <c r="BO96" s="2">
        <f>9222.92521224748*(1/14151.6638359215)</f>
        <v>0.65172020189150581</v>
      </c>
      <c r="BP96" s="2">
        <f>9457.54812738862*(1/14151.6638359215)</f>
        <v>0.66829937716456378</v>
      </c>
      <c r="BQ96" s="2">
        <f>9698.0461115896*(1/14151.6638359215)</f>
        <v>0.68529370284876479</v>
      </c>
      <c r="BR96" s="2">
        <f>9941.68837870585*(1/14151.6638359215)</f>
        <v>0.70251021321398477</v>
      </c>
      <c r="BS96" s="2">
        <f>10185.7441425926*(1/14151.6638359215)</f>
        <v>0.71975594253008524</v>
      </c>
      <c r="BT96" s="2">
        <f>10427.4826171054*(1/14151.6638359215)</f>
        <v>0.73683792506695045</v>
      </c>
      <c r="BU96" s="2">
        <f>10664.1730160996*(1/14151.6638359215)</f>
        <v>0.75356319509445102</v>
      </c>
      <c r="BV96" s="2">
        <f>10893.0845534305*(1/14151.6638359215)</f>
        <v>0.76973878688245334</v>
      </c>
      <c r="BW96" s="2">
        <f>11111.4864429535*(1/14151.6638359215)</f>
        <v>0.7851717347008309</v>
      </c>
      <c r="BX96" s="2">
        <f>11316.647898524*(1/14151.6638359215)</f>
        <v>0.79966907281945798</v>
      </c>
      <c r="BY96" s="2">
        <f>11505.8839749865*(1/14151.6638359215)</f>
        <v>0.81304107477318999</v>
      </c>
      <c r="BZ96" s="2">
        <f>11689.3464076085*(1/14151.6638359215)</f>
        <v>0.82600509333306504</v>
      </c>
      <c r="CA96" s="2">
        <f>11873.5843423984*(1/14151.6638359215)</f>
        <v>0.8390239112562442</v>
      </c>
      <c r="CB96" s="2">
        <f>12054.6551930276*(1/14151.6638359215)</f>
        <v>0.8518189332924222</v>
      </c>
      <c r="CC96" s="2">
        <f>12228.6163731673*(1/14151.6638359215)</f>
        <v>0.86411156419128032</v>
      </c>
      <c r="CD96" s="2">
        <f>12391.5252964887*(1/14151.6638359215)</f>
        <v>0.8756232087024991</v>
      </c>
      <c r="CE96" s="2">
        <f>12539.4393766631*(1/14151.6638359215)</f>
        <v>0.88607527157576682</v>
      </c>
      <c r="CF96" s="2">
        <f>12668.4160273618*(1/14151.6638359215)</f>
        <v>0.89518915756077122</v>
      </c>
      <c r="CG96" s="2">
        <f>12774.512662256*(1/14151.6638359215)</f>
        <v>0.90268627140719349</v>
      </c>
      <c r="CH96" s="2">
        <f>12853.7866950169*(1/14151.6638359215)</f>
        <v>0.90828801786471436</v>
      </c>
      <c r="CI96" s="2">
        <f>12902.2955393158*(1/14151.6638359215)</f>
        <v>0.91171580168302202</v>
      </c>
      <c r="CJ96" s="2">
        <f>12916.9139989749*(1/14151.6638359215)</f>
        <v>0.91274878690854677</v>
      </c>
      <c r="CK96" s="2">
        <f>12900.9766151265*(1/14151.6638359215)</f>
        <v>0.91162260245185078</v>
      </c>
      <c r="CL96" s="2">
        <f>12857.4219794568*(1/14151.6638359215)</f>
        <v>0.90854489822041307</v>
      </c>
      <c r="CM96" s="2">
        <f>12788.6349364518*(1/14151.6638359215)</f>
        <v>0.9036841946450217</v>
      </c>
      <c r="CN96" s="2">
        <f>12697.0003305973*(1/14151.6638359215)</f>
        <v>0.89720901215645099</v>
      </c>
      <c r="CO96" s="2">
        <f>12584.9030063793*(1/14151.6638359215)</f>
        <v>0.88928787118548891</v>
      </c>
      <c r="CP96" s="2">
        <f>12454.7278082837*(1/14151.6638359215)</f>
        <v>0.88008929216291676</v>
      </c>
      <c r="CQ96" s="2">
        <f>12308.8595807964*(1/14151.6638359215)</f>
        <v>0.86978179551951573</v>
      </c>
      <c r="CR96" s="2">
        <f>12149.6831684033*(1/14151.6638359215)</f>
        <v>0.85853390168606714</v>
      </c>
      <c r="CS96" s="2">
        <f>11979.5834155904*(1/14151.6638359215)</f>
        <v>0.84651413109335893</v>
      </c>
      <c r="CT96" s="2">
        <f>11800.9451668435*(1/14151.6638359215)</f>
        <v>0.83389100417216555</v>
      </c>
      <c r="CU96" s="2">
        <f>11606.6773001227*(1/14151.6638359215)</f>
        <v>0.82016344047554313</v>
      </c>
      <c r="CV96" s="2">
        <f>11388.0498049183*(1/14151.6638359215)</f>
        <v>0.80471455066730369</v>
      </c>
      <c r="CW96" s="2">
        <f>11148.8911359223*(1/14151.6638359215)</f>
        <v>0.78781486510602439</v>
      </c>
      <c r="CX96" s="2">
        <f>10893.0728311324*(1/14151.6638359215)</f>
        <v>0.76973795854889215</v>
      </c>
      <c r="CY96" s="2">
        <f>10624.4664285464*(1/14151.6638359215)</f>
        <v>0.75075740575310079</v>
      </c>
      <c r="CZ96" s="2">
        <f>10346.9434661622*(1/14151.6638359215)</f>
        <v>0.73114678147585099</v>
      </c>
      <c r="DA96" s="2">
        <f>10064.3754819777*(1/14151.6638359215)</f>
        <v>0.71117966047434367</v>
      </c>
      <c r="DB96" s="2">
        <f>9780.63401399078*(1/14151.6638359215)</f>
        <v>0.69112961750577828</v>
      </c>
      <c r="DC96" s="2">
        <f>9499.59060019927*(1/14151.6638359215)</f>
        <v>0.67127022732735053</v>
      </c>
      <c r="DD96" s="2">
        <f>9225.11677860104*(1/14151.6638359215)</f>
        <v>0.65187506469625922</v>
      </c>
      <c r="DE96" s="2">
        <f>8959.7711652192*(1/14151.6638359215)</f>
        <v>0.633124929273433</v>
      </c>
      <c r="DF96" s="2">
        <f>8692.91553376856*(1/14151.6638359215)</f>
        <v>0.61426809133941762</v>
      </c>
      <c r="DG96" s="2">
        <f>8422.40969367733*(1/14151.6638359215)</f>
        <v>0.59515331845987818</v>
      </c>
      <c r="DH96" s="2">
        <f>8149.59578554951*(1/14151.6638359215)</f>
        <v>0.57587545040910315</v>
      </c>
      <c r="DI96" s="2">
        <f>7875.81594998932*(1/14151.6638359215)</f>
        <v>0.55652932696139601</v>
      </c>
      <c r="DJ96" s="2">
        <f>7602.41232760077*(1/14151.6638359215)</f>
        <v>0.53720978789104568</v>
      </c>
      <c r="DK96" s="2">
        <f>7330.72705898796*(1/14151.6638359215)</f>
        <v>0.51801167297234718</v>
      </c>
      <c r="DL96" s="2">
        <f>7062.10228475497*(1/14151.6638359215)</f>
        <v>0.49902982197959445</v>
      </c>
      <c r="DM96" s="2">
        <f>6797.88014550583*(1/14151.6638359215)</f>
        <v>0.48035907468707756</v>
      </c>
      <c r="DN96" s="2">
        <f>6539.40278184473*(1/14151.6638359215)</f>
        <v>0.46209427086909816</v>
      </c>
      <c r="DO96" s="2">
        <f>6288.01233437571*(1/14151.6638359215)</f>
        <v>0.44433025029994716</v>
      </c>
      <c r="DP96" s="2">
        <f>6043.71293931538*(1/14151.6638359215)</f>
        <v>0.42706730525738479</v>
      </c>
      <c r="DQ96" s="2">
        <f>5804.29311523572*(1/14151.6638359215)</f>
        <v>0.41014916567637416</v>
      </c>
      <c r="DR96" s="2">
        <f>5569.37276874215*(1/14151.6638359215)</f>
        <v>0.39354897299109665</v>
      </c>
      <c r="DS96" s="2">
        <f>5338.63333038871*(1/14151.6638359215)</f>
        <v>0.3772442161067685</v>
      </c>
      <c r="DT96" s="2">
        <f>5111.75623072935*(1/14151.6638359215)</f>
        <v>0.36121238392859922</v>
      </c>
      <c r="DU96" s="2">
        <f>4888.42290031818*(1/14151.6638359215)</f>
        <v>0.34543096536181006</v>
      </c>
      <c r="DV96" s="2">
        <f>4668.31476970917*(1/14151.6638359215)</f>
        <v>0.32987744931161223</v>
      </c>
      <c r="DW96" s="2">
        <f>4451.11326945632*(1/14151.6638359215)</f>
        <v>0.31452932468321887</v>
      </c>
      <c r="DX96" s="2">
        <f>4236.49983011367*(1/14151.6638359215)</f>
        <v>0.29936408038184625</v>
      </c>
      <c r="DY96" s="2">
        <f>4024.15588223517*(1/14151.6638359215)</f>
        <v>0.28435920531270398</v>
      </c>
      <c r="DZ96" s="2">
        <f>3813.70517623801*(1/14151.6638359215)</f>
        <v>0.26948811252551047</v>
      </c>
      <c r="EA96" s="2">
        <f>3603.86995422711*(1/14151.6638359215)</f>
        <v>0.25466051172578891</v>
      </c>
      <c r="EB96" s="2">
        <f>3394.89054100309*(1/14151.6638359215)</f>
        <v>0.23989338500154025</v>
      </c>
      <c r="EC96" s="2">
        <f>3187.63790144136*(1/14151.6638359215)</f>
        <v>0.22524827740396886</v>
      </c>
      <c r="ED96" s="2">
        <f>2982.98300041735*(1/14151.6638359215)</f>
        <v>0.21078673398428066</v>
      </c>
      <c r="EE96" s="2">
        <f>2781.79680280641*(1/14151.6638359215)</f>
        <v>0.19657029979367585</v>
      </c>
      <c r="EF96" s="2">
        <f>2584.95027348405*(1/14151.6638359215)</f>
        <v>0.18266051988336596</v>
      </c>
      <c r="EG96" s="2">
        <f>2393.31437732564*(1/14151.6638359215)</f>
        <v>0.1691189393045526</v>
      </c>
      <c r="EH96" s="2">
        <f>2207.76007920659*(1/14151.6638359215)</f>
        <v>0.15600710310844021</v>
      </c>
      <c r="EI96" s="2">
        <f>2029.15834400231*(1/14151.6638359215)</f>
        <v>0.14338655634623329</v>
      </c>
      <c r="EJ96" s="2">
        <f>1858.3801365882*(1/14151.6638359215)</f>
        <v>0.13131884406913555</v>
      </c>
      <c r="EK96" s="2">
        <f>1694.82456881949*(1/14151.6638359215)</f>
        <v>0.11976150567663126</v>
      </c>
      <c r="EL96" s="2">
        <f>1534.92424637172*(1/14151.6638359215)</f>
        <v>0.10846245813694259</v>
      </c>
      <c r="EM96" s="2">
        <f>1379.27441187217*(1/14151.6638359215)</f>
        <v>9.7463763120992572E-2</v>
      </c>
      <c r="EN96" s="2">
        <f>1228.77487936196*(1/14151.6638359215)</f>
        <v>8.6829004250576672E-2</v>
      </c>
      <c r="EO96" s="2">
        <f>1084.32546288227*(1/14151.6638359215)</f>
        <v>7.6621765147494608E-2</v>
      </c>
      <c r="EP96" s="2">
        <f>946.82597647424*(1/14151.6638359215)</f>
        <v>6.6905629433543307E-2</v>
      </c>
      <c r="EQ96" s="2">
        <f>817.176234179009*(1/14151.6638359215)</f>
        <v>5.7744180730519581E-2</v>
      </c>
      <c r="ER96" s="2">
        <f>696.27605003778*(1/14151.6638359215)</f>
        <v>4.9201002660224744E-2</v>
      </c>
      <c r="ES96" s="2">
        <f>585.025238091681*(1/14151.6638359215)</f>
        <v>4.1339678844454865E-2</v>
      </c>
      <c r="ET96" s="2">
        <f>484.323612381869*(1/14151.6638359215)</f>
        <v>3.4223792905008037E-2</v>
      </c>
      <c r="EU96" s="2">
        <f>395.089629870277*(1/14151.6638359215)</f>
        <v>2.7918245829682001E-2</v>
      </c>
      <c r="EV96" s="2">
        <f>319.148419158127*(1/14151.6638359215)</f>
        <v>2.2552006807003505E-2</v>
      </c>
      <c r="EW96" s="2">
        <f>256.126147499218*(1/14151.6638359215)</f>
        <v>1.8098659667783162E-2</v>
      </c>
      <c r="EX96" s="2">
        <f>204.415567550369*(1/14151.6638359215)</f>
        <v>1.4444631381894203E-2</v>
      </c>
      <c r="EY96" s="2">
        <f>162.409431968408*(1/14151.6638359215)</f>
        <v>1.1476348919210498E-2</v>
      </c>
      <c r="EZ96" s="2">
        <f>128.500493410166*(1/14151.6638359215)</f>
        <v>9.0802392496061278E-3</v>
      </c>
      <c r="FA96" s="2">
        <f>101.081504532475*(1/14151.6638359215)</f>
        <v>7.1427293429552393E-3</v>
      </c>
      <c r="FB96" s="2">
        <f>78.5452179921621*(1/14151.6638359215)</f>
        <v>5.5502461691316419E-3</v>
      </c>
      <c r="FC96" s="2">
        <f>59.2843864460655*(1/14151.6638359215)</f>
        <v>4.1892166980099224E-3</v>
      </c>
      <c r="FD96" s="2">
        <f>41.6917625510117*(1/14151.6638359215)</f>
        <v>2.9460678994638442E-3</v>
      </c>
      <c r="FE96" s="2">
        <f>24.1600989638314*(1/14151.6638359215)</f>
        <v>1.7072267433674657E-3</v>
      </c>
      <c r="FF96" s="2">
        <f>6.025072014606*(1/14151.6638359215)</f>
        <v>4.2575008030592263E-4</v>
      </c>
      <c r="FG96" s="2">
        <f>-9.2197004145012*(1/14151.6638359215)</f>
        <v>-6.514923277854168E-4</v>
      </c>
      <c r="FH96" s="2">
        <f>-21.0550805707956*(1/14151.6638359215)</f>
        <v>-1.4878166139977828E-3</v>
      </c>
      <c r="FI96" s="2">
        <f>-29.4810684542803*(1/14151.6638359215)</f>
        <v>-2.0832227783313942E-3</v>
      </c>
      <c r="FJ96" s="2">
        <f>-34.4976640649554*(1/14151.6638359215)</f>
        <v>-2.437710820786258E-3</v>
      </c>
      <c r="FK96" s="2">
        <f>-36.1048674028208*(1/14151.6638359215)</f>
        <v>-2.5512807413623668E-3</v>
      </c>
      <c r="FL96" s="2">
        <f>-34.3026784678766*(1/14151.6638359215)</f>
        <v>-2.4239325400597284E-3</v>
      </c>
      <c r="FM96" s="2">
        <f>-29.0910972601214*(1/14151.6638359215)</f>
        <v>-2.0556662168782435E-3</v>
      </c>
      <c r="FN96" s="2">
        <f>-20.4701237795573*(1/14151.6638359215)</f>
        <v>-1.4464817718180605E-3</v>
      </c>
      <c r="FO96" s="2">
        <f>-8.43975802618343*(1/14151.6638359215)</f>
        <v>-5.9637920487911776E-4</v>
      </c>
      <c r="FP96" s="2">
        <f t="shared" si="17"/>
        <v>4.9464148393856954E-4</v>
      </c>
      <c r="FQ96" s="2"/>
    </row>
    <row r="97" spans="2:173">
      <c r="B97" s="2">
        <v>10.189940828402367</v>
      </c>
      <c r="C97" s="2">
        <f t="shared" si="18"/>
        <v>4.9464148393856954E-4</v>
      </c>
      <c r="D97" s="2">
        <f>-14.2070608448132*(1/14151.6638359215)</f>
        <v>-1.0039145226691355E-3</v>
      </c>
      <c r="E97" s="2">
        <f>-30.9612604970438*(1/14151.6638359215)</f>
        <v>-2.1878176909809082E-3</v>
      </c>
      <c r="F97" s="2">
        <f>-43.2625989566939*(1/14151.6638359215)</f>
        <v>-3.0570680209968974E-3</v>
      </c>
      <c r="G97" s="2">
        <f>-51.1110762237587*(1/14151.6638359215)</f>
        <v>-3.6116655127167636E-3</v>
      </c>
      <c r="H97" s="2">
        <f>-54.506692298241*(1/14151.6638359215)</f>
        <v>-3.8516101661407042E-3</v>
      </c>
      <c r="I97" s="2">
        <f>-53.4494471801408*(1/14151.6638359215)</f>
        <v>-3.7769019812687195E-3</v>
      </c>
      <c r="J97" s="2">
        <f>-47.939340869458*(1/14151.6638359215)</f>
        <v>-3.3875409581008028E-3</v>
      </c>
      <c r="K97" s="2">
        <f>-37.9763733661928*(1/14151.6638359215)</f>
        <v>-2.6835270966369682E-3</v>
      </c>
      <c r="L97" s="2">
        <f>-23.560544670342*(1/14151.6638359215)</f>
        <v>-1.6648603968769889E-3</v>
      </c>
      <c r="M97" s="2">
        <f>-4.69185478191086*(1/14151.6638359215)</f>
        <v>-3.3154085882123734E-4</v>
      </c>
      <c r="N97" s="2">
        <f>18.2037333732562*(1/14151.6638359215)</f>
        <v>1.2863316698527869E-3</v>
      </c>
      <c r="O97" s="2">
        <f>42.2596363360114*(1/14151.6638359215)</f>
        <v>2.9861956039927101E-3</v>
      </c>
      <c r="P97" s="2">
        <f>68.0209449857638*(1/14151.6638359215)</f>
        <v>4.8065687380945731E-3</v>
      </c>
      <c r="Q97" s="2">
        <f>96.8064379651943*(1/14151.6638359215)</f>
        <v>6.8406400185586844E-3</v>
      </c>
      <c r="R97" s="2">
        <f>129.934893916991*(1/14151.6638359215)</f>
        <v>9.1815983917858633E-3</v>
      </c>
      <c r="S97" s="2">
        <f>168.725091483821*(1/14151.6638359215)</f>
        <v>1.1922632804175446E-2</v>
      </c>
      <c r="T97" s="2">
        <f>214.495809308373*(1/14151.6638359215)</f>
        <v>1.5156932202128295E-2</v>
      </c>
      <c r="U97" s="2">
        <f>268.565826033327*(1/14151.6638359215)</f>
        <v>1.8977685532044656E-2</v>
      </c>
      <c r="V97" s="2">
        <f>332.253920301364*(1/14151.6638359215)</f>
        <v>2.3478081740324844E-2</v>
      </c>
      <c r="W97" s="2">
        <f>406.878870755165*(1/14151.6638359215)</f>
        <v>2.875130977336918E-2</v>
      </c>
      <c r="X97" s="2">
        <f>493.759456037429*(1/14151.6638359215)</f>
        <v>3.4890558577579257E-2</v>
      </c>
      <c r="Y97" s="2">
        <f>593.344043986032*(1/14151.6638359215)</f>
        <v>4.1927511200480397E-2</v>
      </c>
      <c r="Z97" s="2">
        <f>704.293400446636*(1/14151.6638359215)</f>
        <v>4.9767533246437894E-2</v>
      </c>
      <c r="AA97" s="2">
        <f>825.742529348876*(1/14151.6638359215)</f>
        <v>5.8349501438330835E-2</v>
      </c>
      <c r="AB97" s="2">
        <f>956.838542726404*(1/14151.6638359215)</f>
        <v>6.7613148094829545E-2</v>
      </c>
      <c r="AC97" s="2">
        <f>1096.72855261287*(1/14151.6638359215)</f>
        <v>7.7498205534604236E-2</v>
      </c>
      <c r="AD97" s="2">
        <f>1244.55967104196*(1/14151.6638359215)</f>
        <v>8.7944406076327572E-2</v>
      </c>
      <c r="AE97" s="2">
        <f>1399.47901004727*(1/14151.6638359215)</f>
        <v>9.889148203866599E-2</v>
      </c>
      <c r="AF97" s="2">
        <f>1560.63368166247*(1/14151.6638359215)</f>
        <v>0.11027916574029105</v>
      </c>
      <c r="AG97" s="2">
        <f>1727.17079792122*(1/14151.6638359215)</f>
        <v>0.12204718949987364</v>
      </c>
      <c r="AH97" s="2">
        <f>1898.23747085718*(1/14151.6638359215)</f>
        <v>0.13413528563608465</v>
      </c>
      <c r="AI97" s="2">
        <f>2073.30634551853*(1/14151.6638359215)</f>
        <v>0.14650618962950548</v>
      </c>
      <c r="AJ97" s="2">
        <f>2256.23477838252*(1/14151.6638359215)</f>
        <v>0.15943247412756276</v>
      </c>
      <c r="AK97" s="2">
        <f>2447.56719409044*(1/14151.6638359215)</f>
        <v>0.1729526098463223</v>
      </c>
      <c r="AL97" s="2">
        <f>2646.25719344452*(1/14151.6638359215)</f>
        <v>0.18699265500693024</v>
      </c>
      <c r="AM97" s="2">
        <f>2851.25837724699*(1/14151.6638359215)</f>
        <v>0.20147866783053273</v>
      </c>
      <c r="AN97" s="2">
        <f>3061.52434630005*(1/14151.6638359215)</f>
        <v>0.21633670653827369</v>
      </c>
      <c r="AO97" s="2">
        <f>3276.00870140592*(1/14151.6638359215)</f>
        <v>0.23149282935129864</v>
      </c>
      <c r="AP97" s="2">
        <f>3493.66504336687*(1/14151.6638359215)</f>
        <v>0.24687309449075651</v>
      </c>
      <c r="AQ97" s="2">
        <f>3713.44697298504*(1/14151.6638359215)</f>
        <v>0.26240356017778704</v>
      </c>
      <c r="AR97" s="2">
        <f>3934.30809106268*(1/14151.6638359215)</f>
        <v>0.27801028463353783</v>
      </c>
      <c r="AS97" s="2">
        <f>4155.20199840202*(1/14151.6638359215)</f>
        <v>0.29361932607915497</v>
      </c>
      <c r="AT97" s="2">
        <f>4377.2171186402*(1/14151.6638359215)</f>
        <v>0.30930759586935691</v>
      </c>
      <c r="AU97" s="2">
        <f>4604.49085153467*(1/14151.6638359215)</f>
        <v>0.32536745536923956</v>
      </c>
      <c r="AV97" s="2">
        <f>4836.14680854648*(1/14151.6638359215)</f>
        <v>0.34173697627488692</v>
      </c>
      <c r="AW97" s="2">
        <f>5071.07069131667*(1/14151.6638359215)</f>
        <v>0.35833741884432357</v>
      </c>
      <c r="AX97" s="2">
        <f>5308.14820148625*(1/14151.6638359215)</f>
        <v>0.37509004333557255</v>
      </c>
      <c r="AY97" s="2">
        <f>5546.26504069621*(1/14151.6638359215)</f>
        <v>0.39191611000665488</v>
      </c>
      <c r="AZ97" s="2">
        <f>5784.30691058755*(1/14151.6638359215)</f>
        <v>0.40873687911559264</v>
      </c>
      <c r="BA97" s="2">
        <f>6021.15951280132*(1/14151.6638359215)</f>
        <v>0.4254736109204113</v>
      </c>
      <c r="BB97" s="2">
        <f>6255.70854897843*(1/14151.6638359215)</f>
        <v>0.44204756567912662</v>
      </c>
      <c r="BC97" s="2">
        <f>6486.83972075992*(1/14151.6638359215)</f>
        <v>0.45838000364976328</v>
      </c>
      <c r="BD97" s="2">
        <f>6713.47737184298*(1/14151.6638359215)</f>
        <v>0.47439491565663133</v>
      </c>
      <c r="BE97" s="2">
        <f>6936.32510238821*(1/14151.6638359215)</f>
        <v>0.49014202024652209</v>
      </c>
      <c r="BF97" s="2">
        <f>7156.44774791162*(1/14151.6638359215)</f>
        <v>0.5056965619651197</v>
      </c>
      <c r="BG97" s="2">
        <f>7374.3642285516*(1/14151.6638359215)</f>
        <v>0.52109520930203823</v>
      </c>
      <c r="BH97" s="2">
        <f>7590.59346444643*(1/14151.6638359215)</f>
        <v>0.53637463074688418</v>
      </c>
      <c r="BI97" s="2">
        <f>7805.6543757345*(1/14151.6638359215)</f>
        <v>0.5515714947892717</v>
      </c>
      <c r="BJ97" s="2">
        <f>8020.06588255418*(1/14151.6638359215)</f>
        <v>0.56672246991881325</v>
      </c>
      <c r="BK97" s="2">
        <f>8234.34690504381*(1/14151.6638359215)</f>
        <v>0.58186422462511966</v>
      </c>
      <c r="BL97" s="2">
        <f>8449.01636334175*(1/14151.6638359215)</f>
        <v>0.59703342739780285</v>
      </c>
      <c r="BM97" s="2">
        <f>8664.59317758641*(1/14151.6638359215)</f>
        <v>0.61226674672647818</v>
      </c>
      <c r="BN97" s="2">
        <f>8881.59626791605*(1/14151.6638359215)</f>
        <v>0.62760085110075081</v>
      </c>
      <c r="BO97" s="2">
        <f>9101.76840634105*(1/14151.6638359215)</f>
        <v>0.6431588901396752</v>
      </c>
      <c r="BP97" s="2">
        <f>9328.9121841405*(1/14151.6638359215)</f>
        <v>0.65920956661369412</v>
      </c>
      <c r="BQ97" s="2">
        <f>9561.06252551304*(1/14151.6638359215)</f>
        <v>0.67561402223560252</v>
      </c>
      <c r="BR97" s="2">
        <f>9795.74357800071*(1/14151.6638359215)</f>
        <v>0.69219730567199778</v>
      </c>
      <c r="BS97" s="2">
        <f>10030.4794891454*(1/14151.6638359215)</f>
        <v>0.70878446558946651</v>
      </c>
      <c r="BT97" s="2">
        <f>10262.7944064893*(1/14151.6638359215)</f>
        <v>0.72520055065461697</v>
      </c>
      <c r="BU97" s="2">
        <f>10490.2124775742*(1/14151.6638359215)</f>
        <v>0.74127060953402857</v>
      </c>
      <c r="BV97" s="2">
        <f>10710.2578499422*(1/14151.6638359215)</f>
        <v>0.75681969089430334</v>
      </c>
      <c r="BW97" s="2">
        <f>10920.4546711354*(1/14151.6638359215)</f>
        <v>0.77167284340204256</v>
      </c>
      <c r="BX97" s="2">
        <f>11118.3270886956*(1/14151.6638359215)</f>
        <v>0.78565511572382674</v>
      </c>
      <c r="BY97" s="2">
        <f>11301.4419643935*(1/14151.6638359215)</f>
        <v>0.79859457484474616</v>
      </c>
      <c r="BZ97" s="2">
        <f>11479.3012709208*(1/14151.6638359215)</f>
        <v>0.81116265931802456</v>
      </c>
      <c r="CA97" s="2">
        <f>11657.95819511*(1/14151.6638359215)</f>
        <v>0.82378710590328841</v>
      </c>
      <c r="CB97" s="2">
        <f>11833.6695824243*(1/14151.6638359215)</f>
        <v>0.83620341181272406</v>
      </c>
      <c r="CC97" s="2">
        <f>12002.6922783269*(1/14151.6638359215)</f>
        <v>0.84814707425851832</v>
      </c>
      <c r="CD97" s="2">
        <f>12161.2831282811*(1/14151.6638359215)</f>
        <v>0.85935359045286464</v>
      </c>
      <c r="CE97" s="2">
        <f>12305.6989777499*(1/14151.6638359215)</f>
        <v>0.8695584576079356</v>
      </c>
      <c r="CF97" s="2">
        <f>12432.1966721966*(1/14151.6638359215)</f>
        <v>0.87849717293592466</v>
      </c>
      <c r="CG97" s="2">
        <f>12537.0330570844*(1/14151.6638359215)</f>
        <v>0.88590523364901841</v>
      </c>
      <c r="CH97" s="2">
        <f>12616.4649778764*(1/14151.6638359215)</f>
        <v>0.8915181369593963</v>
      </c>
      <c r="CI97" s="2">
        <f>12666.7492800358*(1/14151.6638359215)</f>
        <v>0.89507138007924503</v>
      </c>
      <c r="CJ97" s="2">
        <f>12685.0596003603*(1/14151.6638359215)</f>
        <v>0.89636524351020241</v>
      </c>
      <c r="CK97" s="2">
        <f>12675.2804073847*(1/14151.6638359215)</f>
        <v>0.89567421572089212</v>
      </c>
      <c r="CL97" s="2">
        <f>12640.0206852934*(1/14151.6638359215)</f>
        <v>0.8931826555411061</v>
      </c>
      <c r="CM97" s="2">
        <f>12581.2089463882*(1/14151.6638359215)</f>
        <v>0.8890268375689524</v>
      </c>
      <c r="CN97" s="2">
        <f>12500.7737029705*(1/14151.6638359215)</f>
        <v>0.88334303640251077</v>
      </c>
      <c r="CO97" s="2">
        <f>12400.6434673421*(1/14151.6638359215)</f>
        <v>0.87626752663988927</v>
      </c>
      <c r="CP97" s="2">
        <f>12282.7467518046*(1/14151.6638359215)</f>
        <v>0.86793658287918174</v>
      </c>
      <c r="CQ97" s="2">
        <f>12149.0120686596*(1/14151.6638359215)</f>
        <v>0.85848647971848213</v>
      </c>
      <c r="CR97" s="2">
        <f>12001.3679302088*(1/14151.6638359215)</f>
        <v>0.8480534917558914</v>
      </c>
      <c r="CS97" s="2">
        <f>11841.7428487538*(1/14151.6638359215)</f>
        <v>0.83677389358950338</v>
      </c>
      <c r="CT97" s="2">
        <f>11672.0653365962*(1/14151.6638359215)</f>
        <v>0.82478395981741204</v>
      </c>
      <c r="CU97" s="2">
        <f>11485.597412472*(1/14151.6638359215)</f>
        <v>0.8116075640037349</v>
      </c>
      <c r="CV97" s="2">
        <f>11274.449085888*(1/14151.6638359215)</f>
        <v>0.79668717520478416</v>
      </c>
      <c r="CW97" s="2">
        <f>11042.4232288974*(1/14151.6638359215)</f>
        <v>0.78029151603136293</v>
      </c>
      <c r="CX97" s="2">
        <f>10793.3624774764*(1/14151.6638359215)</f>
        <v>0.76269211893511457</v>
      </c>
      <c r="CY97" s="2">
        <f>10531.1094676015*(1/14151.6638359215)</f>
        <v>0.74416051636770364</v>
      </c>
      <c r="CZ97" s="2">
        <f>10259.5068352491*(1/14151.6638359215)</f>
        <v>0.72496824078078748</v>
      </c>
      <c r="DA97" s="2">
        <f>9982.39721639555*(1/14151.6638359215)</f>
        <v>0.70538682462602009</v>
      </c>
      <c r="DB97" s="2">
        <f>9703.62324701732*(1/14151.6638359215)</f>
        <v>0.68568780035506394</v>
      </c>
      <c r="DC97" s="2">
        <f>9427.02756309078*(1/14151.6638359215)</f>
        <v>0.66614270041957435</v>
      </c>
      <c r="DD97" s="2">
        <f>9156.45280059233*(1/14151.6638359215)</f>
        <v>0.64702305727120868</v>
      </c>
      <c r="DE97" s="2">
        <f>8894.40283854942*(1/14151.6638359215)</f>
        <v>0.62850580268678724</v>
      </c>
      <c r="DF97" s="2">
        <f>8629.99369587922*(1/14151.6638359215)</f>
        <v>0.60982184115859972</v>
      </c>
      <c r="DG97" s="2">
        <f>8361.14170232402*(1/14151.6638359215)</f>
        <v>0.59082393415117296</v>
      </c>
      <c r="DH97" s="2">
        <f>8089.32822873012*(1/14151.6638359215)</f>
        <v>0.57161675987503247</v>
      </c>
      <c r="DI97" s="2">
        <f>7816.03464594401*(1/14151.6638359215)</f>
        <v>0.55230499654071674</v>
      </c>
      <c r="DJ97" s="2">
        <f>7542.742324812*(1/14151.6638359215)</f>
        <v>0.53299332235875196</v>
      </c>
      <c r="DK97" s="2">
        <f>7270.93263618048*(1/14151.6638359215)</f>
        <v>0.51378641553966975</v>
      </c>
      <c r="DL97" s="2">
        <f>7002.08695089581*(1/14151.6638359215)</f>
        <v>0.49478895429399961</v>
      </c>
      <c r="DM97" s="2">
        <f>6737.68663980433*(1/14151.6638359215)</f>
        <v>0.47610561683226976</v>
      </c>
      <c r="DN97" s="2">
        <f>6479.2130737525*(1/14151.6638359215)</f>
        <v>0.45784108136501678</v>
      </c>
      <c r="DO97" s="2">
        <f>6228.14762358665*(1/14151.6638359215)</f>
        <v>0.44010002610276805</v>
      </c>
      <c r="DP97" s="2">
        <f>5984.43086733746*(1/14151.6638359215)</f>
        <v>0.42287825210679741</v>
      </c>
      <c r="DQ97" s="2">
        <f>5745.52810874422*(1/14151.6638359215)</f>
        <v>0.40599664996000057</v>
      </c>
      <c r="DR97" s="2">
        <f>5511.07571505513*(1/14151.6638359215)</f>
        <v>0.38942952425609756</v>
      </c>
      <c r="DS97" s="2">
        <f>5280.78171690842*(1/14151.6638359215)</f>
        <v>0.3731562435438926</v>
      </c>
      <c r="DT97" s="2">
        <f>5054.35414494225*(1/14151.6638359215)</f>
        <v>0.35715617637218494</v>
      </c>
      <c r="DU97" s="2">
        <f>4831.50102979492*(1/14151.6638359215)</f>
        <v>0.34140869128978374</v>
      </c>
      <c r="DV97" s="2">
        <f>4611.9304021046*(1/14151.6638359215)</f>
        <v>0.32589315684548903</v>
      </c>
      <c r="DW97" s="2">
        <f>4395.3502925095*(1/14151.6638359215)</f>
        <v>0.31058894158810352</v>
      </c>
      <c r="DX97" s="2">
        <f>4181.46873164783*(1/14151.6638359215)</f>
        <v>0.29547541406643013</v>
      </c>
      <c r="DY97" s="2">
        <f>3969.99375015777*(1/14151.6638359215)</f>
        <v>0.28053194282926947</v>
      </c>
      <c r="DZ97" s="2">
        <f>3760.57304051454*(1/14151.6638359215)</f>
        <v>0.26573363274564149</v>
      </c>
      <c r="EA97" s="2">
        <f>3551.88922196139*(1/14151.6638359215)</f>
        <v>0.25098739364805617</v>
      </c>
      <c r="EB97" s="2">
        <f>3344.15833977875*(1/14151.6638359215)</f>
        <v>0.23630849195910056</v>
      </c>
      <c r="EC97" s="2">
        <f>3138.24821286394*(1/14151.6638359215)</f>
        <v>0.22175825042551187</v>
      </c>
      <c r="ED97" s="2">
        <f>2935.02666011425*(1/14151.6638359215)</f>
        <v>0.20739799179402515</v>
      </c>
      <c r="EE97" s="2">
        <f>2735.36150042695*(1/14151.6638359215)</f>
        <v>0.1932890388113741</v>
      </c>
      <c r="EF97" s="2">
        <f>2540.12055269942*(1/14151.6638359215)</f>
        <v>0.17949271422430008</v>
      </c>
      <c r="EG97" s="2">
        <f>2350.17163582893*(1/14151.6638359215)</f>
        <v>0.16607034077953678</v>
      </c>
      <c r="EH97" s="2">
        <f>2166.38256871278*(1/14151.6638359215)</f>
        <v>0.15308324122381994</v>
      </c>
      <c r="EI97" s="2">
        <f>1989.62117024827*(1/14151.6638359215)</f>
        <v>0.14059273830388536</v>
      </c>
      <c r="EJ97" s="2">
        <f>1820.75525933269*(1/14151.6638359215)</f>
        <v>0.12866015476646811</v>
      </c>
      <c r="EK97" s="2">
        <f>1659.22913259468*(1/14151.6638359215)</f>
        <v>0.11724622290581974</v>
      </c>
      <c r="EL97" s="2">
        <f>1501.59214752725*(1/14151.6638359215)</f>
        <v>0.10610710973191177</v>
      </c>
      <c r="EM97" s="2">
        <f>1348.39188944404*(1/14151.6638359215)</f>
        <v>9.5281509303618797E-2</v>
      </c>
      <c r="EN97" s="2">
        <f>1200.4696277086*(1/14151.6638359215)</f>
        <v>8.4828868296137713E-2</v>
      </c>
      <c r="EO97" s="2">
        <f>1058.66663168449*(1/14151.6638359215)</f>
        <v>7.4808633384666173E-2</v>
      </c>
      <c r="EP97" s="2">
        <f>923.824170735268*(1/14151.6638359215)</f>
        <v>6.5280251244401635E-2</v>
      </c>
      <c r="EQ97" s="2">
        <f>796.783514224452*(1/14151.6638359215)</f>
        <v>5.6303168550538754E-2</v>
      </c>
      <c r="ER97" s="2">
        <f>678.385931515645*(1/14151.6638359215)</f>
        <v>4.7936831978278208E-2</v>
      </c>
      <c r="ES97" s="2">
        <f>569.472691972377*(1/14151.6638359215)</f>
        <v>4.0240688202815497E-2</v>
      </c>
      <c r="ET97" s="2">
        <f>470.885064958199*(1/14151.6638359215)</f>
        <v>3.3274183899347609E-2</v>
      </c>
      <c r="EU97" s="2">
        <f>383.484314785717*(1/14151.6638359215)</f>
        <v>2.709817864753894E-2</v>
      </c>
      <c r="EV97" s="2">
        <f>309.156985523527*(1/14151.6638359215)</f>
        <v>2.1845981441333179E-2</v>
      </c>
      <c r="EW97" s="2">
        <f>247.596926290966*(1/14151.6638359215)</f>
        <v>1.7495958719884578E-2</v>
      </c>
      <c r="EX97" s="2">
        <f>197.207095003274*(1/14151.6638359215)</f>
        <v>1.3935258587947702E-2</v>
      </c>
      <c r="EY97" s="2">
        <f>156.390449575704*(1/14151.6638359215)</f>
        <v>1.1051029150278037E-2</v>
      </c>
      <c r="EZ97" s="2">
        <f>123.54994792351*(1/14151.6638359215)</f>
        <v>8.7304185116311404E-3</v>
      </c>
      <c r="FA97" s="2">
        <f>97.0885479619445*(1/14151.6638359215)</f>
        <v>6.8605747767624585E-3</v>
      </c>
      <c r="FB97" s="2">
        <f>75.4092076062582*(1/14151.6638359215)</f>
        <v>5.328646050427318E-3</v>
      </c>
      <c r="FC97" s="2">
        <f>56.9148847717124*(1/14151.6638359215)</f>
        <v>4.0217804373817879E-3</v>
      </c>
      <c r="FD97" s="2">
        <f>40.0085373735565*(1/14151.6638359215)</f>
        <v>2.8271260423811009E-3</v>
      </c>
      <c r="FE97" s="2">
        <f>23.0931233270437*(1/14151.6638359215)</f>
        <v>1.631830970180756E-3</v>
      </c>
      <c r="FF97" s="2">
        <f>5.50853710251658*(1/14151.6638359215)</f>
        <v>3.8925013810278133E-4</v>
      </c>
      <c r="FG97" s="2">
        <f>-9.27378623463161*(1/14151.6638359215)</f>
        <v>-6.5531419783246552E-4</v>
      </c>
      <c r="FH97" s="2">
        <f>-20.7380052102448*(1/14151.6638359215)</f>
        <v>-1.4654110958744679E-3</v>
      </c>
      <c r="FI97" s="2">
        <f>-28.8841198243262*(1/14151.6638359215)</f>
        <v>-2.0410405560234521E-3</v>
      </c>
      <c r="FJ97" s="2">
        <f>-33.7121300768757*(1/14151.6638359215)</f>
        <v>-2.3822025782794113E-3</v>
      </c>
      <c r="FK97" s="2">
        <f>-35.2220359678933*(1/14151.6638359215)</f>
        <v>-2.4888971626423444E-3</v>
      </c>
      <c r="FL97" s="2">
        <f>-33.413837497379*(1/14151.6638359215)</f>
        <v>-2.3611243091122523E-3</v>
      </c>
      <c r="FM97" s="2">
        <f>-28.2875346653316*(1/14151.6638359215)</f>
        <v>-1.9988840176890501E-3</v>
      </c>
      <c r="FN97" s="2">
        <f>-19.8431274717529*(1/14151.6638359215)</f>
        <v>-1.4021762883728644E-3</v>
      </c>
      <c r="FO97" s="2">
        <f>-8.08061591664238*(1/14151.6638359215)</f>
        <v>-5.7100112116365877E-4</v>
      </c>
      <c r="FP97" s="2">
        <f t="shared" si="17"/>
        <v>4.9464148393856954E-4</v>
      </c>
      <c r="FQ97" s="2"/>
    </row>
    <row r="98" spans="2:173">
      <c r="B98" s="2">
        <v>10.199408284023669</v>
      </c>
      <c r="C98" s="2">
        <f t="shared" si="18"/>
        <v>4.9464148393856954E-4</v>
      </c>
      <c r="D98" s="2">
        <f>-13.7843670396334*(1/14151.6638359215)</f>
        <v>-9.7404568109116739E-4</v>
      </c>
      <c r="E98" s="2">
        <f>-30.2038573820934*(1/14151.6638359215)</f>
        <v>-2.1342972623067998E-3</v>
      </c>
      <c r="F98" s="2">
        <f>-42.2584710273819*(1/14151.6638359215)</f>
        <v>-2.9861132597084616E-3</v>
      </c>
      <c r="G98" s="2">
        <f>-49.9482079754943*(1/14151.6638359215)</f>
        <v>-3.5294936732958278E-3</v>
      </c>
      <c r="H98" s="2">
        <f>-53.2730682264334*(1/14151.6638359215)</f>
        <v>-3.764438503069097E-3</v>
      </c>
      <c r="I98" s="2">
        <f>-52.2330517801992*(1/14151.6638359215)</f>
        <v>-3.6909477490282678E-3</v>
      </c>
      <c r="J98" s="2">
        <f>-46.8281586367915*(1/14151.6638359215)</f>
        <v>-3.3090214111733273E-3</v>
      </c>
      <c r="K98" s="2">
        <f>-37.0583887962105*(1/14151.6638359215)</f>
        <v>-2.6186594895042888E-3</v>
      </c>
      <c r="L98" s="2">
        <f>-22.9237422584531*(1/14151.6638359215)</f>
        <v>-1.619861984020934E-3</v>
      </c>
      <c r="M98" s="2">
        <f>-4.42421902352456*(1/14151.6638359215)</f>
        <v>-3.126288947236339E-4</v>
      </c>
      <c r="N98" s="2">
        <f>18.0169432275266*(1/14151.6638359215)</f>
        <v>1.2731325048715313E-3</v>
      </c>
      <c r="O98" s="2">
        <f>41.5515009923412*(1/14151.6638359215)</f>
        <v>2.9361565872466563E-3</v>
      </c>
      <c r="P98" s="2">
        <f>66.721057743345*(1/14151.6638359215)</f>
        <v>4.7147147160170226E-3</v>
      </c>
      <c r="Q98" s="2">
        <f>94.8359547818102*(1/14151.6638359215)</f>
        <v>6.7013996291436688E-3</v>
      </c>
      <c r="R98" s="2">
        <f>127.206533409016*(1/14151.6638359215)</f>
        <v>8.9888040645881295E-3</v>
      </c>
      <c r="S98" s="2">
        <f>165.143134926223*(1/14151.6638359215)</f>
        <v>1.1669520760310623E-2</v>
      </c>
      <c r="T98" s="2">
        <f>209.956100634709*(1/14151.6638359215)</f>
        <v>1.4836142454272587E-2</v>
      </c>
      <c r="U98" s="2">
        <f>262.955771835746*(1/14151.6638359215)</f>
        <v>1.8581261884435048E-2</v>
      </c>
      <c r="V98" s="2">
        <f>325.452489830607*(1/14151.6638359215)</f>
        <v>2.2997471788759095E-2</v>
      </c>
      <c r="W98" s="2">
        <f>398.756595920565*(1/14151.6638359215)</f>
        <v>2.8177364905205834E-2</v>
      </c>
      <c r="X98" s="2">
        <f>484.178431406909*(1/14151.6638359215)</f>
        <v>3.421353397173748E-2</v>
      </c>
      <c r="Y98" s="2">
        <f>582.102179632188*(1/14151.6638359215)</f>
        <v>4.1133126562448753E-2</v>
      </c>
      <c r="Z98" s="2">
        <f>691.128633238782*(1/14151.6638359215)</f>
        <v>4.8837270391095214E-2</v>
      </c>
      <c r="AA98" s="2">
        <f>810.446551454086*(1/14151.6638359215)</f>
        <v>5.7268640694877915E-2</v>
      </c>
      <c r="AB98" s="2">
        <f>939.258104659888*(1/14151.6638359215)</f>
        <v>6.6370860384327893E-2</v>
      </c>
      <c r="AC98" s="2">
        <f>1076.76546323798*(1/14151.6638359215)</f>
        <v>7.6087552369976524E-2</v>
      </c>
      <c r="AD98" s="2">
        <f>1222.17079757017*(1/14151.6638359215)</f>
        <v>8.6362339562356283E-2</v>
      </c>
      <c r="AE98" s="2">
        <f>1374.6762780382*(1/14151.6638359215)</f>
        <v>9.7138844871994992E-2</v>
      </c>
      <c r="AF98" s="2">
        <f>1533.48407502388*(1/14151.6638359215)</f>
        <v>0.10836069120942525</v>
      </c>
      <c r="AG98" s="2">
        <f>1697.79635890901*(1/14151.6638359215)</f>
        <v>0.11997150148517899</v>
      </c>
      <c r="AH98" s="2">
        <f>1866.81530007537*(1/14151.6638359215)</f>
        <v>0.13191489860978672</v>
      </c>
      <c r="AI98" s="2">
        <f>2040.06880033685*(1/14151.6638359215)</f>
        <v>0.14415752267648527</v>
      </c>
      <c r="AJ98" s="2">
        <f>2221.43925845606*(1/14151.6638359215)</f>
        <v>0.15697371589744302</v>
      </c>
      <c r="AK98" s="2">
        <f>2411.42148722437*(1/14151.6638359215)</f>
        <v>0.17039844326314496</v>
      </c>
      <c r="AL98" s="2">
        <f>2608.90948253561*(1/14151.6638359215)</f>
        <v>0.18435355112897425</v>
      </c>
      <c r="AM98" s="2">
        <f>2812.79724028358*(1/14151.6638359215)</f>
        <v>0.19876088585031187</v>
      </c>
      <c r="AN98" s="2">
        <f>3021.97875636212*(1/14151.6638359215)</f>
        <v>0.21354229378254169</v>
      </c>
      <c r="AO98" s="2">
        <f>3235.34802666502*(1/14151.6638359215)</f>
        <v>0.22861962128104402</v>
      </c>
      <c r="AP98" s="2">
        <f>3451.79904708616*(1/14151.6638359215)</f>
        <v>0.24391471470120552</v>
      </c>
      <c r="AQ98" s="2">
        <f>3670.22581351927*(1/14151.6638359215)</f>
        <v>0.2593494203984022</v>
      </c>
      <c r="AR98" s="2">
        <f>3889.5223218582*(1/14151.6638359215)</f>
        <v>0.27484558472801868</v>
      </c>
      <c r="AS98" s="2">
        <f>4108.58256799678*(1/14151.6638359215)</f>
        <v>0.29032505404543801</v>
      </c>
      <c r="AT98" s="2">
        <f>4328.48809037203*(1/14151.6638359215)</f>
        <v>0.30586425317600657</v>
      </c>
      <c r="AU98" s="2">
        <f>4553.48180019349*(1/14151.6638359215)</f>
        <v>0.32176299924785384</v>
      </c>
      <c r="AV98" s="2">
        <f>4782.70383454347*(1/14151.6638359215)</f>
        <v>0.3379605317081813</v>
      </c>
      <c r="AW98" s="2">
        <f>5015.05130265244*(1/14151.6638359215)</f>
        <v>0.35437891691029422</v>
      </c>
      <c r="AX98" s="2">
        <f>5249.42131375081*(1/14151.6638359215)</f>
        <v>0.37094022120749376</v>
      </c>
      <c r="AY98" s="2">
        <f>5484.71097706901*(1/14151.6638359215)</f>
        <v>0.38756651095308242</v>
      </c>
      <c r="AZ98" s="2">
        <f>5719.81740183744*(1/14151.6638359215)</f>
        <v>0.4041798525003607</v>
      </c>
      <c r="BA98" s="2">
        <f>5953.63769728658*(1/14151.6638359215)</f>
        <v>0.4207023122026346</v>
      </c>
      <c r="BB98" s="2">
        <f>6185.06897264674*(1/14151.6638359215)</f>
        <v>0.43705595641319817</v>
      </c>
      <c r="BC98" s="2">
        <f>6413.0083371484*(1/14151.6638359215)</f>
        <v>0.45316285148535757</v>
      </c>
      <c r="BD98" s="2">
        <f>6636.39575715795*(1/14151.6638359215)</f>
        <v>0.46894809218917649</v>
      </c>
      <c r="BE98" s="2">
        <f>6856.08091160069*(1/14151.6638359215)</f>
        <v>0.48447171944529516</v>
      </c>
      <c r="BF98" s="2">
        <f>7073.13681322563*(1/14151.6638359215)</f>
        <v>0.49980955562777868</v>
      </c>
      <c r="BG98" s="2">
        <f>7288.00122504308*(1/14151.6638359215)</f>
        <v>0.51499253441448889</v>
      </c>
      <c r="BH98" s="2">
        <f>7501.11191006326*(1/14151.6638359215)</f>
        <v>0.53005158948328124</v>
      </c>
      <c r="BI98" s="2">
        <f>7712.90663129649*(1/14151.6638359215)</f>
        <v>0.54501765451201845</v>
      </c>
      <c r="BJ98" s="2">
        <f>7923.82315175307*(1/14151.6638359215)</f>
        <v>0.55992166317856173</v>
      </c>
      <c r="BK98" s="2">
        <f>8134.29923444327*(1/14151.6638359215)</f>
        <v>0.57479454916076989</v>
      </c>
      <c r="BL98" s="2">
        <f>8344.77264237737*(1/14151.6638359215)</f>
        <v>0.5896672461365029</v>
      </c>
      <c r="BM98" s="2">
        <f>8555.68113856572*(1/14151.6638359215)</f>
        <v>0.60457068778362544</v>
      </c>
      <c r="BN98" s="2">
        <f>8767.46248601851*(1/14151.6638359215)</f>
        <v>0.61953580777999084</v>
      </c>
      <c r="BO98" s="2">
        <f>8981.69315240591*(1/14151.6638359215)</f>
        <v>0.63467400416956399</v>
      </c>
      <c r="BP98" s="2">
        <f>9201.90826784539*(1/14151.6638359215)</f>
        <v>0.65023508009623376</v>
      </c>
      <c r="BQ98" s="2">
        <f>9426.32794970404*(1/14151.6638359215)</f>
        <v>0.66609326359046006</v>
      </c>
      <c r="BR98" s="2">
        <f>9652.6993197678*(1/14151.6638359215)</f>
        <v>0.68208935936325221</v>
      </c>
      <c r="BS98" s="2">
        <f>9878.76949982246*(1/14151.6638359215)</f>
        <v>0.69806417212560889</v>
      </c>
      <c r="BT98" s="2">
        <f>10102.2856116539*(1/14151.6638359215)</f>
        <v>0.713858506588535</v>
      </c>
      <c r="BU98" s="2">
        <f>10320.9947770481*(1/14151.6638359215)</f>
        <v>0.72931316746304253</v>
      </c>
      <c r="BV98" s="2">
        <f>10532.6441177908*(1/14151.6638359215)</f>
        <v>0.74426895946012672</v>
      </c>
      <c r="BW98" s="2">
        <f>10734.980755668*(1/14151.6638359215)</f>
        <v>0.7585666872908009</v>
      </c>
      <c r="BX98" s="2">
        <f>10925.7518124656*(1/14151.6638359215)</f>
        <v>0.77204715566607141</v>
      </c>
      <c r="BY98" s="2">
        <f>11102.7441052964*(1/14151.6638359215)</f>
        <v>0.78455397429057394</v>
      </c>
      <c r="BZ98" s="2">
        <f>11274.8178618433*(1/14151.6638359215)</f>
        <v>0.79671323404560845</v>
      </c>
      <c r="CA98" s="2">
        <f>11447.5640321465*(1/14151.6638359215)</f>
        <v>0.80892000862039137</v>
      </c>
      <c r="CB98" s="2">
        <f>11617.4554551226*(1/14151.6638359215)</f>
        <v>0.82092505798743887</v>
      </c>
      <c r="CC98" s="2">
        <f>11780.9649696879*(1/14151.6638359215)</f>
        <v>0.8324791421192469</v>
      </c>
      <c r="CD98" s="2">
        <f>11934.565414759*(1/14151.6638359215)</f>
        <v>0.84333302098833163</v>
      </c>
      <c r="CE98" s="2">
        <f>12074.7296292524*(1/14151.6638359215)</f>
        <v>0.85323745456720301</v>
      </c>
      <c r="CF98" s="2">
        <f>12197.9304520845*(1/14151.6638359215)</f>
        <v>0.86194320282836334</v>
      </c>
      <c r="CG98" s="2">
        <f>12300.640722172*(1/14151.6638359215)</f>
        <v>0.86920102574433655</v>
      </c>
      <c r="CH98" s="2">
        <f>12379.3332784312*(1/14151.6638359215)</f>
        <v>0.87476168328761805</v>
      </c>
      <c r="CI98" s="2">
        <f>12430.4809597787*(1/14151.6638359215)</f>
        <v>0.87837593543072445</v>
      </c>
      <c r="CJ98" s="2">
        <f>12451.5429974223*(1/14151.6638359215)</f>
        <v>0.87986424365283877</v>
      </c>
      <c r="CK98" s="2">
        <f>12446.805162768*(1/14151.6638359215)</f>
        <v>0.87952945371511604</v>
      </c>
      <c r="CL98" s="2">
        <f>12418.5683882518*(1/14151.6638359215)</f>
        <v>0.87753415656535438</v>
      </c>
      <c r="CM98" s="2">
        <f>12368.3577227676*(1/14151.6638359215)</f>
        <v>0.87398611683897609</v>
      </c>
      <c r="CN98" s="2">
        <f>12297.6982152094*(1/14151.6638359215)</f>
        <v>0.86899309917141088</v>
      </c>
      <c r="CO98" s="2">
        <f>12208.1149144709*(1/14151.6638359215)</f>
        <v>0.86266286819806703</v>
      </c>
      <c r="CP98" s="2">
        <f>12101.132869446*(1/14151.6638359215)</f>
        <v>0.85510318855436718</v>
      </c>
      <c r="CQ98" s="2">
        <f>11978.2771290286*(1/14151.6638359215)</f>
        <v>0.84642182487573359</v>
      </c>
      <c r="CR98" s="2">
        <f>11841.0727421126*(1/14151.6638359215)</f>
        <v>0.83672654179758899</v>
      </c>
      <c r="CS98" s="2">
        <f>11691.0447575919*(1/14151.6638359215)</f>
        <v>0.82612510395535599</v>
      </c>
      <c r="CT98" s="2">
        <f>11529.7182243603*(1/14151.6638359215)</f>
        <v>0.81472527598444977</v>
      </c>
      <c r="CU98" s="2">
        <f>11350.728778155*(1/14151.6638359215)</f>
        <v>0.80207733237297374</v>
      </c>
      <c r="CV98" s="2">
        <f>11146.9799185366*(1/14151.6638359215)</f>
        <v>0.78767981261976838</v>
      </c>
      <c r="CW98" s="2">
        <f>10922.2086585235*(1/14151.6638359215)</f>
        <v>0.77179678553410813</v>
      </c>
      <c r="CX98" s="2">
        <f>10680.1885390544*(1/14151.6638359215)</f>
        <v>0.75469490110022452</v>
      </c>
      <c r="CY98" s="2">
        <f>10424.6931010681*(1/14151.6638359215)</f>
        <v>0.7366408093023562</v>
      </c>
      <c r="CZ98" s="2">
        <f>10159.4958855036*(1/14151.6638359215)</f>
        <v>0.71790116012475602</v>
      </c>
      <c r="DA98" s="2">
        <f>9888.37043329946*(1/14151.6638359215)</f>
        <v>0.69874260355164586</v>
      </c>
      <c r="DB98" s="2">
        <f>9615.0902853947*(1/14151.6638359215)</f>
        <v>0.67943178956727979</v>
      </c>
      <c r="DC98" s="2">
        <f>9343.42898272807*(1/14151.6638359215)</f>
        <v>0.66023536815589312</v>
      </c>
      <c r="DD98" s="2">
        <f>9077.16006623839*(1/14151.6638359215)</f>
        <v>0.64141998930172595</v>
      </c>
      <c r="DE98" s="2">
        <f>8818.70278026704*(1/14151.6638359215)</f>
        <v>0.62315660423492536</v>
      </c>
      <c r="DF98" s="2">
        <f>8557.00740049872*(1/14151.6638359215)</f>
        <v>0.60466440552228695</v>
      </c>
      <c r="DG98" s="2">
        <f>8290.07278994167*(1/14151.6638359215)</f>
        <v>0.58580198668221506</v>
      </c>
      <c r="DH98" s="2">
        <f>8019.51958343972*(1/14151.6638359215)</f>
        <v>0.56668386674672033</v>
      </c>
      <c r="DI98" s="2">
        <f>7746.96841583685*(1/14151.6638359215)</f>
        <v>0.54742456474782408</v>
      </c>
      <c r="DJ98" s="2">
        <f>7474.03992197692*(1/14151.6638359215)</f>
        <v>0.52813859971753918</v>
      </c>
      <c r="DK98" s="2">
        <f>7202.35473670379*(1/14151.6638359215)</f>
        <v>0.50894049068787828</v>
      </c>
      <c r="DL98" s="2">
        <f>6933.53349486135*(1/14151.6638359215)</f>
        <v>0.48994475669085635</v>
      </c>
      <c r="DM98" s="2">
        <f>6669.19683129344*(1/14151.6638359215)</f>
        <v>0.47126591675848467</v>
      </c>
      <c r="DN98" s="2">
        <f>6410.96538084405*(1/14151.6638359215)</f>
        <v>0.45301848992278537</v>
      </c>
      <c r="DO98" s="2">
        <f>6160.45977835699*(1/14151.6638359215)</f>
        <v>0.43531699521576755</v>
      </c>
      <c r="DP98" s="2">
        <f>5917.55060033855*(1/14151.6638359215)</f>
        <v>0.41815228717614761</v>
      </c>
      <c r="DQ98" s="2">
        <f>5679.37043438613*(1/14151.6638359215)</f>
        <v>0.40132174564308482</v>
      </c>
      <c r="DR98" s="2">
        <f>5445.57772694514*(1/14151.6638359215)</f>
        <v>0.38480123539413807</v>
      </c>
      <c r="DS98" s="2">
        <f>5215.91310717569*(1/14151.6638359215)</f>
        <v>0.36857242848971694</v>
      </c>
      <c r="DT98" s="2">
        <f>4990.11720423784*(1/14151.6638359215)</f>
        <v>0.3526169969902273</v>
      </c>
      <c r="DU98" s="2">
        <f>4767.93064729179*(1/14151.6638359215)</f>
        <v>0.33691661295608505</v>
      </c>
      <c r="DV98" s="2">
        <f>4549.0940654976*(1/14151.6638359215)</f>
        <v>0.32145294844769617</v>
      </c>
      <c r="DW98" s="2">
        <f>4333.3480880154*(1/14151.6638359215)</f>
        <v>0.30620767552547151</v>
      </c>
      <c r="DX98" s="2">
        <f>4120.43334400528*(1/14151.6638359215)</f>
        <v>0.29116246624981912</v>
      </c>
      <c r="DY98" s="2">
        <f>3910.09046262732*(1/14151.6638359215)</f>
        <v>0.27629899268114649</v>
      </c>
      <c r="DZ98" s="2">
        <f>3701.99778492577*(1/14151.6638359215)</f>
        <v>0.26159452541042577</v>
      </c>
      <c r="EA98" s="2">
        <f>3494.81496686668*(1/14151.6638359215)</f>
        <v>0.2469543516145225</v>
      </c>
      <c r="EB98" s="2">
        <f>3288.72903600781*(1/14151.6638359215)</f>
        <v>0.23239168723468065</v>
      </c>
      <c r="EC98" s="2">
        <f>3084.59178447876*(1/14151.6638359215)</f>
        <v>0.21796672251704202</v>
      </c>
      <c r="ED98" s="2">
        <f>2883.25500440911*(1/14151.6638359215)</f>
        <v>0.203739647707747</v>
      </c>
      <c r="EE98" s="2">
        <f>2685.57048792842*(1/14151.6638359215)</f>
        <v>0.18977065305293456</v>
      </c>
      <c r="EF98" s="2">
        <f>2492.39002716636*(1/14151.6638359215)</f>
        <v>0.17611992879875144</v>
      </c>
      <c r="EG98" s="2">
        <f>2304.56541425247*(1/14151.6638359215)</f>
        <v>0.16284766519133514</v>
      </c>
      <c r="EH98" s="2">
        <f>2122.94844131636*(1/14151.6638359215)</f>
        <v>0.15001405247682822</v>
      </c>
      <c r="EI98" s="2">
        <f>1948.39090048761*(1/14151.6638359215)</f>
        <v>0.13767928090137102</v>
      </c>
      <c r="EJ98" s="2">
        <f>1781.74458389578*(1/14151.6638359215)</f>
        <v>0.12590354071110252</v>
      </c>
      <c r="EK98" s="2">
        <f>1622.49306795352*(1/14151.6638359215)</f>
        <v>0.11465033983036736</v>
      </c>
      <c r="EL98" s="2">
        <f>1467.31950347275*(1/14151.6638359215)</f>
        <v>0.10368529951568088</v>
      </c>
      <c r="EM98" s="2">
        <f>1316.73066419411*(1/14151.6638359215)</f>
        <v>9.3044229954913266E-2</v>
      </c>
      <c r="EN98" s="2">
        <f>1171.51498179868*(1/14151.6638359215)</f>
        <v>8.2782844150452201E-2</v>
      </c>
      <c r="EO98" s="2">
        <f>1032.46088796754*(1/14151.6638359215)</f>
        <v>7.2956855104685317E-2</v>
      </c>
      <c r="EP98" s="2">
        <f>900.356814381753*(1/14151.6638359215)</f>
        <v>6.362197581999908E-2</v>
      </c>
      <c r="EQ98" s="2">
        <f>775.991192722386*(1/14151.6638359215)</f>
        <v>5.4833919298780218E-2</v>
      </c>
      <c r="ER98" s="2">
        <f>660.152454670556*(1/14151.6638359215)</f>
        <v>4.6648398543419019E-2</v>
      </c>
      <c r="ES98" s="2">
        <f>553.629031907317*(1/14151.6638359215)</f>
        <v>3.9121126556301275E-2</v>
      </c>
      <c r="ET98" s="2">
        <f>457.209356113742*(1/14151.6638359215)</f>
        <v>3.230781633981418E-2</v>
      </c>
      <c r="EU98" s="2">
        <f>371.703011297263*(1/14151.6638359215)</f>
        <v>2.6265675584644724E-2</v>
      </c>
      <c r="EV98" s="2">
        <f>299.047555325296*(1/14151.6638359215)</f>
        <v>2.1131618076329413E-2</v>
      </c>
      <c r="EW98" s="2">
        <f>238.996858991248*(1/14151.6638359215)</f>
        <v>1.6888251569726852E-2</v>
      </c>
      <c r="EX98" s="2">
        <f>189.965403070056*(1/14151.6638359215)</f>
        <v>1.3423538410223E-2</v>
      </c>
      <c r="EY98" s="2">
        <f>150.367668336672*(1/14151.6638359215)</f>
        <v>1.0625440943204872E-2</v>
      </c>
      <c r="EZ98" s="2">
        <f>118.618135566051*(1/14151.6638359215)</f>
        <v>8.3819215140596964E-3</v>
      </c>
      <c r="FA98" s="2">
        <f>93.1312855331425*(1/14151.6638359215)</f>
        <v>6.5809424681743207E-3</v>
      </c>
      <c r="FB98" s="2">
        <f>72.3215990128971*(1/14151.6638359215)</f>
        <v>5.1104661509356582E-3</v>
      </c>
      <c r="FC98" s="2">
        <f>54.6035567802745*(1/14151.6638359215)</f>
        <v>3.8584549077312746E-3</v>
      </c>
      <c r="FD98" s="2">
        <f>38.3916396102228*(1/14151.6638359215)</f>
        <v>2.7128710839479106E-3</v>
      </c>
      <c r="FE98" s="2">
        <f>22.1003282776943*(1/14151.6638359215)</f>
        <v>1.5616770249726056E-3</v>
      </c>
      <c r="FF98" s="2">
        <f>5.07427999753111*(1/14151.6638359215)</f>
        <v>3.5856419827122704E-4</v>
      </c>
      <c r="FG98" s="2">
        <f>-9.24011700590184*(1/14151.6638359215)</f>
        <v>-6.5293502679504263E-4</v>
      </c>
      <c r="FH98" s="2">
        <f>-20.3307431196258*(1/14151.6638359215)</f>
        <v>-1.4366327066093669E-3</v>
      </c>
      <c r="FI98" s="2">
        <f>-28.1975983436439*(1/14151.6638359215)</f>
        <v>-1.9925288411719671E-3</v>
      </c>
      <c r="FJ98" s="2">
        <f>-32.8406826779559*(1/14151.6638359215)</f>
        <v>-2.320623430482826E-3</v>
      </c>
      <c r="FK98" s="2">
        <f>-34.259996122562*(1/14151.6638359215)</f>
        <v>-2.4209164745419582E-3</v>
      </c>
      <c r="FL98" s="2">
        <f>-32.4555386774622*(1/14151.6638359215)</f>
        <v>-2.2934079733493633E-3</v>
      </c>
      <c r="FM98" s="2">
        <f>-27.4273103426551*(1/14151.6638359215)</f>
        <v>-1.9380979269049423E-3</v>
      </c>
      <c r="FN98" s="2">
        <f>-19.1753111181427*(1/14151.6638359215)</f>
        <v>-1.3549863352088367E-3</v>
      </c>
      <c r="FO98" s="2">
        <f>-7.69954100392432*(1/14151.6638359215)</f>
        <v>-5.440731982609985E-4</v>
      </c>
      <c r="FP98" s="2">
        <f t="shared" si="17"/>
        <v>4.9464148393856954E-4</v>
      </c>
      <c r="FQ98" s="2"/>
    </row>
    <row r="99" spans="2:173">
      <c r="B99" s="2">
        <v>10.20887573964497</v>
      </c>
      <c r="C99" s="2">
        <f t="shared" si="18"/>
        <v>4.9464148393856954E-4</v>
      </c>
      <c r="D99" s="2">
        <f>-13.1231721884157*(1/14151.6638359215)</f>
        <v>-9.2732362360847245E-4</v>
      </c>
      <c r="E99" s="2">
        <f>-29.020087534076*(1/14151.6638359215)</f>
        <v>-2.0506484516975053E-3</v>
      </c>
      <c r="F99" s="2">
        <f>-40.6907460369828*(1/14151.6638359215)</f>
        <v>-2.8753330003286632E-3</v>
      </c>
      <c r="G99" s="2">
        <f>-48.1351476971317*(1/14151.6638359215)</f>
        <v>-3.4013772695016347E-3</v>
      </c>
      <c r="H99" s="2">
        <f>-51.3532925145253*(1/14151.6638359215)</f>
        <v>-3.6287812592166045E-3</v>
      </c>
      <c r="I99" s="2">
        <f>-50.3451804891635*(1/14151.6638359215)</f>
        <v>-3.557544969473565E-3</v>
      </c>
      <c r="J99" s="2">
        <f>-45.1108116210464*(1/14151.6638359215)</f>
        <v>-3.1876684002725229E-3</v>
      </c>
      <c r="K99" s="2">
        <f>-35.650185910174*(1/14151.6638359215)</f>
        <v>-2.5191515516134787E-3</v>
      </c>
      <c r="L99" s="2">
        <f>-21.9633033565434*(1/14151.6638359215)</f>
        <v>-1.5519944234962276E-3</v>
      </c>
      <c r="M99" s="2">
        <f>-4.05016396015949*(1/14151.6638359215)</f>
        <v>-2.8619701592111482E-4</v>
      </c>
      <c r="N99" s="2">
        <f>17.6617971313694*(1/14151.6638359215)</f>
        <v>1.2480367917260759E-3</v>
      </c>
      <c r="O99" s="2">
        <f>40.2960889145994*(1/14151.6638359215)</f>
        <v>2.847445316805427E-3</v>
      </c>
      <c r="P99" s="2">
        <f>64.3996862231696*(1/14151.6638359215)</f>
        <v>4.5506794798009804E-3</v>
      </c>
      <c r="Q99" s="2">
        <f>91.2959256894392*(1/14151.6638359215)</f>
        <v>6.4512503086527973E-3</v>
      </c>
      <c r="R99" s="2">
        <f>122.308143945774*(1/14151.6638359215)</f>
        <v>8.6426688313014036E-3</v>
      </c>
      <c r="S99" s="2">
        <f>158.759677624521*(1/14151.6638359215)</f>
        <v>1.1218446075685997E-2</v>
      </c>
      <c r="T99" s="2">
        <f>201.973863358046*(1/14151.6638359215)</f>
        <v>1.4272093069747107E-2</v>
      </c>
      <c r="U99" s="2">
        <f>253.274037778708*(1/14151.6638359215)</f>
        <v>1.789712084142478E-2</v>
      </c>
      <c r="V99" s="2">
        <f>313.983537518865*(1/14151.6638359215)</f>
        <v>2.2187040418658988E-2</v>
      </c>
      <c r="W99" s="2">
        <f>385.425699210878*(1/14151.6638359215)</f>
        <v>2.723536282938992E-2</v>
      </c>
      <c r="X99" s="2">
        <f>468.923859487122*(1/14151.6638359215)</f>
        <v>3.3135599101558756E-2</v>
      </c>
      <c r="Y99" s="2">
        <f>564.781787256395*(1/14151.6638359215)</f>
        <v>3.9909214478568669E-2</v>
      </c>
      <c r="Z99" s="2">
        <f>671.492248839185*(1/14151.6638359215)</f>
        <v>4.7449703202723098E-2</v>
      </c>
      <c r="AA99" s="2">
        <f>788.302195415865*(1/14151.6638359215)</f>
        <v>5.5703852533219383E-2</v>
      </c>
      <c r="AB99" s="2">
        <f>914.474018627124*(1/14151.6638359215)</f>
        <v>6.4619540799569677E-2</v>
      </c>
      <c r="AC99" s="2">
        <f>1049.27011011364*(1/14151.6638359215)</f>
        <v>7.4144646331285299E-2</v>
      </c>
      <c r="AD99" s="2">
        <f>1191.95286151614*(1/14151.6638359215)</f>
        <v>8.4227047457881121E-2</v>
      </c>
      <c r="AE99" s="2">
        <f>1341.78466447525*(1/14151.6638359215)</f>
        <v>9.4814622508864771E-2</v>
      </c>
      <c r="AF99" s="2">
        <f>1498.02791063168*(1/14151.6638359215)</f>
        <v>0.10585524981374987</v>
      </c>
      <c r="AG99" s="2">
        <f>1659.94499162612*(1/14151.6638359215)</f>
        <v>0.11729680770204863</v>
      </c>
      <c r="AH99" s="2">
        <f>1826.79829909925*(1/14151.6638359215)</f>
        <v>0.12908717450327256</v>
      </c>
      <c r="AI99" s="2">
        <f>1998.1771034007*(1/14151.6638359215)</f>
        <v>0.14119732679974212</v>
      </c>
      <c r="AJ99" s="2">
        <f>2178.00321179972*(1/14151.6638359215)</f>
        <v>0.15390439152965485</v>
      </c>
      <c r="AK99" s="2">
        <f>2366.71653866659*(1/14151.6638359215)</f>
        <v>0.16723945439257101</v>
      </c>
      <c r="AL99" s="2">
        <f>2563.14030966302*(1/14151.6638359215)</f>
        <v>0.1811193609020687</v>
      </c>
      <c r="AM99" s="2">
        <f>2766.09775045069*(1/14151.6638359215)</f>
        <v>0.19546095657172405</v>
      </c>
      <c r="AN99" s="2">
        <f>2974.41208669131*(1/14151.6638359215)</f>
        <v>0.21018108691511525</v>
      </c>
      <c r="AO99" s="2">
        <f>3186.90654404658*(1/14151.6638359215)</f>
        <v>0.22519659744581982</v>
      </c>
      <c r="AP99" s="2">
        <f>3402.40434817822*(1/14151.6638359215)</f>
        <v>0.24042433367741661</v>
      </c>
      <c r="AQ99" s="2">
        <f>3619.72872474786*(1/14151.6638359215)</f>
        <v>0.25578114112347822</v>
      </c>
      <c r="AR99" s="2">
        <f>3837.70289941723*(1/14151.6638359215)</f>
        <v>0.27118386529758426</v>
      </c>
      <c r="AS99" s="2">
        <f>4055.15009784803*(1/14151.6638359215)</f>
        <v>0.28654935171331214</v>
      </c>
      <c r="AT99" s="2">
        <f>4273.14180678394*(1/14151.6638359215)</f>
        <v>0.30195331491250693</v>
      </c>
      <c r="AU99" s="2">
        <f>4496.04266724007*(1/14151.6638359215)</f>
        <v>0.31770417382496463</v>
      </c>
      <c r="AV99" s="2">
        <f>4723.0142478685*(1/14151.6638359215)</f>
        <v>0.33374268231838311</v>
      </c>
      <c r="AW99" s="2">
        <f>4952.96924249457*(1/14151.6638359215)</f>
        <v>0.34999200800137237</v>
      </c>
      <c r="AX99" s="2">
        <f>5184.8203449436*(1/14151.6638359215)</f>
        <v>0.36637531848254118</v>
      </c>
      <c r="AY99" s="2">
        <f>5417.48024904091*(1/14151.6638359215)</f>
        <v>0.38281578137049815</v>
      </c>
      <c r="AZ99" s="2">
        <f>5649.8616486118*(1/14151.6638359215)</f>
        <v>0.39923656427385051</v>
      </c>
      <c r="BA99" s="2">
        <f>5880.87723748162*(1/14151.6638359215)</f>
        <v>0.41556083480120914</v>
      </c>
      <c r="BB99" s="2">
        <f>6109.43970947561*(1/14151.6638359215)</f>
        <v>0.43171176056117694</v>
      </c>
      <c r="BC99" s="2">
        <f>6334.46175841912*(1/14151.6638359215)</f>
        <v>0.44761250916236489</v>
      </c>
      <c r="BD99" s="2">
        <f>6554.90396604436*(1/14151.6638359215)</f>
        <v>0.4631896321198567</v>
      </c>
      <c r="BE99" s="2">
        <f>6771.79138578868*(1/14151.6638359215)</f>
        <v>0.47851556285556213</v>
      </c>
      <c r="BF99" s="2">
        <f>6986.20519065858*(1/14151.6638359215)</f>
        <v>0.49366670037238536</v>
      </c>
      <c r="BG99" s="2">
        <f>7198.48424059939*(1/14151.6638359215)</f>
        <v>0.50866698955406997</v>
      </c>
      <c r="BH99" s="2">
        <f>7408.96739555633*(1/14151.6638359215)</f>
        <v>0.52354037528435171</v>
      </c>
      <c r="BI99" s="2">
        <f>7617.99351547476*(1/14151.6638359215)</f>
        <v>0.53831080244697649</v>
      </c>
      <c r="BJ99" s="2">
        <f>7825.90146029996*(1/14151.6638359215)</f>
        <v>0.55300221592568433</v>
      </c>
      <c r="BK99" s="2">
        <f>8033.03008997725*(1/14151.6638359215)</f>
        <v>0.56763856060421825</v>
      </c>
      <c r="BL99" s="2">
        <f>8239.71826445192*(1/14151.6638359215)</f>
        <v>0.58224378136631894</v>
      </c>
      <c r="BM99" s="2">
        <f>8446.30484366931*(1/14151.6638359215)</f>
        <v>0.59684182309573075</v>
      </c>
      <c r="BN99" s="2">
        <f>8653.12868757465*(1/14151.6638359215)</f>
        <v>0.61145663067619027</v>
      </c>
      <c r="BO99" s="2">
        <f>8861.60516126419*(1/14151.6638359215)</f>
        <v>0.62618821814934367</v>
      </c>
      <c r="BP99" s="2">
        <f>9075.07146342871*(1/14151.6638359215)</f>
        <v>0.64127240221699189</v>
      </c>
      <c r="BQ99" s="2">
        <f>9291.92562170685*(1/14151.6638359215)</f>
        <v>0.65659598259541319</v>
      </c>
      <c r="BR99" s="2">
        <f>9510.12224090309*(1/14151.6638359215)</f>
        <v>0.67201442538249989</v>
      </c>
      <c r="BS99" s="2">
        <f>9727.61592582177*(1/14151.6638359215)</f>
        <v>0.68738319667613468</v>
      </c>
      <c r="BT99" s="2">
        <f>9942.36128126738*(1/14151.6638359215)</f>
        <v>0.70255776257421065</v>
      </c>
      <c r="BU99" s="2">
        <f>10152.3129120443*(1/14151.6638359215)</f>
        <v>0.71739358917461338</v>
      </c>
      <c r="BV99" s="2">
        <f>10355.4254229571*(1/14151.6638359215)</f>
        <v>0.73174614257524129</v>
      </c>
      <c r="BW99" s="2">
        <f>10549.6534188101*(1/14151.6638359215)</f>
        <v>0.74547088887397583</v>
      </c>
      <c r="BX99" s="2">
        <f>10732.9515044078*(1/14151.6638359215)</f>
        <v>0.7584232941687109</v>
      </c>
      <c r="BY99" s="2">
        <f>10903.3107951088*(1/14151.6638359215)</f>
        <v>0.77046140450514877</v>
      </c>
      <c r="BZ99" s="2">
        <f>11068.8972726288*(1/14151.6638359215)</f>
        <v>0.7821622532138135</v>
      </c>
      <c r="CA99" s="2">
        <f>11234.8341495632*(1/14151.6638359215)</f>
        <v>0.79388786222052254</v>
      </c>
      <c r="CB99" s="2">
        <f>11397.8501985453*(1/14151.6638359215)</f>
        <v>0.80540707655970956</v>
      </c>
      <c r="CC99" s="2">
        <f>11554.6741922081*(1/14151.6638359215)</f>
        <v>0.81648874126578674</v>
      </c>
      <c r="CD99" s="2">
        <f>11702.0349031849*(1/14151.6638359215)</f>
        <v>0.82690170137318775</v>
      </c>
      <c r="CE99" s="2">
        <f>11836.6611041087*(1/14151.6638359215)</f>
        <v>0.83641480191632489</v>
      </c>
      <c r="CF99" s="2">
        <f>11955.2815676129*(1/14151.6638359215)</f>
        <v>0.84479688792963892</v>
      </c>
      <c r="CG99" s="2">
        <f>12054.6250663305*(1/14151.6638359215)</f>
        <v>0.85181680444754226</v>
      </c>
      <c r="CH99" s="2">
        <f>12131.4203728948*(1/14151.6638359215)</f>
        <v>0.85724339650446835</v>
      </c>
      <c r="CI99" s="2">
        <f>12182.3962599388*(1/14151.6638359215)</f>
        <v>0.8608455091348296</v>
      </c>
      <c r="CJ99" s="2">
        <f>12205.3083669927*(1/14151.6638359215)</f>
        <v>0.86246454893958691</v>
      </c>
      <c r="CK99" s="2">
        <f>12204.7035577322*(1/14151.6638359215)</f>
        <v>0.86242181126099926</v>
      </c>
      <c r="CL99" s="2">
        <f>12182.5717452686*(1/14151.6638359215)</f>
        <v>0.86085790946682139</v>
      </c>
      <c r="CM99" s="2">
        <f>12140.0600746674*(1/14151.6638359215)</f>
        <v>0.85785390434812347</v>
      </c>
      <c r="CN99" s="2">
        <f>12078.3156909943*(1/14151.6638359215)</f>
        <v>0.85349085669599001</v>
      </c>
      <c r="CO99" s="2">
        <f>11998.4857393149*(1/14151.6638359215)</f>
        <v>0.84784982730149805</v>
      </c>
      <c r="CP99" s="2">
        <f>11901.7173646948*(1/14151.6638359215)</f>
        <v>0.84101187695572532</v>
      </c>
      <c r="CQ99" s="2">
        <f>11789.1577121997*(1/14151.6638359215)</f>
        <v>0.83305806644975589</v>
      </c>
      <c r="CR99" s="2">
        <f>11661.9539268952*(1/14151.6638359215)</f>
        <v>0.82406945657466713</v>
      </c>
      <c r="CS99" s="2">
        <f>11521.2531538469*(1/14151.6638359215)</f>
        <v>0.81412710812153644</v>
      </c>
      <c r="CT99" s="2">
        <f>11368.2025381205*(1/14151.6638359215)</f>
        <v>0.8033120818814482</v>
      </c>
      <c r="CU99" s="2">
        <f>11196.8679975365*(1/14151.6638359215)</f>
        <v>0.79120505739510483</v>
      </c>
      <c r="CV99" s="2">
        <f>11000.9627187571*(1/14151.6638359215)</f>
        <v>0.77736178913698473</v>
      </c>
      <c r="CW99" s="2">
        <f>10784.1054441647*(1/14151.6638359215)</f>
        <v>0.76203798855023341</v>
      </c>
      <c r="CX99" s="2">
        <f>10549.9480189267*(1/14151.6638359215)</f>
        <v>0.74549170622238214</v>
      </c>
      <c r="CY99" s="2">
        <f>10302.1422882107*(1/14151.6638359215)</f>
        <v>0.72798099274097583</v>
      </c>
      <c r="CZ99" s="2">
        <f>10044.3400971843*(1/14151.6638359215)</f>
        <v>0.70976389869355971</v>
      </c>
      <c r="DA99" s="2">
        <f>9780.1932910148*(1/14151.6638359215)</f>
        <v>0.69109847466765761</v>
      </c>
      <c r="DB99" s="2">
        <f>9513.35371486997*(1/14151.6638359215)</f>
        <v>0.67224277125082654</v>
      </c>
      <c r="DC99" s="2">
        <f>9247.47321391726*(1/14151.6638359215)</f>
        <v>0.65345483903060086</v>
      </c>
      <c r="DD99" s="2">
        <f>8986.20363332421*(1/14151.6638359215)</f>
        <v>0.63499272859452183</v>
      </c>
      <c r="DE99" s="2">
        <f>8731.83677277304*(1/14151.6638359215)</f>
        <v>0.6170183855419753</v>
      </c>
      <c r="DF99" s="2">
        <f>8473.22827181458*(1/14151.6638359215)</f>
        <v>0.59874431516008642</v>
      </c>
      <c r="DG99" s="2">
        <f>8208.4977598282*(1/14151.6638359215)</f>
        <v>0.5800376446896921</v>
      </c>
      <c r="DH99" s="2">
        <f>7939.42060376878*(1/14151.6638359215)</f>
        <v>0.56102382700866327</v>
      </c>
      <c r="DI99" s="2">
        <f>7667.77217059135*(1/14151.6638359215)</f>
        <v>0.54182831499488171</v>
      </c>
      <c r="DJ99" s="2">
        <f>7395.32782725081*(1/14151.6638359215)</f>
        <v>0.52257656152621967</v>
      </c>
      <c r="DK99" s="2">
        <f>7123.86294070208*(1/14151.6638359215)</f>
        <v>0.50339401948055129</v>
      </c>
      <c r="DL99" s="2">
        <f>6855.15287790009*(1/14151.6638359215)</f>
        <v>0.48440614173575092</v>
      </c>
      <c r="DM99" s="2">
        <f>6590.97300579973*(1/14151.6638359215)</f>
        <v>0.46573838116969041</v>
      </c>
      <c r="DN99" s="2">
        <f>6333.09869135604*(1/14151.6638359215)</f>
        <v>0.44751619066025206</v>
      </c>
      <c r="DO99" s="2">
        <f>6083.30530152389*(1/14151.6638359215)</f>
        <v>0.42986502308530633</v>
      </c>
      <c r="DP99" s="2">
        <f>5841.38264426337*(1/14151.6638359215)</f>
        <v>0.41277002563020554</v>
      </c>
      <c r="DQ99" s="2">
        <f>5604.08925012879*(1/14151.6638359215)</f>
        <v>0.3960021461154129</v>
      </c>
      <c r="DR99" s="2">
        <f>5371.11071044417*(1/14151.6638359215)</f>
        <v>0.37953916745892124</v>
      </c>
      <c r="DS99" s="2">
        <f>5142.22666263394*(1/14151.6638359215)</f>
        <v>0.36336551816481855</v>
      </c>
      <c r="DT99" s="2">
        <f>4917.21674412251*(1/14151.6638359215)</f>
        <v>0.34746562673719139</v>
      </c>
      <c r="DU99" s="2">
        <f>4695.86059233437*(1/14151.6638359215)</f>
        <v>0.33182392168013186</v>
      </c>
      <c r="DV99" s="2">
        <f>4477.93784469393*(1/14151.6638359215)</f>
        <v>0.31642483149772649</v>
      </c>
      <c r="DW99" s="2">
        <f>4263.2281386256*(1/14151.6638359215)</f>
        <v>0.3012527846940618</v>
      </c>
      <c r="DX99" s="2">
        <f>4051.51111155384*(1/14151.6638359215)</f>
        <v>0.28629220977322783</v>
      </c>
      <c r="DY99" s="2">
        <f>3842.56640090302*(1/14151.6638359215)</f>
        <v>0.27152753523930834</v>
      </c>
      <c r="DZ99" s="2">
        <f>3636.11018072732*(1/14151.6638359215)</f>
        <v>0.25693870507987171</v>
      </c>
      <c r="EA99" s="2">
        <f>3430.79729942883*(1/14151.6638359215)</f>
        <v>0.24243066675455904</v>
      </c>
      <c r="EB99" s="2">
        <f>3226.78071393494*(1/14151.6638359215)</f>
        <v>0.2280142286693051</v>
      </c>
      <c r="EC99" s="2">
        <f>3024.88225735123*(1/14151.6638359215)</f>
        <v>0.21374746407366604</v>
      </c>
      <c r="ED99" s="2">
        <f>2825.92376278332*(1/14151.6638359215)</f>
        <v>0.19968844621720108</v>
      </c>
      <c r="EE99" s="2">
        <f>2630.72706333676*(1/14151.6638359215)</f>
        <v>0.1858952483494643</v>
      </c>
      <c r="EF99" s="2">
        <f>2440.11399211722*(1/14151.6638359215)</f>
        <v>0.17242594372001838</v>
      </c>
      <c r="EG99" s="2">
        <f>2254.90638223026*(1/14151.6638359215)</f>
        <v>0.15933860557841817</v>
      </c>
      <c r="EH99" s="2">
        <f>2075.92606678149*(1/14151.6638359215)</f>
        <v>0.14669130717422205</v>
      </c>
      <c r="EI99" s="2">
        <f>1903.99487887649*(1/14151.6638359215)</f>
        <v>0.13454212175698629</v>
      </c>
      <c r="EJ99" s="2">
        <f>1739.93465162084*(1/14151.6638359215)</f>
        <v>0.12294912257626719</v>
      </c>
      <c r="EK99" s="2">
        <f>1583.26313536613*(1/14151.6638359215)</f>
        <v>0.11187823239181927</v>
      </c>
      <c r="EL99" s="2">
        <f>1430.81880048386*(1/14151.6638359215)</f>
        <v>0.10110604781693437</v>
      </c>
      <c r="EM99" s="2">
        <f>1283.07365828049*(1/14151.6638359215)</f>
        <v>9.0665922619192957E-2</v>
      </c>
      <c r="EN99" s="2">
        <f>1140.76782868091*(1/14151.6638359215)</f>
        <v>8.0610155944015036E-2</v>
      </c>
      <c r="EO99" s="2">
        <f>1004.64143160998*(1/14151.6638359215)</f>
        <v>7.09910469368185E-2</v>
      </c>
      <c r="EP99" s="2">
        <f>875.434586992595*(1/14151.6638359215)</f>
        <v>6.1860894743023705E-2</v>
      </c>
      <c r="EQ99" s="2">
        <f>753.887414753608*(1/14151.6638359215)</f>
        <v>5.3271998508048077E-2</v>
      </c>
      <c r="ER99" s="2">
        <f>640.740034817943*(1/14151.6638359215)</f>
        <v>4.5276657377314004E-2</v>
      </c>
      <c r="ES99" s="2">
        <f>536.732567110458*(1/14151.6638359215)</f>
        <v>3.7927170496239261E-2</v>
      </c>
      <c r="ET99" s="2">
        <f>442.605131556031*(1/14151.6638359215)</f>
        <v>3.1275837010242995E-2</v>
      </c>
      <c r="EU99" s="2">
        <f>359.120020162636*(1/14151.6638359215)</f>
        <v>2.5376522812185043E-2</v>
      </c>
      <c r="EV99" s="2">
        <f>288.258731878652*(1/14151.6638359215)</f>
        <v>2.0369246699243809E-2</v>
      </c>
      <c r="EW99" s="2">
        <f>229.829367362619*(1/14151.6638359215)</f>
        <v>1.6240448474986929E-2</v>
      </c>
      <c r="EX99" s="2">
        <f>182.25835903557*(1/14151.6638359215)</f>
        <v>1.2878935024794707E-2</v>
      </c>
      <c r="EY99" s="2">
        <f>143.97213931855*(1/14151.6638359215)</f>
        <v>1.0173513234048293E-2</v>
      </c>
      <c r="EZ99" s="2">
        <f>113.397140632606*(1/14151.6638359215)</f>
        <v>8.0129899881289848E-3</v>
      </c>
      <c r="FA99" s="2">
        <f>88.9597953987846*(1/14151.6638359215)</f>
        <v>6.2861721724180499E-3</v>
      </c>
      <c r="FB99" s="2">
        <f>69.0865360381275*(1/14151.6638359215)</f>
        <v>4.8818666722964072E-3</v>
      </c>
      <c r="FC99" s="2">
        <f>52.2037949716886*(1/14151.6638359215)</f>
        <v>3.6888803731458409E-3</v>
      </c>
      <c r="FD99" s="2">
        <f>36.7380046205098*(1/14151.6638359215)</f>
        <v>2.5960201603472846E-3</v>
      </c>
      <c r="FE99" s="2">
        <f>21.1155974056373*(1/14151.6638359215)</f>
        <v>1.4920929192819776E-3</v>
      </c>
      <c r="FF99" s="2">
        <f>4.68617051672663*(1/14151.6638359215)</f>
        <v>3.3113919119754764E-4</v>
      </c>
      <c r="FG99" s="2">
        <f>-9.12986670102072*(1/14151.6638359215)</f>
        <v>-6.4514440187917453E-4</v>
      </c>
      <c r="FH99" s="2">
        <f>-19.8242549929714*(1/14151.6638359215)</f>
        <v>-1.4008427010999958E-3</v>
      </c>
      <c r="FI99" s="2">
        <f>-27.3969943591284*(1/14151.6638359215)</f>
        <v>-1.9359557064651273E-3</v>
      </c>
      <c r="FJ99" s="2">
        <f>-31.8480847994917*(1/14151.6638359215)</f>
        <v>-2.2504834179745679E-3</v>
      </c>
      <c r="FK99" s="2">
        <f>-33.1775263140612*(1/14151.6638359215)</f>
        <v>-2.3444258356283098E-3</v>
      </c>
      <c r="FL99" s="2">
        <f>-31.3853189028371*(1/14151.6638359215)</f>
        <v>-2.2177829594263688E-3</v>
      </c>
      <c r="FM99" s="2">
        <f>-26.4714625658179*(1/14151.6638359215)</f>
        <v>-1.8705547893686373E-3</v>
      </c>
      <c r="FN99" s="2">
        <f>-18.4359573030057*(1/14151.6638359215)</f>
        <v>-1.3027413254552641E-3</v>
      </c>
      <c r="FO99" s="2">
        <f>-7.27880311439969*(1/14151.6638359215)</f>
        <v>-5.1434256768619199E-4</v>
      </c>
      <c r="FP99" s="2">
        <f t="shared" si="17"/>
        <v>4.9464148393856954E-4</v>
      </c>
      <c r="FQ99" s="2"/>
    </row>
    <row r="100" spans="2:173">
      <c r="B100" s="2">
        <v>10.218343195266273</v>
      </c>
      <c r="C100" s="2">
        <f t="shared" si="18"/>
        <v>4.9464148393856954E-4</v>
      </c>
      <c r="D100" s="2">
        <f>-12.2096978869071*(1/14151.6638359215)</f>
        <v>-8.6277472588876345E-4</v>
      </c>
      <c r="E100" s="2">
        <f>-27.3851941811525*(1/14151.6638359215)</f>
        <v>-1.9351218696730217E-3</v>
      </c>
      <c r="F100" s="2">
        <f>-38.526488882738*(1/14151.6638359215)</f>
        <v>-2.7223999474143322E-3</v>
      </c>
      <c r="G100" s="2">
        <f>-45.6335819916594*(1/14151.6638359215)</f>
        <v>-3.2246089591123983E-3</v>
      </c>
      <c r="H100" s="2">
        <f>-48.7064735079192*(1/14151.6638359215)</f>
        <v>-3.441748904767397E-3</v>
      </c>
      <c r="I100" s="2">
        <f>-47.7451634315173*(1/14151.6638359215)</f>
        <v>-3.3738197843793203E-3</v>
      </c>
      <c r="J100" s="2">
        <f>-42.7496517624537*(1/14151.6638359215)</f>
        <v>-3.0208215979481692E-3</v>
      </c>
      <c r="K100" s="2">
        <f>-33.7199385007286*(1/14151.6638359215)</f>
        <v>-2.3827543454739571E-3</v>
      </c>
      <c r="L100" s="2">
        <f>-20.6560236463389*(1/14151.6638359215)</f>
        <v>-1.4596180269564653E-3</v>
      </c>
      <c r="M100" s="2">
        <f>-3.55790719928967*(1/14151.6638359215)</f>
        <v>-2.5141264239605173E-4</v>
      </c>
      <c r="N100" s="2">
        <f>17.1345320248076*(1/14151.6638359215)</f>
        <v>1.2107786210491106E-3</v>
      </c>
      <c r="O100" s="2">
        <f>38.4610614320916*(1/14151.6638359215)</f>
        <v>2.7177766429460387E-3</v>
      </c>
      <c r="P100" s="2">
        <f>60.9845796127617*(1/14151.6638359215)</f>
        <v>4.3093575652894687E-3</v>
      </c>
      <c r="Q100" s="2">
        <f>86.0669487200702*(1/14151.6638359215)</f>
        <v>6.0817547475657558E-3</v>
      </c>
      <c r="R100" s="2">
        <f>115.070030907275*(1/14151.6638359215)</f>
        <v>8.1312015492616529E-3</v>
      </c>
      <c r="S100" s="2">
        <f>149.355688327618*(1/14151.6638359215)</f>
        <v>1.055393132986278E-2</v>
      </c>
      <c r="T100" s="2">
        <f>190.285783134356*(1/14151.6638359215)</f>
        <v>1.3446177448855812E-2</v>
      </c>
      <c r="U100" s="2">
        <f>239.222177480742*(1/14151.6638359215)</f>
        <v>1.6904173265727154E-2</v>
      </c>
      <c r="V100" s="2">
        <f>297.526733520028*(1/14151.6638359215)</f>
        <v>2.1024152139963143E-2</v>
      </c>
      <c r="W100" s="2">
        <f>366.561313405465*(1/14151.6638359215)</f>
        <v>2.5902347431050039E-2</v>
      </c>
      <c r="X100" s="2">
        <f>447.687779290323*(1/14151.6638359215)</f>
        <v>3.1634992498475456E-2</v>
      </c>
      <c r="Y100" s="2">
        <f>541.118988409084*(1/14151.6638359215)</f>
        <v>3.8237128487715273E-2</v>
      </c>
      <c r="Z100" s="2">
        <f>645.192317543309*(1/14151.6638359215)</f>
        <v>4.5591269339341017E-2</v>
      </c>
      <c r="AA100" s="2">
        <f>759.211246067563*(1/14151.6638359215)</f>
        <v>5.3648196768244262E-2</v>
      </c>
      <c r="AB100" s="2">
        <f>882.497389293568*(1/14151.6638359215)</f>
        <v>6.2359974030297707E-2</v>
      </c>
      <c r="AC100" s="2">
        <f>1014.37236253304*(1/14151.6638359215)</f>
        <v>7.1678664381373658E-2</v>
      </c>
      <c r="AD100" s="2">
        <f>1154.15778109774*(1/14151.6638359215)</f>
        <v>8.1556331077347555E-2</v>
      </c>
      <c r="AE100" s="2">
        <f>1301.17526029933*(1/14151.6638359215)</f>
        <v>9.1945037374087865E-2</v>
      </c>
      <c r="AF100" s="2">
        <f>1454.74641544955*(1/14151.6638359215)</f>
        <v>0.10279684652746861</v>
      </c>
      <c r="AG100" s="2">
        <f>1614.19286186013*(1/14151.6638359215)</f>
        <v>0.11406382179336302</v>
      </c>
      <c r="AH100" s="2">
        <f>1778.8362148428*(1/14151.6638359215)</f>
        <v>0.12569802642764438</v>
      </c>
      <c r="AI100" s="2">
        <f>1948.3286309192*(1/14151.6638359215)</f>
        <v>0.13767488074255352</v>
      </c>
      <c r="AJ100" s="2">
        <f>2126.66341281784*(1/14151.6638359215)</f>
        <v>0.15027656376486842</v>
      </c>
      <c r="AK100" s="2">
        <f>2314.22475768025*(1/14151.6638359215)</f>
        <v>0.16353022404376222</v>
      </c>
      <c r="AL100" s="2">
        <f>2509.75110273065*(1/14151.6638359215)</f>
        <v>0.17734671568159285</v>
      </c>
      <c r="AM100" s="2">
        <f>2711.98088519325*(1/14151.6638359215)</f>
        <v>0.1916368927807178</v>
      </c>
      <c r="AN100" s="2">
        <f>2919.65254229229*(1/14151.6638359215)</f>
        <v>0.2063116094434965</v>
      </c>
      <c r="AO100" s="2">
        <f>3131.50451125199*(1/14151.6638359215)</f>
        <v>0.22128171977228706</v>
      </c>
      <c r="AP100" s="2">
        <f>3346.2752292966*(1/14151.6638359215)</f>
        <v>0.23645807786944964</v>
      </c>
      <c r="AQ100" s="2">
        <f>3562.70313365027*(1/14151.6638359215)</f>
        <v>0.25175153783733734</v>
      </c>
      <c r="AR100" s="2">
        <f>3779.52666153727*(1/14151.6638359215)</f>
        <v>0.26707295377831181</v>
      </c>
      <c r="AS100" s="2">
        <f>3995.48425018181*(1/14151.6638359215)</f>
        <v>0.28233317979473049</v>
      </c>
      <c r="AT100" s="2">
        <f>4211.62651954673*(1/14151.6638359215)</f>
        <v>0.29760645591766111</v>
      </c>
      <c r="AU100" s="2">
        <f>4432.44727887645*(1/14151.6638359215)</f>
        <v>0.31321032850041741</v>
      </c>
      <c r="AV100" s="2">
        <f>4657.14228536733*(1/14151.6638359215)</f>
        <v>0.32908796727816536</v>
      </c>
      <c r="AW100" s="2">
        <f>4884.65249660982*(1/14151.6638359215)</f>
        <v>0.34516453706390288</v>
      </c>
      <c r="AX100" s="2">
        <f>5113.91887019431*(1/14151.6638359215)</f>
        <v>0.36136520267062383</v>
      </c>
      <c r="AY100" s="2">
        <f>5343.88236371122*(1/14151.6638359215)</f>
        <v>0.37761512891132409</v>
      </c>
      <c r="AZ100" s="2">
        <f>5573.48393475094*(1/14151.6638359215)</f>
        <v>0.39383948059899748</v>
      </c>
      <c r="BA100" s="2">
        <f>5801.66454090392*(1/14151.6638359215)</f>
        <v>0.40996342254664214</v>
      </c>
      <c r="BB100" s="2">
        <f>6027.36513976047*(1/14151.6638359215)</f>
        <v>0.42591211956724606</v>
      </c>
      <c r="BC100" s="2">
        <f>6249.52668891105*(1/14151.6638359215)</f>
        <v>0.44161073647380811</v>
      </c>
      <c r="BD100" s="2">
        <f>6467.14458346546*(1/14151.6638359215)</f>
        <v>0.4569882848015196</v>
      </c>
      <c r="BE100" s="2">
        <f>6681.47635682173*(1/14151.6638359215)</f>
        <v>0.47213362571982403</v>
      </c>
      <c r="BF100" s="2">
        <f>6893.60733008284*(1/14151.6638359215)</f>
        <v>0.48712345134885382</v>
      </c>
      <c r="BG100" s="2">
        <f>7103.73933803693*(1/14151.6638359215)</f>
        <v>0.50197202395419704</v>
      </c>
      <c r="BH100" s="2">
        <f>7312.07421547204*(1/14151.6638359215)</f>
        <v>0.51669360580143453</v>
      </c>
      <c r="BI100" s="2">
        <f>7518.81379717629*(1/14151.6638359215)</f>
        <v>0.53130245915615304</v>
      </c>
      <c r="BJ100" s="2">
        <f>7724.15991793782*(1/14151.6638359215)</f>
        <v>0.54581284628394044</v>
      </c>
      <c r="BK100" s="2">
        <f>7928.31441254471*(1/14151.6638359215)</f>
        <v>0.56023902945038051</v>
      </c>
      <c r="BL100" s="2">
        <f>8131.47911578508*(1/14151.6638359215)</f>
        <v>0.57459527092105989</v>
      </c>
      <c r="BM100" s="2">
        <f>8333.85586244706*(1/14151.6638359215)</f>
        <v>0.58889583296156589</v>
      </c>
      <c r="BN100" s="2">
        <f>8535.6464873187*(1/14151.6638359215)</f>
        <v>0.60315497783748007</v>
      </c>
      <c r="BO100" s="2">
        <f>8738.08643937266*(1/14151.6638359215)</f>
        <v>0.61746000616496921</v>
      </c>
      <c r="BP100" s="2">
        <f>8944.37199501922*(1/14151.6638359215)</f>
        <v>0.63203677664498448</v>
      </c>
      <c r="BQ100" s="2">
        <f>9153.09791623653*(1/14151.6638359215)</f>
        <v>0.64678599084603794</v>
      </c>
      <c r="BR100" s="2">
        <f>9362.43936372237*(1/14151.6638359215)</f>
        <v>0.66157870002235852</v>
      </c>
      <c r="BS100" s="2">
        <f>9570.57149817439*(1/14151.6638359215)</f>
        <v>0.6762859554281655</v>
      </c>
      <c r="BT100" s="2">
        <f>9775.66948029038*(1/14151.6638359215)</f>
        <v>0.69077880831768834</v>
      </c>
      <c r="BU100" s="2">
        <f>9975.90847076806*(1/14151.6638359215)</f>
        <v>0.70492830994515132</v>
      </c>
      <c r="BV100" s="2">
        <f>10169.4636303052*(1/14151.6638359215)</f>
        <v>0.71860551156478236</v>
      </c>
      <c r="BW100" s="2">
        <f>10354.5101195994*(1/14151.6638359215)</f>
        <v>0.7316814644307974</v>
      </c>
      <c r="BX100" s="2">
        <f>10529.2230993486*(1/14151.6638359215)</f>
        <v>0.74402721979743647</v>
      </c>
      <c r="BY100" s="2">
        <f>10691.8105364145*(1/14151.6638359215)</f>
        <v>0.75551614710315729</v>
      </c>
      <c r="BZ100" s="2">
        <f>10849.617982081*(1/14151.6638359215)</f>
        <v>0.76666730554616203</v>
      </c>
      <c r="CA100" s="2">
        <f>11007.239499772*(1/14151.6638359215)</f>
        <v>0.77780532574778005</v>
      </c>
      <c r="CB100" s="2">
        <f>11161.7225799251*(1/14151.6638359215)</f>
        <v>0.78872157432068424</v>
      </c>
      <c r="CC100" s="2">
        <f>11310.1147129777*(1/14151.6638359215)</f>
        <v>0.79920741787753402</v>
      </c>
      <c r="CD100" s="2">
        <f>11449.4633893675*(1/14151.6638359215)</f>
        <v>0.80905422303100916</v>
      </c>
      <c r="CE100" s="2">
        <f>11576.816099532*(1/14151.6638359215)</f>
        <v>0.81805335639377585</v>
      </c>
      <c r="CF100" s="2">
        <f>11689.2203339089*(1/14151.6638359215)</f>
        <v>0.8259961845785142</v>
      </c>
      <c r="CG100" s="2">
        <f>11783.7235829356*(1/14151.6638359215)</f>
        <v>0.8326740741978832</v>
      </c>
      <c r="CH100" s="2">
        <f>11857.3733370498*(1/14151.6638359215)</f>
        <v>0.83787839186456303</v>
      </c>
      <c r="CI100" s="2">
        <f>11907.217086689*(1/14151.6638359215)</f>
        <v>0.8414005041912197</v>
      </c>
      <c r="CJ100" s="2">
        <f>11931.3488110542*(1/14151.6638359215)</f>
        <v>0.84310572589836241</v>
      </c>
      <c r="CK100" s="2">
        <f>11934.4833567973*(1/14151.6638359215)</f>
        <v>0.84332722252091108</v>
      </c>
      <c r="CL100" s="2">
        <f>11918.2628968513*(1/14151.6638359215)</f>
        <v>0.84218103503836028</v>
      </c>
      <c r="CM100" s="2">
        <f>11883.4373846784*(1/14151.6638359215)</f>
        <v>0.83972015746405682</v>
      </c>
      <c r="CN100" s="2">
        <f>11830.7567737408*(1/14151.6638359215)</f>
        <v>0.83599758381134759</v>
      </c>
      <c r="CO100" s="2">
        <f>11760.9710175007*(1/14151.6638359215)</f>
        <v>0.83106630809357929</v>
      </c>
      <c r="CP100" s="2">
        <f>11674.8300694204*(1/14151.6638359215)</f>
        <v>0.8249793243241057</v>
      </c>
      <c r="CQ100" s="2">
        <f>11573.083882962*(1/14151.6638359215)</f>
        <v>0.81778962651626663</v>
      </c>
      <c r="CR100" s="2">
        <f>11456.4824115878*(1/14151.6638359215)</f>
        <v>0.80955020868341587</v>
      </c>
      <c r="CS100" s="2">
        <f>11325.7756087599*(1/14151.6638359215)</f>
        <v>0.80031406483889322</v>
      </c>
      <c r="CT100" s="2">
        <f>11181.7134279407*(1/14151.6638359215)</f>
        <v>0.79013418899605958</v>
      </c>
      <c r="CU100" s="2">
        <f>11018.8841455279*(1/14151.6638359215)</f>
        <v>0.7786281721558711</v>
      </c>
      <c r="CV100" s="2">
        <f>10831.9099714033*(1/14151.6638359215)</f>
        <v>0.76541600316341674</v>
      </c>
      <c r="CW100" s="2">
        <f>10624.2359545878*(1/14151.6638359215)</f>
        <v>0.75074111975583069</v>
      </c>
      <c r="CX100" s="2">
        <f>10399.3363029373*(1/14151.6638359215)</f>
        <v>0.73484902012302045</v>
      </c>
      <c r="CY100" s="2">
        <f>10160.6852243072*(1/14151.6638359215)</f>
        <v>0.71798520245485875</v>
      </c>
      <c r="CZ100" s="2">
        <f>9911.75692655328*(1/14151.6638359215)</f>
        <v>0.70039516494124432</v>
      </c>
      <c r="DA100" s="2">
        <f>9656.02561753111*(1/14151.6638359215)</f>
        <v>0.68232440577206155</v>
      </c>
      <c r="DB100" s="2">
        <f>9396.96550509641*(1/14151.6638359215)</f>
        <v>0.66401842313720549</v>
      </c>
      <c r="DC100" s="2">
        <f>9138.05079710479*(1/14151.6638359215)</f>
        <v>0.6457227152265631</v>
      </c>
      <c r="DD100" s="2">
        <f>8882.75570141188*(1/14151.6638359215)</f>
        <v>0.627682780230023</v>
      </c>
      <c r="DE100" s="2">
        <f>8633.19572803394*(1/14151.6638359215)</f>
        <v>0.61004810657811814</v>
      </c>
      <c r="DF100" s="2">
        <f>8378.17724545301*(1/14151.6638359215)</f>
        <v>0.59202771791303332</v>
      </c>
      <c r="DG100" s="2">
        <f>8115.98508347837*(1/14151.6638359215)</f>
        <v>0.57350041504500515</v>
      </c>
      <c r="DH100" s="2">
        <f>7848.57967984175*(1/14151.6638359215)</f>
        <v>0.55460472852100373</v>
      </c>
      <c r="DI100" s="2">
        <f>7577.92147227501*(1/14151.6638359215)</f>
        <v>0.53547918888800872</v>
      </c>
      <c r="DJ100" s="2">
        <f>7305.9708985099*(1/14151.6638359215)</f>
        <v>0.51626232669299155</v>
      </c>
      <c r="DK100" s="2">
        <f>7034.68839627818*(1/14151.6638359215)</f>
        <v>0.49709267248292505</v>
      </c>
      <c r="DL100" s="2">
        <f>6766.03440331162*(1/14151.6638359215)</f>
        <v>0.47810875680478193</v>
      </c>
      <c r="DM100" s="2">
        <f>6501.96935734197*(1/14151.6638359215)</f>
        <v>0.45944911020553419</v>
      </c>
      <c r="DN100" s="2">
        <f>6244.45369610109*(1/14151.6638359215)</f>
        <v>0.44125226323216121</v>
      </c>
      <c r="DO100" s="2">
        <f>5995.44785732071*(1/14151.6638359215)</f>
        <v>0.42365674643163331</v>
      </c>
      <c r="DP100" s="2">
        <f>5754.64659198222*(1/14151.6638359215)</f>
        <v>0.40664098997144538</v>
      </c>
      <c r="DQ100" s="2">
        <f>5518.36330073137*(1/14151.6638359215)</f>
        <v>0.38994448742655824</v>
      </c>
      <c r="DR100" s="2">
        <f>5286.31468997509*(1/14151.6638359215)</f>
        <v>0.37354722040221966</v>
      </c>
      <c r="DS100" s="2">
        <f>5058.32561079148*(1/14151.6638359215)</f>
        <v>0.35743681233805275</v>
      </c>
      <c r="DT100" s="2">
        <f>4834.22091425864*(1/14151.6638359215)</f>
        <v>0.34160088667368027</v>
      </c>
      <c r="DU100" s="2">
        <f>4613.82545145478*(1/14151.6638359215)</f>
        <v>0.32602706684873328</v>
      </c>
      <c r="DV100" s="2">
        <f>4396.96407345799*(1/14151.6638359215)</f>
        <v>0.31070297630283394</v>
      </c>
      <c r="DW100" s="2">
        <f>4183.46163134639*(1/14151.6638359215)</f>
        <v>0.29561623847560681</v>
      </c>
      <c r="DX100" s="2">
        <f>3973.14297619811*(1/14151.6638359215)</f>
        <v>0.28075447680667681</v>
      </c>
      <c r="DY100" s="2">
        <f>3765.83295909124*(1/14151.6638359215)</f>
        <v>0.26610531473566651</v>
      </c>
      <c r="DZ100" s="2">
        <f>3561.29227785474*(1/14151.6638359215)</f>
        <v>0.25165184243671956</v>
      </c>
      <c r="EA100" s="2">
        <f>3358.1833699846*(1/14151.6638359215)</f>
        <v>0.23729954363814415</v>
      </c>
      <c r="EB100" s="2">
        <f>3156.62008081321*(1/14151.6638359215)</f>
        <v>0.22305646300053336</v>
      </c>
      <c r="EC100" s="2">
        <f>2957.38325976083*(1/14151.6638359215)</f>
        <v>0.20897777774045442</v>
      </c>
      <c r="ED100" s="2">
        <f>2761.25375624772*(1/14151.6638359215)</f>
        <v>0.19511866507447451</v>
      </c>
      <c r="EE100" s="2">
        <f>2569.01241969412*(1/14151.6638359215)</f>
        <v>0.18153430221915925</v>
      </c>
      <c r="EF100" s="2">
        <f>2381.44009952037*(1/14151.6638359215)</f>
        <v>0.1682798663910815</v>
      </c>
      <c r="EG100" s="2">
        <f>2199.31764514669*(1/14151.6638359215)</f>
        <v>0.15541053480680558</v>
      </c>
      <c r="EH100" s="2">
        <f>2023.42590599336*(1/14151.6638359215)</f>
        <v>0.14298148468290001</v>
      </c>
      <c r="EI100" s="2">
        <f>1854.54573148064*(1/14151.6638359215)</f>
        <v>0.13104789323593194</v>
      </c>
      <c r="EJ100" s="2">
        <f>1693.45797102876*(1/14151.6638359215)</f>
        <v>0.11966493768246643</v>
      </c>
      <c r="EK100" s="2">
        <f>1539.71277232726*(1/14151.6638359215)</f>
        <v>0.10880083007758924</v>
      </c>
      <c r="EL100" s="2">
        <f>1390.32642520193*(1/14151.6638359215)</f>
        <v>9.8244732302984195E-2</v>
      </c>
      <c r="EM100" s="2">
        <f>1245.73857036557*(1/14151.6638359215)</f>
        <v>8.8027710720733954E-2</v>
      </c>
      <c r="EN100" s="2">
        <f>1106.64168743754*(1/14151.6638359215)</f>
        <v>7.8198698066055353E-2</v>
      </c>
      <c r="EO100" s="2">
        <f>973.728256037184*(1/14151.6638359215)</f>
        <v>6.8806627074164017E-2</v>
      </c>
      <c r="EP100" s="2">
        <f>847.690755783866*(1/14151.6638359215)</f>
        <v>5.990043048027701E-2</v>
      </c>
      <c r="EQ100" s="2">
        <f>729.221666296914*(1/14151.6638359215)</f>
        <v>5.1529041019608847E-2</v>
      </c>
      <c r="ER100" s="2">
        <f>619.013467195727*(1/14151.6638359215)</f>
        <v>4.3741391427379067E-2</v>
      </c>
      <c r="ES100" s="2">
        <f>517.758638099637*(1/14151.6638359215)</f>
        <v>3.6586414438802464E-2</v>
      </c>
      <c r="ET100" s="2">
        <f>426.149658627995*(1/14151.6638359215)</f>
        <v>3.0113042789095185E-2</v>
      </c>
      <c r="EU100" s="2">
        <f>344.902199106233*(1/14151.6638359215)</f>
        <v>2.437184793994044E-2</v>
      </c>
      <c r="EV100" s="2">
        <f>276.042004719105*(1/14151.6638359215)</f>
        <v>1.9505975263376534E-2</v>
      </c>
      <c r="EW100" s="2">
        <f>219.430872703733*(1/14151.6638359215)</f>
        <v>1.5505658928015692E-2</v>
      </c>
      <c r="EX100" s="2">
        <f>173.506541305329*(1/14151.6638359215)</f>
        <v>1.2260504723473807E-2</v>
      </c>
      <c r="EY100" s="2">
        <f>136.706748769119*(1/14151.6638359215)</f>
        <v>9.6601184393677493E-3</v>
      </c>
      <c r="EZ100" s="2">
        <f>107.469233340328*(1/14151.6638359215)</f>
        <v>7.5941058653143196E-3</v>
      </c>
      <c r="FA100" s="2">
        <f>84.2317332641839*(1/14151.6638359215)</f>
        <v>5.9520727909305278E-3</v>
      </c>
      <c r="FB100" s="2">
        <f>65.4319867859077*(1/14151.6638359215)</f>
        <v>4.6236250058328942E-3</v>
      </c>
      <c r="FC100" s="2">
        <f>49.5077321507324*(1/14151.6638359215)</f>
        <v>3.4983682996387864E-3</v>
      </c>
      <c r="FD100" s="2">
        <f>34.8967076038801*(1/14151.6638359215)</f>
        <v>2.4659084619648025E-3</v>
      </c>
      <c r="FE100" s="2">
        <f>20.0366513905765*(1/14151.6638359215)</f>
        <v>1.4158512824277946E-3</v>
      </c>
      <c r="FF100" s="2">
        <f>4.28183373766872*(1/14151.6638359215)</f>
        <v>3.0256751342552676E-4</v>
      </c>
      <c r="FG100" s="2">
        <f>-8.97191108807918*(1/14151.6638359215)</f>
        <v>-6.3398277348177023E-4</v>
      </c>
      <c r="FH100" s="2">
        <f>-19.2199755911625*(1/14151.6638359215)</f>
        <v>-1.358142463953672E-3</v>
      </c>
      <c r="FI100" s="2">
        <f>-26.462359771584*(1/14151.6638359215)</f>
        <v>-1.8699115579903739E-3</v>
      </c>
      <c r="FJ100" s="2">
        <f>-30.6990636293436*(1/14151.6638359215)</f>
        <v>-2.1692900555918696E-3</v>
      </c>
      <c r="FK100" s="2">
        <f>-31.9300871644414*(1/14151.6638359215)</f>
        <v>-2.2562779567581667E-3</v>
      </c>
      <c r="FL100" s="2">
        <f>-30.1554303768773*(1/14151.6638359215)</f>
        <v>-2.1308752614892582E-3</v>
      </c>
      <c r="FM100" s="2">
        <f>-25.3750932666503*(1/14151.6638359215)</f>
        <v>-1.7930819697850727E-3</v>
      </c>
      <c r="FN100" s="2">
        <f>-17.589075833762*(1/14151.6638359215)</f>
        <v>-1.2428980816457239E-3</v>
      </c>
      <c r="FO100" s="2">
        <f>-6.79737807821192*(1/14151.6638359215)</f>
        <v>-4.8032359707117804E-4</v>
      </c>
      <c r="FP100" s="2">
        <f t="shared" si="17"/>
        <v>4.9464148393856954E-4</v>
      </c>
      <c r="FQ100" s="2"/>
    </row>
    <row r="101" spans="2:173">
      <c r="B101" s="2">
        <v>10.227810650887575</v>
      </c>
      <c r="C101" s="2">
        <f t="shared" si="18"/>
        <v>4.9464148393856954E-4</v>
      </c>
      <c r="D101" s="2">
        <f>-11.0928394689588*(1/14151.6638359215)</f>
        <v>-7.838540822883021E-4</v>
      </c>
      <c r="E101" s="2">
        <f>-25.3866054212334*(1/14151.6638359215)</f>
        <v>-1.7938954539602607E-3</v>
      </c>
      <c r="F101" s="2">
        <f>-35.8812978568253*(1/14151.6638359215)</f>
        <v>-2.5354826310774116E-3</v>
      </c>
      <c r="G101" s="2">
        <f>-42.5769167757307*(1/14151.6638359215)</f>
        <v>-3.0086156136394874E-3</v>
      </c>
      <c r="H101" s="2">
        <f>-45.4734621779518*(1/14151.6638359215)</f>
        <v>-3.2132944016466424E-3</v>
      </c>
      <c r="I101" s="2">
        <f>-44.5709340634887*(1/14151.6638359215)</f>
        <v>-3.149518995098884E-3</v>
      </c>
      <c r="J101" s="2">
        <f>-39.8693324323413*(1/14151.6638359215)</f>
        <v>-2.8172893939962056E-3</v>
      </c>
      <c r="K101" s="2">
        <f>-31.3686572845096*(1/14151.6638359215)</f>
        <v>-2.2166055983386069E-3</v>
      </c>
      <c r="L101" s="2">
        <f>-19.0689086199911*(1/14151.6638359215)</f>
        <v>-1.3474676081259112E-3</v>
      </c>
      <c r="M101" s="2">
        <f>-2.97008643879018*(1/14151.6638359215)</f>
        <v>-2.09875423358428E-4</v>
      </c>
      <c r="N101" s="2">
        <f>16.4692824230024*(1/14151.6638359215)</f>
        <v>1.1637700424453298E-3</v>
      </c>
      <c r="O101" s="2">
        <f>36.1634706305343*(1/14151.6638359215)</f>
        <v>2.555421825293766E-3</v>
      </c>
      <c r="P101" s="2">
        <f>56.6992400383065*(1/14151.6638359215)</f>
        <v>4.0065423186767266E-3</v>
      </c>
      <c r="Q101" s="2">
        <f>79.496186958212*(1/14151.6638359215)</f>
        <v>5.6174445549239914E-3</v>
      </c>
      <c r="R101" s="2">
        <f>105.973907702149*(1/14151.6638359215)</f>
        <v>7.4884415663657132E-3</v>
      </c>
      <c r="S101" s="2">
        <f>137.551998582002*(1/14151.6638359215)</f>
        <v>9.7198463853310699E-3</v>
      </c>
      <c r="T101" s="2">
        <f>175.650055909668*(1/14151.6638359215)</f>
        <v>1.2411972044150127E-2</v>
      </c>
      <c r="U101" s="2">
        <f>221.687675997039*(1/14151.6638359215)</f>
        <v>1.5665131575152598E-2</v>
      </c>
      <c r="V101" s="2">
        <f>277.08445515601*(1/14151.6638359215)</f>
        <v>1.9579638010668404E-2</v>
      </c>
      <c r="W101" s="2">
        <f>343.259989698472*(1/14151.6638359215)</f>
        <v>2.4255804383027185E-2</v>
      </c>
      <c r="X101" s="2">
        <f>421.633875936336*(1/14151.6638359215)</f>
        <v>2.9793943724559995E-2</v>
      </c>
      <c r="Y101" s="2">
        <f>512.318357485144*(1/14151.6638359215)</f>
        <v>3.6201987513631746E-2</v>
      </c>
      <c r="Z101" s="2">
        <f>613.457769505385*(1/14151.6638359215)</f>
        <v>4.3348808777398377E-2</v>
      </c>
      <c r="AA101" s="2">
        <f>724.412286455394*(1/14151.6638359215)</f>
        <v>5.1189195479375456E-2</v>
      </c>
      <c r="AB101" s="2">
        <f>844.563456042536*(1/14151.6638359215)</f>
        <v>5.9679445882452407E-2</v>
      </c>
      <c r="AC101" s="2">
        <f>973.292825974179*(1/14151.6638359215)</f>
        <v>6.8775858249518831E-2</v>
      </c>
      <c r="AD101" s="2">
        <f>1109.98194395771*(1/14151.6638359215)</f>
        <v>7.843473084346568E-2</v>
      </c>
      <c r="AE101" s="2">
        <f>1254.01235770046*(1/14151.6638359215)</f>
        <v>8.8612361927179972E-2</v>
      </c>
      <c r="AF101" s="2">
        <f>1404.7656149098*(1/14151.6638359215)</f>
        <v>9.9265049763551522E-2</v>
      </c>
      <c r="AG101" s="2">
        <f>1561.6232632931*(1/14151.6638359215)</f>
        <v>0.11034909261547007</v>
      </c>
      <c r="AH101" s="2">
        <f>1723.96685055774*(1/14151.6638359215)</f>
        <v>0.12182078874582609</v>
      </c>
      <c r="AI101" s="2">
        <f>1891.51368747239*(1/14151.6638359215)</f>
        <v>0.13366016246592266</v>
      </c>
      <c r="AJ101" s="2">
        <f>2068.34900686456*(1/14151.6638359215)</f>
        <v>0.14615588886547895</v>
      </c>
      <c r="AK101" s="2">
        <f>2254.79958837195*(1/14151.6638359215)</f>
        <v>0.1593310591966253</v>
      </c>
      <c r="AL101" s="2">
        <f>2449.50898186743*(1/14151.6638359215)</f>
        <v>0.17308982253025146</v>
      </c>
      <c r="AM101" s="2">
        <f>2651.12073722388*(1/14151.6638359215)</f>
        <v>0.18733632793724778</v>
      </c>
      <c r="AN101" s="2">
        <f>2858.2784043142*(1/14151.6638359215)</f>
        <v>0.20197472448850609</v>
      </c>
      <c r="AO101" s="2">
        <f>3069.62553301125*(1/14151.6638359215)</f>
        <v>0.2169091612549153</v>
      </c>
      <c r="AP101" s="2">
        <f>3283.80567318796*(1/14151.6638359215)</f>
        <v>0.23204378730736941</v>
      </c>
      <c r="AQ101" s="2">
        <f>3499.46237471714*(1/14151.6638359215)</f>
        <v>0.24728275171675382</v>
      </c>
      <c r="AR101" s="2">
        <f>3715.2391874717*(1/14151.6638359215)</f>
        <v>0.26253020355396101</v>
      </c>
      <c r="AS101" s="2">
        <f>3929.77966132453*(1/14151.6638359215)</f>
        <v>0.27769029188988209</v>
      </c>
      <c r="AT101" s="2">
        <f>4144.10602947095*(1/14151.6638359215)</f>
        <v>0.29283525085946915</v>
      </c>
      <c r="AU101" s="2">
        <f>4362.84714088346*(1/14151.6638359215)</f>
        <v>0.30829216913767715</v>
      </c>
      <c r="AV101" s="2">
        <f>4585.24186985438*(1/14151.6638359215)</f>
        <v>0.32400726324600454</v>
      </c>
      <c r="AW101" s="2">
        <f>4810.26827701632*(1/14151.6638359215)</f>
        <v>0.3399083198122827</v>
      </c>
      <c r="AX101" s="2">
        <f>5036.90442300181*(1/14151.6638359215)</f>
        <v>0.35592312546433708</v>
      </c>
      <c r="AY101" s="2">
        <f>5264.1283684434*(1/14151.6638359215)</f>
        <v>0.37197946682999494</v>
      </c>
      <c r="AZ101" s="2">
        <f>5490.91817397366*(1/14151.6638359215)</f>
        <v>0.38800513053708452</v>
      </c>
      <c r="BA101" s="2">
        <f>5716.25190022516*(1/14151.6638359215)</f>
        <v>0.40392790321343447</v>
      </c>
      <c r="BB101" s="2">
        <f>5939.10760783037*(1/14151.6638359215)</f>
        <v>0.41967557148686607</v>
      </c>
      <c r="BC101" s="2">
        <f>6158.4633574219*(1/14151.6638359215)</f>
        <v>0.43517592198521055</v>
      </c>
      <c r="BD101" s="2">
        <f>6373.35939707554*(1/14151.6638359215)</f>
        <v>0.45036113569189601</v>
      </c>
      <c r="BE101" s="2">
        <f>6585.33025374527*(1/14151.6638359215)</f>
        <v>0.46533964699115959</v>
      </c>
      <c r="BF101" s="2">
        <f>6795.46318486558*(1/14151.6638359215)</f>
        <v>0.48018828483026121</v>
      </c>
      <c r="BG101" s="2">
        <f>7003.79409641729*(1/14151.6638359215)</f>
        <v>0.49490958643600591</v>
      </c>
      <c r="BH101" s="2">
        <f>7210.35889438106*(1/14151.6638359215)</f>
        <v>0.50950608903518735</v>
      </c>
      <c r="BI101" s="2">
        <f>7415.19348473772*(1/14151.6638359215)</f>
        <v>0.52398032985461118</v>
      </c>
      <c r="BJ101" s="2">
        <f>7618.33377346801*(1/14151.6638359215)</f>
        <v>0.53833484612107696</v>
      </c>
      <c r="BK101" s="2">
        <f>7819.81566655271*(1/14151.6638359215)</f>
        <v>0.55257217506138667</v>
      </c>
      <c r="BL101" s="2">
        <f>8019.67506997257*(1/14151.6638359215)</f>
        <v>0.56669485390234053</v>
      </c>
      <c r="BM101" s="2">
        <f>8217.9478897084*(1/14151.6638359215)</f>
        <v>0.58070541987074276</v>
      </c>
      <c r="BN101" s="2">
        <f>8414.67003174088*(1/14151.6638359215)</f>
        <v>0.59460641019338845</v>
      </c>
      <c r="BO101" s="2">
        <f>8610.8842872026*(1/14151.6638359215)</f>
        <v>0.60847151169217228</v>
      </c>
      <c r="BP101" s="2">
        <f>8809.69392257419*(1/14151.6638359215)</f>
        <v>0.62252001070095642</v>
      </c>
      <c r="BQ101" s="2">
        <f>9009.9029563575*(1/14151.6638359215)</f>
        <v>0.63666739549645412</v>
      </c>
      <c r="BR101" s="2">
        <f>9209.91466361257*(1/14151.6638359215)</f>
        <v>0.65080083659384469</v>
      </c>
      <c r="BS101" s="2">
        <f>9408.13231939932*(1/14151.6638359215)</f>
        <v>0.6648075045082994</v>
      </c>
      <c r="BT101" s="2">
        <f>9602.95919877779*(1/14151.6638359215)</f>
        <v>0.67857456975499753</v>
      </c>
      <c r="BU101" s="2">
        <f>9792.79857680798*(1/14151.6638359215)</f>
        <v>0.69198920284911591</v>
      </c>
      <c r="BV101" s="2">
        <f>9976.0537285499*(1/14151.6638359215)</f>
        <v>0.70493857430583173</v>
      </c>
      <c r="BW101" s="2">
        <f>10151.1279290635*(1/14151.6638359215)</f>
        <v>0.71730985464031827</v>
      </c>
      <c r="BX101" s="2">
        <f>10316.4244534089*(1/14151.6638359215)</f>
        <v>0.72899021436776057</v>
      </c>
      <c r="BY101" s="2">
        <f>10470.3752997648*(1/14151.6638359215)</f>
        <v>0.73986885366705801</v>
      </c>
      <c r="BZ101" s="2">
        <f>10619.412412922*(1/14151.6638359215)</f>
        <v>0.75040027349762906</v>
      </c>
      <c r="CA101" s="2">
        <f>10767.5573666525*(1/14151.6638359215)</f>
        <v>0.76086865060495268</v>
      </c>
      <c r="CB101" s="2">
        <f>10912.2241125821*(1/14151.6638359215)</f>
        <v>0.77109124687397856</v>
      </c>
      <c r="CC101" s="2">
        <f>11050.8266023366*(1/14151.6638359215)</f>
        <v>0.78088532418965662</v>
      </c>
      <c r="CD101" s="2">
        <f>11180.7787875418*(1/14151.6638359215)</f>
        <v>0.79006814443693663</v>
      </c>
      <c r="CE101" s="2">
        <f>11299.4946198235*(1/14151.6638359215)</f>
        <v>0.79845696950076839</v>
      </c>
      <c r="CF101" s="2">
        <f>11404.3880508075*(1/14151.6638359215)</f>
        <v>0.8058690612661018</v>
      </c>
      <c r="CG101" s="2">
        <f>11492.8730321197*(1/14151.6638359215)</f>
        <v>0.81212168161789366</v>
      </c>
      <c r="CH101" s="2">
        <f>11562.3635153858*(1/14151.6638359215)</f>
        <v>0.81703209244108677</v>
      </c>
      <c r="CI101" s="2">
        <f>11610.2734522317*(1/14151.6638359215)</f>
        <v>0.82041755562063812</v>
      </c>
      <c r="CJ101" s="2">
        <f>11635.0647205259*(1/14151.6638359215)</f>
        <v>0.82216938272603268</v>
      </c>
      <c r="CK101" s="2">
        <f>11641.5374644584*(1/14151.6638359215)</f>
        <v>0.82262676667802226</v>
      </c>
      <c r="CL101" s="2">
        <f>11630.9611849531*(1/14151.6638359215)</f>
        <v>0.82187941430815781</v>
      </c>
      <c r="CM101" s="2">
        <f>11603.6795272588*(1/14151.6638359215)</f>
        <v>0.81995160864441319</v>
      </c>
      <c r="CN101" s="2">
        <f>11560.0361366245*(1/14151.6638359215)</f>
        <v>0.81686763271477592</v>
      </c>
      <c r="CO101" s="2">
        <f>11500.374658299*(1/14151.6638359215)</f>
        <v>0.81265176954721963</v>
      </c>
      <c r="CP101" s="2">
        <f>11425.0387375311*(1/14151.6638359215)</f>
        <v>0.80732830216971785</v>
      </c>
      <c r="CQ101" s="2">
        <f>11334.3720195698*(1/14151.6638359215)</f>
        <v>0.80092151361025821</v>
      </c>
      <c r="CR101" s="2">
        <f>11228.7181496638*(1/14151.6638359215)</f>
        <v>0.79345568689680734</v>
      </c>
      <c r="CS101" s="2">
        <f>11108.420773062*(1/14151.6638359215)</f>
        <v>0.78495510505734567</v>
      </c>
      <c r="CT101" s="2">
        <f>10973.8235350133*(1/14151.6638359215)</f>
        <v>0.77544405111985393</v>
      </c>
      <c r="CU101" s="2">
        <f>10820.1058852756*(1/14151.6638359215)</f>
        <v>0.76458189020931033</v>
      </c>
      <c r="CV101" s="2">
        <f>10642.8669363694*(1/14151.6638359215)</f>
        <v>0.75205764210949966</v>
      </c>
      <c r="CW101" s="2">
        <f>10445.3340319115*(1/14151.6638359215)</f>
        <v>0.73809936082553518</v>
      </c>
      <c r="CX101" s="2">
        <f>10230.7593610816*(1/14151.6638359215)</f>
        <v>0.72293685602625923</v>
      </c>
      <c r="CY101" s="2">
        <f>10002.3951130596*(1/14151.6638359215)</f>
        <v>0.70679993738052804</v>
      </c>
      <c r="CZ101" s="2">
        <f>9763.49347702539*(1/14151.6638359215)</f>
        <v>0.68991841455719749</v>
      </c>
      <c r="DA101" s="2">
        <f>9517.30664215878*(1/14151.6638359215)</f>
        <v>0.67252209722511758</v>
      </c>
      <c r="DB101" s="2">
        <f>9267.08679763971*(1/14151.6638359215)</f>
        <v>0.65484079505314752</v>
      </c>
      <c r="DC101" s="2">
        <f>9016.08613264801*(1/14151.6638359215)</f>
        <v>0.63710431771013865</v>
      </c>
      <c r="DD101" s="2">
        <f>8767.55683636354*(1/14151.6638359215)</f>
        <v>0.61954247486494451</v>
      </c>
      <c r="DE101" s="2">
        <f>8523.40027230069*(1/14151.6638359215)</f>
        <v>0.60228962269903163</v>
      </c>
      <c r="DF101" s="2">
        <f>8272.41769021648*(1/14151.6638359215)</f>
        <v>0.5845544231497648</v>
      </c>
      <c r="DG101" s="2">
        <f>8013.09335458357*(1/14151.6638359215)</f>
        <v>0.56622976969278671</v>
      </c>
      <c r="DH101" s="2">
        <f>7747.59309698361*(1/14151.6638359215)</f>
        <v>0.54746870663488434</v>
      </c>
      <c r="DI101" s="2">
        <f>7478.08274899844*(1/14151.6638359215)</f>
        <v>0.52842427828285798</v>
      </c>
      <c r="DJ101" s="2">
        <f>7206.72814220974*(1/14151.6638359215)</f>
        <v>0.50924952894349662</v>
      </c>
      <c r="DK101" s="2">
        <f>6935.69510819921*(1/14151.6638359215)</f>
        <v>0.49009750292359072</v>
      </c>
      <c r="DL101" s="2">
        <f>6667.14947854859*(1/14151.6638359215)</f>
        <v>0.47112124452993354</v>
      </c>
      <c r="DM101" s="2">
        <f>6403.25708483955*(1/14151.6638359215)</f>
        <v>0.45247379806931343</v>
      </c>
      <c r="DN101" s="2">
        <f>6146.18375865391*(1/14151.6638359215)</f>
        <v>0.4343082078485293</v>
      </c>
      <c r="DO101" s="2">
        <f>5898.09533157334*(1/14151.6638359215)</f>
        <v>0.41677751817436953</v>
      </c>
      <c r="DP101" s="2">
        <f>5658.58027732923*(1/14151.6638359215)</f>
        <v>0.39985264933766468</v>
      </c>
      <c r="DQ101" s="2">
        <f>5423.45683973987*(1/14151.6638359215)</f>
        <v>0.38323810561224486</v>
      </c>
      <c r="DR101" s="2">
        <f>5192.47694002077*(1/14151.6638359215)</f>
        <v>0.3669163569898109</v>
      </c>
      <c r="DS101" s="2">
        <f>4965.51633673435*(1/14151.6638359215)</f>
        <v>0.35087862418906984</v>
      </c>
      <c r="DT101" s="2">
        <f>4742.45078844298*(1/14151.6638359215)</f>
        <v>0.33511612792872503</v>
      </c>
      <c r="DU101" s="2">
        <f>4523.15605370916*(1/14151.6638359215)</f>
        <v>0.319620088927489</v>
      </c>
      <c r="DV101" s="2">
        <f>4307.50789109526*(1/14151.6638359215)</f>
        <v>0.30438172790406537</v>
      </c>
      <c r="DW101" s="2">
        <f>4095.38205916369*(1/14151.6638359215)</f>
        <v>0.2893922655771603</v>
      </c>
      <c r="DX101" s="2">
        <f>3886.65431647688*(1/14151.6638359215)</f>
        <v>0.27464292266548151</v>
      </c>
      <c r="DY101" s="2">
        <f>3681.20042159718*(1/14151.6638359215)</f>
        <v>0.26012491988773101</v>
      </c>
      <c r="DZ101" s="2">
        <f>3478.83158810276*(1/14151.6638359215)</f>
        <v>0.2458249170159314</v>
      </c>
      <c r="EA101" s="2">
        <f>3278.22633537669*(1/14151.6638359215)</f>
        <v>0.23164953417388923</v>
      </c>
      <c r="EB101" s="2">
        <f>3079.45468878021*(1/14151.6638359215)</f>
        <v>0.21760371956854699</v>
      </c>
      <c r="EC101" s="2">
        <f>2883.24776870524*(1/14151.6638359215)</f>
        <v>0.20373913641070421</v>
      </c>
      <c r="ED101" s="2">
        <f>2690.33669554368*(1/14151.6638359215)</f>
        <v>0.19010744791115908</v>
      </c>
      <c r="EE101" s="2">
        <f>2501.45258968741*(1/14151.6638359215)</f>
        <v>0.17676031728070832</v>
      </c>
      <c r="EF101" s="2">
        <f>2317.3265715284*(1/14151.6638359215)</f>
        <v>0.16374940773015509</v>
      </c>
      <c r="EG101" s="2">
        <f>2138.68976145853*(1/14151.6638359215)</f>
        <v>0.15112638247029608</v>
      </c>
      <c r="EH101" s="2">
        <f>1966.27327986971*(1/14151.6638359215)</f>
        <v>0.13894290471193024</v>
      </c>
      <c r="EI101" s="2">
        <f>1800.80824715385*(1/14151.6638359215)</f>
        <v>0.1272506376658564</v>
      </c>
      <c r="EJ101" s="2">
        <f>1643.02578370283*(1/14151.6638359215)</f>
        <v>0.1161012445428713</v>
      </c>
      <c r="EK101" s="2">
        <f>1492.50718184622*(1/14151.6638359215)</f>
        <v>0.10546513817391238</v>
      </c>
      <c r="EL101" s="2">
        <f>1346.46477709766*(1/14151.6638359215)</f>
        <v>9.5145333630657414E-2</v>
      </c>
      <c r="EM101" s="2">
        <f>1205.30757123896*(1/14151.6638359215)</f>
        <v>8.5170732234290336E-2</v>
      </c>
      <c r="EN101" s="2">
        <f>1069.68073491169*(1/14151.6638359215)</f>
        <v>7.5586923722459717E-2</v>
      </c>
      <c r="EO101" s="2">
        <f>940.229438757409*(1/14151.6638359215)</f>
        <v>6.6439497832813305E-2</v>
      </c>
      <c r="EP101" s="2">
        <f>817.598853417697*(1/14151.6638359215)</f>
        <v>5.7774044303000378E-2</v>
      </c>
      <c r="EQ101" s="2">
        <f>702.434149534099*(1/14151.6638359215)</f>
        <v>4.9636152870667687E-2</v>
      </c>
      <c r="ER101" s="2">
        <f>595.380497748229*(1/14151.6638359215)</f>
        <v>4.2071413273466883E-2</v>
      </c>
      <c r="ES101" s="2">
        <f>497.083068701635*(1/14151.6638359215)</f>
        <v>3.5125415249044951E-2</v>
      </c>
      <c r="ET101" s="2">
        <f>408.187033035886*(1/14151.6638359215)</f>
        <v>2.8843748535050364E-2</v>
      </c>
      <c r="EU101" s="2">
        <f>329.361765793623*(1/14151.6638359215)</f>
        <v>2.3273713226397898E-2</v>
      </c>
      <c r="EV101" s="2">
        <f>262.677102131193*(1/14151.6638359215)</f>
        <v>1.8561570227836641E-2</v>
      </c>
      <c r="EW101" s="2">
        <f>208.048198867147*(1/14151.6638359215)</f>
        <v>1.4701324259770316E-2</v>
      </c>
      <c r="EX101" s="2">
        <f>163.923942109948*(1/14151.6638359215)</f>
        <v>1.1583368854046407E-2</v>
      </c>
      <c r="EY101" s="2">
        <f>128.753217968072*(1/14151.6638359215)</f>
        <v>9.0980975425133184E-3</v>
      </c>
      <c r="EZ101" s="2">
        <f>100.984912549995*(1/14151.6638359215)</f>
        <v>7.1359038570194579E-3</v>
      </c>
      <c r="FA101" s="2">
        <f>79.0679119641929*(1/14151.6638359215)</f>
        <v>5.5871813294132225E-3</v>
      </c>
      <c r="FB101" s="2">
        <f>61.4511023191378*(1/14151.6638359215)</f>
        <v>4.3423234915427426E-3</v>
      </c>
      <c r="FC101" s="2">
        <f>46.5833697233123*(1/14151.6638359215)</f>
        <v>3.2917238752568898E-3</v>
      </c>
      <c r="FD101" s="2">
        <f>32.9136002851885*(1/14151.6638359215)</f>
        <v>2.3257760124037953E-3</v>
      </c>
      <c r="FE101" s="2">
        <f>18.8906801132421*(1/14151.6638359215)</f>
        <v>1.3348734348318425E-3</v>
      </c>
      <c r="FF101" s="2">
        <f>3.87348718150828*(1/14151.6638359215)</f>
        <v>2.7371249249689755E-4</v>
      </c>
      <c r="FG101" s="2">
        <f>-8.76637596748434*(1/14151.6638359215)</f>
        <v>-6.1945903104569536E-4</v>
      </c>
      <c r="FH101" s="2">
        <f>-18.5279025762878*(1/14151.6638359215)</f>
        <v>-1.309238460657749E-3</v>
      </c>
      <c r="FI101" s="2">
        <f>-25.4110926449049*(1/14151.6638359215)</f>
        <v>-1.7956257963394615E-3</v>
      </c>
      <c r="FJ101" s="2">
        <f>-29.4159461733354*(1/14151.6638359215)</f>
        <v>-2.0786210380908153E-3</v>
      </c>
      <c r="FK101" s="2">
        <f>-30.5424631615795*(1/14151.6638359215)</f>
        <v>-2.1582241859118257E-3</v>
      </c>
      <c r="FL101" s="2">
        <f>-28.7906436096371*(1/14151.6638359215)</f>
        <v>-2.0344352398024845E-3</v>
      </c>
      <c r="FM101" s="2">
        <f>-24.1604875175071*(1/14151.6638359215)</f>
        <v>-1.707254199762714E-3</v>
      </c>
      <c r="FN101" s="2">
        <f>-16.6519948851912*(1/14151.6638359215)</f>
        <v>-1.1766810657926352E-3</v>
      </c>
      <c r="FO101" s="2">
        <f>-6.26516571268882*(1/14151.6638359215)</f>
        <v>-4.4271583789220619E-4</v>
      </c>
      <c r="FP101" s="2">
        <f t="shared" si="17"/>
        <v>4.9464148393856954E-4</v>
      </c>
      <c r="FQ101" s="2"/>
    </row>
    <row r="102" spans="2:173">
      <c r="B102" s="2">
        <v>10.237278106508876</v>
      </c>
      <c r="C102" s="2">
        <f t="shared" si="18"/>
        <v>4.9464148393856954E-4</v>
      </c>
      <c r="D102" s="2">
        <f>-9.82166354626314*(1/14151.6638359215)</f>
        <v>-6.9402889018127902E-4</v>
      </c>
      <c r="E102" s="2">
        <f>-23.1120560740184*(1/14151.6638359215)</f>
        <v>-1.6331688161891273E-3</v>
      </c>
      <c r="F102" s="2">
        <f>-32.8711775832674*(1/14151.6638359215)</f>
        <v>-2.3227782940850898E-3</v>
      </c>
      <c r="G102" s="2">
        <f>-39.0990280740064*(1/14151.6638359215)</f>
        <v>-2.7628573238689023E-3</v>
      </c>
      <c r="H102" s="2">
        <f>-41.7956075462376*(1/14151.6638359215)</f>
        <v>-2.9534059055407202E-3</v>
      </c>
      <c r="I102" s="2">
        <f>-40.9609159999609*(1/14151.6638359215)</f>
        <v>-2.8944240391005367E-3</v>
      </c>
      <c r="J102" s="2">
        <f>-36.5949534351764*(1/14151.6638359215)</f>
        <v>-2.5859117245483581E-3</v>
      </c>
      <c r="K102" s="2">
        <f>-28.6977198518841*(1/14151.6638359215)</f>
        <v>-2.0278689618841851E-3</v>
      </c>
      <c r="L102" s="2">
        <f>-17.2692152500815*(1/14151.6638359215)</f>
        <v>-1.2202957511078412E-3</v>
      </c>
      <c r="M102" s="2">
        <f>-2.30943962977286*(1/14151.6638359215)</f>
        <v>-1.6319209221962687E-4</v>
      </c>
      <c r="N102" s="2">
        <f>15.7002797027396*(1/14151.6638359215)</f>
        <v>1.1094299500591027E-3</v>
      </c>
      <c r="O102" s="2">
        <f>33.5207761182351*(1/14151.6638359215)</f>
        <v>2.3686809202709104E-3</v>
      </c>
      <c r="P102" s="2">
        <f>51.7679884901625*(1/14151.6638359215)</f>
        <v>3.6580849496126813E-3</v>
      </c>
      <c r="Q102" s="2">
        <f>71.9321032483182*(1/14151.6638359215)</f>
        <v>5.0829431847957875E-3</v>
      </c>
      <c r="R102" s="2">
        <f>95.5033068225035*(1/14151.6638359215)</f>
        <v>6.7485567725319492E-3</v>
      </c>
      <c r="S102" s="2">
        <f>123.971785642506*(1/14151.6638359215)</f>
        <v>8.7602268595319173E-3</v>
      </c>
      <c r="T102" s="2">
        <f>158.827726138127*(1/14151.6638359215)</f>
        <v>1.122325459250741E-2</v>
      </c>
      <c r="U102" s="2">
        <f>201.561314739162*(1/14151.6638359215)</f>
        <v>1.4242941118169736E-2</v>
      </c>
      <c r="V102" s="2">
        <f>253.662737875407*(1/14151.6638359215)</f>
        <v>1.7924587583230244E-2</v>
      </c>
      <c r="W102" s="2">
        <f>316.62218197666*(1/14151.6638359215)</f>
        <v>2.2373495134400415E-2</v>
      </c>
      <c r="X102" s="2">
        <f>391.929833472732*(1/14151.6638359215)</f>
        <v>2.769496491839266E-2</v>
      </c>
      <c r="Y102" s="2">
        <f>479.588395396014*(1/14151.6638359215)</f>
        <v>3.3889187939771685E-2</v>
      </c>
      <c r="Z102" s="2">
        <f>577.521241068015*(1/14151.6638359215)</f>
        <v>4.0809423383989615E-2</v>
      </c>
      <c r="AA102" s="2">
        <f>685.147265639187*(1/14151.6638359215)</f>
        <v>4.841460859888868E-2</v>
      </c>
      <c r="AB102" s="2">
        <f>801.910392253378*(1/14151.6638359215)</f>
        <v>5.6665449487138753E-2</v>
      </c>
      <c r="AC102" s="2">
        <f>927.254544054429*(1/14151.6638359215)</f>
        <v>6.5522651951409203E-2</v>
      </c>
      <c r="AD102" s="2">
        <f>1060.62364418621*(1/14151.6638359215)</f>
        <v>7.4946921894371465E-2</v>
      </c>
      <c r="AE102" s="2">
        <f>1201.46161579252*(1/14151.6638359215)</f>
        <v>8.4898965218691946E-2</v>
      </c>
      <c r="AF102" s="2">
        <f>1349.21238201721*(1/14151.6638359215)</f>
        <v>9.5339487827040714E-2</v>
      </c>
      <c r="AG102" s="2">
        <f>1503.31986600415*(1/14151.6638359215)</f>
        <v>0.10622919562208918</v>
      </c>
      <c r="AH102" s="2">
        <f>1663.22799089716*(1/14151.6638359215)</f>
        <v>0.11752879450650527</v>
      </c>
      <c r="AI102" s="2">
        <f>1828.72225985101*(1/14151.6638359215)</f>
        <v>0.12922312747488543</v>
      </c>
      <c r="AJ102" s="2">
        <f>2003.98852131209*(1/14151.6638359215)</f>
        <v>0.1416079794253817</v>
      </c>
      <c r="AK102" s="2">
        <f>2189.29353622069*(1/14151.6638359215)</f>
        <v>0.15470220050476008</v>
      </c>
      <c r="AL102" s="2">
        <f>2383.17980798578*(1/14151.6638359215)</f>
        <v>0.16840279953064591</v>
      </c>
      <c r="AM102" s="2">
        <f>2584.18984001636*(1/14151.6638359215)</f>
        <v>0.18260678532066671</v>
      </c>
      <c r="AN102" s="2">
        <f>2790.86613572143*(1/14151.6638359215)</f>
        <v>0.19721116669244992</v>
      </c>
      <c r="AO102" s="2">
        <f>3001.75119850998*(1/14151.6638359215)</f>
        <v>0.2121129524636223</v>
      </c>
      <c r="AP102" s="2">
        <f>3215.38753179103*(1/14151.6638359215)</f>
        <v>0.22720915145181281</v>
      </c>
      <c r="AQ102" s="2">
        <f>3430.31763897351*(1/14151.6638359215)</f>
        <v>0.24239677247464389</v>
      </c>
      <c r="AR102" s="2">
        <f>3645.08402346644*(1/14151.6638359215)</f>
        <v>0.25757282434974454</v>
      </c>
      <c r="AS102" s="2">
        <f>3858.22918867881*(1/14151.6638359215)</f>
        <v>0.27263431589474141</v>
      </c>
      <c r="AT102" s="2">
        <f>4070.74279375662*(1/14151.6638359215)</f>
        <v>0.28765117946228758</v>
      </c>
      <c r="AU102" s="2">
        <f>4287.39306224761*(1/14151.6638359215)</f>
        <v>0.30296035236258367</v>
      </c>
      <c r="AV102" s="2">
        <f>4507.46704599455*(1/14151.6638359215)</f>
        <v>0.31851145549070642</v>
      </c>
      <c r="AW102" s="2">
        <f>4729.98486582885*(1/14151.6638359215)</f>
        <v>0.33423524757722262</v>
      </c>
      <c r="AX102" s="2">
        <f>4953.96664258186*(1/14151.6638359215)</f>
        <v>0.35006248735269491</v>
      </c>
      <c r="AY102" s="2">
        <f>5178.43249708494*(1/14151.6638359215)</f>
        <v>0.36592393354768671</v>
      </c>
      <c r="AZ102" s="2">
        <f>5402.40255016944*(1/14151.6638359215)</f>
        <v>0.38175034489276055</v>
      </c>
      <c r="BA102" s="2">
        <f>5624.89692266675*(1/14151.6638359215)</f>
        <v>0.39747248011848202</v>
      </c>
      <c r="BB102" s="2">
        <f>5844.93573540815*(1/14151.6638359215)</f>
        <v>0.41302109795540881</v>
      </c>
      <c r="BC102" s="2">
        <f>6061.53910922505*(1/14151.6638359215)</f>
        <v>0.42832695713410768</v>
      </c>
      <c r="BD102" s="2">
        <f>6273.79798060249*(1/14151.6638359215)</f>
        <v>0.44332582043657376</v>
      </c>
      <c r="BE102" s="2">
        <f>6483.55565359412*(1/14151.6638359215)</f>
        <v>0.45814794138458537</v>
      </c>
      <c r="BF102" s="2">
        <f>6691.90093043022*(1/14151.6638359215)</f>
        <v>0.47287025808541405</v>
      </c>
      <c r="BG102" s="2">
        <f>6898.68420431545*(1/14151.6638359215)</f>
        <v>0.48748219886373773</v>
      </c>
      <c r="BH102" s="2">
        <f>7103.75586845435*(1/14151.6638359215)</f>
        <v>0.50197319204422597</v>
      </c>
      <c r="BI102" s="2">
        <f>7306.9663160516*(1/14151.6638359215)</f>
        <v>0.51633266595155802</v>
      </c>
      <c r="BJ102" s="2">
        <f>7508.1659403118*(1/14151.6638359215)</f>
        <v>0.5305500489104078</v>
      </c>
      <c r="BK102" s="2">
        <f>7707.20513443959*(1/14151.6638359215)</f>
        <v>0.5446147692454516</v>
      </c>
      <c r="BL102" s="2">
        <f>7903.9342916396*(1/14151.6638359215)</f>
        <v>0.5585162552813655</v>
      </c>
      <c r="BM102" s="2">
        <f>8098.20380511647*(1/14151.6638359215)</f>
        <v>0.57224393534282592</v>
      </c>
      <c r="BN102" s="2">
        <f>8289.86406807477*(1/14151.6638359215)</f>
        <v>0.58578723775450448</v>
      </c>
      <c r="BO102" s="2">
        <f>8479.75865169245*(1/14151.6638359215)</f>
        <v>0.59920577184486812</v>
      </c>
      <c r="BP102" s="2">
        <f>8670.93665470859*(1/14151.6638359215)</f>
        <v>0.61271499628891335</v>
      </c>
      <c r="BQ102" s="2">
        <f>8862.41745601402*(1/14151.6638359215)</f>
        <v>0.6262456173894082</v>
      </c>
      <c r="BR102" s="2">
        <f>9052.83436502799*(1/14151.6638359215)</f>
        <v>0.63970106059536036</v>
      </c>
      <c r="BS102" s="2">
        <f>9240.82069116962*(1/14151.6638359215)</f>
        <v>0.65298475135576839</v>
      </c>
      <c r="BT102" s="2">
        <f>9425.00974385816*(1/14151.6638359215)</f>
        <v>0.66600011511963964</v>
      </c>
      <c r="BU102" s="2">
        <f>9604.03483251282*(1/14151.6638359215)</f>
        <v>0.67865057733597889</v>
      </c>
      <c r="BV102" s="2">
        <f>9776.52926655282*(1/14151.6638359215)</f>
        <v>0.69083956345379172</v>
      </c>
      <c r="BW102" s="2">
        <f>9941.12635539736*(1/14151.6638359215)</f>
        <v>0.70247049892208202</v>
      </c>
      <c r="BX102" s="2">
        <f>10096.4594084656*(1/14151.6638359215)</f>
        <v>0.71344680918985093</v>
      </c>
      <c r="BY102" s="2">
        <f>10241.1861392691*(1/14151.6638359215)</f>
        <v>0.72367364417416824</v>
      </c>
      <c r="BZ102" s="2">
        <f>10380.7650837565*(1/14151.6638359215)</f>
        <v>0.73353672077814347</v>
      </c>
      <c r="CA102" s="2">
        <f>10518.6203171999*(1/14151.6638359215)</f>
        <v>0.74327799466944944</v>
      </c>
      <c r="CB102" s="2">
        <f>10652.5648302519*(1/14151.6638359215)</f>
        <v>0.75274292505537377</v>
      </c>
      <c r="CC102" s="2">
        <f>10780.4116135648*(1/14151.6638359215)</f>
        <v>0.7617769711431831</v>
      </c>
      <c r="CD102" s="2">
        <f>10899.9736577912*(1/14151.6638359215)</f>
        <v>0.77022559214016539</v>
      </c>
      <c r="CE102" s="2">
        <f>11009.0639535834*(1/14151.6638359215)</f>
        <v>0.77793424725358684</v>
      </c>
      <c r="CF102" s="2">
        <f>11105.4954915939*(1/14151.6638359215)</f>
        <v>0.78474839569072863</v>
      </c>
      <c r="CG102" s="2">
        <f>11187.0812624751*(1/14151.6638359215)</f>
        <v>0.79051349665886417</v>
      </c>
      <c r="CH102" s="2">
        <f>11251.6342568795*(1/14151.6638359215)</f>
        <v>0.79507500936527431</v>
      </c>
      <c r="CI102" s="2">
        <f>11296.9674654595*(1/14151.6638359215)</f>
        <v>0.79827839301723258</v>
      </c>
      <c r="CJ102" s="2">
        <f>11321.9277008984*(1/14151.6638359215)</f>
        <v>0.80004215985965454</v>
      </c>
      <c r="CK102" s="2">
        <f>11331.3279857992*(1/14151.6638359215)</f>
        <v>0.80070641284147981</v>
      </c>
      <c r="CL102" s="2">
        <f>11326.0521655813*(1/14151.6638359215)</f>
        <v>0.80033360719268343</v>
      </c>
      <c r="CM102" s="2">
        <f>11306.038830274*(1/14151.6638359215)</f>
        <v>0.79891940349626001</v>
      </c>
      <c r="CN102" s="2">
        <f>11271.2265699066*(1/14151.6638359215)</f>
        <v>0.79645946233520482</v>
      </c>
      <c r="CO102" s="2">
        <f>11221.5539745083*(1/14151.6638359215)</f>
        <v>0.79294944429250558</v>
      </c>
      <c r="CP102" s="2">
        <f>11156.9596341085*(1/14151.6638359215)</f>
        <v>0.78838500995116401</v>
      </c>
      <c r="CQ102" s="2">
        <f>11077.3821387364*(1/14151.6638359215)</f>
        <v>0.78276181989416838</v>
      </c>
      <c r="CR102" s="2">
        <f>10982.7600784213*(1/14151.6638359215)</f>
        <v>0.77607553470451318</v>
      </c>
      <c r="CS102" s="2">
        <f>10873.0320431924*(1/14151.6638359215)</f>
        <v>0.76832181496518648</v>
      </c>
      <c r="CT102" s="2">
        <f>10748.1366230791*(1/14151.6638359215)</f>
        <v>0.75949632125919031</v>
      </c>
      <c r="CU102" s="2">
        <f>10603.8898008774*(1/14151.6638359215)</f>
        <v>0.74930339808957991</v>
      </c>
      <c r="CV102" s="2">
        <f>10436.9036162271*(1/14151.6638359215)</f>
        <v>0.73750364177919936</v>
      </c>
      <c r="CW102" s="2">
        <f>10250.1551451577*(1/14151.6638359215)</f>
        <v>0.7243074216573383</v>
      </c>
      <c r="CX102" s="2">
        <f>10046.6417778035*(1/14151.6638359215)</f>
        <v>0.70992654251027876</v>
      </c>
      <c r="CY102" s="2">
        <f>9829.3609042988*(1/14151.6638359215)</f>
        <v>0.69457280912430253</v>
      </c>
      <c r="CZ102" s="2">
        <f>9601.3099147781*(1/14151.6638359215)</f>
        <v>0.67845802628570573</v>
      </c>
      <c r="DA102" s="2">
        <f>9365.48619937568*(1/14151.6638359215)</f>
        <v>0.66179399878076861</v>
      </c>
      <c r="DB102" s="2">
        <f>9124.88714822601*(1/14151.6638359215)</f>
        <v>0.64479253139578507</v>
      </c>
      <c r="DC102" s="2">
        <f>8882.51015146341*(1/14151.6638359215)</f>
        <v>0.62766542891703847</v>
      </c>
      <c r="DD102" s="2">
        <f>8641.35259922227*(1/14151.6638359215)</f>
        <v>0.61062449613081693</v>
      </c>
      <c r="DE102" s="2">
        <f>8403.07488973757*(1/14151.6638359215)</f>
        <v>0.59378706187238905</v>
      </c>
      <c r="DF102" s="2">
        <f>8156.51619057248*(1/14151.6638359215)</f>
        <v>0.57636446746767711</v>
      </c>
      <c r="DG102" s="2">
        <f>7900.38418664029*(1/14151.6638359215)</f>
        <v>0.55826539396636599</v>
      </c>
      <c r="DH102" s="2">
        <f>7637.06032904406*(1/14151.6638359215)</f>
        <v>0.53965812201239061</v>
      </c>
      <c r="DI102" s="2">
        <f>7368.92606888703*(1/14151.6638359215)</f>
        <v>0.52071093224969867</v>
      </c>
      <c r="DJ102" s="2">
        <f>7098.36285727231*(1/14151.6638359215)</f>
        <v>0.50159210532222853</v>
      </c>
      <c r="DK102" s="2">
        <f>6827.75214530303*(1/14151.6638359215)</f>
        <v>0.4824699218739204</v>
      </c>
      <c r="DL102" s="2">
        <f>6559.47538408232*(1/14151.6638359215)</f>
        <v>0.46351266254871387</v>
      </c>
      <c r="DM102" s="2">
        <f>6295.91402471328*(1/14151.6638359215)</f>
        <v>0.44488860799054697</v>
      </c>
      <c r="DN102" s="2">
        <f>6039.44951829915*(1/14151.6638359215)</f>
        <v>0.42676603884336728</v>
      </c>
      <c r="DO102" s="2">
        <f>5792.46331594301*(1/14151.6638359215)</f>
        <v>0.40931323575111106</v>
      </c>
      <c r="DP102" s="2">
        <f>5554.42948306731*(1/14151.6638359215)</f>
        <v>0.39249303456236512</v>
      </c>
      <c r="DQ102" s="2">
        <f>5320.64229171861*(1/14151.6638359215)</f>
        <v>0.37597291409742928</v>
      </c>
      <c r="DR102" s="2">
        <f>5090.89311172881*(1/14151.6638359215)</f>
        <v>0.3597381319083115</v>
      </c>
      <c r="DS102" s="2">
        <f>4865.11379097602*(1/14151.6638359215)</f>
        <v>0.3437838721569112</v>
      </c>
      <c r="DT102" s="2">
        <f>4643.23617733831*(1/14151.6638359215)</f>
        <v>0.32810531900512468</v>
      </c>
      <c r="DU102" s="2">
        <f>4425.19211869387*(1/14151.6638359215)</f>
        <v>0.31269765661485693</v>
      </c>
      <c r="DV102" s="2">
        <f>4210.91346292076*(1/14151.6638359215)</f>
        <v>0.29755606914800364</v>
      </c>
      <c r="DW102" s="2">
        <f>4000.33205789708*(1/14151.6638359215)</f>
        <v>0.28267574076646335</v>
      </c>
      <c r="DX102" s="2">
        <f>3793.37975150095*(1/14151.6638359215)</f>
        <v>0.26805185563213602</v>
      </c>
      <c r="DY102" s="2">
        <f>3589.98839161043*(1/14151.6638359215)</f>
        <v>0.25367959790691735</v>
      </c>
      <c r="DZ102" s="2">
        <f>3390.0250009672*(1/14151.6638359215)</f>
        <v>0.2395495710096095</v>
      </c>
      <c r="EA102" s="2">
        <f>3192.18878269564*(1/14151.6638359215)</f>
        <v>0.22556985664066104</v>
      </c>
      <c r="EB102" s="2">
        <f>2996.50156715352*(1/14151.6638359215)</f>
        <v>0.21174199740015234</v>
      </c>
      <c r="EC102" s="2">
        <f>2803.63827389697*(1/14151.6638359215)</f>
        <v>0.19811368517533814</v>
      </c>
      <c r="ED102" s="2">
        <f>2614.27382248213*(1/14151.6638359215)</f>
        <v>0.18473261185347392</v>
      </c>
      <c r="EE102" s="2">
        <f>2429.08313246512*(1/14151.6638359215)</f>
        <v>0.17164646932181368</v>
      </c>
      <c r="EF102" s="2">
        <f>2248.74112340214*(1/14151.6638359215)</f>
        <v>0.15890294946761721</v>
      </c>
      <c r="EG102" s="2">
        <f>2073.9227148493*(1/14151.6638359215)</f>
        <v>0.14654974417813779</v>
      </c>
      <c r="EH102" s="2">
        <f>1905.30282636274*(1/14151.6638359215)</f>
        <v>0.13463454534063091</v>
      </c>
      <c r="EI102" s="2">
        <f>1743.5563774986*(1/14151.6638359215)</f>
        <v>0.12320504484235205</v>
      </c>
      <c r="EJ102" s="2">
        <f>1589.358287813*(1/14151.6638359215)</f>
        <v>0.11230893457055521</v>
      </c>
      <c r="EK102" s="2">
        <f>1442.3202538322*(1/14151.6638359215)</f>
        <v>0.10191877581003053</v>
      </c>
      <c r="EL102" s="2">
        <f>1299.86459525409*(1/14151.6638359215)</f>
        <v>9.1852421759384462E-2</v>
      </c>
      <c r="EM102" s="2">
        <f>1162.37075900668*(1/14151.6638359215)</f>
        <v>8.2136685303123652E-2</v>
      </c>
      <c r="EN102" s="2">
        <f>1030.43661208711*(1/14151.6638359215)</f>
        <v>7.2813813558200033E-2</v>
      </c>
      <c r="EO102" s="2">
        <f>904.660021492467*(1/14151.6638359215)</f>
        <v>6.3926053641561731E-2</v>
      </c>
      <c r="EP102" s="2">
        <f>785.638854219874*(1/14151.6638359215)</f>
        <v>5.5515652670159427E-2</v>
      </c>
      <c r="EQ102" s="2">
        <f>673.97097726642*(1/14151.6638359215)</f>
        <v>4.7624857760941421E-2</v>
      </c>
      <c r="ER102" s="2">
        <f>570.254257629257*(1/14151.6638359215)</f>
        <v>4.0295916030860433E-2</v>
      </c>
      <c r="ES102" s="2">
        <f>475.086562305476*(1/14151.6638359215)</f>
        <v>3.3571074596864904E-2</v>
      </c>
      <c r="ET102" s="2">
        <f>389.065758292187*(1/14151.6638359215)</f>
        <v>2.7492580575904601E-2</v>
      </c>
      <c r="EU102" s="2">
        <f>312.814921421881*(1/14151.6638359215)</f>
        <v>2.210446241860661E-2</v>
      </c>
      <c r="EV102" s="2">
        <f>248.447329412927*(1/14151.6638359215)</f>
        <v>1.7556050814483547E-2</v>
      </c>
      <c r="EW102" s="2">
        <f>195.931338037286*(1/14151.6638359215)</f>
        <v>1.3845109685261807E-2</v>
      </c>
      <c r="EX102" s="2">
        <f>153.727316510018*(1/14151.6638359215)</f>
        <v>1.086284399434421E-2</v>
      </c>
      <c r="EY102" s="2">
        <f>120.295634046197*(1/14151.6638359215)</f>
        <v>8.5004587051345695E-3</v>
      </c>
      <c r="EZ102" s="2">
        <f>94.0966598608951*(1/14151.6638359215)</f>
        <v>6.6491587810365693E-3</v>
      </c>
      <c r="FA102" s="2">
        <f>73.5907631691868*(1/14151.6638359215)</f>
        <v>5.2001491854540552E-3</v>
      </c>
      <c r="FB102" s="2">
        <f>57.2383131861426*(1/14151.6638359215)</f>
        <v>4.0446348817905955E-3</v>
      </c>
      <c r="FC102" s="2">
        <f>43.4996791268417*(1/14151.6638359215)</f>
        <v>3.0738208334503709E-3</v>
      </c>
      <c r="FD102" s="2">
        <f>30.8352302063542*(1/14151.6638359215)</f>
        <v>2.1789120038369207E-3</v>
      </c>
      <c r="FE102" s="2">
        <f>17.7053356397535*(1/14151.6638359215)</f>
        <v>1.2511133563540163E-3</v>
      </c>
      <c r="FF102" s="2">
        <f>3.47361971442191*(1/14151.6638359215)</f>
        <v>2.4545663002570339E-4</v>
      </c>
      <c r="FG102" s="2">
        <f>-8.51327545820108*(1/14151.6638359215)</f>
        <v>-6.015741722603412E-4</v>
      </c>
      <c r="FH102" s="2">
        <f>-17.7580521416708*(1/14151.6638359215)</f>
        <v>-1.2548384661735053E-3</v>
      </c>
      <c r="FI102" s="2">
        <f>-24.2607103359899*(1/14151.6638359215)</f>
        <v>-1.7143362517139766E-3</v>
      </c>
      <c r="FJ102" s="2">
        <f>-28.0212500411582*(1/14151.6638359215)</f>
        <v>-1.9800675288817421E-3</v>
      </c>
      <c r="FK102" s="2">
        <f>-29.0396712571757*(1/14151.6638359215)</f>
        <v>-2.0520322976768021E-3</v>
      </c>
      <c r="FL102" s="2">
        <f>-27.3159739840426*(1/14151.6638359215)</f>
        <v>-1.9302305580991702E-3</v>
      </c>
      <c r="FM102" s="2">
        <f>-22.8501582217576*(1/14151.6638359215)</f>
        <v>-1.614662310148755E-3</v>
      </c>
      <c r="FN102" s="2">
        <f>-15.6422239703224*(1/14151.6638359215)</f>
        <v>-1.1053275538256764E-3</v>
      </c>
      <c r="FO102" s="2">
        <f>-5.69217122973657*(1/14151.6638359215)</f>
        <v>-4.022262891299042E-4</v>
      </c>
      <c r="FP102" s="2">
        <f t="shared" si="17"/>
        <v>4.9464148393856954E-4</v>
      </c>
      <c r="FQ102" s="2"/>
    </row>
    <row r="103" spans="2:173">
      <c r="B103" s="2">
        <v>10.246745562130178</v>
      </c>
      <c r="C103" s="2">
        <f t="shared" si="18"/>
        <v>4.9464148393856954E-4</v>
      </c>
      <c r="D103" s="2">
        <f>-8.44523673051189*(1/14151.6638359215)</f>
        <v>-5.9676634694184503E-4</v>
      </c>
      <c r="E103" s="2">
        <f>-20.6492809592068*(1/14151.6638359215)</f>
        <v>-1.4591415679895E-3</v>
      </c>
      <c r="F103" s="2">
        <f>-29.6121326860861*(1/14151.6638359215)</f>
        <v>-2.0924841792044923E-3</v>
      </c>
      <c r="G103" s="2">
        <f>-35.3337919111465*(1/14151.6638359215)</f>
        <v>-2.49679418058659E-3</v>
      </c>
      <c r="H103" s="2">
        <f>-37.8142586343899*(1/14151.6638359215)</f>
        <v>-2.6720715721359266E-3</v>
      </c>
      <c r="I103" s="2">
        <f>-37.0535328558163*(1/14151.6638359215)</f>
        <v>-2.6183163538525027E-3</v>
      </c>
      <c r="J103" s="2">
        <f>-33.0516145754258*(1/14151.6638359215)</f>
        <v>-2.3355285257363246E-3</v>
      </c>
      <c r="K103" s="2">
        <f>-25.8085037932183*(1/14151.6638359215)</f>
        <v>-1.8237080877873859E-3</v>
      </c>
      <c r="L103" s="2">
        <f>-15.3242005091915*(1/14151.6638359215)</f>
        <v>-1.0828550400055238E-3</v>
      </c>
      <c r="M103" s="2">
        <f>-1.59870472334939*(1/14151.6638359215)</f>
        <v>-1.1296938239102037E-4</v>
      </c>
      <c r="N103" s="2">
        <f>14.8617552408049*(1/14151.6638359215)</f>
        <v>1.0501772380347926E-3</v>
      </c>
      <c r="O103" s="2">
        <f>30.650437503501*(1/14151.6638359215)</f>
        <v>2.1658539842997313E-3</v>
      </c>
      <c r="P103" s="2">
        <f>46.4151459586871*(1/14151.6638359215)</f>
        <v>3.2798366677471839E-3</v>
      </c>
      <c r="Q103" s="2">
        <f>63.7231604348403*(1/14151.6638359215)</f>
        <v>4.5028740912492786E-3</v>
      </c>
      <c r="R103" s="2">
        <f>84.1417607604415*(1/14151.6638359215)</f>
        <v>5.9457150576784122E-3</v>
      </c>
      <c r="S103" s="2">
        <f>109.23822676396*(1/14151.6638359215)</f>
        <v>7.7191083699061627E-3</v>
      </c>
      <c r="T103" s="2">
        <f>140.579838273877*(1/14151.6638359215)</f>
        <v>9.9338028308049477E-3</v>
      </c>
      <c r="U103" s="2">
        <f>179.733875118668*(1/14151.6638359215)</f>
        <v>1.2700547243246783E-2</v>
      </c>
      <c r="V103" s="2">
        <f>228.267617126811*(1/14151.6638359215)</f>
        <v>1.613009041010386E-2</v>
      </c>
      <c r="W103" s="2">
        <f>287.748344126783*(1/14151.6638359215)</f>
        <v>2.0333181134248306E-2</v>
      </c>
      <c r="X103" s="2">
        <f>359.743335947075*(1/14151.6638359215)</f>
        <v>2.5420568218553222E-2</v>
      </c>
      <c r="Y103" s="2">
        <f>444.137603053125*(1/14151.6638359215)</f>
        <v>3.138412614958816E-2</v>
      </c>
      <c r="Z103" s="2">
        <f>538.615368573791*(1/14151.6638359215)</f>
        <v>3.8060215026208509E-2</v>
      </c>
      <c r="AA103" s="2">
        <f>642.658132678767*(1/14151.6638359215)</f>
        <v>4.5412196059059343E-2</v>
      </c>
      <c r="AB103" s="2">
        <f>755.776371305433*(1/14151.6638359215)</f>
        <v>5.3405477975460962E-2</v>
      </c>
      <c r="AC103" s="2">
        <f>877.480560391166*(1/14151.6638359215)</f>
        <v>6.2005469502733425E-2</v>
      </c>
      <c r="AD103" s="2">
        <f>1007.28117587337*(1/14151.6638359215)</f>
        <v>7.1177579368198712E-2</v>
      </c>
      <c r="AE103" s="2">
        <f>1144.68869368938*(1/14151.6638359215)</f>
        <v>8.0887216299173947E-2</v>
      </c>
      <c r="AF103" s="2">
        <f>1289.21358977658*(1/14151.6638359215)</f>
        <v>9.1099789022979688E-2</v>
      </c>
      <c r="AG103" s="2">
        <f>1440.36634007237*(1/14151.6638359215)</f>
        <v>0.10178070626693762</v>
      </c>
      <c r="AH103" s="2">
        <f>1597.65742051412*(1/14151.6638359215)</f>
        <v>0.11289537675836737</v>
      </c>
      <c r="AI103" s="2">
        <f>1760.94433484578*(1/14151.6638359215)</f>
        <v>0.12443373127447628</v>
      </c>
      <c r="AJ103" s="2">
        <f>1934.51048353262*(1/14151.6638359215)</f>
        <v>0.1366984480384707</v>
      </c>
      <c r="AK103" s="2">
        <f>2118.55910670543*(1/14151.6638359215)</f>
        <v>0.14970388862176348</v>
      </c>
      <c r="AL103" s="2">
        <f>2311.52944199808*(1/14151.6638359215)</f>
        <v>0.16333976476537485</v>
      </c>
      <c r="AM103" s="2">
        <f>2511.86072704444*(1/14151.6638359215)</f>
        <v>0.17749578821032513</v>
      </c>
      <c r="AN103" s="2">
        <f>2717.99219947838*(1/14151.6638359215)</f>
        <v>0.19206167069763463</v>
      </c>
      <c r="AO103" s="2">
        <f>2928.36309693377*(1/14151.6638359215)</f>
        <v>0.20692712396832361</v>
      </c>
      <c r="AP103" s="2">
        <f>3141.41265704452*(1/14151.6638359215)</f>
        <v>0.22198185976341514</v>
      </c>
      <c r="AQ103" s="2">
        <f>3355.58011744442*(1/14151.6638359215)</f>
        <v>0.23711558982392392</v>
      </c>
      <c r="AR103" s="2">
        <f>3569.30471576738*(1/14151.6638359215)</f>
        <v>0.252218025890873</v>
      </c>
      <c r="AS103" s="2">
        <f>3781.02568964727*(1/14151.6638359215)</f>
        <v>0.2671788797052827</v>
      </c>
      <c r="AT103" s="2">
        <f>3991.69926960376*(1/14151.6638359215)</f>
        <v>0.2820657214504726</v>
      </c>
      <c r="AU103" s="2">
        <f>4206.23585195539*(1/14151.6638359215)</f>
        <v>0.29722553480097536</v>
      </c>
      <c r="AV103" s="2">
        <f>4423.97185845271*(1/14151.6638359215)</f>
        <v>0.31261142928107427</v>
      </c>
      <c r="AW103" s="2">
        <f>4643.97054516219*(1/14151.6638359215)</f>
        <v>0.3281572116894334</v>
      </c>
      <c r="AX103" s="2">
        <f>4865.29516815024*(1/14151.6638359215)</f>
        <v>0.34379668882471243</v>
      </c>
      <c r="AY103" s="2">
        <f>5087.00898348328*(1/14151.6638359215)</f>
        <v>0.35946366748557196</v>
      </c>
      <c r="AZ103" s="2">
        <f>5308.17524722774*(1/14151.6638359215)</f>
        <v>0.37509195447067323</v>
      </c>
      <c r="BA103" s="2">
        <f>5527.85721545008*(1/14151.6638359215)</f>
        <v>0.39061535657867952</v>
      </c>
      <c r="BB103" s="2">
        <f>5745.11814421664*(1/14151.6638359215)</f>
        <v>0.40596768060824567</v>
      </c>
      <c r="BC103" s="2">
        <f>5959.02128959389*(1/14151.6638359215)</f>
        <v>0.42108273335803575</v>
      </c>
      <c r="BD103" s="2">
        <f>6168.70990777416*(1/14151.6638359215)</f>
        <v>0.43589997468113811</v>
      </c>
      <c r="BE103" s="2">
        <f>6376.3551334031*(1/14151.6638359215)</f>
        <v>0.45057282361511786</v>
      </c>
      <c r="BF103" s="2">
        <f>6583.04874220016*(1/14151.6638359215)</f>
        <v>0.46517842838311724</v>
      </c>
      <c r="BG103" s="2">
        <f>6788.44535030641*(1/14151.6638359215)</f>
        <v>0.47969238310163503</v>
      </c>
      <c r="BH103" s="2">
        <f>6992.19957386283*(1/14151.6638359215)</f>
        <v>0.49409028188716342</v>
      </c>
      <c r="BI103" s="2">
        <f>7193.96602901048*(1/14151.6638359215)</f>
        <v>0.50834771885620034</v>
      </c>
      <c r="BJ103" s="2">
        <f>7393.39933189042*(1/14151.6638359215)</f>
        <v>0.52244028812524379</v>
      </c>
      <c r="BK103" s="2">
        <f>7590.15409864369*(1/14151.6638359215)</f>
        <v>0.53634358381079006</v>
      </c>
      <c r="BL103" s="2">
        <f>7783.88494541132*(1/14151.6638359215)</f>
        <v>0.5500332000293352</v>
      </c>
      <c r="BM103" s="2">
        <f>7974.2464883344*(1/14151.6638359215)</f>
        <v>0.56348473089737927</v>
      </c>
      <c r="BN103" s="2">
        <f>8160.8933435539*(1/14151.6638359215)</f>
        <v>0.57667377053141367</v>
      </c>
      <c r="BO103" s="2">
        <f>8344.46947978058*(1/14151.6638359215)</f>
        <v>0.58964582373696717</v>
      </c>
      <c r="BP103" s="2">
        <f>8527.99960003732*(1/14151.6638359215)</f>
        <v>0.60261462531285537</v>
      </c>
      <c r="BQ103" s="2">
        <f>8710.7181291503*(1/14151.6638359215)</f>
        <v>0.61552607736764353</v>
      </c>
      <c r="BR103" s="2">
        <f>8891.48469242289*(1/14151.6638359215)</f>
        <v>0.62829959752530484</v>
      </c>
      <c r="BS103" s="2">
        <f>9069.15891515833*(1/14151.6638359215)</f>
        <v>0.64085460340980349</v>
      </c>
      <c r="BT103" s="2">
        <f>9242.60042266001*(1/14151.6638359215)</f>
        <v>0.65311051264511399</v>
      </c>
      <c r="BU103" s="2">
        <f>9410.66884023123*(1/14151.6638359215)</f>
        <v>0.66498674285520476</v>
      </c>
      <c r="BV103" s="2">
        <f>9572.22379317534*(1/14151.6638359215)</f>
        <v>0.67640271166404764</v>
      </c>
      <c r="BW103" s="2">
        <f>9726.12490679567*(1/14151.6638359215)</f>
        <v>0.68727783669561315</v>
      </c>
      <c r="BX103" s="2">
        <f>9871.23180639555*(1/14151.6638359215)</f>
        <v>0.6975315355738716</v>
      </c>
      <c r="BY103" s="2">
        <f>10006.4241090364*(1/14151.6638359215)</f>
        <v>0.70708463860177762</v>
      </c>
      <c r="BZ103" s="2">
        <f>10136.1605131888*(1/14151.6638359215)</f>
        <v>0.71625221109760584</v>
      </c>
      <c r="CA103" s="2">
        <f>10263.2609184092*(1/14151.6638359215)</f>
        <v>0.72523351581866469</v>
      </c>
      <c r="CB103" s="2">
        <f>10385.9547666698*(1/14151.6638359215)</f>
        <v>0.73390343970062999</v>
      </c>
      <c r="CC103" s="2">
        <f>10502.4714999424*(1/14151.6638359215)</f>
        <v>0.74213686967914894</v>
      </c>
      <c r="CD103" s="2">
        <f>10611.0405601992*(1/14151.6638359215)</f>
        <v>0.74980869268989758</v>
      </c>
      <c r="CE103" s="2">
        <f>10709.8913894121*(1/14151.6638359215)</f>
        <v>0.75679379566852989</v>
      </c>
      <c r="CF103" s="2">
        <f>10797.2534295531*(1/14151.6638359215)</f>
        <v>0.76296706555070781</v>
      </c>
      <c r="CG103" s="2">
        <f>10871.3561225942*(1/14151.6638359215)</f>
        <v>0.76820338927209264</v>
      </c>
      <c r="CH103" s="2">
        <f>10930.4289105074*(1/14151.6638359215)</f>
        <v>0.77237765376834611</v>
      </c>
      <c r="CI103" s="2">
        <f>10972.7012352648*(1/14151.6638359215)</f>
        <v>0.77536474597513649</v>
      </c>
      <c r="CJ103" s="2">
        <f>10997.4093576622*(1/14151.6638359215)</f>
        <v>0.77711069773627739</v>
      </c>
      <c r="CK103" s="2">
        <f>11009.3170259035*(1/14151.6638359215)</f>
        <v>0.77795213012043807</v>
      </c>
      <c r="CL103" s="2">
        <f>11008.9213947435*(1/14151.6638359215)</f>
        <v>0.77792417360842736</v>
      </c>
      <c r="CM103" s="2">
        <f>10995.7676215892*(1/14151.6638359215)</f>
        <v>0.77699468762665114</v>
      </c>
      <c r="CN103" s="2">
        <f>10969.400863848*(1/14151.6638359215)</f>
        <v>0.77513153160154313</v>
      </c>
      <c r="CO103" s="2">
        <f>10929.3662789271*(1/14151.6638359215)</f>
        <v>0.77230256495952332</v>
      </c>
      <c r="CP103" s="2">
        <f>10875.2090242337*(1/14151.6638359215)</f>
        <v>0.76847564712701144</v>
      </c>
      <c r="CQ103" s="2">
        <f>10806.474257175*(1/14151.6638359215)</f>
        <v>0.76361863753042758</v>
      </c>
      <c r="CR103" s="2">
        <f>10722.7071351582*(1/14151.6638359215)</f>
        <v>0.75769939559619137</v>
      </c>
      <c r="CS103" s="2">
        <f>10623.4528155906*(1/14151.6638359215)</f>
        <v>0.75068578075072978</v>
      </c>
      <c r="CT103" s="2">
        <f>10508.2564558794*(1/14151.6638359215)</f>
        <v>0.74254565242046289</v>
      </c>
      <c r="CU103" s="2">
        <f>10373.5924764312*(1/14151.6638359215)</f>
        <v>0.73302988233084421</v>
      </c>
      <c r="CV103" s="2">
        <f>10217.0900135477*(1/14151.6638359215)</f>
        <v>0.72197093797645351</v>
      </c>
      <c r="CW103" s="2">
        <f>10041.4547633484*(1/14151.6638359215)</f>
        <v>0.70956001214923858</v>
      </c>
      <c r="CX103" s="2">
        <f>9849.40813754655*(1/14151.6638359215)</f>
        <v>0.69598940815323551</v>
      </c>
      <c r="CY103" s="2">
        <f>9643.6715478556*(1/14151.6638359215)</f>
        <v>0.68145142929249369</v>
      </c>
      <c r="CZ103" s="2">
        <f>9426.96640598886*(1/14151.6638359215)</f>
        <v>0.66613837887105332</v>
      </c>
      <c r="DA103" s="2">
        <f>9202.01412365965*(1/14151.6638359215)</f>
        <v>0.65024256019295501</v>
      </c>
      <c r="DB103" s="2">
        <f>8971.53611258141*(1/14151.6638359215)</f>
        <v>0.63395627656224784</v>
      </c>
      <c r="DC103" s="2">
        <f>8738.25378446745*(1/14151.6638359215)</f>
        <v>0.61747183128297156</v>
      </c>
      <c r="DD103" s="2">
        <f>8504.88855103112*(1/14151.6638359215)</f>
        <v>0.60098152765916901</v>
      </c>
      <c r="DE103" s="2">
        <f>8272.84406450879*(1/14151.6638359215)</f>
        <v>0.58458455206585935</v>
      </c>
      <c r="DF103" s="2">
        <f>8031.03933098848*(1/14151.6638359215)</f>
        <v>0.56749788746416552</v>
      </c>
      <c r="DG103" s="2">
        <f>7778.41919314502*(1/14151.6638359215)</f>
        <v>0.54964697319907185</v>
      </c>
      <c r="DH103" s="2">
        <f>7517.58084987274*(1/14151.6638359215)</f>
        <v>0.53121533531560361</v>
      </c>
      <c r="DI103" s="2">
        <f>7251.12150006615*(1/14151.6638359215)</f>
        <v>0.51238649985879814</v>
      </c>
      <c r="DJ103" s="2">
        <f>6981.63834261958*(1/14151.6638359215)</f>
        <v>0.49334399287368058</v>
      </c>
      <c r="DK103" s="2">
        <f>6711.72857642744*(1/14151.6638359215)</f>
        <v>0.47427134040528168</v>
      </c>
      <c r="DL103" s="2">
        <f>6443.98940038411*(1/14151.6638359215)</f>
        <v>0.45535206849862986</v>
      </c>
      <c r="DM103" s="2">
        <f>6181.01801338394*(1/14151.6638359215)</f>
        <v>0.43676970319875164</v>
      </c>
      <c r="DN103" s="2">
        <f>5925.41161432143*(1/14151.6638359215)</f>
        <v>0.41870777055068387</v>
      </c>
      <c r="DO103" s="2">
        <f>5679.76740209091*(1/14151.6638359215)</f>
        <v>0.40134979659945169</v>
      </c>
      <c r="DP103" s="2">
        <f>5443.43999195935*(1/14151.6638359215)</f>
        <v>0.38465017647904681</v>
      </c>
      <c r="DQ103" s="2">
        <f>5211.1920812319*(1/14151.6638359215)</f>
        <v>0.36823882630706711</v>
      </c>
      <c r="DR103" s="2">
        <f>4982.85885624676*(1/14151.6638359215)</f>
        <v>0.35210409984433444</v>
      </c>
      <c r="DS103" s="2">
        <f>4758.43292402992*(1/14151.6638359215)</f>
        <v>0.33624547468061522</v>
      </c>
      <c r="DT103" s="2">
        <f>4537.90689160738*(1/14151.6638359215)</f>
        <v>0.3206624284056766</v>
      </c>
      <c r="DU103" s="2">
        <f>4321.27336600523*(1/14151.6638359215)</f>
        <v>0.30535443860929207</v>
      </c>
      <c r="DV103" s="2">
        <f>4108.52495424946*(1/14151.6638359215)</f>
        <v>0.2903209828812281</v>
      </c>
      <c r="DW103" s="2">
        <f>3899.65426336608*(1/14151.6638359215)</f>
        <v>0.27556153881125245</v>
      </c>
      <c r="DX103" s="2">
        <f>3694.65390038111*(1/14151.6638359215)</f>
        <v>0.26107558398913372</v>
      </c>
      <c r="DY103" s="2">
        <f>3493.51647232054*(1/14151.6638359215)</f>
        <v>0.24686259600463836</v>
      </c>
      <c r="DZ103" s="2">
        <f>3296.16940594386*(1/14151.6638359215)</f>
        <v>0.23291744660985489</v>
      </c>
      <c r="EA103" s="2">
        <f>3101.33329903201*(1/14151.6638359215)</f>
        <v>0.21914972931732757</v>
      </c>
      <c r="EB103" s="2">
        <f>2908.97774525069*(1/14151.6638359215)</f>
        <v>0.20555729552215365</v>
      </c>
      <c r="EC103" s="2">
        <f>2719.71726504849*(1/14151.6638359215)</f>
        <v>0.19218356912527612</v>
      </c>
      <c r="ED103" s="2">
        <f>2534.16637887399*(1/14151.6638359215)</f>
        <v>0.17907197402763739</v>
      </c>
      <c r="EE103" s="2">
        <f>2352.93960717574*(1/14151.6638359215)</f>
        <v>0.16626593413017757</v>
      </c>
      <c r="EF103" s="2">
        <f>2176.65147040239*(1/14151.6638359215)</f>
        <v>0.15380887333384394</v>
      </c>
      <c r="EG103" s="2">
        <f>2005.91648900249*(1/14151.6638359215)</f>
        <v>0.1417442155395767</v>
      </c>
      <c r="EH103" s="2">
        <f>1841.34918342461*(1/14151.6638359215)</f>
        <v>0.13011538464831748</v>
      </c>
      <c r="EI103" s="2">
        <f>1683.56407411734*(1/14151.6638359215)</f>
        <v>0.11896580456100928</v>
      </c>
      <c r="EJ103" s="2">
        <f>1533.17568152924*(1/14151.6638359215)</f>
        <v>0.10833889917859299</v>
      </c>
      <c r="EK103" s="2">
        <f>1389.82587819443*(1/14151.6638359215)</f>
        <v>9.8209362115188353E-2</v>
      </c>
      <c r="EL103" s="2">
        <f>1251.15661875423*(1/14151.6638359215)</f>
        <v>8.8410566648593633E-2</v>
      </c>
      <c r="EM103" s="2">
        <f>1117.51823177474*(1/14151.6638359215)</f>
        <v>7.8967268070494812E-2</v>
      </c>
      <c r="EN103" s="2">
        <f>989.460959947533*(1/14151.6638359215)</f>
        <v>6.9918348218247037E-2</v>
      </c>
      <c r="EO103" s="2">
        <f>867.535045964158*(1/14151.6638359215)</f>
        <v>6.1302688929203757E-2</v>
      </c>
      <c r="EP103" s="2">
        <f>752.290732516177*(1/14151.6638359215)</f>
        <v>5.3159172040719321E-2</v>
      </c>
      <c r="EQ103" s="2">
        <f>644.27826229513*(1/14151.6638359215)</f>
        <v>4.5526679390146582E-2</v>
      </c>
      <c r="ER103" s="2">
        <f>544.047877992617*(1/14151.6638359215)</f>
        <v>3.8444092814842561E-2</v>
      </c>
      <c r="ES103" s="2">
        <f>452.149822300178*(1/14151.6638359215)</f>
        <v>3.195029415216008E-2</v>
      </c>
      <c r="ET103" s="2">
        <f>369.134337909373*(1/14151.6638359215)</f>
        <v>2.6084165239453377E-2</v>
      </c>
      <c r="EU103" s="2">
        <f>295.577867188073*(1/14151.6638359215)</f>
        <v>2.0886439263615122E-2</v>
      </c>
      <c r="EV103" s="2">
        <f>233.635991862315*(1/14151.6638359215)</f>
        <v>1.6509436245176437E-2</v>
      </c>
      <c r="EW103" s="2">
        <f>183.330282398572*(1/14151.6638359215)</f>
        <v>1.2954680419500953E-2</v>
      </c>
      <c r="EX103" s="2">
        <f>143.133419566126*(1/14151.6638359215)</f>
        <v>1.0114246722198636E-2</v>
      </c>
      <c r="EY103" s="2">
        <f>111.518084134275*(1/14151.6638359215)</f>
        <v>7.8802100888805768E-3</v>
      </c>
      <c r="EZ103" s="2">
        <f>86.9569568723138*(1/14151.6638359215)</f>
        <v>6.1446454551576414E-3</v>
      </c>
      <c r="FA103" s="2">
        <f>67.9227185495395*(1/14151.6638359215)</f>
        <v>4.7996277566408601E-3</v>
      </c>
      <c r="FB103" s="2">
        <f>52.8880499352454*(1/14151.6638359215)</f>
        <v>3.7372319289409929E-3</v>
      </c>
      <c r="FC103" s="2">
        <f>40.3256317987332*(1/14151.6638359215)</f>
        <v>2.8495329076693937E-3</v>
      </c>
      <c r="FD103" s="2">
        <f>28.7081449092961*(1/14151.6638359215)</f>
        <v>2.0286056284368162E-3</v>
      </c>
      <c r="FE103" s="2">
        <f>16.50827003623*(1/14151.6638359215)</f>
        <v>1.1665250268542045E-3</v>
      </c>
      <c r="FF103" s="2">
        <f>3.0947202025861*(1/14151.6638359215)</f>
        <v>2.1868242762597986E-4</v>
      </c>
      <c r="FG103" s="2">
        <f>-8.21262367919422*(1/14151.6638359215)</f>
        <v>-5.8032919481509481E-4</v>
      </c>
      <c r="FH103" s="2">
        <f>-16.9204404806345*(1/14151.6638359215)</f>
        <v>-1.1956502554621845E-3</v>
      </c>
      <c r="FI103" s="2">
        <f>-23.0287302017372*(1/14151.6638359215)</f>
        <v>-1.6272807543154632E-3</v>
      </c>
      <c r="FJ103" s="2">
        <f>-26.5374928425023*(1/14151.6638359215)</f>
        <v>-1.8752206913749295E-3</v>
      </c>
      <c r="FK103" s="2">
        <f>-27.4467284029297*(1/14151.6638359215)</f>
        <v>-1.9394700666405761E-3</v>
      </c>
      <c r="FL103" s="2">
        <f>-25.7564368830196*(1/14151.6638359215)</f>
        <v>-1.8200288801124172E-3</v>
      </c>
      <c r="FM103" s="2">
        <f>-21.4666182827707*(1/14151.6638359215)</f>
        <v>-1.5168971317903609E-3</v>
      </c>
      <c r="FN103" s="2">
        <f>-14.5772726021848*(1/14151.6638359215)</f>
        <v>-1.0300748216745348E-3</v>
      </c>
      <c r="FO103" s="2">
        <f>-5.08839984126118*(1/14151.6638359215)</f>
        <v>-3.5956194976488739E-4</v>
      </c>
      <c r="FP103" s="2">
        <f t="shared" si="17"/>
        <v>4.9464148393856954E-4</v>
      </c>
      <c r="FQ103" s="2"/>
    </row>
    <row r="104" spans="2:173">
      <c r="B104" s="2">
        <v>10.256213017751479</v>
      </c>
      <c r="C104" s="2">
        <f t="shared" si="18"/>
        <v>4.9464148393856954E-4</v>
      </c>
      <c r="D104" s="2">
        <f>-7.01262563339696*(1/14151.6638359215)</f>
        <v>-4.9553364994416049E-4</v>
      </c>
      <c r="E104" s="2">
        <f>-18.0860148964976*(1/14151.6638359215)</f>
        <v>-1.2780133209912353E-3</v>
      </c>
      <c r="F104" s="2">
        <f>-26.2201677893033*(1/14151.6638359215)</f>
        <v>-1.8527975292027524E-3</v>
      </c>
      <c r="G104" s="2">
        <f>-31.4150843118108*(1/14151.6638359215)</f>
        <v>-2.2198862745784814E-3</v>
      </c>
      <c r="H104" s="2">
        <f>-33.6707644640221*(1/14151.6638359215)</f>
        <v>-2.3792795571185637E-3</v>
      </c>
      <c r="I104" s="2">
        <f>-32.987208245937*(1/14151.6638359215)</f>
        <v>-2.3309773768229848E-3</v>
      </c>
      <c r="J104" s="2">
        <f>-29.3644156575557*(1/14151.6638359215)</f>
        <v>-2.0749797336917599E-3</v>
      </c>
      <c r="K104" s="2">
        <f>-22.8023866988781*(1/14151.6638359215)</f>
        <v>-1.6112866277248805E-3</v>
      </c>
      <c r="L104" s="2">
        <f>-13.3011213699022*(1/14151.6638359215)</f>
        <v>-9.3989805892220619E-4</v>
      </c>
      <c r="M104" s="2">
        <f>-0.860619670631426*(1/14151.6638359215)</f>
        <v>-6.0814027283978785E-5</v>
      </c>
      <c r="N104" s="2">
        <f>13.987940413984*(1/14151.6638359215)</f>
        <v>9.8843080051676203E-4</v>
      </c>
      <c r="O104" s="2">
        <f>27.6699143946388*(1/14151.6638359215)</f>
        <v>1.9552410738024745E-3</v>
      </c>
      <c r="P104" s="2">
        <f>40.8650334342377*(1/14151.6638359215)</f>
        <v>2.8876486827300852E-3</v>
      </c>
      <c r="Q104" s="2">
        <f>55.2178213622298*(1/14151.6638359215)</f>
        <v>3.9018607283525992E-3</v>
      </c>
      <c r="R104" s="2">
        <f>72.3728020080677*(1/14151.6638359215)</f>
        <v>5.1140843117232701E-3</v>
      </c>
      <c r="S104" s="2">
        <f>93.9744992011941*(1/14151.6638359215)</f>
        <v>6.6405265338946532E-3</v>
      </c>
      <c r="T104" s="2">
        <f>121.667436771061*(1/14151.6638359215)</f>
        <v>8.5973944959199574E-3</v>
      </c>
      <c r="U104" s="2">
        <f>157.096138547117*(1/14151.6638359215)</f>
        <v>1.1100895298852153E-2</v>
      </c>
      <c r="V104" s="2">
        <f>201.905128358812*(1/14151.6638359215)</f>
        <v>1.4267236043744304E-2</v>
      </c>
      <c r="W104" s="2">
        <f>257.738930035594*(1/14151.6638359215)</f>
        <v>1.821262383164934E-2</v>
      </c>
      <c r="X104" s="2">
        <f>326.242067406927*(1/14151.6638359215)</f>
        <v>2.3053265763621315E-2</v>
      </c>
      <c r="Y104" s="2">
        <f>407.174481367903*(1/14151.6638359215)</f>
        <v>2.8772198526533854E-2</v>
      </c>
      <c r="Z104" s="2">
        <f>497.972788365305*(1/14151.6638359215)</f>
        <v>3.5188285571148815E-2</v>
      </c>
      <c r="AA104" s="2">
        <f>598.186836633953*(1/14151.6638359215)</f>
        <v>4.2269717792162459E-2</v>
      </c>
      <c r="AB104" s="2">
        <f>707.39956657804*(1/14151.6638359215)</f>
        <v>4.9987024478523233E-2</v>
      </c>
      <c r="AC104" s="2">
        <f>825.19391860176*(1/14151.6638359215)</f>
        <v>5.8310734919179673E-2</v>
      </c>
      <c r="AD104" s="2">
        <f>951.152833109333*(1/14151.6638359215)</f>
        <v>6.7211378403082153E-2</v>
      </c>
      <c r="AE104" s="2">
        <f>1084.8592505049*(1/14151.6638359215)</f>
        <v>7.6659484219175442E-2</v>
      </c>
      <c r="AF104" s="2">
        <f>1225.89611119269*(1/14151.6638359215)</f>
        <v>8.6625581656410544E-2</v>
      </c>
      <c r="AG104" s="2">
        <f>1373.84635557689*(1/14151.6638359215)</f>
        <v>9.7080200003735503E-2</v>
      </c>
      <c r="AH104" s="2">
        <f>1528.29292406168*(1/14151.6638359215)</f>
        <v>0.10799386855009785</v>
      </c>
      <c r="AI104" s="2">
        <f>1689.16989924742*(1/14151.6638359215)</f>
        <v>0.1193619293697297</v>
      </c>
      <c r="AJ104" s="2">
        <f>1860.84342089834*(1/14151.6638359215)</f>
        <v>0.13149290729863986</v>
      </c>
      <c r="AK104" s="2">
        <f>2043.44880530517*(1/14151.6638359215)</f>
        <v>0.14439636420123519</v>
      </c>
      <c r="AL104" s="2">
        <f>2235.32374481674*(1/14151.6638359215)</f>
        <v>0.15795483631703897</v>
      </c>
      <c r="AM104" s="2">
        <f>2434.80593178188*(1/14151.6638359215)</f>
        <v>0.17205085988557439</v>
      </c>
      <c r="AN104" s="2">
        <f>2640.23305854942*(1/14151.6638359215)</f>
        <v>0.18656697114636475</v>
      </c>
      <c r="AO104" s="2">
        <f>2849.94281746822*(1/14151.6638359215)</f>
        <v>0.20138570633893543</v>
      </c>
      <c r="AP104" s="2">
        <f>3062.27290088712*(1/14151.6638359215)</f>
        <v>0.21638960170281046</v>
      </c>
      <c r="AQ104" s="2">
        <f>3275.5610011549*(1/14151.6638359215)</f>
        <v>0.23146119347750949</v>
      </c>
      <c r="AR104" s="2">
        <f>3488.14481062043*(1/14151.6638359215)</f>
        <v>0.24648301790255858</v>
      </c>
      <c r="AS104" s="2">
        <f>3698.36202163254*(1/14151.6638359215)</f>
        <v>0.26133761121748106</v>
      </c>
      <c r="AT104" s="2">
        <f>3907.13791421234*(1/14151.6638359215)</f>
        <v>0.27609035654837705</v>
      </c>
      <c r="AU104" s="2">
        <f>4119.5263189933*(1/14151.6638359215)</f>
        <v>0.2910983730786913</v>
      </c>
      <c r="AV104" s="2">
        <f>4334.91035189375*(1/14151.6638359215)</f>
        <v>0.30631806988591304</v>
      </c>
      <c r="AW104" s="2">
        <f>4552.3935971311*(1/14151.6638359215)</f>
        <v>0.32168610347962429</v>
      </c>
      <c r="AX104" s="2">
        <f>4771.0796389227*(1/14151.6638359215)</f>
        <v>0.33713913036940268</v>
      </c>
      <c r="AY104" s="2">
        <f>4990.07206148589*(1/14151.6638359215)</f>
        <v>0.35261380706482537</v>
      </c>
      <c r="AZ104" s="2">
        <f>5208.47444903803*(1/14151.6638359215)</f>
        <v>0.36804679007547064</v>
      </c>
      <c r="BA104" s="2">
        <f>5425.39038579654*(1/14151.6638359215)</f>
        <v>0.38337473591092125</v>
      </c>
      <c r="BB104" s="2">
        <f>5639.92345597866*(1/14151.6638359215)</f>
        <v>0.39853430108074717</v>
      </c>
      <c r="BC104" s="2">
        <f>5851.17724380179*(1/14151.6638359215)</f>
        <v>0.41346214209452953</v>
      </c>
      <c r="BD104" s="2">
        <f>6058.3447523184*(1/14151.6638359215)</f>
        <v>0.42810123407117417</v>
      </c>
      <c r="BE104" s="2">
        <f>6263.93127020701*(1/14151.6638359215)</f>
        <v>0.44262860839777207</v>
      </c>
      <c r="BF104" s="2">
        <f>6469.03479559879*(1/14151.6638359215)</f>
        <v>0.45712185299217523</v>
      </c>
      <c r="BG104" s="2">
        <f>6673.11322296515*(1/14151.6638359215)</f>
        <v>0.47154266101393894</v>
      </c>
      <c r="BH104" s="2">
        <f>6875.62444677739*(1/14151.6638359215)</f>
        <v>0.48585272562261067</v>
      </c>
      <c r="BI104" s="2">
        <f>7076.02636150691*(1/14151.6638359215)</f>
        <v>0.50001373997774501</v>
      </c>
      <c r="BJ104" s="2">
        <f>7273.77686162509*(1/14151.6638359215)</f>
        <v>0.51398739723889508</v>
      </c>
      <c r="BK104" s="2">
        <f>7468.3338416033*(1/14151.6638359215)</f>
        <v>0.52773539056561347</v>
      </c>
      <c r="BL104" s="2">
        <f>7659.1551959129*(1/14151.6638359215)</f>
        <v>0.54121941311745181</v>
      </c>
      <c r="BM104" s="2">
        <f>7845.69881902531*(1/14151.6638359215)</f>
        <v>0.55440115805396595</v>
      </c>
      <c r="BN104" s="2">
        <f>8027.42260541183*(1/14151.6638359215)</f>
        <v>0.56724231853470364</v>
      </c>
      <c r="BO104" s="2">
        <f>8204.77671840539*(1/14151.6638359215)</f>
        <v>0.57977470448238133</v>
      </c>
      <c r="BP104" s="2">
        <f>8380.78216717529*(1/14151.6638359215)</f>
        <v>0.59221178967678378</v>
      </c>
      <c r="BQ104" s="2">
        <f>8554.88168971055*(1/14151.6638359215)</f>
        <v>0.60451419627390335</v>
      </c>
      <c r="BR104" s="2">
        <f>8726.15187025153*(1/14151.6638359215)</f>
        <v>0.61661667288207722</v>
      </c>
      <c r="BS104" s="2">
        <f>8893.6692930385*(1/14151.6638359215)</f>
        <v>0.62845396810963605</v>
      </c>
      <c r="BT104" s="2">
        <f>9056.51054231184*(1/14151.6638359215)</f>
        <v>0.63996083056491826</v>
      </c>
      <c r="BU104" s="2">
        <f>9213.75220231186*(1/14151.6638359215)</f>
        <v>0.65107200885625738</v>
      </c>
      <c r="BV104" s="2">
        <f>9364.4708572789*(1/14151.6638359215)</f>
        <v>0.66172225159198916</v>
      </c>
      <c r="BW104" s="2">
        <f>9507.74309145331*(1/14151.6638359215)</f>
        <v>0.67184630738044981</v>
      </c>
      <c r="BX104" s="2">
        <f>9642.64548907541*(1/14151.6638359215)</f>
        <v>0.68137892482997353</v>
      </c>
      <c r="BY104" s="2">
        <f>9768.27026317594*(1/14151.6638359215)</f>
        <v>0.69025595692719266</v>
      </c>
      <c r="BZ104" s="2">
        <f>9888.0832198235*(1/14151.6638359215)</f>
        <v>0.69872230816593783</v>
      </c>
      <c r="CA104" s="2">
        <f>10004.3117372756*(1/14151.6638359215)</f>
        <v>0.70693537193000744</v>
      </c>
      <c r="CB104" s="2">
        <f>10115.6039555712*(1/14151.6638359215)</f>
        <v>0.71479962164551458</v>
      </c>
      <c r="CC104" s="2">
        <f>10220.6080147495*(1/14151.6638359215)</f>
        <v>0.72221953073859002</v>
      </c>
      <c r="CD104" s="2">
        <f>10317.9720548494*(1/14151.6638359215)</f>
        <v>0.72909957263534275</v>
      </c>
      <c r="CE104" s="2">
        <f>10406.34421591*(1/14151.6638359215)</f>
        <v>0.73534422076189598</v>
      </c>
      <c r="CF104" s="2">
        <f>10484.3726379703*(1/14151.6638359215)</f>
        <v>0.74085794854436637</v>
      </c>
      <c r="CG104" s="2">
        <f>10550.7054610694*(1/14151.6638359215)</f>
        <v>0.7455452294088768</v>
      </c>
      <c r="CH104" s="2">
        <f>10603.9908252462*(1/14151.6638359215)</f>
        <v>0.7493105367815367</v>
      </c>
      <c r="CI104" s="2">
        <f>10642.8768705399*(1/14151.6638359215)</f>
        <v>0.75205834408847649</v>
      </c>
      <c r="CJ104" s="2">
        <f>10666.9812963079*(1/14151.6638359215)</f>
        <v>0.75376163679295805</v>
      </c>
      <c r="CK104" s="2">
        <f>10680.9666898551*(1/14151.6638359215)</f>
        <v>0.75474988762405115</v>
      </c>
      <c r="CL104" s="2">
        <f>10684.9544284469*(1/14151.6638359215)</f>
        <v>0.75503167347185207</v>
      </c>
      <c r="CM104" s="2">
        <f>10678.1182290697*(1/14151.6638359215)</f>
        <v>0.75454860664264667</v>
      </c>
      <c r="CN104" s="2">
        <f>10659.6318087098*(1/14151.6638359215)</f>
        <v>0.75324229944271348</v>
      </c>
      <c r="CO104" s="2">
        <f>10628.6688843538*(1/14151.6638359215)</f>
        <v>0.75105436417835203</v>
      </c>
      <c r="CP104" s="2">
        <f>10584.4031729879*(1/14151.6638359215)</f>
        <v>0.74792641315583419</v>
      </c>
      <c r="CQ104" s="2">
        <f>10526.0083915987*(1/14151.6638359215)</f>
        <v>0.74380005868145949</v>
      </c>
      <c r="CR104" s="2">
        <f>10452.6582571725*(1/14151.6638359215)</f>
        <v>0.73861691306150679</v>
      </c>
      <c r="CS104" s="2">
        <f>10363.5264866958*(1/14151.6638359215)</f>
        <v>0.73231858860226873</v>
      </c>
      <c r="CT104" s="2">
        <f>10257.7867971549*(1/14151.6638359215)</f>
        <v>0.72484669761002374</v>
      </c>
      <c r="CU104" s="2">
        <f>10132.570496035*(1/14151.6638359215)</f>
        <v>0.71599852946727427</v>
      </c>
      <c r="CV104" s="2">
        <f>9986.49613090263*(1/14151.6638359215)</f>
        <v>0.70567646650520854</v>
      </c>
      <c r="CW104" s="2">
        <f>9821.98835550549*(1/14151.6638359215)</f>
        <v>0.69405184219922655</v>
      </c>
      <c r="CX104" s="2">
        <f>9641.48302475455*(1/14151.6638359215)</f>
        <v>0.68129678153330275</v>
      </c>
      <c r="CY104" s="2">
        <f>9447.41599356077*(1/14151.6638359215)</f>
        <v>0.6675834094914106</v>
      </c>
      <c r="CZ104" s="2">
        <f>9242.22311683512*(1/14151.6638359215)</f>
        <v>0.65308385105752509</v>
      </c>
      <c r="DA104" s="2">
        <f>9028.34024948852*(1/14151.6638359215)</f>
        <v>0.63797023121561669</v>
      </c>
      <c r="DB104" s="2">
        <f>8808.20324643203*(1/14151.6638359215)</f>
        <v>0.6224146749496664</v>
      </c>
      <c r="DC104" s="2">
        <f>8584.24796257658*(1/14151.6638359215)</f>
        <v>0.60658930724364601</v>
      </c>
      <c r="DD104" s="2">
        <f>8358.91025283313*(1/14151.6638359215)</f>
        <v>0.59066625308152898</v>
      </c>
      <c r="DE104" s="2">
        <f>8133.33228077862*(1/14151.6638359215)</f>
        <v>0.57472622124711525</v>
      </c>
      <c r="DF104" s="2">
        <f>7896.55369593194*(1/14151.6638359215)</f>
        <v>0.5579947197366244</v>
      </c>
      <c r="DG104" s="2">
        <f>7647.75998759424*(1/14151.6638359215)</f>
        <v>0.54041419272423297</v>
      </c>
      <c r="DH104" s="2">
        <f>7389.75413331932*(1/14151.6638359215)</f>
        <v>0.52218270720660664</v>
      </c>
      <c r="DI104" s="2">
        <f>7125.33911066114*(1/14151.6638359215)</f>
        <v>0.50349833018042189</v>
      </c>
      <c r="DJ104" s="2">
        <f>6857.3178971735*(1/14151.6638359215)</f>
        <v>0.48455912864234446</v>
      </c>
      <c r="DK104" s="2">
        <f>6588.49347041026*(1/14151.6638359215)</f>
        <v>0.46556316958904381</v>
      </c>
      <c r="DL104" s="2">
        <f>6321.66880792526*(1/14151.6638359215)</f>
        <v>0.44670852001718836</v>
      </c>
      <c r="DM104" s="2">
        <f>6059.64688727232*(1/14151.6638359215)</f>
        <v>0.4281932469234449</v>
      </c>
      <c r="DN104" s="2">
        <f>5805.23068600538*(1/14151.6638359215)</f>
        <v>0.41021541730448879</v>
      </c>
      <c r="DO104" s="2">
        <f>5561.22318167824*(1/14151.6638359215)</f>
        <v>0.39297309815698539</v>
      </c>
      <c r="DP104" s="2">
        <f>5326.85758676823*(1/14151.6638359215)</f>
        <v>0.37641210592120927</v>
      </c>
      <c r="DQ104" s="2">
        <f>5096.37863284408*(1/14151.6638359215)</f>
        <v>0.36012575566611632</v>
      </c>
      <c r="DR104" s="2">
        <f>4869.66982472218*(1/14151.6638359215)</f>
        <v>0.34410581548449332</v>
      </c>
      <c r="DS104" s="2">
        <f>4646.78868640948*(1/14151.6638359215)</f>
        <v>0.32835635019922021</v>
      </c>
      <c r="DT104" s="2">
        <f>4427.79274191293*(1/14151.6638359215)</f>
        <v>0.31288142463317709</v>
      </c>
      <c r="DU104" s="2">
        <f>4212.73951523958*(1/14151.6638359215)</f>
        <v>0.29768510360925088</v>
      </c>
      <c r="DV104" s="2">
        <f>4001.68653039635*(1/14151.6638359215)</f>
        <v>0.28277145195031944</v>
      </c>
      <c r="DW104" s="2">
        <f>3794.69131139022*(1/14151.6638359215)</f>
        <v>0.26814453447926501</v>
      </c>
      <c r="DX104" s="2">
        <f>3591.81138222816*(1/14151.6638359215)</f>
        <v>0.25380841601896881</v>
      </c>
      <c r="DY104" s="2">
        <f>3393.1042669171*(1/14151.6638359215)</f>
        <v>0.23976716139230952</v>
      </c>
      <c r="DZ104" s="2">
        <f>3198.56169252854*(1/14151.6638359215)</f>
        <v>0.22602018600876853</v>
      </c>
      <c r="EA104" s="2">
        <f>3006.92247147633*(1/14151.6638359215)</f>
        <v>0.2124783704827547</v>
      </c>
      <c r="EB104" s="2">
        <f>2818.1002523893*(1/14151.6638359215)</f>
        <v>0.19913561296135723</v>
      </c>
      <c r="EC104" s="2">
        <f>2632.6472318723*(1/14151.6638359215)</f>
        <v>0.18603093335144028</v>
      </c>
      <c r="ED104" s="2">
        <f>2451.11560653018*(1/14151.6638359215)</f>
        <v>0.17320335155986788</v>
      </c>
      <c r="EE104" s="2">
        <f>2274.05757296776*(1/14151.6638359215)</f>
        <v>0.16069188749350208</v>
      </c>
      <c r="EF104" s="2">
        <f>2102.02532778996*(1/14151.6638359215)</f>
        <v>0.14853556105921198</v>
      </c>
      <c r="EG104" s="2">
        <f>1935.57106760159*(1/14151.6638359215)</f>
        <v>0.13677339216385881</v>
      </c>
      <c r="EH104" s="2">
        <f>1775.2469890075*(1/14151.6638359215)</f>
        <v>0.12544440071430674</v>
      </c>
      <c r="EI104" s="2">
        <f>1621.60528861253*(1/14151.6638359215)</f>
        <v>0.11458760661741918</v>
      </c>
      <c r="EJ104" s="2">
        <f>1475.19816302152*(1/14151.6638359215)</f>
        <v>0.1042420297800595</v>
      </c>
      <c r="EK104" s="2">
        <f>1335.69794484208*(1/14151.6638359215)</f>
        <v>9.4384516218626299E-2</v>
      </c>
      <c r="EL104" s="2">
        <f>1200.9715866811*(1/14151.6638359215)</f>
        <v>8.4864338257713959E-2</v>
      </c>
      <c r="EM104" s="2">
        <f>1071.34008764914*(1/14151.6638359215)</f>
        <v>7.5704178679663975E-2</v>
      </c>
      <c r="EN104" s="2">
        <f>947.305419476703*(1/14151.6638359215)</f>
        <v>6.6939508347572216E-2</v>
      </c>
      <c r="EO104" s="2">
        <f>829.369553894283*(1/14151.6638359215)</f>
        <v>5.8605798124533939E-2</v>
      </c>
      <c r="EP104" s="2">
        <f>718.034462632382*(1/14151.6638359215)</f>
        <v>5.0738518873644972E-2</v>
      </c>
      <c r="EQ104" s="2">
        <f>613.802117421479*(1/14151.6638359215)</f>
        <v>4.3373141457999496E-2</v>
      </c>
      <c r="ER104" s="2">
        <f>517.174489992112*(1/14151.6638359215)</f>
        <v>3.6545136740695879E-2</v>
      </c>
      <c r="ES104" s="2">
        <f>428.65355207476*(1/14151.6638359215)</f>
        <v>3.0289975584828311E-2</v>
      </c>
      <c r="ET104" s="2">
        <f>348.74127539992*(1/14151.6638359215)</f>
        <v>2.4643128853492256E-2</v>
      </c>
      <c r="EU104" s="2">
        <f>277.96680428927*(1/14151.6638359215)</f>
        <v>1.9641987508472351E-2</v>
      </c>
      <c r="EV104" s="2">
        <f>218.526394777365*(1/14151.6638359215)</f>
        <v>1.5441745741774499E-2</v>
      </c>
      <c r="EW104" s="2">
        <f>170.495024135425*(1/14151.6638359215)</f>
        <v>1.2047701677498409E-2</v>
      </c>
      <c r="EX104" s="2">
        <f>132.359006338859*(1/14151.6638359215)</f>
        <v>9.3528936154411071E-3</v>
      </c>
      <c r="EY104" s="2">
        <f>102.60465536309*(1/14151.6638359215)</f>
        <v>7.2503598554006215E-3</v>
      </c>
      <c r="EZ104" s="2">
        <f>79.7182851835376*(1/14151.6638359215)</f>
        <v>5.6331386971747313E-3</v>
      </c>
      <c r="FA104" s="2">
        <f>62.1862097756245*(1/14151.6638359215)</f>
        <v>4.3942684405614404E-3</v>
      </c>
      <c r="FB104" s="2">
        <f>48.4947431147697*(1/14151.6638359215)</f>
        <v>3.4267873853584875E-3</v>
      </c>
      <c r="FC104" s="2">
        <f>37.1301991763996*(1/14151.6638359215)</f>
        <v>2.623733831364136E-3</v>
      </c>
      <c r="FD104" s="2">
        <f>26.5788919359328*(1/14151.6638359215)</f>
        <v>1.8781460783760971E-3</v>
      </c>
      <c r="FE104" s="2">
        <f>15.3271353687907*(1/14151.6638359215)</f>
        <v>1.0830624261922808E-3</v>
      </c>
      <c r="FF104" s="2">
        <f>2.74927751217735*(1/14151.6638359215)</f>
        <v>1.9427238691176332E-4</v>
      </c>
      <c r="FG104" s="2">
        <f>-7.86443474942857*(1/14151.6638359215)</f>
        <v>-5.557250963993429E-4</v>
      </c>
      <c r="FH104" s="2">
        <f>-16.0250837865021*(1/14151.6638359215)</f>
        <v>-1.1323816034850443E-3</v>
      </c>
      <c r="FI104" s="2">
        <f>-21.7326695990454*(1/14151.6638359215)</f>
        <v>-1.5356971343454934E-3</v>
      </c>
      <c r="FJ104" s="2">
        <f>-24.9871921870584*(1/14151.6638359215)</f>
        <v>-1.7656716889806856E-3</v>
      </c>
      <c r="FK104" s="2">
        <f>-25.7886515505413*(1/14151.6638359215)</f>
        <v>-1.8223052673906343E-3</v>
      </c>
      <c r="FL104" s="2">
        <f>-24.1370476894939*(1/14151.6638359215)</f>
        <v>-1.7055978695753263E-3</v>
      </c>
      <c r="FM104" s="2">
        <f>-20.0323806039154*(1/14151.6638359215)</f>
        <v>-1.4155494955347045E-3</v>
      </c>
      <c r="FN104" s="2">
        <f>-13.4746502938071*(1/14151.6638359215)</f>
        <v>-9.5216014526886092E-4</v>
      </c>
      <c r="FO104" s="2">
        <f>-4.46385675916865*(1/14151.6638359215)</f>
        <v>-3.1542981877777073E-4</v>
      </c>
      <c r="FP104" s="2">
        <f t="shared" ref="FP104:FP151" si="19">7*(1/14151.6638359215)</f>
        <v>4.9464148393856954E-4</v>
      </c>
      <c r="FQ104" s="2"/>
    </row>
    <row r="105" spans="2:173">
      <c r="B105" s="2">
        <v>10.265680473372782</v>
      </c>
      <c r="C105" s="2">
        <f t="shared" si="18"/>
        <v>4.9464148393856954E-4</v>
      </c>
      <c r="D105" s="2">
        <f>-5.57289686661061*(1/14151.6638359215)</f>
        <v>-3.9379799656241097E-4</v>
      </c>
      <c r="E105" s="2">
        <f>-15.5099927055908*(1/14151.6638359215)</f>
        <v>-1.0959836868242605E-3</v>
      </c>
      <c r="F105" s="2">
        <f>-22.8112875169416*(1/14151.6638359215)</f>
        <v>-1.6119155868470516E-3</v>
      </c>
      <c r="G105" s="2">
        <f>-27.4767813006603*(1/14151.6638359215)</f>
        <v>-1.9415936966305928E-3</v>
      </c>
      <c r="H105" s="2">
        <f>-29.5064740567486*(1/14151.6638359215)</f>
        <v>-2.0850180161750046E-3</v>
      </c>
      <c r="I105" s="2">
        <f>-28.9003657852064*(1/14151.6638359215)</f>
        <v>-2.0421885454802793E-3</v>
      </c>
      <c r="J105" s="2">
        <f>-25.6584564860338*(1/14151.6638359215)</f>
        <v>-1.8131052845464248E-3</v>
      </c>
      <c r="K105" s="2">
        <f>-19.7807461592307*(1/14151.6638359215)</f>
        <v>-1.3977682333734332E-3</v>
      </c>
      <c r="L105" s="2">
        <f>-11.2672348047953*(1/14151.6638359215)</f>
        <v>-7.9617739196117805E-4</v>
      </c>
      <c r="M105" s="2">
        <f>-0.11792242273083*(1/14151.6638359215)</f>
        <v>-8.3327603098870087E-6</v>
      </c>
      <c r="N105" s="2">
        <f>13.1130665990629*(1/14151.6638359215)</f>
        <v>9.2660953164939498E-4</v>
      </c>
      <c r="O105" s="2">
        <f>24.6966663999563*(1/14151.6638359215)</f>
        <v>1.7451422452014562E-3</v>
      </c>
      <c r="P105" s="2">
        <f>35.341971907173*(1/14151.6638359215)</f>
        <v>2.497372204211327E-3</v>
      </c>
      <c r="Q105" s="2">
        <f>46.7645488749405*(1/14151.6638359215)</f>
        <v>3.3045265501740477E-3</v>
      </c>
      <c r="R105" s="2">
        <f>60.6799630574892*(1/14151.6638359215)</f>
        <v>4.287832424584863E-3</v>
      </c>
      <c r="S105" s="2">
        <f>78.8037802090412*(1/14151.6638359215)</f>
        <v>5.5685169689384303E-3</v>
      </c>
      <c r="T105" s="2">
        <f>102.851566083827*(1/14151.6638359215)</f>
        <v>7.2678073247300053E-3</v>
      </c>
      <c r="U105" s="2">
        <f>134.538886436072*(1/14151.6638359215)</f>
        <v>9.5069306334544783E-3</v>
      </c>
      <c r="V105" s="2">
        <f>175.581307020006*(1/14151.6638359215)</f>
        <v>1.2407114036607049E-2</v>
      </c>
      <c r="W105" s="2">
        <f>227.694393589856*(1/14151.6638359215)</f>
        <v>1.6089584675682726E-2</v>
      </c>
      <c r="X105" s="2">
        <f>292.593711899861*(1/14151.6638359215)</f>
        <v>2.0675569692177362E-2</v>
      </c>
      <c r="Y105" s="2">
        <f>369.90753125179*(1/14151.6638359215)</f>
        <v>2.61388014540626E-2</v>
      </c>
      <c r="Z105" s="2">
        <f>456.826136785162*(1/14151.6638359215)</f>
        <v>3.2280736885905215E-2</v>
      </c>
      <c r="AA105" s="2">
        <f>552.975326564578*(1/14151.6638359215)</f>
        <v>3.9074933730474E-2</v>
      </c>
      <c r="AB105" s="2">
        <f>658.018151450551*(1/14151.6638359215)</f>
        <v>4.6497582127430707E-2</v>
      </c>
      <c r="AC105" s="2">
        <f>771.617662303595*(1/14151.6638359215)</f>
        <v>5.4524872216437183E-2</v>
      </c>
      <c r="AD105" s="2">
        <f>893.436909984249*(1/14151.6638359215)</f>
        <v>6.313299413715702E-2</v>
      </c>
      <c r="AE105" s="2">
        <f>1023.13894535298*(1/14151.6638359215)</f>
        <v>7.2298138029248726E-2</v>
      </c>
      <c r="AF105" s="2">
        <f>1160.38681927033*(1/14151.6638359215)</f>
        <v>8.1996494032376119E-2</v>
      </c>
      <c r="AG105" s="2">
        <f>1304.84358259681*(1/14151.6638359215)</f>
        <v>9.2204252286200786E-2</v>
      </c>
      <c r="AH105" s="2">
        <f>1456.17228619293*(1/14151.6638359215)</f>
        <v>0.10289760293038433</v>
      </c>
      <c r="AI105" s="2">
        <f>1614.38893984666*(1/14151.6638359215)</f>
        <v>0.11407767726568085</v>
      </c>
      <c r="AJ105" s="2">
        <f>1783.91586078146*(1/14151.6638359215)</f>
        <v>0.12605696979978456</v>
      </c>
      <c r="AK105" s="2">
        <f>1964.81513749889*(1/14151.6638359215)</f>
        <v>0.13883986789677363</v>
      </c>
      <c r="AL105" s="2">
        <f>2155.32857735415*(1/14151.6638359215)</f>
        <v>0.15230213226823755</v>
      </c>
      <c r="AM105" s="2">
        <f>2353.69798770244*(1/14151.6638359215)</f>
        <v>0.16631952362576571</v>
      </c>
      <c r="AN105" s="2">
        <f>2558.16517589897*(1/14151.6638359215)</f>
        <v>0.18076780268094833</v>
      </c>
      <c r="AO105" s="2">
        <f>2766.97194929894*(1/14151.6638359215)</f>
        <v>0.19552273014537488</v>
      </c>
      <c r="AP105" s="2">
        <f>2978.36011525758*(1/14151.6638359215)</f>
        <v>0.21046006673063694</v>
      </c>
      <c r="AQ105" s="2">
        <f>3190.57148113002*(1/14151.6638359215)</f>
        <v>0.22545557314831899</v>
      </c>
      <c r="AR105" s="2">
        <f>3401.84785427151*(1/14151.6638359215)</f>
        <v>0.24038501011001406</v>
      </c>
      <c r="AS105" s="2">
        <f>3610.43104203724*(1/14151.6638359215)</f>
        <v>0.2551241383273109</v>
      </c>
      <c r="AT105" s="2">
        <f>3817.2211847824*(1/14151.6638359215)</f>
        <v>0.26973656448035871</v>
      </c>
      <c r="AU105" s="2">
        <f>4027.41527234784*(1/14151.6638359215)</f>
        <v>0.28458952382157054</v>
      </c>
      <c r="AV105" s="2">
        <f>4240.43657098257*(1/14151.6638359215)</f>
        <v>0.29964226257402826</v>
      </c>
      <c r="AW105" s="2">
        <f>4455.42230385038*(1/14151.6638359215)</f>
        <v>0.31483381427850743</v>
      </c>
      <c r="AX105" s="2">
        <f>4671.50969411502*(1/14151.6638359215)</f>
        <v>0.33010321247578089</v>
      </c>
      <c r="AY105" s="2">
        <f>4887.83596494024*(1/14151.6638359215)</f>
        <v>0.3453894907066215</v>
      </c>
      <c r="AZ105" s="2">
        <f>5103.53833948981*(1/14151.6638359215)</f>
        <v>0.36063168251180328</v>
      </c>
      <c r="BA105" s="2">
        <f>5317.75404092752*(1/14151.6638359215)</f>
        <v>0.37576882143210188</v>
      </c>
      <c r="BB105" s="2">
        <f>5529.62029241704*(1/14151.6638359215)</f>
        <v>0.39073994100828452</v>
      </c>
      <c r="BC105" s="2">
        <f>5738.27431712217*(1/14151.6638359215)</f>
        <v>0.40548407478112741</v>
      </c>
      <c r="BD105" s="2">
        <f>5942.9520879631*(1/14151.6638359215)</f>
        <v>0.41994723425226971</v>
      </c>
      <c r="BE105" s="2">
        <f>6146.48664104068*(1/14151.6638359215)</f>
        <v>0.43432961044756513</v>
      </c>
      <c r="BF105" s="2">
        <f>6349.98726604954*(1/14151.6638359215)</f>
        <v>0.44870958918139497</v>
      </c>
      <c r="BG105" s="2">
        <f>6552.72351086668*(1/14151.6638359215)</f>
        <v>0.46303555446489258</v>
      </c>
      <c r="BH105" s="2">
        <f>6753.96492336899*(1/14151.6638359215)</f>
        <v>0.47725589030918347</v>
      </c>
      <c r="BI105" s="2">
        <f>6952.98105143347*(1/14151.6638359215)</f>
        <v>0.49131898072540103</v>
      </c>
      <c r="BJ105" s="2">
        <f>7149.04144293707*(1/14151.6638359215)</f>
        <v>0.50517320972467494</v>
      </c>
      <c r="BK105" s="2">
        <f>7341.41564575678*(1/14151.6638359215)</f>
        <v>0.51876696131813793</v>
      </c>
      <c r="BL105" s="2">
        <f>7529.37320776953*(1/14151.6638359215)</f>
        <v>0.53204861951691829</v>
      </c>
      <c r="BM105" s="2">
        <f>7712.18367685235*(1/14151.6638359215)</f>
        <v>0.5449665683321514</v>
      </c>
      <c r="BN105" s="2">
        <f>7889.11660088211*(1/14151.6638359215)</f>
        <v>0.55746919177496157</v>
      </c>
      <c r="BO105" s="2">
        <f>8060.44031450531*(1/14151.6638359215)</f>
        <v>0.56957545119502528</v>
      </c>
      <c r="BP105" s="2">
        <f>8229.18376473745*(1/14151.6638359215)</f>
        <v>0.58149938128470247</v>
      </c>
      <c r="BQ105" s="2">
        <f>8394.984851639*(1/14151.6638359215)</f>
        <v>0.59321539495093245</v>
      </c>
      <c r="BR105" s="2">
        <f>8557.12212296822*(1/14151.6638359215)</f>
        <v>0.60467251216408036</v>
      </c>
      <c r="BS105" s="2">
        <f>8714.87412648321*(1/14151.6638359215)</f>
        <v>0.61581975289449997</v>
      </c>
      <c r="BT105" s="2">
        <f>8867.51940994221*(1/14151.6638359215)</f>
        <v>0.62660613711255475</v>
      </c>
      <c r="BU105" s="2">
        <f>9014.3365211034*(1/14151.6638359215)</f>
        <v>0.63698068478860403</v>
      </c>
      <c r="BV105" s="2">
        <f>9154.60400772497*(1/14151.6638359215)</f>
        <v>0.64689241589300794</v>
      </c>
      <c r="BW105" s="2">
        <f>9287.60041756514*(1/14151.6638359215)</f>
        <v>0.65629035039612837</v>
      </c>
      <c r="BX105" s="2">
        <f>9412.60429838208*(1/14151.6638359215)</f>
        <v>0.66512350826832434</v>
      </c>
      <c r="BY105" s="2">
        <f>9528.90565579685*(1/14151.6638359215)</f>
        <v>0.67334171912771179</v>
      </c>
      <c r="BZ105" s="2">
        <f>9639.0177222652*(1/14151.6638359215)</f>
        <v>0.68112257569306134</v>
      </c>
      <c r="CA105" s="2">
        <f>9744.60534079413*(1/14151.6638359215)</f>
        <v>0.68858372088087416</v>
      </c>
      <c r="CB105" s="2">
        <f>9844.72243069173*(1/14151.6638359215)</f>
        <v>0.69565830172581133</v>
      </c>
      <c r="CC105" s="2">
        <f>9938.42291126608*(1/14151.6638359215)</f>
        <v>0.70227946526253315</v>
      </c>
      <c r="CD105" s="2">
        <f>10024.7607018253*(1/14151.6638359215)</f>
        <v>0.70838035852570325</v>
      </c>
      <c r="CE105" s="2">
        <f>10102.7897216775*(1/14151.6638359215)</f>
        <v>0.7138941285499838</v>
      </c>
      <c r="CF105" s="2">
        <f>10171.5638901306*(1/14151.6638359215)</f>
        <v>0.71875392237002411</v>
      </c>
      <c r="CG105" s="2">
        <f>10230.137126493*(1/14151.6638359215)</f>
        <v>0.72289288702050736</v>
      </c>
      <c r="CH105" s="2">
        <f>10277.5633500725*(1/14151.6638359215)</f>
        <v>0.72624416953607396</v>
      </c>
      <c r="CI105" s="2">
        <f>10312.8964801774*(1/14151.6638359215)</f>
        <v>0.72874091695139998</v>
      </c>
      <c r="CJ105" s="2">
        <f>10336.1151223261*(1/14151.6638359215)</f>
        <v>0.73038161746675312</v>
      </c>
      <c r="CK105" s="2">
        <f>10351.7390827377*(1/14151.6638359215)</f>
        <v>0.73148565446146607</v>
      </c>
      <c r="CL105" s="2">
        <f>10359.536822699*(1/14151.6638359215)</f>
        <v>0.73203666669944101</v>
      </c>
      <c r="CM105" s="2">
        <f>10358.3429805806*(1/14151.6638359215)</f>
        <v>0.73195230615129347</v>
      </c>
      <c r="CN105" s="2">
        <f>10346.992194753*(1/14151.6638359215)</f>
        <v>0.73115022478763148</v>
      </c>
      <c r="CO105" s="2">
        <f>10324.3191035868*(1/14151.6638359215)</f>
        <v>0.729548074579071</v>
      </c>
      <c r="CP105" s="2">
        <f>10289.1583454526*(1/14151.6638359215)</f>
        <v>0.72706350749622739</v>
      </c>
      <c r="CQ105" s="2">
        <f>10240.3445587209*(1/14151.6638359215)</f>
        <v>0.72361417550970897</v>
      </c>
      <c r="CR105" s="2">
        <f>10176.7123817623*(1/14151.6638359215)</f>
        <v>0.71911773059013118</v>
      </c>
      <c r="CS105" s="2">
        <f>10097.0964529474*(1/14151.6638359215)</f>
        <v>0.7134918247081099</v>
      </c>
      <c r="CT105" s="2">
        <f>10000.3314106467*(1/14151.6638359215)</f>
        <v>0.70665410983425325</v>
      </c>
      <c r="CU105" s="2">
        <f>9884.18044378669*(1/14151.6638359215)</f>
        <v>0.69844652603303392</v>
      </c>
      <c r="CV105" s="2">
        <f>9748.19197086332*(1/14151.6638359215)</f>
        <v>0.68883716316941157</v>
      </c>
      <c r="CW105" s="2">
        <f>9594.51139065103*(1/14151.6638359215)</f>
        <v>0.67797762170530496</v>
      </c>
      <c r="CX105" s="2">
        <f>9425.29102387117*(1/14151.6638359215)</f>
        <v>0.66601999122864508</v>
      </c>
      <c r="CY105" s="2">
        <f>9242.68319124516*(1/14151.6638359215)</f>
        <v>0.6531163613273685</v>
      </c>
      <c r="CZ105" s="2">
        <f>9048.84021349437*(1/14151.6638359215)</f>
        <v>0.63941882158940822</v>
      </c>
      <c r="DA105" s="2">
        <f>8845.91441134017*(1/14151.6638359215)</f>
        <v>0.62507946160269712</v>
      </c>
      <c r="DB105" s="2">
        <f>8636.05810550403*(1/14151.6638359215)</f>
        <v>0.61025037095517498</v>
      </c>
      <c r="DC105" s="2">
        <f>8421.4236167073*(1/14151.6638359215)</f>
        <v>0.59508363923477348</v>
      </c>
      <c r="DD105" s="2">
        <f>8204.16326567137*(1/14151.6638359215)</f>
        <v>0.57973135602942671</v>
      </c>
      <c r="DE105" s="2">
        <f>7985.16402271131*(1/14151.6638359215)</f>
        <v>0.56425619738382859</v>
      </c>
      <c r="DF105" s="2">
        <f>7753.62586987034*(1/14151.6638359215)</f>
        <v>0.54789500088244958</v>
      </c>
      <c r="DG105" s="2">
        <f>7508.96818348446*(1/14151.6638359215)</f>
        <v>0.53060673787517976</v>
      </c>
      <c r="DH105" s="2">
        <f>7254.17965323348*(1/14151.6638359215)</f>
        <v>0.51260259834748378</v>
      </c>
      <c r="DI105" s="2">
        <f>6992.2489687974*(1/14151.6638359215)</f>
        <v>0.49409377228483981</v>
      </c>
      <c r="DJ105" s="2">
        <f>6726.16481985605*(1/14151.6638359215)</f>
        <v>0.47529144967271397</v>
      </c>
      <c r="DK105" s="2">
        <f>6458.91589608932*(1/14151.6638359215)</f>
        <v>0.45640682049657672</v>
      </c>
      <c r="DL105" s="2">
        <f>6193.4908871771*(1/14151.6638359215)</f>
        <v>0.43765107474189835</v>
      </c>
      <c r="DM105" s="2">
        <f>5932.87848279921*(1/14151.6638359215)</f>
        <v>0.41923540239414436</v>
      </c>
      <c r="DN105" s="2">
        <f>5680.06737263565*(1/14151.6638359215)</f>
        <v>0.40137099343879284</v>
      </c>
      <c r="DO105" s="2">
        <f>5438.04624636625*(1/14151.6638359215)</f>
        <v>0.38426903786130995</v>
      </c>
      <c r="DP105" s="2">
        <f>5205.92805025686*(1/14151.6638359215)</f>
        <v>0.36786685372235389</v>
      </c>
      <c r="DQ105" s="2">
        <f>4977.47437111948*(1/14151.6638359215)</f>
        <v>0.35172361559953397</v>
      </c>
      <c r="DR105" s="2">
        <f>4752.62166830266*(1/14151.6638359215)</f>
        <v>0.33583483351540394</v>
      </c>
      <c r="DS105" s="2">
        <f>4531.49602862817*(1/14151.6638359215)</f>
        <v>0.32020941715176754</v>
      </c>
      <c r="DT105" s="2">
        <f>4314.22353891775*(1/14151.6638359215)</f>
        <v>0.30485627619042616</v>
      </c>
      <c r="DU105" s="2">
        <f>4100.93028599327*(1/14151.6638359215)</f>
        <v>0.28978432031319051</v>
      </c>
      <c r="DV105" s="2">
        <f>3891.74235667644*(1/14151.6638359215)</f>
        <v>0.27500245920186001</v>
      </c>
      <c r="DW105" s="2">
        <f>3686.78583778906*(1/14151.6638359215)</f>
        <v>0.26051960253824047</v>
      </c>
      <c r="DX105" s="2">
        <f>3486.18681615289*(1/14151.6638359215)</f>
        <v>0.24634466000413466</v>
      </c>
      <c r="DY105" s="2">
        <f>3290.07137858968*(1/14151.6638359215)</f>
        <v>0.23248654128134494</v>
      </c>
      <c r="DZ105" s="2">
        <f>3098.49875021707*(1/14151.6638359215)</f>
        <v>0.21894943139845355</v>
      </c>
      <c r="EA105" s="2">
        <f>2910.21888711917*(1/14151.6638359215)</f>
        <v>0.20564499841581124</v>
      </c>
      <c r="EB105" s="2">
        <f>2725.08611788692*(1/14151.6638359215)</f>
        <v>0.19256294874456883</v>
      </c>
      <c r="EC105" s="2">
        <f>2543.59066408089*(1/14151.6638359215)</f>
        <v>0.17973792294475185</v>
      </c>
      <c r="ED105" s="2">
        <f>2366.22274726163*(1/14151.6638359215)</f>
        <v>0.1672045615763845</v>
      </c>
      <c r="EE105" s="2">
        <f>2193.47258898969*(1/14151.6638359215)</f>
        <v>0.1549975051994909</v>
      </c>
      <c r="EF105" s="2">
        <f>2025.83041082567*(1/14151.6638359215)</f>
        <v>0.14315139437409877</v>
      </c>
      <c r="EG105" s="2">
        <f>1863.78643433012*(1/14151.6638359215)</f>
        <v>0.13170086966023228</v>
      </c>
      <c r="EH105" s="2">
        <f>1707.83088106359*(1/14151.6638359215)</f>
        <v>0.12068057161791554</v>
      </c>
      <c r="EI105" s="2">
        <f>1558.45397258664*(1/14151.6638359215)</f>
        <v>0.11012514080717349</v>
      </c>
      <c r="EJ105" s="2">
        <f>1416.14593045981*(1/14151.6638359215)</f>
        <v>0.10006921778802953</v>
      </c>
      <c r="EK105" s="2">
        <f>1280.61034368439*(1/14151.6638359215)</f>
        <v>9.0491857249589747E-2</v>
      </c>
      <c r="EL105" s="2">
        <f>1149.94023811774*(1/14151.6638359215)</f>
        <v>8.1258306546175843E-2</v>
      </c>
      <c r="EM105" s="2">
        <f>1024.4264247359*(1/14151.6638359215)</f>
        <v>7.238911527389269E-2</v>
      </c>
      <c r="EN105" s="2">
        <f>904.521631658364*(1/14151.6638359215)</f>
        <v>6.3916274591147057E-2</v>
      </c>
      <c r="EO105" s="2">
        <f>790.678587004654*(1/14151.6638359215)</f>
        <v>5.5871775656347634E-2</v>
      </c>
      <c r="EP105" s="2">
        <f>683.350018894277*(1/14151.6638359215)</f>
        <v>4.8287609627902101E-2</v>
      </c>
      <c r="EQ105" s="2">
        <f>582.988655446727*(1/14151.6638359215)</f>
        <v>4.119576766421721E-2</v>
      </c>
      <c r="ER105" s="2">
        <f>490.047224781552*(1/14151.6638359215)</f>
        <v>3.4628240923703521E-2</v>
      </c>
      <c r="ES105" s="2">
        <f>404.978455018244*(1/14151.6638359215)</f>
        <v>2.8617020564767635E-2</v>
      </c>
      <c r="ET105" s="2">
        <f>328.235074276312*(1/14151.6638359215)</f>
        <v>2.3194097745817367E-2</v>
      </c>
      <c r="EU105" s="2">
        <f>260.297933922543*(1/14151.6638359215)</f>
        <v>1.8393450900227197E-2</v>
      </c>
      <c r="EV105" s="2">
        <f>203.401843456087*(1/14151.6638359215)</f>
        <v>1.4372998526137071E-2</v>
      </c>
      <c r="EW105" s="2">
        <f>157.67555543227*(1/14151.6638359215)</f>
        <v>1.1141838674265173E-2</v>
      </c>
      <c r="EX105" s="2">
        <f>121.620831888808*(1/14151.6638359215)</f>
        <v>8.5941012519033279E-3</v>
      </c>
      <c r="EY105" s="2">
        <f>93.739434863427*(1/14151.6638359215)</f>
        <v>6.6239161663440588E-3</v>
      </c>
      <c r="EZ105" s="2">
        <f>72.5331263938546*(1/14151.6638359215)</f>
        <v>5.1254133248800097E-3</v>
      </c>
      <c r="FA105" s="2">
        <f>56.5036685178174*(1/14151.6638359215)</f>
        <v>3.9927226348037475E-3</v>
      </c>
      <c r="FB105" s="2">
        <f>44.1528232730401*(1/14151.6638359215)</f>
        <v>3.1199740034077092E-3</v>
      </c>
      <c r="FC105" s="2">
        <f>33.9823526972541*(1/14151.6638359215)</f>
        <v>2.4012973379848026E-3</v>
      </c>
      <c r="FD105" s="2">
        <f>24.4940188281835*(1/14151.6638359215)</f>
        <v>1.7308225458274212E-3</v>
      </c>
      <c r="FE105" s="2">
        <f>14.1895837035551*(1/14151.6638359215)</f>
        <v>1.0026795342281483E-3</v>
      </c>
      <c r="FF105" s="2">
        <f>2.44978050937224*(1/14151.6638359215)</f>
        <v>1.7310900949709567E-4</v>
      </c>
      <c r="FG105" s="2">
        <f>-7.46872278786906*(1/14151.6638359215)</f>
        <v>-5.2776287470248035E-4</v>
      </c>
      <c r="FH105" s="2">
        <f>-15.0819982525967*(1/14151.6638359215)</f>
        <v>-1.0657402852033348E-3</v>
      </c>
      <c r="FI105" s="2">
        <f>-20.3900458848129*(1/14151.6638359215)</f>
        <v>-1.4408232220056252E-3</v>
      </c>
      <c r="FJ105" s="2">
        <f>-23.3928656845174*(1/14151.6638359215)</f>
        <v>-1.6530116851093326E-3</v>
      </c>
      <c r="FK105" s="2">
        <f>-24.0904576517104*(1/14151.6638359215)</f>
        <v>-1.7023056745144713E-3</v>
      </c>
      <c r="FL105" s="2">
        <f>-22.4828217863919*(1/14151.6638359215)</f>
        <v>-1.5887051902210413E-3</v>
      </c>
      <c r="FM105" s="2">
        <f>-18.5699580885609*(1/14151.6638359215)</f>
        <v>-1.3122102322289722E-3</v>
      </c>
      <c r="FN105" s="2">
        <f>-12.3518665582188*(1/14151.6638359215)</f>
        <v>-8.7282080053836277E-4</v>
      </c>
      <c r="FO105" s="2">
        <f>-3.82854719536516*(1/14151.6638359215)</f>
        <v>-2.705368951491816E-4</v>
      </c>
      <c r="FP105" s="2">
        <f t="shared" si="19"/>
        <v>4.9464148393856954E-4</v>
      </c>
      <c r="FQ105" s="2"/>
    </row>
    <row r="106" spans="2:173">
      <c r="B106" s="2">
        <v>10.275147928994084</v>
      </c>
      <c r="C106" s="2">
        <f t="shared" si="18"/>
        <v>4.9464148393856954E-4</v>
      </c>
      <c r="D106" s="2">
        <f>-4.1751170418447*(1/14151.6638359215)</f>
        <v>-2.9502658417075332E-4</v>
      </c>
      <c r="E106" s="2">
        <f>-13.0089492061853*(1/14151.6638359215)</f>
        <v>-9.1925227711842474E-4</v>
      </c>
      <c r="F106" s="2">
        <f>-19.5014964930229*(1/14151.6638359215)</f>
        <v>-1.3780355949045225E-3</v>
      </c>
      <c r="G106" s="2">
        <f>-23.6527589023549*(1/14151.6638359215)</f>
        <v>-1.6713765375288628E-3</v>
      </c>
      <c r="H106" s="2">
        <f>-25.4627364341828*(1/14151.6638359215)</f>
        <v>-1.7992751049915516E-3</v>
      </c>
      <c r="I106" s="2">
        <f>-24.9314290885067*(1/14151.6638359215)</f>
        <v>-1.761731297292596E-3</v>
      </c>
      <c r="J106" s="2">
        <f>-22.0588368653265*(1/14151.6638359215)</f>
        <v>-1.5587451144319893E-3</v>
      </c>
      <c r="K106" s="2">
        <f>-16.8449597646422*(1/14151.6638359215)</f>
        <v>-1.1903165564097309E-3</v>
      </c>
      <c r="L106" s="2">
        <f>-9.28979778645217*(1/14151.6638359215)</f>
        <v>-6.5644562322570571E-4</v>
      </c>
      <c r="M106" s="2">
        <f>0.606649069240735*(1/14151.6638359215)</f>
        <v>4.2867685119884173E-5</v>
      </c>
      <c r="N106" s="2">
        <f>12.2713651728271*(1/14151.6638359215)</f>
        <v>8.6713232557703967E-4</v>
      </c>
      <c r="O106" s="2">
        <f>21.8481531277603*(1/14151.6638359215)</f>
        <v>1.5438575549189221E-3</v>
      </c>
      <c r="P106" s="2">
        <f>30.0702823678504*(1/14151.6638359215)</f>
        <v>2.1248584418407605E-3</v>
      </c>
      <c r="Q106" s="2">
        <f>38.7118058174239*(1/14151.6638359215)</f>
        <v>2.7354950107817584E-3</v>
      </c>
      <c r="R106" s="2">
        <f>49.54677640081*(1/14151.6638359215)</f>
        <v>3.5011272861813084E-3</v>
      </c>
      <c r="S106" s="2">
        <f>64.3492470423314*(1/14151.6638359215)</f>
        <v>4.5471152924783445E-3</v>
      </c>
      <c r="T106" s="2">
        <f>84.8932706663165*(1/14151.6638359215)</f>
        <v>5.9988190541122042E-3</v>
      </c>
      <c r="U106" s="2">
        <f>112.952900197092*(1/14151.6638359215)</f>
        <v>7.9815985955221051E-3</v>
      </c>
      <c r="V106" s="2">
        <f>150.302188558985*(1/14151.6638359215)</f>
        <v>1.062081394114729E-2</v>
      </c>
      <c r="W106" s="2">
        <f>198.715188676321*(1/14151.6638359215)</f>
        <v>1.4041825115426893E-2</v>
      </c>
      <c r="X106" s="2">
        <f>259.96595347344*(1/14151.6638359215)</f>
        <v>1.8369992142801068E-2</v>
      </c>
      <c r="Y106" s="2">
        <f>333.545253616213*(1/14151.6638359215)</f>
        <v>2.3569331315627162E-2</v>
      </c>
      <c r="Z106" s="2">
        <f>416.408050175954*(1/14151.6638359215)</f>
        <v>2.9424670837571457E-2</v>
      </c>
      <c r="AA106" s="2">
        <f>508.265551530463*(1/14151.6638359215)</f>
        <v>3.5915603806269097E-2</v>
      </c>
      <c r="AB106" s="2">
        <f>608.870299302304*(1/14151.6638359215)</f>
        <v>4.3024644053287521E-2</v>
      </c>
      <c r="AC106" s="2">
        <f>717.974835114041*(1/14151.6638359215)</f>
        <v>5.0734305410194143E-2</v>
      </c>
      <c r="AD106" s="2">
        <f>835.331700588259*(1/14151.6638359215)</f>
        <v>5.9027101708557898E-2</v>
      </c>
      <c r="AE106" s="2">
        <f>960.693437347479*(1/14151.6638359215)</f>
        <v>6.7885546779943171E-2</v>
      </c>
      <c r="AF106" s="2">
        <f>1093.81258701429*(1/14151.6638359215)</f>
        <v>7.7292154455919165E-2</v>
      </c>
      <c r="AG106" s="2">
        <f>1234.44169121124*(1/14151.6638359215)</f>
        <v>8.7229438568052167E-2</v>
      </c>
      <c r="AH106" s="2">
        <f>1382.33329156091*(1/14151.6638359215)</f>
        <v>9.7679912947910841E-2</v>
      </c>
      <c r="AI106" s="2">
        <f>1537.59144343423*(1/14151.6638359215)</f>
        <v>0.10865093046736496</v>
      </c>
      <c r="AJ106" s="2">
        <f>1704.65633055417*(1/14151.6638359215)</f>
        <v>0.12045624813579876</v>
      </c>
      <c r="AK106" s="2">
        <f>1883.51060876557*(1/14151.6638359215)</f>
        <v>0.13309464036197716</v>
      </c>
      <c r="AL106" s="2">
        <f>2072.30980052272*(1/14151.6638359215)</f>
        <v>0.14643577070157132</v>
      </c>
      <c r="AM106" s="2">
        <f>2269.2094282799*(1/14151.6638359215)</f>
        <v>0.1603493027102518</v>
      </c>
      <c r="AN106" s="2">
        <f>2472.36501449141*(1/14151.6638359215)</f>
        <v>0.17470489994369057</v>
      </c>
      <c r="AO106" s="2">
        <f>2679.93208161153*(1/14151.6638359215)</f>
        <v>0.18937222595755812</v>
      </c>
      <c r="AP106" s="2">
        <f>2890.0661520946*(1/14151.6638359215)</f>
        <v>0.20422094430752924</v>
      </c>
      <c r="AQ106" s="2">
        <f>3100.92274839481*(1/14151.6638359215)</f>
        <v>0.21912071854926804</v>
      </c>
      <c r="AR106" s="2">
        <f>3310.65739296651*(1/14151.6638359215)</f>
        <v>0.23394121223845007</v>
      </c>
      <c r="AS106" s="2">
        <f>3517.42560826399*(1/14151.6638359215)</f>
        <v>0.24855208893074651</v>
      </c>
      <c r="AT106" s="2">
        <f>3722.11153851393*(1/14151.6638359215)</f>
        <v>0.26301582497077181</v>
      </c>
      <c r="AU106" s="2">
        <f>3930.05352100552*(1/14151.6638359215)</f>
        <v>0.27770964365545298</v>
      </c>
      <c r="AV106" s="2">
        <f>4140.70456038405*(1/14151.6638359215)</f>
        <v>0.29259489261422411</v>
      </c>
      <c r="AW106" s="2">
        <f>4353.22494743478*(1/14151.6638359215)</f>
        <v>0.30761223541679156</v>
      </c>
      <c r="AX106" s="2">
        <f>4566.77497294296*(1/14151.6638359215)</f>
        <v>0.32270233563286094</v>
      </c>
      <c r="AY106" s="2">
        <f>4780.5149276938*(1/14151.6638359215)</f>
        <v>0.33780585683213499</v>
      </c>
      <c r="AZ106" s="2">
        <f>4993.60510247253*(1/14151.6638359215)</f>
        <v>0.35286346258431789</v>
      </c>
      <c r="BA106" s="2">
        <f>5205.20578806442*(1/14151.6638359215)</f>
        <v>0.36781581645911654</v>
      </c>
      <c r="BB106" s="2">
        <f>5414.47727525462*(1/14151.6638359215)</f>
        <v>0.38260358202622968</v>
      </c>
      <c r="BC106" s="2">
        <f>5620.57985482839*(1/14151.6638359215)</f>
        <v>0.39716742285536355</v>
      </c>
      <c r="BD106" s="2">
        <f>5822.78148843612*(1/14151.6638359215)</f>
        <v>0.4114556108700107</v>
      </c>
      <c r="BE106" s="2">
        <f>6024.22382293892*(1/14151.6638359215)</f>
        <v>0.42569014447951287</v>
      </c>
      <c r="BF106" s="2">
        <f>6226.03432897581*(1/14151.6638359215)</f>
        <v>0.43995069421958155</v>
      </c>
      <c r="BG106" s="2">
        <f>6427.31190258598*(1/14151.6638359215)</f>
        <v>0.45417358531873708</v>
      </c>
      <c r="BH106" s="2">
        <f>6627.15543980854*(1/14151.6638359215)</f>
        <v>0.46829514300549424</v>
      </c>
      <c r="BI106" s="2">
        <f>6824.66383668269*(1/14151.6638359215)</f>
        <v>0.48225169250837391</v>
      </c>
      <c r="BJ106" s="2">
        <f>7018.9359892476*(1/14151.6638359215)</f>
        <v>0.49597955905589497</v>
      </c>
      <c r="BK106" s="2">
        <f>7209.07079354244*(1/14151.6638359215)</f>
        <v>0.5094150678765762</v>
      </c>
      <c r="BL106" s="2">
        <f>7394.16714560638*(1/14151.6638359215)</f>
        <v>0.52249454419893671</v>
      </c>
      <c r="BM106" s="2">
        <f>7573.32394147863*(1/14151.6638359215)</f>
        <v>0.53515431325149798</v>
      </c>
      <c r="BN106" s="2">
        <f>7745.64007719829*(1/14151.6638359215)</f>
        <v>0.54733070026277408</v>
      </c>
      <c r="BO106" s="2">
        <f>7911.22021501872*(1/14151.6638359215)</f>
        <v>0.55903110098880993</v>
      </c>
      <c r="BP106" s="2">
        <f>8073.10380133869*(1/14151.6638359215)</f>
        <v>0.57047029204061095</v>
      </c>
      <c r="BQ106" s="2">
        <f>8231.10432887989*(1/14151.6638359215)</f>
        <v>0.58163509424147608</v>
      </c>
      <c r="BR106" s="2">
        <f>8384.68167502722*(1/14151.6638359215)</f>
        <v>0.59248734086971355</v>
      </c>
      <c r="BS106" s="2">
        <f>8533.29571716549*(1/14151.6638359215)</f>
        <v>0.60298886520362549</v>
      </c>
      <c r="BT106" s="2">
        <f>8676.40633267963*(1/14151.6638359215)</f>
        <v>0.61310150052152201</v>
      </c>
      <c r="BU106" s="2">
        <f>8813.4733989545*(1/14151.6638359215)</f>
        <v>0.62278708010170891</v>
      </c>
      <c r="BV106" s="2">
        <f>8943.95679337499*(1/14151.6638359215)</f>
        <v>0.63200743722249353</v>
      </c>
      <c r="BW106" s="2">
        <f>9067.31639332598*(1/14151.6638359215)</f>
        <v>0.64072440516218299</v>
      </c>
      <c r="BX106" s="2">
        <f>9183.01207619234*(1/14151.6638359215)</f>
        <v>0.64889981719908341</v>
      </c>
      <c r="BY106" s="2">
        <f>9290.51134100828*(1/14151.6638359215)</f>
        <v>0.65649604518063498</v>
      </c>
      <c r="BZ106" s="2">
        <f>9391.44853911838*(1/14151.6638359215)</f>
        <v>0.66362857738888958</v>
      </c>
      <c r="CA106" s="2">
        <f>9486.97429595993*(1/14151.6638359215)</f>
        <v>0.67037872054866943</v>
      </c>
      <c r="CB106" s="2">
        <f>9576.52022576664*(1/14151.6638359215)</f>
        <v>0.67670631077727661</v>
      </c>
      <c r="CC106" s="2">
        <f>9659.51794277221*(1/14151.6638359215)</f>
        <v>0.68257118419201213</v>
      </c>
      <c r="CD106" s="2">
        <f>9735.39906121037*(1/14151.6638359215)</f>
        <v>0.68793317691017919</v>
      </c>
      <c r="CE106" s="2">
        <f>9803.5951953148*(1/14151.6638359215)</f>
        <v>0.69275212504907757</v>
      </c>
      <c r="CF106" s="2">
        <f>9863.53795931922*(1/14151.6638359215)</f>
        <v>0.69698786472600982</v>
      </c>
      <c r="CG106" s="2">
        <f>9914.65896745735*(1/14151.6638359215)</f>
        <v>0.70060023205827848</v>
      </c>
      <c r="CH106" s="2">
        <f>9956.3898339629*(1/14151.6638359215)</f>
        <v>0.70354906316318522</v>
      </c>
      <c r="CI106" s="2">
        <f>9988.16217306956*(1/14151.6638359215)</f>
        <v>0.70579419415803069</v>
      </c>
      <c r="CJ106" s="2">
        <f>10010.2824412072*(1/14151.6638359215)</f>
        <v>0.70735728019470523</v>
      </c>
      <c r="CK106" s="2">
        <f>10027.0963096351*(1/14151.6638359215)</f>
        <v>0.70854539974183728</v>
      </c>
      <c r="CL106" s="2">
        <f>10038.0541335073*(1/14151.6638359215)</f>
        <v>0.7093197132076775</v>
      </c>
      <c r="CM106" s="2">
        <f>10041.6942039874*(1/14151.6638359215)</f>
        <v>0.70957693175966574</v>
      </c>
      <c r="CN106" s="2">
        <f>10036.5548122387*(1/14151.6638359215)</f>
        <v>0.70921376656522028</v>
      </c>
      <c r="CO106" s="2">
        <f>10021.1742494248*(1/14151.6638359215)</f>
        <v>0.70812692879178052</v>
      </c>
      <c r="CP106" s="2">
        <f>9994.09080670895*(1/14151.6638359215)</f>
        <v>0.70621312960676152</v>
      </c>
      <c r="CQ106" s="2">
        <f>9953.84277525469*(1/14151.6638359215)</f>
        <v>0.70336908017759847</v>
      </c>
      <c r="CR106" s="2">
        <f>9898.96844622544*(1/14151.6638359215)</f>
        <v>0.69949149167171831</v>
      </c>
      <c r="CS106" s="2">
        <f>9828.00611078463*(1/14151.6638359215)</f>
        <v>0.69447707525654845</v>
      </c>
      <c r="CT106" s="2">
        <f>9739.4940600957*(1/14151.6638359215)</f>
        <v>0.68822254209951728</v>
      </c>
      <c r="CU106" s="2">
        <f>9631.77890378417*(1/14151.6638359215)</f>
        <v>0.68061105856228721</v>
      </c>
      <c r="CV106" s="2">
        <f>9505.24753600121*(1/14151.6638359215)</f>
        <v>0.67166996377301003</v>
      </c>
      <c r="CW106" s="2">
        <f>9361.77933780693*(1/14151.6638359215)</f>
        <v>0.66153206056546554</v>
      </c>
      <c r="CX106" s="2">
        <f>9203.2567193401*(1/14151.6638359215)</f>
        <v>0.65033036581742831</v>
      </c>
      <c r="CY106" s="2">
        <f>9031.56209073956*(1/14151.6638359215)</f>
        <v>0.63819789640667801</v>
      </c>
      <c r="CZ106" s="2">
        <f>8848.57786214407*(1/14151.6638359215)</f>
        <v>0.62526766921098831</v>
      </c>
      <c r="DA106" s="2">
        <f>8656.18644369243*(1/14151.6638359215)</f>
        <v>0.6116727011081361</v>
      </c>
      <c r="DB106" s="2">
        <f>8456.27024552351*(1/14151.6638359215)</f>
        <v>0.59754600897590304</v>
      </c>
      <c r="DC106" s="2">
        <f>8250.71167777606*(1/14151.6638359215)</f>
        <v>0.58302060969206215</v>
      </c>
      <c r="DD106" s="2">
        <f>8041.3931505889*(1/14151.6638359215)</f>
        <v>0.56822952013439187</v>
      </c>
      <c r="DE106" s="2">
        <f>7828.96377447109*(1/14151.6638359215)</f>
        <v>0.55321860844366921</v>
      </c>
      <c r="DF106" s="2">
        <f>7602.82243727116*(1/14151.6638359215)</f>
        <v>0.53723876749903698</v>
      </c>
      <c r="DG106" s="2">
        <f>7362.60539431216*(1/14151.6638359215)</f>
        <v>0.52026429398524054</v>
      </c>
      <c r="DH106" s="2">
        <f>7111.45688346488*(1/14151.6638359215)</f>
        <v>0.50251736940031766</v>
      </c>
      <c r="DI106" s="2">
        <f>6852.52114260029*(1/14151.6638359215)</f>
        <v>0.48422017524231847</v>
      </c>
      <c r="DJ106" s="2">
        <f>6588.9424095892*(1/14151.6638359215)</f>
        <v>0.46559489300928231</v>
      </c>
      <c r="DK106" s="2">
        <f>6323.86492230245*(1/14151.6638359215)</f>
        <v>0.44686370419925014</v>
      </c>
      <c r="DL106" s="2">
        <f>6060.43291861092*(1/14151.6638359215)</f>
        <v>0.42824879031026591</v>
      </c>
      <c r="DM106" s="2">
        <f>5801.79063638541*(1/14151.6638359215)</f>
        <v>0.40997233284036816</v>
      </c>
      <c r="DN106" s="2">
        <f>5551.08231349687*(1/14151.6638359215)</f>
        <v>0.39225651328760563</v>
      </c>
      <c r="DO106" s="2">
        <f>5311.45218781612*(1/14151.6638359215)</f>
        <v>0.37532351315001822</v>
      </c>
      <c r="DP106" s="2">
        <f>5081.89716518814*(1/14151.6638359215)</f>
        <v>0.35910245071598168</v>
      </c>
      <c r="DQ106" s="2">
        <f>4855.75172062242*(1/14151.6638359215)</f>
        <v>0.34312231953227662</v>
      </c>
      <c r="DR106" s="2">
        <f>4633.01003813576*(1/14151.6638359215)</f>
        <v>0.32738270862368013</v>
      </c>
      <c r="DS106" s="2">
        <f>4413.86990119942*(1/14151.6638359215)</f>
        <v>0.31189759397729555</v>
      </c>
      <c r="DT106" s="2">
        <f>4198.5290932846*(1/14151.6638359215)</f>
        <v>0.29668095158022162</v>
      </c>
      <c r="DU106" s="2">
        <f>3987.18539786263*(1/14151.6638359215)</f>
        <v>0.28174675741956673</v>
      </c>
      <c r="DV106" s="2">
        <f>3780.03659840473*(1/14151.6638359215)</f>
        <v>0.26710898748243117</v>
      </c>
      <c r="DW106" s="2">
        <f>3577.28047838214*(1/14151.6638359215)</f>
        <v>0.25278161775591679</v>
      </c>
      <c r="DX106" s="2">
        <f>3379.11482126611*(1/14151.6638359215)</f>
        <v>0.23877862422712612</v>
      </c>
      <c r="DY106" s="2">
        <f>3185.73741052786*(1/14151.6638359215)</f>
        <v>0.22511398288315951</v>
      </c>
      <c r="DZ106" s="2">
        <f>2997.27746850524*(1/14151.6638359215)</f>
        <v>0.21179682497101016</v>
      </c>
      <c r="EA106" s="2">
        <f>2812.48513305106*(1/14151.6638359215)</f>
        <v>0.19873883139536308</v>
      </c>
      <c r="EB106" s="2">
        <f>2631.15237106112*(1/14151.6638359215)</f>
        <v>0.18592530189859402</v>
      </c>
      <c r="EC106" s="2">
        <f>2453.71005138674*(1/14151.6638359215)</f>
        <v>0.17338668299613155</v>
      </c>
      <c r="ED106" s="2">
        <f>2280.58904287926*(1/14151.6638359215)</f>
        <v>0.16115342120340559</v>
      </c>
      <c r="EE106" s="2">
        <f>2112.22021438999*(1/14151.6638359215)</f>
        <v>0.14925596303584401</v>
      </c>
      <c r="EF106" s="2">
        <f>1949.03443477033*(1/14151.6638359215)</f>
        <v>0.13772475500888104</v>
      </c>
      <c r="EG106" s="2">
        <f>1791.46257287158*(1/14151.6638359215)</f>
        <v>0.12659024363794374</v>
      </c>
      <c r="EH106" s="2">
        <f>1639.93549754506*(1/14151.6638359215)</f>
        <v>0.11588287543846068</v>
      </c>
      <c r="EI106" s="2">
        <f>1494.88407764212*(1/14151.6638359215)</f>
        <v>0.10563309692586258</v>
      </c>
      <c r="EJ106" s="2">
        <f>1356.73918201407*(1/14151.6638359215)</f>
        <v>9.587135461557722E-2</v>
      </c>
      <c r="EK106" s="2">
        <f>1225.23696463055*(1/14151.6638359215)</f>
        <v>8.6579004337320548E-2</v>
      </c>
      <c r="EL106" s="2">
        <f>1098.69331214718*(1/14151.6638359215)</f>
        <v>7.763704147340901E-2</v>
      </c>
      <c r="EM106" s="2">
        <f>977.367341141016*(1/14151.6638359215)</f>
        <v>6.9063775996440896E-2</v>
      </c>
      <c r="EN106" s="2">
        <f>861.661237476255*(1/14151.6638359215)</f>
        <v>6.0887627593942707E-2</v>
      </c>
      <c r="EO106" s="2">
        <f>751.97718701707*(1/14151.6638359215)</f>
        <v>5.3137015953439254E-2</v>
      </c>
      <c r="EP106" s="2">
        <f>648.71737562764*(1/14151.6638359215)</f>
        <v>4.5840360762455755E-2</v>
      </c>
      <c r="EQ106" s="2">
        <f>552.283989172126*(1/14151.6638359215)</f>
        <v>3.902608170851618E-2</v>
      </c>
      <c r="ER106" s="2">
        <f>463.079213514742*(1/14151.6638359215)</f>
        <v>3.272259847914824E-2</v>
      </c>
      <c r="ES106" s="2">
        <f>381.505234519649*(1/14151.6638359215)</f>
        <v>2.6958330761875881E-2</v>
      </c>
      <c r="ET106" s="2">
        <f>307.964238051024*(1/14151.6638359215)</f>
        <v>2.1761698244224199E-2</v>
      </c>
      <c r="EU106" s="2">
        <f>242.887457284963*(1/14151.6638359215)</f>
        <v>1.7163173185928575E-2</v>
      </c>
      <c r="EV106" s="2">
        <f>188.545643196489*(1/14151.6638359215)</f>
        <v>1.3323213820123341E-2</v>
      </c>
      <c r="EW106" s="2">
        <f>145.121868473529*(1/14151.6638359215)</f>
        <v>1.0254756624812043E-2</v>
      </c>
      <c r="EX106" s="2">
        <f>111.135651276559*(1/14151.6638359215)</f>
        <v>7.8531862094166471E-3</v>
      </c>
      <c r="EY106" s="2">
        <f>85.1065097660697*(1/14151.6638359215)</f>
        <v>6.0138871833601542E-3</v>
      </c>
      <c r="EZ106" s="2">
        <f>65.5539621025508*(1/14151.6638359215)</f>
        <v>4.6322441560654971E-3</v>
      </c>
      <c r="FA106" s="2">
        <f>50.9975264464917*(1/14151.6638359215)</f>
        <v>3.6036417369555854E-3</v>
      </c>
      <c r="FB106" s="2">
        <f>39.9567209583801*(1/14151.6638359215)</f>
        <v>2.8234645354532112E-3</v>
      </c>
      <c r="FC106" s="2">
        <f>30.9510637987095*(1/14151.6638359215)</f>
        <v>2.1870971609815725E-3</v>
      </c>
      <c r="FD106" s="2">
        <f>22.5000731279671*(1/14151.6638359215)</f>
        <v>1.5899242229634254E-3</v>
      </c>
      <c r="FE106" s="2">
        <f>13.1232671066422*(1/14151.6638359215)</f>
        <v>9.2733033082167363E-4</v>
      </c>
      <c r="FF106" s="2">
        <f>2.20871806034728*(1/14151.6638359215)</f>
        <v>1.5607479699601394E-4</v>
      </c>
      <c r="FG106" s="2">
        <f>-7.02550191348049*(1/14151.6638359215)</f>
        <v>-4.9644352741389278E-4</v>
      </c>
      <c r="FH106" s="2">
        <f>-14.1012000722416*(1/14151.6638359215)</f>
        <v>-9.964340755783212E-4</v>
      </c>
      <c r="FI106" s="2">
        <f>-19.0183764159381*(1/14151.6638359215)</f>
        <v>-1.3438968474974165E-3</v>
      </c>
      <c r="FJ106" s="2">
        <f>-21.7770309445699*(1/14151.6638359215)</f>
        <v>-1.538831843171172E-3</v>
      </c>
      <c r="FK106" s="2">
        <f>-22.377163658137*(1/14151.6638359215)</f>
        <v>-1.581239062599588E-3</v>
      </c>
      <c r="FL106" s="2">
        <f>-20.8187745566394*(1/14151.6638359215)</f>
        <v>-1.471118505782664E-3</v>
      </c>
      <c r="FM106" s="2">
        <f>-17.1018636400762*(1/14151.6638359215)</f>
        <v>-1.2084701727203368E-3</v>
      </c>
      <c r="FN106" s="2">
        <f>-11.2264309084488*(1/14151.6638359215)</f>
        <v>-7.9329406341270537E-4</v>
      </c>
      <c r="FO106" s="2">
        <f>-3.19247636175673*(1/14151.6638359215)</f>
        <v>-2.2559017785973637E-4</v>
      </c>
      <c r="FP106" s="2">
        <f t="shared" si="19"/>
        <v>4.9464148393856954E-4</v>
      </c>
      <c r="FQ106" s="2"/>
    </row>
    <row r="107" spans="2:173">
      <c r="B107" s="2">
        <v>10.284615384615385</v>
      </c>
      <c r="C107" s="2">
        <f t="shared" si="18"/>
        <v>4.9464148393856954E-4</v>
      </c>
      <c r="D107" s="2">
        <f>-2.86835277079111*(1/14151.6638359215)</f>
        <v>-2.0268661014334602E-4</v>
      </c>
      <c r="E107" s="2">
        <f>-10.6706192179805*(1/14151.6638359215)</f>
        <v>-7.5401870350361329E-4</v>
      </c>
      <c r="F107" s="2">
        <f>-16.4067993415689*(1/14151.6638359215)</f>
        <v>-1.1593547961422836E-3</v>
      </c>
      <c r="G107" s="2">
        <f>-20.0768931415544*(1/14151.6638359215)</f>
        <v>-1.4186948880592226E-3</v>
      </c>
      <c r="H107" s="2">
        <f>-21.6809006179381*(1/14151.6638359215)</f>
        <v>-1.5320389792545075E-3</v>
      </c>
      <c r="I107" s="2">
        <f>-21.21882177072*(1/14151.6638359215)</f>
        <v>-1.4993870697281382E-3</v>
      </c>
      <c r="J107" s="2">
        <f>-18.6906565999002*(1/14151.6638359215)</f>
        <v>-1.3207391594801221E-3</v>
      </c>
      <c r="K107" s="2">
        <f>-14.0964051054786*(1/14151.6638359215)</f>
        <v>-9.9609524851045181E-4</v>
      </c>
      <c r="L107" s="2">
        <f>-7.43606728745388*(1/14151.6638359215)</f>
        <v>-5.2545533681903444E-4</v>
      </c>
      <c r="M107" s="2">
        <f>1.2903568541716*(1/14151.6638359215)</f>
        <v>9.1180575593963515E-5</v>
      </c>
      <c r="N107" s="2">
        <f>11.4970675120625*(1/14151.6638359215)</f>
        <v>8.1241807644407327E-4</v>
      </c>
      <c r="O107" s="2">
        <f>19.2418341863578*(1/14151.6638359215)</f>
        <v>1.3596870593771315E-3</v>
      </c>
      <c r="P107" s="2">
        <f>25.274285806627*(1/14151.6638359215)</f>
        <v>1.7859586052682149E-3</v>
      </c>
      <c r="Q107" s="2">
        <f>31.4080550341315*(1/14151.6638359215)</f>
        <v>2.2193895642438665E-3</v>
      </c>
      <c r="R107" s="2">
        <f>39.4567745301343*(1/14151.6638359215)</f>
        <v>2.7881367864307405E-3</v>
      </c>
      <c r="S107" s="2">
        <f>51.2340769558942*(1/14151.6638359215)</f>
        <v>3.6203571219551971E-3</v>
      </c>
      <c r="T107" s="2">
        <f>68.5535949726736*(1/14151.6638359215)</f>
        <v>4.8442074209438472E-3</v>
      </c>
      <c r="U107" s="2">
        <f>93.2289612417341*(1/14151.6638359215)</f>
        <v>6.5878445335232488E-3</v>
      </c>
      <c r="V107" s="2">
        <f>127.073808424337*(1/14151.6638359215)</f>
        <v>8.9794253098199363E-3</v>
      </c>
      <c r="W107" s="2">
        <f>171.901769181743*(1/14151.6638359215)</f>
        <v>1.2147106599960402E-2</v>
      </c>
      <c r="X107" s="2">
        <f>229.526476175227*(1/14151.6638359215)</f>
        <v>1.6219045254072147E-2</v>
      </c>
      <c r="Y107" s="2">
        <f>299.296149372603*(1/14151.6638359215)</f>
        <v>2.114918449468059E-2</v>
      </c>
      <c r="Z107" s="2">
        <f>377.951164880273*(1/14151.6638359215)</f>
        <v>2.6707189293241316E-2</v>
      </c>
      <c r="AA107" s="2">
        <f>465.299460591429*(1/14151.6638359215)</f>
        <v>3.2879487951822918E-2</v>
      </c>
      <c r="AB107" s="2">
        <f>561.194183512639*(1/14151.6638359215)</f>
        <v>3.9655703387197955E-2</v>
      </c>
      <c r="AC107" s="2">
        <f>665.488480650466*(1/14151.6638359215)</f>
        <v>4.7025458516138652E-2</v>
      </c>
      <c r="AD107" s="2">
        <f>778.035499011499*(1/14151.6638359215)</f>
        <v>5.4978376255419049E-2</v>
      </c>
      <c r="AE107" s="2">
        <f>898.688385602261*(1/14151.6638359215)</f>
        <v>6.3504079521808532E-2</v>
      </c>
      <c r="AF107" s="2">
        <f>1027.30028742934*(1/14151.6638359215)</f>
        <v>7.2592191232081105E-2</v>
      </c>
      <c r="AG107" s="2">
        <f>1163.72435149929*(1/14151.6638359215)</f>
        <v>8.2232334303008331E-2</v>
      </c>
      <c r="AH107" s="2">
        <f>1307.8137248187*(1/14151.6638359215)</f>
        <v>9.2414131651364251E-2</v>
      </c>
      <c r="AI107" s="2">
        <f>1459.76739680084*(1/14151.6638359215)</f>
        <v>0.10315164447981574</v>
      </c>
      <c r="AJ107" s="2">
        <f>1623.99335758866*(1/14151.6638359215)</f>
        <v>0.11475635490057641</v>
      </c>
      <c r="AK107" s="2">
        <f>1800.38772458418*(1/14151.6638359215)</f>
        <v>0.12722092225044335</v>
      </c>
      <c r="AL107" s="2">
        <f>1987.03327523482*(1/14151.6638359215)</f>
        <v>0.1404098696996382</v>
      </c>
      <c r="AM107" s="2">
        <f>2182.01278698799*(1/14151.6638359215)</f>
        <v>0.15418772041838189</v>
      </c>
      <c r="AN107" s="2">
        <f>2383.40903729111*(1/14151.6638359215)</f>
        <v>0.16841899757689602</v>
      </c>
      <c r="AO107" s="2">
        <f>2589.30480359159*(1/14151.6638359215)</f>
        <v>0.1829682243454015</v>
      </c>
      <c r="AP107" s="2">
        <f>2797.78286333687*(1/14151.6638359215)</f>
        <v>0.19769992389412136</v>
      </c>
      <c r="AQ107" s="2">
        <f>3006.92599397431*(1/14151.6638359215)</f>
        <v>0.212478619393273</v>
      </c>
      <c r="AR107" s="2">
        <f>3214.81697295134*(1/14151.6638359215)</f>
        <v>0.22716883401307872</v>
      </c>
      <c r="AS107" s="2">
        <f>3419.53857771539*(1/14151.6638359215)</f>
        <v>0.24163509092376087</v>
      </c>
      <c r="AT107" s="2">
        <f>3621.97143260693*(1/14151.6638359215)</f>
        <v>0.25593961774397123</v>
      </c>
      <c r="AU107" s="2">
        <f>3827.59187395281*(1/14151.6638359215)</f>
        <v>0.27046938920617547</v>
      </c>
      <c r="AV107" s="2">
        <f>4035.86836476305*(1/14151.6638359215)</f>
        <v>0.2851868452753033</v>
      </c>
      <c r="AW107" s="2">
        <f>4245.96980999909*(1/14151.6638359215)</f>
        <v>0.300033258225188</v>
      </c>
      <c r="AX107" s="2">
        <f>4457.06511462228*(1/14151.6638359215)</f>
        <v>0.31494990032965647</v>
      </c>
      <c r="AY107" s="2">
        <f>4668.32318359401*(1/14151.6638359215)</f>
        <v>0.32987804386253833</v>
      </c>
      <c r="AZ107" s="2">
        <f>4878.91292187565*(1/14151.6638359215)</f>
        <v>0.34475896109766196</v>
      </c>
      <c r="BA107" s="2">
        <f>5088.00323442861*(1/14151.6638359215)</f>
        <v>0.35953392430885844</v>
      </c>
      <c r="BB107" s="2">
        <f>5294.7630262142*(1/14151.6638359215)</f>
        <v>0.37414420576995189</v>
      </c>
      <c r="BC107" s="2">
        <f>5498.36120219383*(1/14151.6638359215)</f>
        <v>0.3885310777547733</v>
      </c>
      <c r="BD107" s="2">
        <f>5698.08252746529*(1/14151.6638359215)</f>
        <v>0.40264399956998087</v>
      </c>
      <c r="BE107" s="2">
        <f>5897.34539293653*(1/14151.6638359215)</f>
        <v>0.41672452520863024</v>
      </c>
      <c r="BF107" s="2">
        <f>6097.30415980098*(1/14151.6638359215)</f>
        <v>0.43085422537553858</v>
      </c>
      <c r="BG107" s="2">
        <f>6296.91408669803*(1/14151.6638359215)</f>
        <v>0.4449592754397137</v>
      </c>
      <c r="BH107" s="2">
        <f>6495.13043226695*(1/14151.6638359215)</f>
        <v>0.45896585077015528</v>
      </c>
      <c r="BI107" s="2">
        <f>6690.90845514712*(1/14151.6638359215)</f>
        <v>0.47280012673587046</v>
      </c>
      <c r="BJ107" s="2">
        <f>6883.20341397789*(1/14151.6638359215)</f>
        <v>0.48638827870586449</v>
      </c>
      <c r="BK107" s="2">
        <f>7070.9705673986*(1/14151.6638359215)</f>
        <v>0.49965648204914181</v>
      </c>
      <c r="BL107" s="2">
        <f>7253.1651740486*(1/14151.6638359215)</f>
        <v>0.51253091213470758</v>
      </c>
      <c r="BM107" s="2">
        <f>7428.74249256728*(1/14151.6638359215)</f>
        <v>0.5249377443315697</v>
      </c>
      <c r="BN107" s="2">
        <f>7596.6577815939*(1/14151.6638359215)</f>
        <v>0.53680315400872691</v>
      </c>
      <c r="BO107" s="2">
        <f>7756.87636688401*(1/14151.6638359215)</f>
        <v>0.54812469097764671</v>
      </c>
      <c r="BP107" s="2">
        <f>7912.44168559394*(1/14151.6638359215)</f>
        <v>0.55911741384851188</v>
      </c>
      <c r="BQ107" s="2">
        <f>8063.3168353774*(1/14151.6638359215)</f>
        <v>0.56977871498827537</v>
      </c>
      <c r="BR107" s="2">
        <f>8209.11675088277*(1/14151.6638359215)</f>
        <v>0.58008138449737456</v>
      </c>
      <c r="BS107" s="2">
        <f>8349.45636675838*(1/14151.6638359215)</f>
        <v>0.58999821247624329</v>
      </c>
      <c r="BT107" s="2">
        <f>8483.95061765261*(1/14151.6638359215)</f>
        <v>0.5995019890253187</v>
      </c>
      <c r="BU107" s="2">
        <f>8612.21443821382*(1/14151.6638359215)</f>
        <v>0.60856550424503686</v>
      </c>
      <c r="BV107" s="2">
        <f>8733.86276309038*(1/14151.6638359215)</f>
        <v>0.61716154823583436</v>
      </c>
      <c r="BW107" s="2">
        <f>8848.51052693065*(1/14151.6638359215)</f>
        <v>0.62526291109814724</v>
      </c>
      <c r="BX107" s="2">
        <f>8955.77266438299*(1/14151.6638359215)</f>
        <v>0.63284238293241124</v>
      </c>
      <c r="BY107" s="2">
        <f>9055.26837291936*(1/14151.6638359215)</f>
        <v>0.6398730550632612</v>
      </c>
      <c r="BZ107" s="2">
        <f>9147.86018898754*(1/14151.6638359215)</f>
        <v>0.64641587696333724</v>
      </c>
      <c r="CA107" s="2">
        <f>9234.25116976807*(1/14151.6638359215)</f>
        <v>0.65252052881079281</v>
      </c>
      <c r="CB107" s="2">
        <f>9314.20737453138*(1/14151.6638359215)</f>
        <v>0.65817047963568132</v>
      </c>
      <c r="CC107" s="2">
        <f>9387.4948625479*(1/14151.6638359215)</f>
        <v>0.66334919846805585</v>
      </c>
      <c r="CD107" s="2">
        <f>9453.87969308809*(1/14151.6638359215)</f>
        <v>0.6680401543379717</v>
      </c>
      <c r="CE107" s="2">
        <f>9513.12792542234*(1/14151.6638359215)</f>
        <v>0.67222681627547876</v>
      </c>
      <c r="CF107" s="2">
        <f>9565.00561882112*(1/14151.6638359215)</f>
        <v>0.67589265331063353</v>
      </c>
      <c r="CG107" s="2">
        <f>9609.27883255484*(1/14151.6638359215)</f>
        <v>0.67902113447348733</v>
      </c>
      <c r="CH107" s="2">
        <f>9645.71362589395*(1/14151.6638359215)</f>
        <v>0.6815957287940948</v>
      </c>
      <c r="CI107" s="2">
        <f>9674.07605810888*(1/14151.6638359215)</f>
        <v>0.68359990530250914</v>
      </c>
      <c r="CJ107" s="2">
        <f>9694.95485844186*(1/14151.6638359215)</f>
        <v>0.6850752654138752</v>
      </c>
      <c r="CK107" s="2">
        <f>9712.50047563089*(1/14151.6638359215)</f>
        <v>0.68631509257430368</v>
      </c>
      <c r="CL107" s="2">
        <f>9725.89191687908*(1/14151.6638359215)</f>
        <v>0.68726137291302958</v>
      </c>
      <c r="CM107" s="2">
        <f>9733.42422715516*(1/14151.6638359215)</f>
        <v>0.68779362907480746</v>
      </c>
      <c r="CN107" s="2">
        <f>9733.39245142788*(1/14151.6638359215)</f>
        <v>0.68779138370439397</v>
      </c>
      <c r="CO107" s="2">
        <f>9724.09163466598*(1/14151.6638359215)</f>
        <v>0.68713415944654443</v>
      </c>
      <c r="CP107" s="2">
        <f>9703.81682183819*(1/14151.6638359215)</f>
        <v>0.68570147894601374</v>
      </c>
      <c r="CQ107" s="2">
        <f>9670.86305791325*(1/14151.6638359215)</f>
        <v>0.68337286484755744</v>
      </c>
      <c r="CR107" s="2">
        <f>9623.5253878599*(1/14151.6638359215)</f>
        <v>0.68002783979593129</v>
      </c>
      <c r="CS107" s="2">
        <f>9560.09885664688*(1/14151.6638359215)</f>
        <v>0.67554592643589073</v>
      </c>
      <c r="CT107" s="2">
        <f>9478.87850924294*(1/14151.6638359215)</f>
        <v>0.66980664741219198</v>
      </c>
      <c r="CU107" s="2">
        <f>9378.72246012532*(1/14151.6638359215)</f>
        <v>0.66272931358919718</v>
      </c>
      <c r="CV107" s="2">
        <f>9260.73282888767*(1/14151.6638359215)</f>
        <v>0.65439180411994635</v>
      </c>
      <c r="CW107" s="2">
        <f>9126.54766599511*(1/14151.6638359215)</f>
        <v>0.64490986867770128</v>
      </c>
      <c r="CX107" s="2">
        <f>8977.80469560501*(1/14151.6638359215)</f>
        <v>0.63439923387781705</v>
      </c>
      <c r="CY107" s="2">
        <f>8816.14164187474*(1/14151.6638359215)</f>
        <v>0.62297562633564829</v>
      </c>
      <c r="CZ107" s="2">
        <f>8643.19622896167*(1/14151.6638359215)</f>
        <v>0.61075477266654976</v>
      </c>
      <c r="DA107" s="2">
        <f>8460.60618102313*(1/14151.6638359215)</f>
        <v>0.59785239948587354</v>
      </c>
      <c r="DB107" s="2">
        <f>8270.00922221657*(1/14151.6638359215)</f>
        <v>0.58438423340897994</v>
      </c>
      <c r="DC107" s="2">
        <f>8073.04307669932*(1/14151.6638359215)</f>
        <v>0.57046600105122103</v>
      </c>
      <c r="DD107" s="2">
        <f>7871.34546862875*(1/14151.6638359215)</f>
        <v>0.55621342902795146</v>
      </c>
      <c r="DE107" s="2">
        <f>7665.3560202222*(1/14151.6638359215)</f>
        <v>0.54165758239430806</v>
      </c>
      <c r="DF107" s="2">
        <f>7444.70998260185*(1/14151.6638359215)</f>
        <v>0.52606605618378022</v>
      </c>
      <c r="DG107" s="2">
        <f>7209.23323357381*(1/14151.6638359215)</f>
        <v>0.5094265463877431</v>
      </c>
      <c r="DH107" s="2">
        <f>6962.18529786318*(1/14151.6638359215)</f>
        <v>0.49196938102719073</v>
      </c>
      <c r="DI107" s="2">
        <f>6706.82570019517*(1/14151.6638359215)</f>
        <v>0.47392488812312494</v>
      </c>
      <c r="DJ107" s="2">
        <f>6446.41396529488*(1/14151.6638359215)</f>
        <v>0.45552339569653966</v>
      </c>
      <c r="DK107" s="2">
        <f>6184.20961788746*(1/14151.6638359215)</f>
        <v>0.43699523176843247</v>
      </c>
      <c r="DL107" s="2">
        <f>5923.47218269803*(1/14151.6638359215)</f>
        <v>0.41857072435979875</v>
      </c>
      <c r="DM107" s="2">
        <f>5667.46118445169*(1/14151.6638359215)</f>
        <v>0.40048020149163244</v>
      </c>
      <c r="DN107" s="2">
        <f>5419.43614787367*(1/14151.6638359215)</f>
        <v>0.38295399118493673</v>
      </c>
      <c r="DO107" s="2">
        <f>5182.65659768905*(1/14151.6638359215)</f>
        <v>0.36622242146070422</v>
      </c>
      <c r="DP107" s="2">
        <f>4956.01071432493*(1/14151.6638359215)</f>
        <v>0.35020692773559048</v>
      </c>
      <c r="DQ107" s="2">
        <f>4732.4831059172*(1/14151.6638359215)</f>
        <v>0.33441178088929924</v>
      </c>
      <c r="DR107" s="2">
        <f>4512.13058536904*(1/14151.6638359215)</f>
        <v>0.31884099549593548</v>
      </c>
      <c r="DS107" s="2">
        <f>4295.22525463666*(1/14151.6638359215)</f>
        <v>0.30351379911484255</v>
      </c>
      <c r="DT107" s="2">
        <f>4082.03921567621*(1/14151.6638359215)</f>
        <v>0.28844941930535928</v>
      </c>
      <c r="DU107" s="2">
        <f>3872.844570444*(1/14151.6638359215)</f>
        <v>0.27366708362683601</v>
      </c>
      <c r="DV107" s="2">
        <f>3667.91342089619*(1/14151.6638359215)</f>
        <v>0.25918601963861237</v>
      </c>
      <c r="DW107" s="2">
        <f>3467.51786898899*(1/14151.6638359215)</f>
        <v>0.24502545490003147</v>
      </c>
      <c r="DX107" s="2">
        <f>3271.9300166786*(1/14151.6638359215)</f>
        <v>0.23120461697043593</v>
      </c>
      <c r="DY107" s="2">
        <f>3081.4219659212*(1/14151.6638359215)</f>
        <v>0.21774273340916667</v>
      </c>
      <c r="DZ107" s="2">
        <f>2896.19473688886*(1/14151.6638359215)</f>
        <v>0.2046540089185401</v>
      </c>
      <c r="EA107" s="2">
        <f>2714.98379636256*(1/14151.6638359215)</f>
        <v>0.19184908770027825</v>
      </c>
      <c r="EB107" s="2">
        <f>2537.51604122945*(1/14151.6638359215)</f>
        <v>0.17930867145023707</v>
      </c>
      <c r="EC107" s="2">
        <f>2364.16788350233*(1/14151.6638359215)</f>
        <v>0.16705935859649995</v>
      </c>
      <c r="ED107" s="2">
        <f>2195.31573519398*(1/14151.6638359215)</f>
        <v>0.15512774756714887</v>
      </c>
      <c r="EE107" s="2">
        <f>2031.33600831717*(1/14151.6638359215)</f>
        <v>0.14354043679026504</v>
      </c>
      <c r="EF107" s="2">
        <f>1872.60511488474*(1/14151.6638359215)</f>
        <v>0.13232402469393476</v>
      </c>
      <c r="EG107" s="2">
        <f>1719.49946690945*(1/14151.6638359215)</f>
        <v>0.12150510970623851</v>
      </c>
      <c r="EH107" s="2">
        <f>1572.39547640408*(1/14151.6638359215)</f>
        <v>0.11111029025525831</v>
      </c>
      <c r="EI107" s="2">
        <f>1431.66955538143*(1/14151.6638359215)</f>
        <v>0.10116616476907751</v>
      </c>
      <c r="EJ107" s="2">
        <f>1297.69811585426*(1/14151.6638359215)</f>
        <v>9.1699331675776707E-2</v>
      </c>
      <c r="EK107" s="2">
        <f>1170.25169758977*(1/14151.6638359215)</f>
        <v>8.2693576611061997E-2</v>
      </c>
      <c r="EL107" s="2">
        <f>1047.86154785242*(1/14151.6638359215)</f>
        <v>7.4045112998841062E-2</v>
      </c>
      <c r="EM107" s="2">
        <f>930.752934970501*(1/14151.6638359215)</f>
        <v>6.5769858990569641E-2</v>
      </c>
      <c r="EN107" s="2">
        <f>819.275877914112*(1/14151.6638359215)</f>
        <v>5.7892548000930098E-2</v>
      </c>
      <c r="EO107" s="2">
        <f>713.780395653333*(1/14151.6638359215)</f>
        <v>5.0437913444603417E-2</v>
      </c>
      <c r="EP107" s="2">
        <f>614.616507158248*(1/14151.6638359215)</f>
        <v>4.3430688736270893E-2</v>
      </c>
      <c r="EQ107" s="2">
        <f>522.134231398926*(1/14151.6638359215)</f>
        <v>3.6895607290612746E-2</v>
      </c>
      <c r="ER107" s="2">
        <f>436.683587345485*(1/14151.6638359215)</f>
        <v>3.0857402522312668E-2</v>
      </c>
      <c r="ES107" s="2">
        <f>358.614593967992*(1/14151.6638359215)</f>
        <v>2.5340807846050736E-2</v>
      </c>
      <c r="ET107" s="2">
        <f>288.277270236531*(1/14151.6638359215)</f>
        <v>2.0370556676508247E-2</v>
      </c>
      <c r="EU107" s="2">
        <f>226.051575573597*(1/14151.6638359215)</f>
        <v>1.5973498112625103E-2</v>
      </c>
      <c r="EV107" s="2">
        <f>174.24109929658*(1/14151.6638359215)</f>
        <v>1.2312410845592568E-2</v>
      </c>
      <c r="EW107" s="2">
        <f>133.083955443622*(1/14151.6638359215)</f>
        <v>9.404120744149664E-3</v>
      </c>
      <c r="EX107" s="2">
        <f>101.1202195627*(1/14151.6638359215)</f>
        <v>7.1454650658125569E-3</v>
      </c>
      <c r="EY107" s="2">
        <f>76.889967201801*(1/14151.6638359215)</f>
        <v>5.433281068098113E-3</v>
      </c>
      <c r="EZ107" s="2">
        <f>58.9332739089125*(1/14151.6638359215)</f>
        <v>4.1644060085232375E-3</v>
      </c>
      <c r="FA107" s="2">
        <f>45.7902152320213*(1/14151.6638359215)</f>
        <v>3.2356771446047871E-3</v>
      </c>
      <c r="FB107" s="2">
        <f>36.0008667191131*(1/14151.6638359215)</f>
        <v>2.543931733859538E-3</v>
      </c>
      <c r="FC107" s="2">
        <f>28.1053039181783*(1/14151.6638359215)</f>
        <v>1.9860070338046012E-3</v>
      </c>
      <c r="FD107" s="2">
        <f>20.6436023772021*(1/14151.6638359215)</f>
        <v>1.4587403019567183E-3</v>
      </c>
      <c r="FE107" s="2">
        <f>12.1558376441714*(1/14151.6638359215)</f>
        <v>8.5896879583275245E-4</v>
      </c>
      <c r="FF107" s="2">
        <f>2.03857903127897*(1/14151.6638359215)</f>
        <v>1.4405225102255448E-4</v>
      </c>
      <c r="FG107" s="2">
        <f>-6.53478624522765*(1/14151.6638359215)</f>
        <v>-4.6176805222296541E-4</v>
      </c>
      <c r="FH107" s="2">
        <f>-13.0927054387598*(1/14151.6638359215)</f>
        <v>-9.2517074957124688E-4</v>
      </c>
      <c r="FI107" s="2">
        <f>-17.6351785493194*(1/14151.6638359215)</f>
        <v>-1.2461558410224254E-3</v>
      </c>
      <c r="FJ107" s="2">
        <f>-20.1622055769063*(1/14151.6638359215)</f>
        <v>-1.4247233265764906E-3</v>
      </c>
      <c r="FK107" s="2">
        <f>-20.6737865215205*(1/14151.6638359215)</f>
        <v>-1.4608732062334428E-3</v>
      </c>
      <c r="FL107" s="2">
        <f>-19.1699213831621*(1/14151.6638359215)</f>
        <v>-1.3546054799932882E-3</v>
      </c>
      <c r="FM107" s="2">
        <f>-15.6506101618302*(1/14151.6638359215)</f>
        <v>-1.1059201478559636E-3</v>
      </c>
      <c r="FN107" s="2">
        <f>-10.1158528575261*(1/14151.6638359215)</f>
        <v>-7.1481720982156135E-4</v>
      </c>
      <c r="FO107" s="2">
        <f>-2.56564947024936*(1/14151.6638359215)</f>
        <v>-1.8129666589004976E-4</v>
      </c>
      <c r="FP107" s="2">
        <f t="shared" si="19"/>
        <v>4.9464148393856954E-4</v>
      </c>
      <c r="FQ107" s="2"/>
    </row>
    <row r="108" spans="2:173">
      <c r="B108" s="2">
        <v>10.294082840236687</v>
      </c>
      <c r="C108" s="2">
        <f t="shared" si="18"/>
        <v>4.9464148393856954E-4</v>
      </c>
      <c r="D108" s="2">
        <f>-1.70167066514208*(1/14151.6638359215)</f>
        <v>-1.2024527185437302E-4</v>
      </c>
      <c r="E108" s="2">
        <f>-8.582737560676*(1/14151.6638359215)</f>
        <v>-6.0648257760972501E-4</v>
      </c>
      <c r="F108" s="2">
        <f>-13.6432006866025*(1/14151.6638359215)</f>
        <v>-9.6407043332753881E-4</v>
      </c>
      <c r="G108" s="2">
        <f>-16.8830600429198*(1/14151.6638359215)</f>
        <v>-1.1930088390076886E-3</v>
      </c>
      <c r="H108" s="2">
        <f>-18.3023156296288*(1/14151.6638359215)</f>
        <v>-1.2932977946502379E-3</v>
      </c>
      <c r="I108" s="2">
        <f>-17.9009674467297*(1/14151.6638359215)</f>
        <v>-1.264937300255201E-3</v>
      </c>
      <c r="J108" s="2">
        <f>-15.6790154942225*(1/14151.6638359215)</f>
        <v>-1.1079273558225774E-3</v>
      </c>
      <c r="K108" s="2">
        <f>-11.6364597721071*(1/14151.6638359215)</f>
        <v>-8.2226796135236068E-4</v>
      </c>
      <c r="L108" s="2">
        <f>-5.77330028038219*(1/14151.6638359215)</f>
        <v>-4.0795911684445805E-4</v>
      </c>
      <c r="M108" s="2">
        <f>1.91046298094992*(1/14151.6638359215)</f>
        <v>1.3499917770096737E-4</v>
      </c>
      <c r="N108" s="2">
        <f>10.8244049935549*(1/14151.6638359215)</f>
        <v>7.6488567839486544E-4</v>
      </c>
      <c r="O108" s="2">
        <f>16.9951691840565*(1/14151.6638359215)</f>
        <v>1.2009308149983937E-3</v>
      </c>
      <c r="P108" s="2">
        <f>21.1783032138617*(1/14151.6638359215)</f>
        <v>1.4965239041436469E-3</v>
      </c>
      <c r="Q108" s="2">
        <f>25.2017593695168*(1/14151.6638359215)</f>
        <v>1.7808336646286485E-3</v>
      </c>
      <c r="R108" s="2">
        <f>30.8934899375692*(1/14151.6638359215)</f>
        <v>2.1830288152514992E-3</v>
      </c>
      <c r="S108" s="2">
        <f>40.0814472045631*(1/14151.6638359215)</f>
        <v>2.8322780748100745E-3</v>
      </c>
      <c r="T108" s="2">
        <f>54.5935834570455*(1/14151.6638359215)</f>
        <v>3.8577501621024466E-3</v>
      </c>
      <c r="U108" s="2">
        <f>76.2578509815626*(1/14151.6638359215)</f>
        <v>5.3886137959266323E-3</v>
      </c>
      <c r="V108" s="2">
        <f>106.90220206466*(1/14151.6638359215)</f>
        <v>7.5540376950806055E-3</v>
      </c>
      <c r="W108" s="2">
        <f>148.354588992885*(1/14151.6638359215)</f>
        <v>1.0483190578362458E-2</v>
      </c>
      <c r="X108" s="2">
        <f>202.442964052794*(1/14151.6638359215)</f>
        <v>1.4305241164570931E-2</v>
      </c>
      <c r="Y108" s="2">
        <f>268.368719432399*(1/14151.6638359215)</f>
        <v>1.8963757374676496E-2</v>
      </c>
      <c r="Z108" s="2">
        <f>342.688117240721*(1/14151.6638359215)</f>
        <v>2.4215394120009247E-2</v>
      </c>
      <c r="AA108" s="2">
        <f>425.319002807309*(1/14151.6638359215)</f>
        <v>3.0054346099411423E-2</v>
      </c>
      <c r="AB108" s="2">
        <f>516.227977460906*(1/14151.6638359215)</f>
        <v>3.6478253260266998E-2</v>
      </c>
      <c r="AC108" s="2">
        <f>615.381642530256*(1/14151.6638359215)</f>
        <v>4.3484755549960029E-2</v>
      </c>
      <c r="AD108" s="2">
        <f>722.746599344124*(1/14151.6638359215)</f>
        <v>5.1071492915876038E-2</v>
      </c>
      <c r="AE108" s="2">
        <f>838.289449231213*(1/14151.6638359215)</f>
        <v>5.9236105305396192E-2</v>
      </c>
      <c r="AF108" s="2">
        <f>961.976793520287*(1/14151.6638359215)</f>
        <v>6.7976232665905953E-2</v>
      </c>
      <c r="AG108" s="2">
        <f>1093.77523354009*(1/14151.6638359215)</f>
        <v>7.7289514944789375E-2</v>
      </c>
      <c r="AH108" s="2">
        <f>1233.65137061937*(1/14151.6638359215)</f>
        <v>8.7173592089430776E-2</v>
      </c>
      <c r="AI108" s="2">
        <f>1381.90678673723*(1/14151.6638359215)</f>
        <v>9.764977480806912E-2</v>
      </c>
      <c r="AJ108" s="2">
        <f>1542.85546925714*(1/14151.6638359215)</f>
        <v>0.10902290268801282</v>
      </c>
      <c r="AK108" s="2">
        <f>1716.29899043373*(1/14151.6638359215)</f>
        <v>0.12127895421577271</v>
      </c>
      <c r="AL108" s="2">
        <f>1900.26486240289*(1/14151.6638359215)</f>
        <v>0.13427854734504102</v>
      </c>
      <c r="AM108" s="2">
        <f>2092.78059730051*(1/14151.6638359215)</f>
        <v>0.14788230002951006</v>
      </c>
      <c r="AN108" s="2">
        <f>2291.87370726249*(1/14151.6638359215)</f>
        <v>0.16195083022287268</v>
      </c>
      <c r="AO108" s="2">
        <f>2495.57170442472*(1/14151.6638359215)</f>
        <v>0.17634475587882126</v>
      </c>
      <c r="AP108" s="2">
        <f>2701.90210092314*(1/14151.6638359215)</f>
        <v>0.19092469495105152</v>
      </c>
      <c r="AQ108" s="2">
        <f>2908.89240889356*(1/14151.6638359215)</f>
        <v>0.20555126539325011</v>
      </c>
      <c r="AR108" s="2">
        <f>3114.57014047192*(1/14151.6638359215)</f>
        <v>0.22008508515911276</v>
      </c>
      <c r="AS108" s="2">
        <f>3316.96280779411*(1/14151.6638359215)</f>
        <v>0.23438677220233184</v>
      </c>
      <c r="AT108" s="2">
        <f>3516.96332426142*(1/14151.6638359215)</f>
        <v>0.24851942252431333</v>
      </c>
      <c r="AU108" s="2">
        <f>3720.18114017623*(1/14151.6638359215)</f>
        <v>0.26287941709957857</v>
      </c>
      <c r="AV108" s="2">
        <f>3926.0820287845*(1/14151.6638359215)</f>
        <v>0.27742900582607355</v>
      </c>
      <c r="AW108" s="2">
        <f>4133.82517365808*(1/14151.6638359215)</f>
        <v>0.29210877403440677</v>
      </c>
      <c r="AX108" s="2">
        <f>4342.56975836876*(1/14151.6638359215)</f>
        <v>0.30685930705518266</v>
      </c>
      <c r="AY108" s="2">
        <f>4551.47496648836*(1/14151.6638359215)</f>
        <v>0.32162119021900765</v>
      </c>
      <c r="AZ108" s="2">
        <f>4759.69998158866*(1/14151.6638359215)</f>
        <v>0.33633500885648532</v>
      </c>
      <c r="BA108" s="2">
        <f>4966.40398724152*(1/14151.6638359215)</f>
        <v>0.35094134829822482</v>
      </c>
      <c r="BB108" s="2">
        <f>5170.74616701865*(1/14151.6638359215)</f>
        <v>0.36538079387482514</v>
      </c>
      <c r="BC108" s="2">
        <f>5371.8857044919*(1/14151.6638359215)</f>
        <v>0.37959393091689447</v>
      </c>
      <c r="BD108" s="2">
        <f>5569.10477877851*(1/14151.6638359215)</f>
        <v>0.39353003599776876</v>
      </c>
      <c r="BE108" s="2">
        <f>5766.05392806834*(1/14151.6638359215)</f>
        <v>0.40744706734993452</v>
      </c>
      <c r="BF108" s="2">
        <f>5963.92493394849*(1/14151.6638359215)</f>
        <v>0.42142923991807379</v>
      </c>
      <c r="BG108" s="2">
        <f>6161.56575177784*(1/14151.6638359215)</f>
        <v>0.43539514669206553</v>
      </c>
      <c r="BH108" s="2">
        <f>6357.82433691516*(1/14151.6638359215)</f>
        <v>0.44926338066178095</v>
      </c>
      <c r="BI108" s="2">
        <f>6551.54864471934*(1/14151.6638359215)</f>
        <v>0.4629525348170998</v>
      </c>
      <c r="BJ108" s="2">
        <f>6741.5866305492*(1/14151.6638359215)</f>
        <v>0.47638120214789675</v>
      </c>
      <c r="BK108" s="2">
        <f>6926.78624976361*(1/14151.6638359215)</f>
        <v>0.48946797564405015</v>
      </c>
      <c r="BL108" s="2">
        <f>7105.9954577214*(1/14151.6638359215)</f>
        <v>0.50213144829543543</v>
      </c>
      <c r="BM108" s="2">
        <f>7278.06220978144*(1/14151.6638359215)</f>
        <v>0.5142902130919309</v>
      </c>
      <c r="BN108" s="2">
        <f>7441.83446130252*(1/14151.6638359215)</f>
        <v>0.52586286302340912</v>
      </c>
      <c r="BO108" s="2">
        <f>7597.16871703961*(1/14151.6638359215)</f>
        <v>0.5368392582754502</v>
      </c>
      <c r="BP108" s="2">
        <f>7747.09682611813*(1/14151.6638359215)</f>
        <v>0.54743363861240768</v>
      </c>
      <c r="BQ108" s="2">
        <f>7891.69908507578*(1/14151.6638359215)</f>
        <v>0.55765167803407656</v>
      </c>
      <c r="BR108" s="2">
        <f>8030.71357498921*(1/14151.6638359215)</f>
        <v>0.56747486854546825</v>
      </c>
      <c r="BS108" s="2">
        <f>8163.87837693497*(1/14151.6638359215)</f>
        <v>0.57688470215158771</v>
      </c>
      <c r="BT108" s="2">
        <f>8290.93157198972*(1/14151.6638359215)</f>
        <v>0.58586267085744748</v>
      </c>
      <c r="BU108" s="2">
        <f>8411.61124123006*(1/14151.6638359215)</f>
        <v>0.59439026666805572</v>
      </c>
      <c r="BV108" s="2">
        <f>8525.65546573262*(1/14151.6638359215)</f>
        <v>0.60244898158842275</v>
      </c>
      <c r="BW108" s="2">
        <f>8632.80232657402*(1/14151.6638359215)</f>
        <v>0.61002030762355841</v>
      </c>
      <c r="BX108" s="2">
        <f>8732.78990483086*(1/14151.6638359215)</f>
        <v>0.61708573677847089</v>
      </c>
      <c r="BY108" s="2">
        <f>8825.3578056393*(1/14151.6638359215)</f>
        <v>0.62362686875289441</v>
      </c>
      <c r="BZ108" s="2">
        <f>8910.73719047726*(1/14151.6638359215)</f>
        <v>0.62966003812632465</v>
      </c>
      <c r="CA108" s="2">
        <f>8989.2685292137*(1/14151.6638359215)</f>
        <v>0.63520930354464955</v>
      </c>
      <c r="CB108" s="2">
        <f>9060.99391072143*(1/14151.6638359215)</f>
        <v>0.64027763913679869</v>
      </c>
      <c r="CC108" s="2">
        <f>9125.95542387327*(1/14151.6638359215)</f>
        <v>0.64486801903170177</v>
      </c>
      <c r="CD108" s="2">
        <f>9184.19515754203*(1/14151.6638359215)</f>
        <v>0.6489834173582878</v>
      </c>
      <c r="CE108" s="2">
        <f>9235.7552006005*(1/14151.6638359215)</f>
        <v>0.65262680824548469</v>
      </c>
      <c r="CF108" s="2">
        <f>9280.67764192151*(1/14151.6638359215)</f>
        <v>0.65580116582222281</v>
      </c>
      <c r="CG108" s="2">
        <f>9319.00457037786*(1/14151.6638359215)</f>
        <v>0.65850946421743095</v>
      </c>
      <c r="CH108" s="2">
        <f>9350.77807484236*(1/14151.6638359215)</f>
        <v>0.66075467756003792</v>
      </c>
      <c r="CI108" s="2">
        <f>9376.04024418783*(1/14151.6638359215)</f>
        <v>0.66253977997897373</v>
      </c>
      <c r="CJ108" s="2">
        <f>9395.60397952063*(1/14151.6638359215)</f>
        <v>0.66392221356131631</v>
      </c>
      <c r="CK108" s="2">
        <f>9413.413685809*(1/14151.6638359215)</f>
        <v>0.66518070206802904</v>
      </c>
      <c r="CL108" s="2">
        <f>9428.43572882181*(1/14151.6638359215)</f>
        <v>0.66624220573197845</v>
      </c>
      <c r="CM108" s="2">
        <f>9438.78537794926*(1/14151.6638359215)</f>
        <v>0.66697354370378481</v>
      </c>
      <c r="CN108" s="2">
        <f>9442.57790258159*(1/14151.6638359215)</f>
        <v>0.66724153513407192</v>
      </c>
      <c r="CO108" s="2">
        <f>9437.92857210899*(1/14151.6638359215)</f>
        <v>0.66691299917345936</v>
      </c>
      <c r="CP108" s="2">
        <f>9422.95265592167*(1/14151.6638359215)</f>
        <v>0.66585475497256863</v>
      </c>
      <c r="CQ108" s="2">
        <f>9395.76542340984*(1/14151.6638359215)</f>
        <v>0.66393362168202086</v>
      </c>
      <c r="CR108" s="2">
        <f>9354.48214396372*(1/14151.6638359215)</f>
        <v>0.66101641845243797</v>
      </c>
      <c r="CS108" s="2">
        <f>9297.2180869735*(1/14151.6638359215)</f>
        <v>0.65696996443444011</v>
      </c>
      <c r="CT108" s="2">
        <f>9222.08852182941*(1/14151.6638359215)</f>
        <v>0.65166107877864976</v>
      </c>
      <c r="CU108" s="2">
        <f>9128.3676969081*(1/14151.6638359215)</f>
        <v>0.64503847764793221</v>
      </c>
      <c r="CV108" s="2">
        <f>9017.71785209417*(1/14151.6638359215)</f>
        <v>0.6372196200141701</v>
      </c>
      <c r="CW108" s="2">
        <f>8891.5718442376*(1/14151.6638359215)</f>
        <v>0.62830575594001292</v>
      </c>
      <c r="CX108" s="2">
        <f>8751.35953710964*(1/14151.6638359215)</f>
        <v>0.61839792398798077</v>
      </c>
      <c r="CY108" s="2">
        <f>8598.51079448158*(1/14151.6638359215)</f>
        <v>0.60759716272059683</v>
      </c>
      <c r="CZ108" s="2">
        <f>8434.45548012467*(1/14151.6638359215)</f>
        <v>0.59600451070038096</v>
      </c>
      <c r="DA108" s="2">
        <f>8260.62345781015*(1/14151.6638359215)</f>
        <v>0.58372100648985292</v>
      </c>
      <c r="DB108" s="2">
        <f>8078.44459130938*(1/14151.6638359215)</f>
        <v>0.57084768865154034</v>
      </c>
      <c r="DC108" s="2">
        <f>7889.34874439357*(1/14151.6638359215)</f>
        <v>0.55748559574796086</v>
      </c>
      <c r="DD108" s="2">
        <f>7694.76578083401*(1/14151.6638359215)</f>
        <v>0.54373576634163723</v>
      </c>
      <c r="DE108" s="2">
        <f>7494.96524412892*(1/14151.6638359215)</f>
        <v>0.52961724720341885</v>
      </c>
      <c r="DF108" s="2">
        <f>7279.85509032992*(1/14151.6638359215)</f>
        <v>0.51441690353407732</v>
      </c>
      <c r="DG108" s="2">
        <f>7049.41331476595*(1/14151.6638359215)</f>
        <v>0.49813318041602</v>
      </c>
      <c r="DH108" s="2">
        <f>6806.96437027806*(1/14151.6638359215)</f>
        <v>0.48100099389018719</v>
      </c>
      <c r="DI108" s="2">
        <f>6555.83270970742*(1/14151.6638359215)</f>
        <v>0.46325525999752737</v>
      </c>
      <c r="DJ108" s="2">
        <f>6299.3427858951*(1/14151.6638359215)</f>
        <v>0.44513089477898216</v>
      </c>
      <c r="DK108" s="2">
        <f>6040.81905168218*(1/14151.6638359215)</f>
        <v>0.42686281427549366</v>
      </c>
      <c r="DL108" s="2">
        <f>5783.58595990975*(1/14151.6638359215)</f>
        <v>0.408685934528005</v>
      </c>
      <c r="DM108" s="2">
        <f>5530.96796341886*(1/14151.6638359215)</f>
        <v>0.39083517157745606</v>
      </c>
      <c r="DN108" s="2">
        <f>5286.28951505069*(1/14151.6638359215)</f>
        <v>0.37354544146479635</v>
      </c>
      <c r="DO108" s="2">
        <f>5052.87506764629*(1/14151.6638359215)</f>
        <v>0.35705166023096579</v>
      </c>
      <c r="DP108" s="2">
        <f>4829.51448043016*(1/14151.6638359215)</f>
        <v>0.3412683156146834</v>
      </c>
      <c r="DQ108" s="2">
        <f>4608.94095156819*(1/14151.6638359215)</f>
        <v>0.32568191309556177</v>
      </c>
      <c r="DR108" s="2">
        <f>4391.27896115009*(1/14151.6638359215)</f>
        <v>0.31030124881878585</v>
      </c>
      <c r="DS108" s="2">
        <f>4176.87703945335*(1/14151.6638359215)</f>
        <v>0.29515095100344918</v>
      </c>
      <c r="DT108" s="2">
        <f>3966.08371675538*(1/14151.6638359215)</f>
        <v>0.28025564786863977</v>
      </c>
      <c r="DU108" s="2">
        <f>3759.24752333374*(1/14151.6638359215)</f>
        <v>0.26563996763345621</v>
      </c>
      <c r="DV108" s="2">
        <f>3556.71698946584*(1/14151.6638359215)</f>
        <v>0.25132853851698639</v>
      </c>
      <c r="DW108" s="2">
        <f>3358.84064542916*(1/14151.6638359215)</f>
        <v>0.23734598873832319</v>
      </c>
      <c r="DX108" s="2">
        <f>3165.96702150116*(1/14151.6638359215)</f>
        <v>0.22371694651655813</v>
      </c>
      <c r="DY108" s="2">
        <f>2978.44464795928*(1/14151.6638359215)</f>
        <v>0.21046604007078121</v>
      </c>
      <c r="DZ108" s="2">
        <f>2796.54744486374*(1/14151.6638359215)</f>
        <v>0.19761262543314506</v>
      </c>
      <c r="EA108" s="2">
        <f>2618.97746414421*(1/14151.6638359215)</f>
        <v>0.18506498560942342</v>
      </c>
      <c r="EB108" s="2">
        <f>2445.39415770951*(1/14151.6638359215)</f>
        <v>0.17279905642630577</v>
      </c>
      <c r="EC108" s="2">
        <f>2276.12665014017*(1/14151.6638359215)</f>
        <v>0.16083809483677985</v>
      </c>
      <c r="ED108" s="2">
        <f>2111.50406601674*(1/14151.6638359215)</f>
        <v>0.14920535779383481</v>
      </c>
      <c r="EE108" s="2">
        <f>1951.85552991972*(1/14151.6638359215)</f>
        <v>0.1379241022504562</v>
      </c>
      <c r="EF108" s="2">
        <f>1797.51016642972*(1/14151.6638359215)</f>
        <v>0.1270175851596374</v>
      </c>
      <c r="EG108" s="2">
        <f>1648.79710012725*(1/14151.6638359215)</f>
        <v>0.11650906347436474</v>
      </c>
      <c r="EH108" s="2">
        <f>1506.04545559284*(1/14151.6638359215)</f>
        <v>0.10642179414762591</v>
      </c>
      <c r="EI108" s="2">
        <f>1369.58435740704*(1/14151.6638359215)</f>
        <v>9.6779034132410069E-2</v>
      </c>
      <c r="EJ108" s="2">
        <f>1239.74293015035*(1/14151.6638359215)</f>
        <v>8.7604040381702789E-2</v>
      </c>
      <c r="EK108" s="2">
        <f>1116.32843247126*(1/14151.6638359215)</f>
        <v>7.8883193200057322E-2</v>
      </c>
      <c r="EL108" s="2">
        <f>998.075684316498*(1/14151.6638359215)</f>
        <v>7.0527091081902263E-2</v>
      </c>
      <c r="EM108" s="2">
        <f>885.17330433037*(1/14151.6638359215)</f>
        <v>6.2549062399540181E-2</v>
      </c>
      <c r="EN108" s="2">
        <f>777.917193955685*(1/14151.6638359215)</f>
        <v>5.4970016457081147E-2</v>
      </c>
      <c r="EO108" s="2">
        <f>676.603254635254*(1/14151.6638359215)</f>
        <v>4.7810862558635411E-2</v>
      </c>
      <c r="EP108" s="2">
        <f>581.527387811889*(1/14151.6638359215)</f>
        <v>4.1092510008313252E-2</v>
      </c>
      <c r="EQ108" s="2">
        <f>492.985494928387*(1/14151.6638359215)</f>
        <v>3.4835868110223933E-2</v>
      </c>
      <c r="ER108" s="2">
        <f>411.273477427591*(1/14151.6638359215)</f>
        <v>2.9061846168479913E-2</v>
      </c>
      <c r="ES108" s="2">
        <f>336.687236752297*(1/14151.6638359215)</f>
        <v>2.3791353487190383E-2</v>
      </c>
      <c r="ET108" s="2">
        <f>269.522674345317*(1/14151.6638359215)</f>
        <v>1.9045299370465632E-2</v>
      </c>
      <c r="EU108" s="2">
        <f>210.106489985519*(1/14151.6638359215)</f>
        <v>1.4846769427365904E-2</v>
      </c>
      <c r="EV108" s="2">
        <f>160.771517054369*(1/14151.6638359215)</f>
        <v>1.1360608824404018E-2</v>
      </c>
      <c r="EW108" s="2">
        <f>121.811808526974*(1/14151.6638359215)</f>
        <v>8.6075962472890455E-3</v>
      </c>
      <c r="EX108" s="2">
        <f>91.7912918078208*(1/14151.6638359215)</f>
        <v>6.4862543989226773E-3</v>
      </c>
      <c r="EY108" s="2">
        <f>69.2738943014063*(1/14151.6638359215)</f>
        <v>4.8951059822073184E-3</v>
      </c>
      <c r="EZ108" s="2">
        <f>52.8235434122275*(1/14151.6638359215)</f>
        <v>3.7326737000453803E-3</v>
      </c>
      <c r="FA108" s="2">
        <f>41.0041665447814*(1/14151.6638359215)</f>
        <v>2.8974802553392741E-3</v>
      </c>
      <c r="FB108" s="2">
        <f>32.3796911035636*(1/14151.6638359215)</f>
        <v>2.2880483509913141E-3</v>
      </c>
      <c r="FC108" s="2">
        <f>25.514044493074*(1/14151.6638359215)</f>
        <v>1.8029006899041159E-3</v>
      </c>
      <c r="FD108" s="2">
        <f>18.9711541178079*(1/14151.6638359215)</f>
        <v>1.3405599749799718E-3</v>
      </c>
      <c r="FE108" s="2">
        <f>11.3149473822621*(1/14151.6638359215)</f>
        <v>7.9954890912127975E-4</v>
      </c>
      <c r="FF108" s="2">
        <f>1.95185228834388*(1/14151.6638359215)</f>
        <v>1.379238731907585E-4</v>
      </c>
      <c r="FG108" s="2">
        <f>-5.9965899020755*(1/14151.6638359215)</f>
        <v>-4.2373744681909522E-4</v>
      </c>
      <c r="FH108" s="2">
        <f>-12.0665305454747*(1/14151.6638359215)</f>
        <v>-8.526580821433833E-4</v>
      </c>
      <c r="FI108" s="2">
        <f>-16.2579696418554*(1/14151.6638359215)</f>
        <v>-1.1488380327822241E-3</v>
      </c>
      <c r="FJ108" s="2">
        <f>-18.5709071912176*(1/14151.6638359215)</f>
        <v>-1.312277298735618E-3</v>
      </c>
      <c r="FK108" s="2">
        <f>-19.0053431935612*(1/14151.6638359215)</f>
        <v>-1.3429758800035578E-3</v>
      </c>
      <c r="FL108" s="2">
        <f>-17.5612776488864*(1/14151.6638359215)</f>
        <v>-1.2409337765860574E-3</v>
      </c>
      <c r="FM108" s="2">
        <f>-14.2387105571922*(1/14151.6638359215)</f>
        <v>-1.0061509884830466E-3</v>
      </c>
      <c r="FN108" s="2">
        <f>-9.03764191847999*(1/14151.6638359215)</f>
        <v>-6.386275156946233E-4</v>
      </c>
      <c r="FO108" s="2">
        <f>-1.95807173274924*(1/14151.6638359215)</f>
        <v>-1.3836335822075004E-4</v>
      </c>
      <c r="FP108" s="2">
        <f t="shared" si="19"/>
        <v>4.9464148393856954E-4</v>
      </c>
      <c r="FQ108" s="2"/>
    </row>
    <row r="109" spans="2:173">
      <c r="B109" s="2">
        <v>10.303550295857988</v>
      </c>
      <c r="C109" s="2">
        <f t="shared" si="18"/>
        <v>4.9464148393856954E-4</v>
      </c>
      <c r="D109" s="2">
        <f>-0.710613916550622*(1/14151.6638359215)</f>
        <v>-5.0214160312856927E-5</v>
      </c>
      <c r="E109" s="2">
        <f>-6.8088446993799*(1/14151.6638359215)</f>
        <v>-4.8113386371550533E-4</v>
      </c>
      <c r="F109" s="2">
        <f>-11.2946923484885*(1/14151.6638359215)</f>
        <v>-7.981176262694227E-4</v>
      </c>
      <c r="G109" s="2">
        <f>-14.1681568638748*(1/14151.6638359215)</f>
        <v>-1.0011654479744946E-3</v>
      </c>
      <c r="H109" s="2">
        <f>-15.4292382455398*(1/14151.6638359215)</f>
        <v>-1.0902773288307911E-3</v>
      </c>
      <c r="I109" s="2">
        <f>-15.0779364934834*(1/14151.6638359215)</f>
        <v>-1.0654532688383058E-3</v>
      </c>
      <c r="J109" s="2">
        <f>-13.1142516077056*(1/14151.6638359215)</f>
        <v>-9.2669326799703854E-4</v>
      </c>
      <c r="K109" s="2">
        <f>-9.53818358820659*(1/14151.6638359215)</f>
        <v>-6.7399732630700243E-4</v>
      </c>
      <c r="L109" s="2">
        <f>-4.34973243498504*(1/14151.6638359215)</f>
        <v>-3.0736544376810401E-4</v>
      </c>
      <c r="M109" s="2">
        <f>2.45110185195702*(1/14151.6638359215)</f>
        <v>1.7320237961951376E-4</v>
      </c>
      <c r="N109" s="2">
        <f>10.279277451259*(1/14151.6638359215)</f>
        <v>7.2636529318671848E-4</v>
      </c>
      <c r="O109" s="2">
        <f>15.1976648470335*(1/14151.6638359215)</f>
        <v>1.0739136417625263E-3</v>
      </c>
      <c r="P109" s="2">
        <f>17.9549229988909*(1/14151.6638359215)</f>
        <v>1.2687499651677352E-3</v>
      </c>
      <c r="Q109" s="2">
        <f>20.3623378480977*(1/14151.6638359215)</f>
        <v>1.4388652870916492E-3</v>
      </c>
      <c r="R109" s="2">
        <f>24.2311953359213*(1/14151.6638359215)</f>
        <v>1.7122506312236367E-3</v>
      </c>
      <c r="S109" s="2">
        <f>31.3727814036267*(1/14151.6638359215)</f>
        <v>2.2168970212528955E-3</v>
      </c>
      <c r="T109" s="2">
        <f>43.598381992481*(1/14151.6638359215)</f>
        <v>3.0807954808687731E-3</v>
      </c>
      <c r="U109" s="2">
        <f>62.7192830437506*(1/14151.6638359215)</f>
        <v>4.4319370337605659E-3</v>
      </c>
      <c r="V109" s="2">
        <f>90.5467704987017*(1/14151.6638359215)</f>
        <v>6.3983127036175572E-3</v>
      </c>
      <c r="W109" s="2">
        <f>128.892130298601*(1/14151.6638359215)</f>
        <v>9.1079135141290644E-3</v>
      </c>
      <c r="X109" s="2">
        <f>179.566648384725*(1/14151.6638359215)</f>
        <v>1.2688730488985103E-2</v>
      </c>
      <c r="Y109" s="2">
        <f>241.618798193996*(1/14151.6638359215)</f>
        <v>1.7073525840875993E-2</v>
      </c>
      <c r="Z109" s="2">
        <f>311.457161959818*(1/14151.6638359215)</f>
        <v>2.2008518967871395E-2</v>
      </c>
      <c r="AA109" s="2">
        <f>389.126321537752*(1/14151.6638359215)</f>
        <v>2.7496860160712944E-2</v>
      </c>
      <c r="AB109" s="2">
        <f>474.722777124144*(1/14151.6638359215)</f>
        <v>3.3545368419446484E-2</v>
      </c>
      <c r="AC109" s="2">
        <f>568.343028915338*(1/14151.6638359215)</f>
        <v>4.0160862744117731E-2</v>
      </c>
      <c r="AD109" s="2">
        <f>670.0835771077*(1/14151.6638359215)</f>
        <v>4.7350162134773943E-2</v>
      </c>
      <c r="AE109" s="2">
        <f>780.040921897534*(1/14151.6638359215)</f>
        <v>5.5120085591458007E-2</v>
      </c>
      <c r="AF109" s="2">
        <f>898.311563481205*(1/14151.6638359215)</f>
        <v>6.3477452114217112E-2</v>
      </c>
      <c r="AG109" s="2">
        <f>1024.99200205506*(1/14151.6638359215)</f>
        <v>7.2429080703097184E-2</v>
      </c>
      <c r="AH109" s="2">
        <f>1160.17873781543*(1/14151.6638359215)</f>
        <v>8.1981790358142986E-2</v>
      </c>
      <c r="AI109" s="2">
        <f>1304.28620304779*(1/14151.6638359215)</f>
        <v>9.216486613659447E-2</v>
      </c>
      <c r="AJ109" s="2">
        <f>1461.46116874258*(1/14151.6638359215)</f>
        <v>0.10327133160363228</v>
      </c>
      <c r="AK109" s="2">
        <f>1631.40010370698*(1/14151.6638359215)</f>
        <v>0.11527973831359384</v>
      </c>
      <c r="AL109" s="2">
        <f>1812.09489211771*(1/14151.6638359215)</f>
        <v>0.12804818663922946</v>
      </c>
      <c r="AM109" s="2">
        <f>2001.53741815152*(1/14151.6638359215)</f>
        <v>0.14143477695329157</v>
      </c>
      <c r="AN109" s="2">
        <f>2197.71956598514*(1/14151.6638359215)</f>
        <v>0.15529760962853123</v>
      </c>
      <c r="AO109" s="2">
        <f>2398.6332197953*(1/14151.6638359215)</f>
        <v>0.16949478503769949</v>
      </c>
      <c r="AP109" s="2">
        <f>2602.27026375877*(1/14151.6638359215)</f>
        <v>0.1838844035535501</v>
      </c>
      <c r="AQ109" s="2">
        <f>2806.62258205222*(1/14151.6638359215)</f>
        <v>0.19832456554882996</v>
      </c>
      <c r="AR109" s="2">
        <f>3009.68205885242*(1/14151.6638359215)</f>
        <v>0.21267337139629292</v>
      </c>
      <c r="AS109" s="2">
        <f>3209.4405783361*(1/14151.6638359215)</f>
        <v>0.2267889214686899</v>
      </c>
      <c r="AT109" s="2">
        <f>3406.82301730981*(1/14151.6638359215)</f>
        <v>0.24073657039974278</v>
      </c>
      <c r="AU109" s="2">
        <f>3607.57006862616*(1/14151.6638359215)</f>
        <v>0.25492197316537296</v>
      </c>
      <c r="AV109" s="2">
        <f>3811.12258122456*(1/14151.6638359215)</f>
        <v>0.26930561843552969</v>
      </c>
      <c r="AW109" s="2">
        <f>4016.6073378345*(1/14151.6638359215)</f>
        <v>0.28382580199785779</v>
      </c>
      <c r="AX109" s="2">
        <f>4223.15112118542*(1/14151.6638359215)</f>
        <v>0.29842081963999861</v>
      </c>
      <c r="AY109" s="2">
        <f>4429.88071400675*(1/14151.6638359215)</f>
        <v>0.31302896714959272</v>
      </c>
      <c r="AZ109" s="2">
        <f>4635.92289902795*(1/14151.6638359215)</f>
        <v>0.32758854031428292</v>
      </c>
      <c r="BA109" s="2">
        <f>4840.40445897848*(1/14151.6638359215)</f>
        <v>0.34203783492171203</v>
      </c>
      <c r="BB109" s="2">
        <f>5042.45217658771*(1/14151.6638359215)</f>
        <v>0.35631514675951637</v>
      </c>
      <c r="BC109" s="2">
        <f>5241.19283458513*(1/14151.6638359215)</f>
        <v>0.37035877161534092</v>
      </c>
      <c r="BD109" s="2">
        <f>5435.88199824155*(1/14151.6638359215)</f>
        <v>0.38411610544645097</v>
      </c>
      <c r="BE109" s="2">
        <f>5630.34569879429*(1/14151.6638359215)</f>
        <v>0.39785750736267855</v>
      </c>
      <c r="BF109" s="2">
        <f>5825.82597698455*(1/14151.6638359215)</f>
        <v>0.41167074377478635</v>
      </c>
      <c r="BG109" s="2">
        <f>6021.10916520717*(1/14151.6638359215)</f>
        <v>0.42547005320488518</v>
      </c>
      <c r="BH109" s="2">
        <f>6214.98159585688*(1/14151.6638359215)</f>
        <v>0.43916967417507802</v>
      </c>
      <c r="BI109" s="2">
        <f>6406.22960132851*(1/14151.6638359215)</f>
        <v>0.45268384520747501</v>
      </c>
      <c r="BJ109" s="2">
        <f>6593.63951401685*(1/14151.6638359215)</f>
        <v>0.4659268048241833</v>
      </c>
      <c r="BK109" s="2">
        <f>6775.9976663167*(1/14151.6638359215)</f>
        <v>0.47881279154731093</v>
      </c>
      <c r="BL109" s="2">
        <f>6952.09039062286*(1/14151.6638359215)</f>
        <v>0.49125604389896582</v>
      </c>
      <c r="BM109" s="2">
        <f>7120.70401933014*(1/14151.6638359215)</f>
        <v>0.50317080040125672</v>
      </c>
      <c r="BN109" s="2">
        <f>7280.6248848333*(1/14151.6638359215)</f>
        <v>0.51447129957628868</v>
      </c>
      <c r="BO109" s="2">
        <f>7431.63776860115*(1/14151.6638359215)</f>
        <v>0.52514233342211325</v>
      </c>
      <c r="BP109" s="2">
        <f>7576.7394427771*(1/14151.6638359215)</f>
        <v>0.53539566305587927</v>
      </c>
      <c r="BQ109" s="2">
        <f>7716.08811758442*(1/14151.6638359215)</f>
        <v>0.54524246809753163</v>
      </c>
      <c r="BR109" s="2">
        <f>7849.50686004769*(1/14151.6638359215)</f>
        <v>0.55467024591999581</v>
      </c>
      <c r="BS109" s="2">
        <f>7976.81873719138*(1/14151.6638359215)</f>
        <v>0.56366649389619006</v>
      </c>
      <c r="BT109" s="2">
        <f>8097.84681604007*(1/14151.6638359215)</f>
        <v>0.57221870939904007</v>
      </c>
      <c r="BU109" s="2">
        <f>8212.41416361827*(1/14151.6638359215)</f>
        <v>0.58031438980146677</v>
      </c>
      <c r="BV109" s="2">
        <f>8320.34384695054*(1/14151.6638359215)</f>
        <v>0.58794103247639451</v>
      </c>
      <c r="BW109" s="2">
        <f>8421.45893306141*(1/14151.6638359215)</f>
        <v>0.59508613479674555</v>
      </c>
      <c r="BX109" s="2">
        <f>8515.58248897541*(1/14151.6638359215)</f>
        <v>0.60173719413544202</v>
      </c>
      <c r="BY109" s="2">
        <f>8602.53711702625*(1/14151.6638359215)</f>
        <v>0.60788167502892687</v>
      </c>
      <c r="BZ109" s="2">
        <f>8682.09274927581*(1/14151.6638359215)</f>
        <v>0.61350332017058307</v>
      </c>
      <c r="CA109" s="2">
        <f>8754.32974519575*(1/14151.6638359215)</f>
        <v>0.61860780800731219</v>
      </c>
      <c r="CB109" s="2">
        <f>8819.49512173951*(1/14151.6638359215)</f>
        <v>0.62321259351517233</v>
      </c>
      <c r="CC109" s="2">
        <f>8877.83589586055*(1/14151.6638359215)</f>
        <v>0.62733513167022315</v>
      </c>
      <c r="CD109" s="2">
        <f>8929.59908451235*(1/14151.6638359215)</f>
        <v>0.63099287744852595</v>
      </c>
      <c r="CE109" s="2">
        <f>8975.03170464833*(1/14151.6638359215)</f>
        <v>0.63420328582613705</v>
      </c>
      <c r="CF109" s="2">
        <f>9014.38077322197*(1/14151.6638359215)</f>
        <v>0.63698381177911789</v>
      </c>
      <c r="CG109" s="2">
        <f>9047.89330718672*(1/14151.6638359215)</f>
        <v>0.63935191028352722</v>
      </c>
      <c r="CH109" s="2">
        <f>9075.81632349603*(1/14151.6638359215)</f>
        <v>0.64132503631542415</v>
      </c>
      <c r="CI109" s="2">
        <f>9098.39683910336*(1/14151.6638359215)</f>
        <v>0.64292064485086808</v>
      </c>
      <c r="CJ109" s="2">
        <f>9116.60249559411*(1/14151.6638359215)</f>
        <v>0.64420711241410533</v>
      </c>
      <c r="CK109" s="2">
        <f>9134.16505556515*(1/14151.6638359215)</f>
        <v>0.64544813680351032</v>
      </c>
      <c r="CL109" s="2">
        <f>9149.90804400111*(1/14151.6638359215)</f>
        <v>0.64656058468373756</v>
      </c>
      <c r="CM109" s="2">
        <f>9161.84113879378*(1/14151.6638359215)</f>
        <v>0.6474038137860556</v>
      </c>
      <c r="CN109" s="2">
        <f>9167.97401783495*(1/14151.6638359215)</f>
        <v>0.64783718184173267</v>
      </c>
      <c r="CO109" s="2">
        <f>9166.31635901641*(1/14151.6638359215)</f>
        <v>0.64772004658203752</v>
      </c>
      <c r="CP109" s="2">
        <f>9154.87784022996*(1/14151.6638359215)</f>
        <v>0.64691176573823916</v>
      </c>
      <c r="CQ109" s="2">
        <f>9131.66813936736*(1/14151.6638359215)</f>
        <v>0.64527169704160392</v>
      </c>
      <c r="CR109" s="2">
        <f>9094.69693432043*(1/14151.6638359215)</f>
        <v>0.64265919822340234</v>
      </c>
      <c r="CS109" s="2">
        <f>9041.97390298095*(1/14151.6638359215)</f>
        <v>0.63893362701490231</v>
      </c>
      <c r="CT109" s="2">
        <f>8971.50872324071*(1/14151.6638359215)</f>
        <v>0.63395434114737226</v>
      </c>
      <c r="CU109" s="2">
        <f>8882.87615394247*(1/14151.6638359215)</f>
        <v>0.62769129177551952</v>
      </c>
      <c r="CV109" s="2">
        <f>8778.11383207402*(1/14151.6638359215)</f>
        <v>0.62028846458268228</v>
      </c>
      <c r="CW109" s="2">
        <f>8658.49458376303*(1/14151.6638359215)</f>
        <v>0.61183580136951599</v>
      </c>
      <c r="CX109" s="2">
        <f>8525.28640051966*(1/14151.6638359215)</f>
        <v>0.60242290230776441</v>
      </c>
      <c r="CY109" s="2">
        <f>8379.75727385415*(1/14151.6638359215)</f>
        <v>0.59213936756917696</v>
      </c>
      <c r="CZ109" s="2">
        <f>8223.17519527668*(1/14151.6638359215)</f>
        <v>0.58107479732549916</v>
      </c>
      <c r="DA109" s="2">
        <f>8056.80815629743*(1/14151.6638359215)</f>
        <v>0.56931879174847588</v>
      </c>
      <c r="DB109" s="2">
        <f>7881.92414842668*(1/14151.6638359215)</f>
        <v>0.55696095100985987</v>
      </c>
      <c r="DC109" s="2">
        <f>7699.79116317461*(1/14151.6638359215)</f>
        <v>0.54409087528139621</v>
      </c>
      <c r="DD109" s="2">
        <f>7511.67719205141*(1/14151.6638359215)</f>
        <v>0.53079816473483099</v>
      </c>
      <c r="DE109" s="2">
        <f>7317.73028654452*(1/14151.6638359215)</f>
        <v>0.5170932811426564</v>
      </c>
      <c r="DF109" s="2">
        <f>7108.17075824293*(1/14151.6638359215)</f>
        <v>0.50228516170657567</v>
      </c>
      <c r="DG109" s="2">
        <f>6883.08259830243*(1/14151.6638359215)</f>
        <v>0.48637974149943697</v>
      </c>
      <c r="DH109" s="2">
        <f>6645.79493069798*(1/14151.6638359215)</f>
        <v>0.46961226663883882</v>
      </c>
      <c r="DI109" s="2">
        <f>6399.63687940465*(1/14151.6638359215)</f>
        <v>0.45221798324238754</v>
      </c>
      <c r="DJ109" s="2">
        <f>6147.93756839742*(1/14151.6638359215)</f>
        <v>0.434432137427683</v>
      </c>
      <c r="DK109" s="2">
        <f>5894.02612165128*(1/14151.6638359215)</f>
        <v>0.41648997531232584</v>
      </c>
      <c r="DL109" s="2">
        <f>5641.23166314122*(1/14151.6638359215)</f>
        <v>0.39862674301391687</v>
      </c>
      <c r="DM109" s="2">
        <f>5392.8833168422*(1/14151.6638359215)</f>
        <v>0.38107768665005437</v>
      </c>
      <c r="DN109" s="2">
        <f>5152.31020672932*(1/14151.6638359215)</f>
        <v>0.364078052338347</v>
      </c>
      <c r="DO109" s="2">
        <f>4922.84145677752*(1/14151.6638359215)</f>
        <v>0.34786308619639172</v>
      </c>
      <c r="DP109" s="2">
        <f>4703.18094022912*(1/14151.6638359215)</f>
        <v>0.33234119992950412</v>
      </c>
      <c r="DQ109" s="2">
        <f>4485.92808723996*(1/14151.6638359215)</f>
        <v>0.31698944655915468</v>
      </c>
      <c r="DR109" s="2">
        <f>4271.28117325546*(1/14151.6638359215)</f>
        <v>0.30182183683685077</v>
      </c>
      <c r="DS109" s="2">
        <f>4059.66778766962*(1/14151.6638359215)</f>
        <v>0.28686858554150152</v>
      </c>
      <c r="DT109" s="2">
        <f>3851.51551987642*(1/14151.6638359215)</f>
        <v>0.27215990745201479</v>
      </c>
      <c r="DU109" s="2">
        <f>3647.25195926994*(1/14151.6638359215)</f>
        <v>0.25772601734730549</v>
      </c>
      <c r="DV109" s="2">
        <f>3447.30469524414*(1/14151.6638359215)</f>
        <v>0.24359713000627994</v>
      </c>
      <c r="DW109" s="2">
        <f>3252.10131719304*(1/14151.6638359215)</f>
        <v>0.22980346020784884</v>
      </c>
      <c r="DX109" s="2">
        <f>3062.06941451064*(1/14151.6638359215)</f>
        <v>0.21637522273092138</v>
      </c>
      <c r="DY109" s="2">
        <f>2877.63657659091*(1/14151.6638359215)</f>
        <v>0.2033426323544047</v>
      </c>
      <c r="DZ109" s="2">
        <f>2699.15099072267*(1/14151.6638359215)</f>
        <v>0.19073029306076025</v>
      </c>
      <c r="EA109" s="2">
        <f>2525.2577882709*(1/14151.6638359215)</f>
        <v>0.17844246567396402</v>
      </c>
      <c r="EB109" s="2">
        <f>2355.54601092026*(1/14151.6638359215)</f>
        <v>0.16645011061816792</v>
      </c>
      <c r="EC109" s="2">
        <f>2190.30649908603*(1/14151.6638359215)</f>
        <v>0.15477377956974384</v>
      </c>
      <c r="ED109" s="2">
        <f>2029.83009318349*(1/14151.6638359215)</f>
        <v>0.14343402420506376</v>
      </c>
      <c r="EE109" s="2">
        <f>1874.40763362787*(1/14151.6638359215)</f>
        <v>0.13245139620049604</v>
      </c>
      <c r="EF109" s="2">
        <f>1724.32996083452*(1/14151.6638359215)</f>
        <v>0.1218464472324175</v>
      </c>
      <c r="EG109" s="2">
        <f>1579.88791521867*(1/14151.6638359215)</f>
        <v>0.11163972897719655</v>
      </c>
      <c r="EH109" s="2">
        <f>1441.37233719561*(1/14151.6638359215)</f>
        <v>0.10185179311120583</v>
      </c>
      <c r="EI109" s="2">
        <f>1309.0740671806*(1/14151.6638359215)</f>
        <v>9.2503191310815802E-2</v>
      </c>
      <c r="EJ109" s="2">
        <f>1183.2839455889*(1/14151.6638359215)</f>
        <v>8.3614475252397014E-2</v>
      </c>
      <c r="EK109" s="2">
        <f>1063.84891644272*(1/14151.6638359215)</f>
        <v>7.5174829530809478E-2</v>
      </c>
      <c r="EL109" s="2">
        <f>949.69265766342*(1/14151.6638359215)</f>
        <v>6.7108197924599711E-2</v>
      </c>
      <c r="EM109" s="2">
        <f>840.963581444813*(1/14151.6638359215)</f>
        <v>5.9425067694879485E-2</v>
      </c>
      <c r="EN109" s="2">
        <f>737.900975029939*(1/14151.6638359215)</f>
        <v>5.2142347612646626E-2</v>
      </c>
      <c r="EO109" s="2">
        <f>640.744125661839*(1/14151.6638359215)</f>
        <v>4.5276946448899048E-2</v>
      </c>
      <c r="EP109" s="2">
        <f>549.732320583553*(1/14151.6638359215)</f>
        <v>3.8845772974634589E-2</v>
      </c>
      <c r="EQ109" s="2">
        <f>465.104847038106*(1/14151.6638359215)</f>
        <v>3.2865735960850025E-2</v>
      </c>
      <c r="ER109" s="2">
        <f>387.10099226857*(1/14151.6638359215)</f>
        <v>2.7353744178545459E-2</v>
      </c>
      <c r="ES109" s="2">
        <f>315.96004351797*(1/14151.6638359215)</f>
        <v>2.2326706398717672E-2</v>
      </c>
      <c r="ET109" s="2">
        <f>251.921288029346*(1/14151.6638359215)</f>
        <v>1.7801531392364501E-2</v>
      </c>
      <c r="EU109" s="2">
        <f>195.255638370271*(1/14151.6638359215)</f>
        <v>1.3797362672977648E-2</v>
      </c>
      <c r="EV109" s="2">
        <f>148.321571149669*(1/14151.6638359215)</f>
        <v>1.0480857436224629E-2</v>
      </c>
      <c r="EW109" s="2">
        <f>111.470467692333*(1/14151.6638359215)</f>
        <v>7.8768453649517099E-3</v>
      </c>
      <c r="EX109" s="2">
        <f>83.2938003785865*(1/14151.6638359215)</f>
        <v>5.8857955745924301E-3</v>
      </c>
      <c r="EY109" s="2">
        <f>62.3830415887631*(1/14151.6638359215)</f>
        <v>4.4081771805810398E-3</v>
      </c>
      <c r="EZ109" s="2">
        <f>47.3296637031959*(1/14151.6638359215)</f>
        <v>3.3444592983517532E-3</v>
      </c>
      <c r="FA109" s="2">
        <f>36.7251391022182*(1/14151.6638359215)</f>
        <v>2.5951110433387993E-3</v>
      </c>
      <c r="FB109" s="2">
        <f>29.1609401661621*(1/14151.6638359215)</f>
        <v>2.0606015309763224E-3</v>
      </c>
      <c r="FC109" s="2">
        <f>23.2285392753636*(1/14151.6638359215)</f>
        <v>1.6413998766987424E-3</v>
      </c>
      <c r="FD109" s="2">
        <f>17.5194088101542*(1/14151.6638359215)</f>
        <v>1.2379751959401605E-3</v>
      </c>
      <c r="FE109" s="2">
        <f>10.6250211508672*(1/14151.6638359215)</f>
        <v>7.5079660413480574E-4</v>
      </c>
      <c r="FF109" s="2">
        <f>1.96318946642431*(1/14151.6638359215)</f>
        <v>1.3872499298924132E-4</v>
      </c>
      <c r="FG109" s="2">
        <f>-5.40441854124689*(1/14151.6638359215)</f>
        <v>-3.8189280100964012E-4</v>
      </c>
      <c r="FH109" s="2">
        <f>-11.0228512020216*(1/14151.6638359215)</f>
        <v>-7.789084965431442E-4</v>
      </c>
      <c r="FI109" s="2">
        <f>-14.8921085159014*(1/14151.6638359215)</f>
        <v>-1.0523220936113824E-3</v>
      </c>
      <c r="FJ109" s="2">
        <f>-17.0121904828863*(1/14151.6638359215)</f>
        <v>-1.2021335922143557E-3</v>
      </c>
      <c r="FK109" s="2">
        <f>-17.3830971029762*(1/14151.6638359215)</f>
        <v>-1.2283429923520568E-3</v>
      </c>
      <c r="FL109" s="2">
        <f>-16.0048283761712*(1/14151.6638359215)</f>
        <v>-1.1309502940244928E-3</v>
      </c>
      <c r="FM109" s="2">
        <f>-12.8773843024705*(1/14151.6638359215)</f>
        <v>-9.0995549723160707E-4</v>
      </c>
      <c r="FN109" s="2">
        <f>-8.00076488187524*(1/14151.6638359215)</f>
        <v>-5.6535860197348036E-4</v>
      </c>
      <c r="FO109" s="2">
        <f>-1.37497011438507*(1/14151.6638359215)</f>
        <v>-9.7159608250087974E-5</v>
      </c>
      <c r="FP109" s="2">
        <f t="shared" si="19"/>
        <v>4.9464148393856954E-4</v>
      </c>
      <c r="FQ109" s="2"/>
    </row>
    <row r="110" spans="2:173">
      <c r="B110" s="2">
        <v>10.31301775147929</v>
      </c>
      <c r="C110" s="2">
        <f t="shared" ref="C110:M141" si="20">7*(1/14151.6638359215)</f>
        <v>4.9464148393856954E-4</v>
      </c>
      <c r="D110" s="2">
        <f>0.211209041849361*(1/14151.6638359215)</f>
        <v>1.4924679125944481E-5</v>
      </c>
      <c r="E110" s="2">
        <f>-5.15858167887044*(1/14151.6638359215)</f>
        <v>-3.6452121380782737E-4</v>
      </c>
      <c r="F110" s="2">
        <f>-9.10937216216001*(1/14151.6638359215)</f>
        <v>-6.4369619486278902E-4</v>
      </c>
      <c r="G110" s="2">
        <f>-11.6411624080179*(1/14151.6638359215)</f>
        <v>-8.2260026403883793E-4</v>
      </c>
      <c r="H110" s="2">
        <f>-12.7539524164449*(1/14151.6638359215)</f>
        <v>-9.0123342133603007E-4</v>
      </c>
      <c r="I110" s="2">
        <f>-12.447742187441*(1/14151.6638359215)</f>
        <v>-8.7959566675436455E-4</v>
      </c>
      <c r="J110" s="2">
        <f>-10.7225317210064*(1/14151.6638359215)</f>
        <v>-7.576870002938556E-4</v>
      </c>
      <c r="K110" s="2">
        <f>-7.57832101714088*(1/14151.6638359215)</f>
        <v>-5.355074219544878E-4</v>
      </c>
      <c r="L110" s="2">
        <f>-3.01511007584355*(1/14151.6638359215)</f>
        <v>-2.1305693173619808E-4</v>
      </c>
      <c r="M110" s="2">
        <f>2.96710110288391*(1/14151.6638359215)</f>
        <v>2.096644703608948E-4</v>
      </c>
      <c r="N110" s="2">
        <f>9.79752607001775*(1/14151.6638359215)</f>
        <v>6.9232326202862873E-4</v>
      </c>
      <c r="O110" s="2">
        <f>13.6349690448983*(1/14151.6638359215)</f>
        <v>9.6348876026070799E-4</v>
      </c>
      <c r="P110" s="2">
        <f>15.2098468515605*(1/14151.6638359215)</f>
        <v>1.0747744595906094E-3</v>
      </c>
      <c r="Q110" s="2">
        <f>16.2893108847161*(1/14151.6638359215)</f>
        <v>1.1510527011932379E-3</v>
      </c>
      <c r="R110" s="2">
        <f>18.6405125390772*(1/14151.6638359215)</f>
        <v>1.3171958262435228E-3</v>
      </c>
      <c r="S110" s="2">
        <f>24.0306032093546*(1/14151.6638359215)</f>
        <v>1.6980761759163015E-3</v>
      </c>
      <c r="T110" s="2">
        <f>34.2267342902603*(1/14151.6638359215)</f>
        <v>2.4185660913864969E-3</v>
      </c>
      <c r="U110" s="2">
        <f>50.9960571765058*(1/14151.6638359215)</f>
        <v>3.6035379138289955E-3</v>
      </c>
      <c r="V110" s="2">
        <f>76.1057232628026*(1/14151.6638359215)</f>
        <v>5.3778639844186847E-3</v>
      </c>
      <c r="W110" s="2">
        <f>111.322883943862*(1/14151.6638359215)</f>
        <v>7.8664166443304373E-3</v>
      </c>
      <c r="X110" s="2">
        <f>158.414690614406*(1/14151.6638359215)</f>
        <v>1.1194068234739882E-2</v>
      </c>
      <c r="Y110" s="2">
        <f>216.247252815903*(1/14151.6638359215)</f>
        <v>1.5280694575785325E-2</v>
      </c>
      <c r="Z110" s="2">
        <f>281.086891516313*(1/14151.6638359215)</f>
        <v>1.9862462447901255E-2</v>
      </c>
      <c r="AA110" s="2">
        <f>353.138754054773*(1/14151.6638359215)</f>
        <v>2.4953868191695781E-2</v>
      </c>
      <c r="AB110" s="2">
        <f>432.663268948709*(1/14151.6638359215)</f>
        <v>3.0573314485500262E-2</v>
      </c>
      <c r="AC110" s="2">
        <f>519.920864715543*(1/14151.6638359215)</f>
        <v>3.6739204007645777E-2</v>
      </c>
      <c r="AD110" s="2">
        <f>615.171969872719*(1/14151.6638359215)</f>
        <v>4.3469939436464967E-2</v>
      </c>
      <c r="AE110" s="2">
        <f>718.677012937626*(1/14151.6638359215)</f>
        <v>5.078392345028656E-2</v>
      </c>
      <c r="AF110" s="2">
        <f>830.696422427704*(1/14151.6638359215)</f>
        <v>5.8699558727442903E-2</v>
      </c>
      <c r="AG110" s="2">
        <f>951.490626860377*(1/14151.6638359215)</f>
        <v>6.7235247946265231E-2</v>
      </c>
      <c r="AH110" s="2">
        <f>1081.32005475307*(1/14151.6638359215)</f>
        <v>7.6409393785084836E-2</v>
      </c>
      <c r="AI110" s="2">
        <f>1220.739203891*(1/14151.6638359215)</f>
        <v>8.6261178759233184E-2</v>
      </c>
      <c r="AJ110" s="2">
        <f>1373.65348866059*(1/14151.6638359215)</f>
        <v>9.7066571435495325E-2</v>
      </c>
      <c r="AK110" s="2">
        <f>1539.62834186332*(1/14151.6638359215)</f>
        <v>0.10879486396187883</v>
      </c>
      <c r="AL110" s="2">
        <f>1716.62476096858*(1/14151.6638359215)</f>
        <v>0.12130197416159866</v>
      </c>
      <c r="AM110" s="2">
        <f>1902.60374344579*(1/14151.6638359215)</f>
        <v>0.13444381985787188</v>
      </c>
      <c r="AN110" s="2">
        <f>2095.52628676436*(1/14151.6638359215)</f>
        <v>0.14807631887391479</v>
      </c>
      <c r="AO110" s="2">
        <f>2293.35338839369*(1/14151.6638359215)</f>
        <v>0.16205538903294306</v>
      </c>
      <c r="AP110" s="2">
        <f>2494.04604580324*(1/14151.6638359215)</f>
        <v>0.17623694815817659</v>
      </c>
      <c r="AQ110" s="2">
        <f>2695.56525646233*(1/14151.6638359215)</f>
        <v>0.19047691407282541</v>
      </c>
      <c r="AR110" s="2">
        <f>2895.87201784042*(1/14151.6638359215)</f>
        <v>0.20463120460010931</v>
      </c>
      <c r="AS110" s="2">
        <f>3092.9273274069*(1/14151.6638359215)</f>
        <v>0.21855573756324329</v>
      </c>
      <c r="AT110" s="2">
        <f>3287.71371549602*(1/14151.6638359215)</f>
        <v>0.23231994157116279</v>
      </c>
      <c r="AU110" s="2">
        <f>3486.14223371087*(1/14151.6638359215)</f>
        <v>0.24634150967195206</v>
      </c>
      <c r="AV110" s="2">
        <f>3687.6032394009*(1/14151.6638359215)</f>
        <v>0.26057736264484815</v>
      </c>
      <c r="AW110" s="2">
        <f>3891.16287597869*(1/14151.6638359215)</f>
        <v>0.27496151131725305</v>
      </c>
      <c r="AX110" s="2">
        <f>4095.88728685681*(1/14151.6638359215)</f>
        <v>0.28942796651656771</v>
      </c>
      <c r="AY110" s="2">
        <f>4300.84261544782*(1/14151.6638359215)</f>
        <v>0.30391073907019261</v>
      </c>
      <c r="AZ110" s="2">
        <f>4505.09500516428*(1/14151.6638359215)</f>
        <v>0.31834383980552816</v>
      </c>
      <c r="BA110" s="2">
        <f>4707.71059941879*(1/14151.6638359215)</f>
        <v>0.33266127954997754</v>
      </c>
      <c r="BB110" s="2">
        <f>4907.75554162383*(1/14151.6638359215)</f>
        <v>0.34679706913093566</v>
      </c>
      <c r="BC110" s="2">
        <f>5104.295975192*(1/14151.6638359215)</f>
        <v>0.36068521937580555</v>
      </c>
      <c r="BD110" s="2">
        <f>5296.53140374123*(1/14151.6638359215)</f>
        <v>0.37426916475339955</v>
      </c>
      <c r="BE110" s="2">
        <f>5488.4084223025*(1/14151.6638359215)</f>
        <v>0.387827783781236</v>
      </c>
      <c r="BF110" s="2">
        <f>5681.23725960185*(1/14151.6638359215)</f>
        <v>0.40145366124236453</v>
      </c>
      <c r="BG110" s="2">
        <f>5873.79177748014*(1/14151.6638359215)</f>
        <v>0.41506015445127781</v>
      </c>
      <c r="BH110" s="2">
        <f>6064.84583777812*(1/14151.6638359215)</f>
        <v>0.42856062072246087</v>
      </c>
      <c r="BI110" s="2">
        <f>6253.17330233666*(1/14151.6638359215)</f>
        <v>0.44186841737040727</v>
      </c>
      <c r="BJ110" s="2">
        <f>6437.54803299658*(1/14151.6638359215)</f>
        <v>0.45489690170960684</v>
      </c>
      <c r="BK110" s="2">
        <f>6616.74389159872*(1/14151.6638359215)</f>
        <v>0.46755943105455094</v>
      </c>
      <c r="BL110" s="2">
        <f>6789.53473998389*(1/14151.6638359215)</f>
        <v>0.47976936271972875</v>
      </c>
      <c r="BM110" s="2">
        <f>6954.69443999295*(1/14151.6638359215)</f>
        <v>0.49144005401963309</v>
      </c>
      <c r="BN110" s="2">
        <f>7110.99685346667*(1/14151.6638359215)</f>
        <v>0.50248486226875033</v>
      </c>
      <c r="BO110" s="2">
        <f>7258.19795187484*(1/14151.6638359215)</f>
        <v>0.51288654366217956</v>
      </c>
      <c r="BP110" s="2">
        <f>7399.24338246967*(1/14151.6638359215)</f>
        <v>0.52285324667534838</v>
      </c>
      <c r="BQ110" s="2">
        <f>7534.32355444284*(1/14151.6638359215)</f>
        <v>0.53239842620613198</v>
      </c>
      <c r="BR110" s="2">
        <f>7663.30082922887*(1/14151.6638359215)</f>
        <v>0.54151235629106265</v>
      </c>
      <c r="BS110" s="2">
        <f>7786.03756826223*(1/14151.6638359215)</f>
        <v>0.55018531096666867</v>
      </c>
      <c r="BT110" s="2">
        <f>7902.39613297743*(1/14151.6638359215)</f>
        <v>0.55840756426948135</v>
      </c>
      <c r="BU110" s="2">
        <f>8012.23888480897*(1/14151.6638359215)</f>
        <v>0.5661693902360313</v>
      </c>
      <c r="BV110" s="2">
        <f>8115.42818519135*(1/14151.6638359215)</f>
        <v>0.57346106290284882</v>
      </c>
      <c r="BW110" s="2">
        <f>8211.82639555907*(1/14151.6638359215)</f>
        <v>0.58027285630646475</v>
      </c>
      <c r="BX110" s="2">
        <f>8301.29587734663*(1/14151.6638359215)</f>
        <v>0.5865950444834096</v>
      </c>
      <c r="BY110" s="2">
        <f>8383.69722192829*(1/14151.6638359215)</f>
        <v>0.59241777639232474</v>
      </c>
      <c r="BZ110" s="2">
        <f>8458.48737428034*(1/14151.6638359215)</f>
        <v>0.59770267809852595</v>
      </c>
      <c r="CA110" s="2">
        <f>8525.58778880987*(1/14151.6638359215)</f>
        <v>0.60244419932935167</v>
      </c>
      <c r="CB110" s="2">
        <f>8585.39667716611*(1/14151.6638359215)</f>
        <v>0.60667047894210135</v>
      </c>
      <c r="CC110" s="2">
        <f>8638.31225099833*(1/14151.6638359215)</f>
        <v>0.61040965579407702</v>
      </c>
      <c r="CD110" s="2">
        <f>8684.73272195578*(1/14151.6638359215)</f>
        <v>0.6136898687425798</v>
      </c>
      <c r="CE110" s="2">
        <f>8725.05630168771*(1/14151.6638359215)</f>
        <v>0.61653925664491094</v>
      </c>
      <c r="CF110" s="2">
        <f>8759.68120184338*(1/14151.6638359215)</f>
        <v>0.61898595835837167</v>
      </c>
      <c r="CG110" s="2">
        <f>8789.00563407205*(1/14151.6638359215)</f>
        <v>0.62105811274026379</v>
      </c>
      <c r="CH110" s="2">
        <f>8813.42781002297*(1/14151.6638359215)</f>
        <v>0.62278385864788843</v>
      </c>
      <c r="CI110" s="2">
        <f>8833.34594134539*(1/14151.6638359215)</f>
        <v>0.62419133493854628</v>
      </c>
      <c r="CJ110" s="2">
        <f>8849.81951883402*(1/14151.6638359215)</f>
        <v>0.62535540848351101</v>
      </c>
      <c r="CK110" s="2">
        <f>8866.30947544871*(1/14151.6638359215)</f>
        <v>0.6265206394277929</v>
      </c>
      <c r="CL110" s="2">
        <f>8881.5626428812*(1/14151.6638359215)</f>
        <v>0.62759847505258859</v>
      </c>
      <c r="CM110" s="2">
        <f>8893.56402328201*(1/14151.6638359215)</f>
        <v>0.62844652942555546</v>
      </c>
      <c r="CN110" s="2">
        <f>8900.29861880166*(1/14151.6638359215)</f>
        <v>0.62892241661435055</v>
      </c>
      <c r="CO110" s="2">
        <f>8899.75143159065*(1/14151.6638359215)</f>
        <v>0.62888375068662972</v>
      </c>
      <c r="CP110" s="2">
        <f>8889.90746379951*(1/14151.6638359215)</f>
        <v>0.62818814571005077</v>
      </c>
      <c r="CQ110" s="2">
        <f>8868.75171757876*(1/14151.6638359215)</f>
        <v>0.62669321575227077</v>
      </c>
      <c r="CR110" s="2">
        <f>8834.2691950789*(1/14151.6638359215)</f>
        <v>0.62425657488094555</v>
      </c>
      <c r="CS110" s="2">
        <f>8784.44489845047*(1/14151.6638359215)</f>
        <v>0.62073583716373393</v>
      </c>
      <c r="CT110" s="2">
        <f>8717.26382984397*(1/14151.6638359215)</f>
        <v>0.61598861666829141</v>
      </c>
      <c r="CU110" s="2">
        <f>8632.50672886686*(1/14151.6638359215)</f>
        <v>0.60999941978234151</v>
      </c>
      <c r="CV110" s="2">
        <f>8532.41127686028*(1/14151.6638359215)</f>
        <v>0.60292636793719345</v>
      </c>
      <c r="CW110" s="2">
        <f>8418.1172826724*(1/14151.6638359215)</f>
        <v>0.59485000352428496</v>
      </c>
      <c r="CX110" s="2">
        <f>8290.75862414524*(1/14151.6638359215)</f>
        <v>0.58585044983195644</v>
      </c>
      <c r="CY110" s="2">
        <f>8151.46917912085*(1/14151.6638359215)</f>
        <v>0.57600783014855006</v>
      </c>
      <c r="CZ110" s="2">
        <f>8001.38282544127*(1/14151.6638359215)</f>
        <v>0.56540226776240776</v>
      </c>
      <c r="DA110" s="2">
        <f>7841.63344094851*(1/14151.6638359215)</f>
        <v>0.55411388596186884</v>
      </c>
      <c r="DB110" s="2">
        <f>7673.35490348468*(1/14151.6638359215)</f>
        <v>0.54222280803528022</v>
      </c>
      <c r="DC110" s="2">
        <f>7497.68109089179*(1/14151.6638359215)</f>
        <v>0.5298091572709811</v>
      </c>
      <c r="DD110" s="2">
        <f>7315.74588101188*(1/14151.6638359215)</f>
        <v>0.51695305695731342</v>
      </c>
      <c r="DE110" s="2">
        <f>7127.61126530913*(1/14151.6638359215)</f>
        <v>0.50365888760139621</v>
      </c>
      <c r="DF110" s="2">
        <f>6923.88954963072*(1/14151.6638359215)</f>
        <v>0.48926328592229901</v>
      </c>
      <c r="DG110" s="2">
        <f>6704.73593624436*(1/14151.6638359215)</f>
        <v>0.47377721898859498</v>
      </c>
      <c r="DH110" s="2">
        <f>6473.42228084495*(1/14151.6638359215)</f>
        <v>0.45743188616544939</v>
      </c>
      <c r="DI110" s="2">
        <f>6233.22043912751*(1/14151.6638359215)</f>
        <v>0.44045848681803623</v>
      </c>
      <c r="DJ110" s="2">
        <f>5987.40226678694*(1/14151.6638359215)</f>
        <v>0.42308822031152105</v>
      </c>
      <c r="DK110" s="2">
        <f>5739.23961951819*(1/14151.6638359215)</f>
        <v>0.40555228601107268</v>
      </c>
      <c r="DL110" s="2">
        <f>5492.00435301619*(1/14151.6638359215)</f>
        <v>0.38808188328185883</v>
      </c>
      <c r="DM110" s="2">
        <f>5248.96832297584*(1/14151.6638359215)</f>
        <v>0.3709082114890449</v>
      </c>
      <c r="DN110" s="2">
        <f>5013.40338509217*(1/14151.6638359215)</f>
        <v>0.35426246999780553</v>
      </c>
      <c r="DO110" s="2">
        <f>4788.58139506008*(1/14151.6638359215)</f>
        <v>0.33837585817330618</v>
      </c>
      <c r="DP110" s="2">
        <f>4573.12307771619*(1/14151.6638359215)</f>
        <v>0.32315091219932207</v>
      </c>
      <c r="DQ110" s="2">
        <f>4359.60059399482*(1/14151.6638359215)</f>
        <v>0.30806275817043816</v>
      </c>
      <c r="DR110" s="2">
        <f>4148.30091064931*(1/14151.6638359215)</f>
        <v>0.29313167403818485</v>
      </c>
      <c r="DS110" s="2">
        <f>3939.74255500894*(1/14151.6638359215)</f>
        <v>0.27839430053507908</v>
      </c>
      <c r="DT110" s="2">
        <f>3734.44405440296*(1/14151.6638359215)</f>
        <v>0.26388727839363546</v>
      </c>
      <c r="DU110" s="2">
        <f>3532.92393616071*(1/14151.6638359215)</f>
        <v>0.24964724834637511</v>
      </c>
      <c r="DV110" s="2">
        <f>3335.70072761144*(1/14151.6638359215)</f>
        <v>0.23571085112581269</v>
      </c>
      <c r="DW110" s="2">
        <f>3143.29295608443*(1/14151.6638359215)</f>
        <v>0.22211472746446506</v>
      </c>
      <c r="DX110" s="2">
        <f>2956.21914890895*(1/14151.6638359215)</f>
        <v>0.2088955180948483</v>
      </c>
      <c r="DY110" s="2">
        <f>2774.99783341424*(1/14151.6638359215)</f>
        <v>0.19608986374947646</v>
      </c>
      <c r="DZ110" s="2">
        <f>2600.06138419519*(1/14151.6638359215)</f>
        <v>0.18372831734424</v>
      </c>
      <c r="EA110" s="2">
        <f>2429.96521015691*(1/14151.6638359215)</f>
        <v>0.17170879963873029</v>
      </c>
      <c r="EB110" s="2">
        <f>2264.21666525381*(1/14151.6638359215)</f>
        <v>0.15999649875136912</v>
      </c>
      <c r="EC110" s="2">
        <f>2103.07408507489*(1/14151.6638359215)</f>
        <v>0.14860966946774185</v>
      </c>
      <c r="ED110" s="2">
        <f>1946.79580520916*(1/14151.6638359215)</f>
        <v>0.13756656657343447</v>
      </c>
      <c r="EE110" s="2">
        <f>1795.6401612456*(1/14151.6638359215)</f>
        <v>0.12688544485403083</v>
      </c>
      <c r="EF110" s="2">
        <f>1649.86548877328*(1/14151.6638359215)</f>
        <v>0.11658455909512123</v>
      </c>
      <c r="EG110" s="2">
        <f>1509.73012338117*(1/14151.6638359215)</f>
        <v>0.1066821640822888</v>
      </c>
      <c r="EH110" s="2">
        <f>1375.49240065829*(1/14151.6638359215)</f>
        <v>9.719651460112029E-2</v>
      </c>
      <c r="EI110" s="2">
        <f>1247.41065619364*(1/14151.6638359215)</f>
        <v>8.8145865437200988E-2</v>
      </c>
      <c r="EJ110" s="2">
        <f>1125.7432255762*(1/14151.6638359215)</f>
        <v>7.9548471376114774E-2</v>
      </c>
      <c r="EK110" s="2">
        <f>1010.3809877404*(1/14151.6638359215)</f>
        <v>7.1396621588461301E-2</v>
      </c>
      <c r="EL110" s="2">
        <f>900.432696146974*(1/14151.6638359215)</f>
        <v>6.3627337858420896E-2</v>
      </c>
      <c r="EM110" s="2">
        <f>796.001792170727*(1/14151.6638359215)</f>
        <v>5.6247929671012747E-2</v>
      </c>
      <c r="EN110" s="2">
        <f>697.266331341297*(1/14151.6638359215)</f>
        <v>4.9270978976437355E-2</v>
      </c>
      <c r="EO110" s="2">
        <f>604.404369188318*(1/14151.6638359215)</f>
        <v>4.2709067724894953E-2</v>
      </c>
      <c r="EP110" s="2">
        <f>517.593961241427*(1/14151.6638359215)</f>
        <v>3.6574777866585986E-2</v>
      </c>
      <c r="EQ110" s="2">
        <f>437.013163030243*(1/14151.6638359215)</f>
        <v>3.0880691351709632E-2</v>
      </c>
      <c r="ER110" s="2">
        <f>362.840030084431*(1/14151.6638359215)</f>
        <v>2.5639390130468311E-2</v>
      </c>
      <c r="ES110" s="2">
        <f>295.252617933612*(1/14151.6638359215)</f>
        <v>2.0863456153061337E-2</v>
      </c>
      <c r="ET110" s="2">
        <f>234.42898210742*(1/14151.6638359215)</f>
        <v>1.6565471369688944E-2</v>
      </c>
      <c r="EU110" s="2">
        <f>180.579677385517*(1/14151.6638359215)</f>
        <v>1.2760314227302895E-2</v>
      </c>
      <c r="EV110" s="2">
        <f>136.089474267501*(1/14151.6638359215)</f>
        <v>9.616499928585211E-3</v>
      </c>
      <c r="EW110" s="2">
        <f>101.37141143212*(1/14151.6638359215)</f>
        <v>7.1632150542473016E-3</v>
      </c>
      <c r="EX110" s="2">
        <f>75.0475075156692*(1/14151.6638359215)</f>
        <v>5.3030872119202233E-3</v>
      </c>
      <c r="EY110" s="2">
        <f>55.7397811544502*(1/14151.6638359215)</f>
        <v>3.9387440092354797E-3</v>
      </c>
      <c r="EZ110" s="2">
        <f>42.0702509847668*(1/14151.6638359215)</f>
        <v>2.9728130538247311E-3</v>
      </c>
      <c r="FA110" s="2">
        <f>32.6609356429218*(1/14151.6638359215)</f>
        <v>2.3079219533195653E-3</v>
      </c>
      <c r="FB110" s="2">
        <f>26.1338537652174*(1/14151.6638359215)</f>
        <v>1.8466983153515297E-3</v>
      </c>
      <c r="FC110" s="2">
        <f>21.1110239879589*(1/14151.6638359215)</f>
        <v>1.49176974755239E-3</v>
      </c>
      <c r="FD110" s="2">
        <f>16.2144649474478*(1/14151.6638359215)</f>
        <v>1.1457638575536431E-3</v>
      </c>
      <c r="FE110" s="2">
        <f>10.0661952799872*(1/14151.6638359215)</f>
        <v>7.1130825298689902E-4</v>
      </c>
      <c r="FF110" s="2">
        <f>2.09665384086521*(1/14151.6638359215)</f>
        <v>1.4815599530729556E-4</v>
      </c>
      <c r="FG110" s="2">
        <f>-4.6988890066097*(1/14151.6638359215)</f>
        <v>-3.3203791872743612E-4</v>
      </c>
      <c r="FH110" s="2">
        <f>-9.87534797333052*(1/14151.6638359215)</f>
        <v>-6.9782239656256486E-4</v>
      </c>
      <c r="FI110" s="2">
        <f>-13.4327230592987*(1/14151.6638359215)</f>
        <v>-9.4919743819819294E-4</v>
      </c>
      <c r="FJ110" s="2">
        <f>-15.3710142645142*(1/14151.6638359215)</f>
        <v>-1.0861630436343177E-3</v>
      </c>
      <c r="FK110" s="2">
        <f>-15.6902215889771*(1/14151.6638359215)</f>
        <v>-1.1087192128709448E-3</v>
      </c>
      <c r="FL110" s="2">
        <f>-14.3903450326873*(1/14151.6638359215)</f>
        <v>-1.016865945908067E-3</v>
      </c>
      <c r="FM110" s="2">
        <f>-11.4713845956442*(1/14151.6638359215)</f>
        <v>-8.1060324274564207E-4</v>
      </c>
      <c r="FN110" s="2">
        <f>-6.93334027784876*(1/14151.6638359215)</f>
        <v>-4.8993110338373786E-4</v>
      </c>
      <c r="FO110" s="2">
        <f>-0.776212079300696*(1/14151.6638359215)</f>
        <v>-5.4849527822334128E-5</v>
      </c>
      <c r="FP110" s="2">
        <f t="shared" si="19"/>
        <v>4.9464148393856954E-4</v>
      </c>
      <c r="FQ110" s="2"/>
    </row>
    <row r="111" spans="2:173">
      <c r="B111" s="2">
        <v>10.322485207100591</v>
      </c>
      <c r="C111" s="2">
        <f t="shared" si="20"/>
        <v>4.9464148393856954E-4</v>
      </c>
      <c r="D111" s="2">
        <f>1.0944674917602*(1/14151.6638359215)</f>
        <v>7.7338432035255631E-5</v>
      </c>
      <c r="E111" s="2">
        <f>-3.57712480702544*(1/14151.6638359215)</f>
        <v>-2.5277061754007613E-4</v>
      </c>
      <c r="F111" s="2">
        <f>-7.01477689635744*(1/14151.6638359215)</f>
        <v>-4.9568566478746254E-4</v>
      </c>
      <c r="G111" s="2">
        <f>-9.21848877623451*(1/14151.6638359215)</f>
        <v>-6.514067097068123E-4</v>
      </c>
      <c r="H111" s="2">
        <f>-10.1882604466574*(1/14151.6638359215)</f>
        <v>-7.1993375229817858E-4</v>
      </c>
      <c r="I111" s="2">
        <f>-9.92409190762615*(1/14151.6638359215)</f>
        <v>-7.0126679256156399E-4</v>
      </c>
      <c r="J111" s="2">
        <f>-8.4259831591407*(1/14151.6638359215)</f>
        <v>-5.9540583049696452E-4</v>
      </c>
      <c r="K111" s="2">
        <f>-5.69393420120111*(1/14151.6638359215)</f>
        <v>-4.0235086610438433E-4</v>
      </c>
      <c r="L111" s="2">
        <f>-1.72794503380649*(1/14151.6638359215)</f>
        <v>-1.2210189938376056E-4</v>
      </c>
      <c r="M111" s="2">
        <f>3.47198434304168*(1/14151.6638359215)</f>
        <v>2.453410696648023E-4</v>
      </c>
      <c r="N111" s="2">
        <f>9.3564994140756*(1/14151.6638359215)</f>
        <v>6.6115896494981592E-4</v>
      </c>
      <c r="O111" s="2">
        <f>12.2286339150435*(1/14151.6638359215)</f>
        <v>8.6411280375409095E-4</v>
      </c>
      <c r="P111" s="2">
        <f>12.7913789225513*(1/14151.6638359215)</f>
        <v>9.0387809312447362E-4</v>
      </c>
      <c r="Q111" s="2">
        <f>12.7455326939977*(1/14151.6638359215)</f>
        <v>9.0063845790665372E-4</v>
      </c>
      <c r="R111" s="2">
        <f>13.7918934867821*(1/14151.6638359215)</f>
        <v>9.7457752294637004E-4</v>
      </c>
      <c r="S111" s="2">
        <f>17.6312595583031*(1/14151.6638359215)</f>
        <v>1.2458789130893049E-3</v>
      </c>
      <c r="T111" s="2">
        <f>25.9644291659598*(1/14151.6638359215)</f>
        <v>1.834726253181176E-3</v>
      </c>
      <c r="U111" s="2">
        <f>40.4922005671509*(1/14151.6638359215)</f>
        <v>2.861303168067673E-3</v>
      </c>
      <c r="V111" s="2">
        <f>62.9153720192754*(1/14151.6638359215)</f>
        <v>4.4457932825945059E-3</v>
      </c>
      <c r="W111" s="2">
        <f>94.9347417797321*(1/14151.6638359215)</f>
        <v>6.7083802216073712E-3</v>
      </c>
      <c r="X111" s="2">
        <f>138.251108105929*(1/14151.6638359215)</f>
        <v>9.7692476099526179E-3</v>
      </c>
      <c r="Y111" s="2">
        <f>191.520989435607*(1/14151.6638359215)</f>
        <v>1.3533460917115964E-2</v>
      </c>
      <c r="Z111" s="2">
        <f>250.869017221296*(1/14151.6638359215)</f>
        <v>1.7727174707507488E-2</v>
      </c>
      <c r="AA111" s="2">
        <f>316.690949352634*(1/14151.6638359215)</f>
        <v>2.2378354448243036E-2</v>
      </c>
      <c r="AB111" s="2">
        <f>389.441426677255*(1/14151.6638359215)</f>
        <v>2.7519126456970147E-2</v>
      </c>
      <c r="AC111" s="2">
        <f>469.575090042793*(1/14151.6638359215)</f>
        <v>3.3181617051336362E-2</v>
      </c>
      <c r="AD111" s="2">
        <f>557.546580296898*(1/14151.6638359215)</f>
        <v>3.9397952548990353E-2</v>
      </c>
      <c r="AE111" s="2">
        <f>653.810538287171*(1/14151.6638359215)</f>
        <v>4.6200259267577315E-2</v>
      </c>
      <c r="AF111" s="2">
        <f>758.821604861263*(1/14151.6638359215)</f>
        <v>5.3620663524746003E-2</v>
      </c>
      <c r="AG111" s="2">
        <f>873.034420866808*(1/14151.6638359215)</f>
        <v>6.1691291638143936E-2</v>
      </c>
      <c r="AH111" s="2">
        <f>996.903627151439*(1/14151.6638359215)</f>
        <v>7.0444269925418607E-2</v>
      </c>
      <c r="AI111" s="2">
        <f>1131.14819837729*(1/14151.6638359215)</f>
        <v>7.9930403342826029E-2</v>
      </c>
      <c r="AJ111" s="2">
        <f>1279.36868784215*(1/14151.6638359215)</f>
        <v>9.0404118036968809E-2</v>
      </c>
      <c r="AK111" s="2">
        <f>1440.97628337073*(1/14151.6638359215)</f>
        <v>0.10182380673239752</v>
      </c>
      <c r="AL111" s="2">
        <f>1613.90416654554*(1/14151.6638359215)</f>
        <v>0.11404342169638945</v>
      </c>
      <c r="AM111" s="2">
        <f>1796.08551894909*(1/14151.6638359215)</f>
        <v>0.12691691519622195</v>
      </c>
      <c r="AN111" s="2">
        <f>1985.45352216387*(1/14151.6638359215)</f>
        <v>0.14029823949917089</v>
      </c>
      <c r="AO111" s="2">
        <f>2179.94135777241*(1/14151.6638359215)</f>
        <v>0.154041346872515</v>
      </c>
      <c r="AP111" s="2">
        <f>2377.48220735723*(1/14151.6638359215)</f>
        <v>0.1680001895835323</v>
      </c>
      <c r="AQ111" s="2">
        <f>2576.00925250078*(1/14151.6638359215)</f>
        <v>0.18202871989949587</v>
      </c>
      <c r="AR111" s="2">
        <f>2773.45567478559*(1/14151.6638359215)</f>
        <v>0.19598089008768443</v>
      </c>
      <c r="AS111" s="2">
        <f>2967.75465579417*(1/14151.6638359215)</f>
        <v>0.20971065241537529</v>
      </c>
      <c r="AT111" s="2">
        <f>3159.96833533085*(1/14151.6638359215)</f>
        <v>0.22329306094099186</v>
      </c>
      <c r="AU111" s="2">
        <f>3356.21350543384*(1/14151.6638359215)</f>
        <v>0.23716034696320901</v>
      </c>
      <c r="AV111" s="2">
        <f>3555.80834362406*(1/14151.6638359215)</f>
        <v>0.25126433081305027</v>
      </c>
      <c r="AW111" s="2">
        <f>3757.73428470223*(1/14151.6638359215)</f>
        <v>0.26553303754742147</v>
      </c>
      <c r="AX111" s="2">
        <f>3960.97276346906*(1/14151.6638359215)</f>
        <v>0.27989449222322749</v>
      </c>
      <c r="AY111" s="2">
        <f>4164.50521472525*(1/14151.6638359215)</f>
        <v>0.2942767198973727</v>
      </c>
      <c r="AZ111" s="2">
        <f>4367.31307327149*(1/14151.6638359215)</f>
        <v>0.30860774562676063</v>
      </c>
      <c r="BA111" s="2">
        <f>4568.37777390851*(1/14151.6638359215)</f>
        <v>0.32281559446829777</v>
      </c>
      <c r="BB111" s="2">
        <f>4766.68075143694*(1/14151.6638359215)</f>
        <v>0.33682829147888343</v>
      </c>
      <c r="BC111" s="2">
        <f>4961.20344065751*(1/14151.6638359215)</f>
        <v>0.35057386171542398</v>
      </c>
      <c r="BD111" s="2">
        <f>5151.0642759097*(1/14151.6638359215)</f>
        <v>0.3639900110427039</v>
      </c>
      <c r="BE111" s="2">
        <f>5340.28667023061*(1/14151.6638359215)</f>
        <v>0.37736104617431876</v>
      </c>
      <c r="BF111" s="2">
        <f>5530.2647046783*(1/14151.6638359215)</f>
        <v>0.39078547715645279</v>
      </c>
      <c r="BG111" s="2">
        <f>5719.80014515889*(1/14151.6638359215)</f>
        <v>0.40417863309049123</v>
      </c>
      <c r="BH111" s="2">
        <f>5907.69475757838*(1/14151.6638359215)</f>
        <v>0.41745584307781108</v>
      </c>
      <c r="BI111" s="2">
        <f>6092.75030784286*(1/14151.6638359215)</f>
        <v>0.43053243621979553</v>
      </c>
      <c r="BJ111" s="2">
        <f>6273.76856185841*(1/14151.6638359215)</f>
        <v>0.44332374161782706</v>
      </c>
      <c r="BK111" s="2">
        <f>6449.55128553109*(1/14151.6638359215)</f>
        <v>0.45574508837328676</v>
      </c>
      <c r="BL111" s="2">
        <f>6618.90024476698*(1/14151.6638359215)</f>
        <v>0.46771180558755715</v>
      </c>
      <c r="BM111" s="2">
        <f>6780.61720547218*(1/14151.6638359215)</f>
        <v>0.47913922236202222</v>
      </c>
      <c r="BN111" s="2">
        <f>6933.50393355269*(1/14151.6638359215)</f>
        <v>0.48994266779805878</v>
      </c>
      <c r="BO111" s="2">
        <f>7077.3242454248*(1/14151.6638359215)</f>
        <v>0.50010545243876292</v>
      </c>
      <c r="BP111" s="2">
        <f>7214.96380923423*(1/14151.6638359215)</f>
        <v>0.50983148645181342</v>
      </c>
      <c r="BQ111" s="2">
        <f>7346.60606706185*(1/14151.6638359215)</f>
        <v>0.51913373241765315</v>
      </c>
      <c r="BR111" s="2">
        <f>7472.11297091667*(1/14151.6638359215)</f>
        <v>0.52800243544155079</v>
      </c>
      <c r="BS111" s="2">
        <f>7591.34647280765*(1/14151.6638359215)</f>
        <v>0.53642784062877169</v>
      </c>
      <c r="BT111" s="2">
        <f>7704.16852474379*(1/14151.6638359215)</f>
        <v>0.54440019308458409</v>
      </c>
      <c r="BU111" s="2">
        <f>7810.44107873409*(1/14151.6638359215)</f>
        <v>0.55190973791425602</v>
      </c>
      <c r="BV111" s="2">
        <f>7910.02608678753*(1/14151.6638359215)</f>
        <v>0.55894672022305436</v>
      </c>
      <c r="BW111" s="2">
        <f>8002.78550091312*(1/14151.6638359215)</f>
        <v>0.5655013851162477</v>
      </c>
      <c r="BX111" s="2">
        <f>8088.58127311984*(1/14151.6638359215)</f>
        <v>0.57156397769910317</v>
      </c>
      <c r="BY111" s="2">
        <f>8167.27284392518*(1/14151.6638359215)</f>
        <v>0.57712456560719028</v>
      </c>
      <c r="BZ111" s="2">
        <f>8238.12526153762*(1/14151.6638359215)</f>
        <v>0.58213121489125497</v>
      </c>
      <c r="CA111" s="2">
        <f>8300.98602495645*(1/14151.6638359215)</f>
        <v>0.5865731493625409</v>
      </c>
      <c r="CB111" s="2">
        <f>8356.3622209317*(1/14151.6638359215)</f>
        <v>0.59048620132712237</v>
      </c>
      <c r="CC111" s="2">
        <f>8404.76093621342*(1/14151.6638359215)</f>
        <v>0.59390620309107534</v>
      </c>
      <c r="CD111" s="2">
        <f>8446.68925755163*(1/14151.6638359215)</f>
        <v>0.5968689869604733</v>
      </c>
      <c r="CE111" s="2">
        <f>8482.65427169638*(1/14151.6638359215)</f>
        <v>0.5994103852413919</v>
      </c>
      <c r="CF111" s="2">
        <f>8513.1630653977*(1/14151.6638359215)</f>
        <v>0.60156623023990574</v>
      </c>
      <c r="CG111" s="2">
        <f>8538.72272540564*(1/14151.6638359215)</f>
        <v>0.60337235426209035</v>
      </c>
      <c r="CH111" s="2">
        <f>8559.84033847023*(1/14151.6638359215)</f>
        <v>0.60486458961402034</v>
      </c>
      <c r="CI111" s="2">
        <f>8577.02299134152*(1/14151.6638359215)</f>
        <v>0.60607876860177123</v>
      </c>
      <c r="CJ111" s="2">
        <f>8591.36953032725*(1/14151.6638359215)</f>
        <v>0.60709253907795468</v>
      </c>
      <c r="CK111" s="2">
        <f>8606.00911118915*(1/14151.6638359215)</f>
        <v>0.60812701679249304</v>
      </c>
      <c r="CL111" s="2">
        <f>8619.66777671308*(1/14151.6638359215)</f>
        <v>0.60909218001868981</v>
      </c>
      <c r="CM111" s="2">
        <f>8630.37664475668*(1/14151.6638359215)</f>
        <v>0.60984890150160243</v>
      </c>
      <c r="CN111" s="2">
        <f>8636.16683317756*(1/14151.6638359215)</f>
        <v>0.61025805398628641</v>
      </c>
      <c r="CO111" s="2">
        <f>8635.06945983335*(1/14151.6638359215)</f>
        <v>0.61018051021779862</v>
      </c>
      <c r="CP111" s="2">
        <f>8625.11564258169*(1/14151.6638359215)</f>
        <v>0.60947714294119659</v>
      </c>
      <c r="CQ111" s="2">
        <f>8604.3364992802*(1/14151.6638359215)</f>
        <v>0.6080088249015364</v>
      </c>
      <c r="CR111" s="2">
        <f>8570.76314778651*(1/14151.6638359215)</f>
        <v>0.60563642884387503</v>
      </c>
      <c r="CS111" s="2">
        <f>8522.42670595825*(1/14151.6638359215)</f>
        <v>0.60222082751326922</v>
      </c>
      <c r="CT111" s="2">
        <f>8457.35829165304*(1/14151.6638359215)</f>
        <v>0.59762289365477494</v>
      </c>
      <c r="CU111" s="2">
        <f>8375.46846732113*(1/14151.6638359215)</f>
        <v>0.59183630733663151</v>
      </c>
      <c r="CV111" s="2">
        <f>8279.04696062245*(1/14151.6638359215)</f>
        <v>0.58502286774277046</v>
      </c>
      <c r="CW111" s="2">
        <f>8169.11958723458*(1/14151.6638359215)</f>
        <v>0.57725506215733535</v>
      </c>
      <c r="CX111" s="2">
        <f>8046.70575524946*(1/14151.6638359215)</f>
        <v>0.56860492508480298</v>
      </c>
      <c r="CY111" s="2">
        <f>7912.82487275905*(1/14151.6638359215)</f>
        <v>0.55914449102965136</v>
      </c>
      <c r="CZ111" s="2">
        <f>7768.49634785528*(1/14151.6638359215)</f>
        <v>0.54894579449635628</v>
      </c>
      <c r="DA111" s="2">
        <f>7614.73958863007*(1/14151.6638359215)</f>
        <v>0.53808086998939297</v>
      </c>
      <c r="DB111" s="2">
        <f>7452.57400317543*(1/14151.6638359215)</f>
        <v>0.52662175201324291</v>
      </c>
      <c r="DC111" s="2">
        <f>7283.01899958328*(1/14151.6638359215)</f>
        <v>0.51464047507238142</v>
      </c>
      <c r="DD111" s="2">
        <f>7107.09398594557*(1/14151.6638359215)</f>
        <v>0.50220907367128576</v>
      </c>
      <c r="DE111" s="2">
        <f>6924.80208233074*(1/14151.6638359215)</f>
        <v>0.48932776828356767</v>
      </c>
      <c r="DF111" s="2">
        <f>6727.22324085027*(1/14151.6638359215)</f>
        <v>0.47536624094860147</v>
      </c>
      <c r="DG111" s="2">
        <f>6514.55685315606*(1/14151.6638359215)</f>
        <v>0.46033858129247024</v>
      </c>
      <c r="DH111" s="2">
        <f>6289.96481827434*(1/14151.6638359215)</f>
        <v>0.44446821880465925</v>
      </c>
      <c r="DI111" s="2">
        <f>6056.60903523144*(1/14151.6638359215)</f>
        <v>0.42797858297466113</v>
      </c>
      <c r="DJ111" s="2">
        <f>5817.6514030536*(1/14151.6638359215)</f>
        <v>0.41109310329196197</v>
      </c>
      <c r="DK111" s="2">
        <f>5576.25382076707*(1/14151.6638359215)</f>
        <v>0.39403520924604879</v>
      </c>
      <c r="DL111" s="2">
        <f>5335.57818739811*(1/14151.6638359215)</f>
        <v>0.37702833032640914</v>
      </c>
      <c r="DM111" s="2">
        <f>5098.78640197294*(1/14151.6638359215)</f>
        <v>0.36029589602252787</v>
      </c>
      <c r="DN111" s="2">
        <f>4869.0403635179*(1/14151.6638359215)</f>
        <v>0.34406133582389803</v>
      </c>
      <c r="DO111" s="2">
        <f>4649.50197105923*(1/14151.6638359215)</f>
        <v>0.3285480792200059</v>
      </c>
      <c r="DP111" s="2">
        <f>4438.71005670072*(1/14151.6638359215)</f>
        <v>0.31365287560278521</v>
      </c>
      <c r="DQ111" s="2">
        <f>4229.29840701168*(1/14151.6638359215)</f>
        <v>0.29885520572332652</v>
      </c>
      <c r="DR111" s="2">
        <f>4021.65636275884*(1/14151.6638359215)</f>
        <v>0.28418258159514609</v>
      </c>
      <c r="DS111" s="2">
        <f>3816.40457340495*(1/14151.6638359215)</f>
        <v>0.26967886021413828</v>
      </c>
      <c r="DT111" s="2">
        <f>3614.16368841274*(1/14151.6638359215)</f>
        <v>0.25538789857619598</v>
      </c>
      <c r="DU111" s="2">
        <f>3415.55435724505*(1/14151.6638359215)</f>
        <v>0.24135355367721981</v>
      </c>
      <c r="DV111" s="2">
        <f>3221.1972293646*(1/14151.6638359215)</f>
        <v>0.22761968251310208</v>
      </c>
      <c r="DW111" s="2">
        <f>3031.71295423415*(1/14151.6638359215)</f>
        <v>0.21423014207973778</v>
      </c>
      <c r="DX111" s="2">
        <f>2847.72218131648*(1/14151.6638359215)</f>
        <v>0.20122878937302344</v>
      </c>
      <c r="DY111" s="2">
        <f>2669.84556007429*(1/14151.6638359215)</f>
        <v>0.18865948138884975</v>
      </c>
      <c r="DZ111" s="2">
        <f>2498.60913160293*(1/14151.6638359215)</f>
        <v>0.17655938980550484</v>
      </c>
      <c r="EA111" s="2">
        <f>2332.45042348668*(1/14151.6638359215)</f>
        <v>0.16481810552665663</v>
      </c>
      <c r="EB111" s="2">
        <f>2170.78456235958*(1/14151.6638359215)</f>
        <v>0.15339429960521156</v>
      </c>
      <c r="EC111" s="2">
        <f>2013.84152455752*(1/14151.6638359215)</f>
        <v>0.14230422287489183</v>
      </c>
      <c r="ED111" s="2">
        <f>1861.85128641638*(1/14151.6638359215)</f>
        <v>0.13156412616941898</v>
      </c>
      <c r="EE111" s="2">
        <f>1715.04382427201*(1/14151.6638359215)</f>
        <v>0.12119026032251233</v>
      </c>
      <c r="EF111" s="2">
        <f>1573.64911446036*(1/14151.6638359215)</f>
        <v>0.11119887616789834</v>
      </c>
      <c r="EG111" s="2">
        <f>1437.89713331727*(1/14151.6638359215)</f>
        <v>0.10160622453929564</v>
      </c>
      <c r="EH111" s="2">
        <f>1308.01785717862*(1/14151.6638359215)</f>
        <v>9.2428556270425788E-2</v>
      </c>
      <c r="EI111" s="2">
        <f>1184.24126238031*(1/14151.6638359215)</f>
        <v>8.368212219501163E-2</v>
      </c>
      <c r="EJ111" s="2">
        <f>1066.79732525819*(1/14151.6638359215)</f>
        <v>7.5383173146772564E-2</v>
      </c>
      <c r="EK111" s="2">
        <f>955.624490549165*(1/14151.6638359215)</f>
        <v>6.7527359441896931E-2</v>
      </c>
      <c r="EL111" s="2">
        <f>850.015281012693*(1/14151.6638359215)</f>
        <v>6.0064688567225522E-2</v>
      </c>
      <c r="EM111" s="2">
        <f>750.024133253604*(1/14151.6638359215)</f>
        <v>5.2999007180328871E-2</v>
      </c>
      <c r="EN111" s="2">
        <f>655.763809903039*(1/14151.6638359215)</f>
        <v>4.6338283434807039E-2</v>
      </c>
      <c r="EO111" s="2">
        <f>567.347073592136*(1/14151.6638359215)</f>
        <v>4.009048548425985E-2</v>
      </c>
      <c r="EP111" s="2">
        <f>484.886686952035*(1/14151.6638359215)</f>
        <v>3.4263581482287316E-2</v>
      </c>
      <c r="EQ111" s="2">
        <f>408.495412613862*(1/14151.6638359215)</f>
        <v>2.8865539582488425E-2</v>
      </c>
      <c r="ER111" s="2">
        <f>338.286013208784*(1/14151.6638359215)</f>
        <v>2.3904327938465069E-2</v>
      </c>
      <c r="ES111" s="2">
        <f>274.371251367927*(1/14151.6638359215)</f>
        <v>1.9387914703816244E-2</v>
      </c>
      <c r="ET111" s="2">
        <f>216.863889722428*(1/14151.6638359215)</f>
        <v>1.5324268032141727E-2</v>
      </c>
      <c r="EU111" s="2">
        <f>165.91010519117*(1/14151.6638359215)</f>
        <v>1.1723717233166358E-2</v>
      </c>
      <c r="EV111" s="2">
        <f>123.921522513081*(1/14151.6638359215)</f>
        <v>8.7566751125424634E-3</v>
      </c>
      <c r="EW111" s="2">
        <f>91.3766422878478*(1/14151.6638359215)</f>
        <v>6.4569539912264122E-3</v>
      </c>
      <c r="EX111" s="2">
        <f>66.9306753309451*(1/14151.6638359215)</f>
        <v>4.7295269381013279E-3</v>
      </c>
      <c r="EY111" s="2">
        <f>49.2388324578558*(1/14151.6638359215)</f>
        <v>3.4793670220509137E-3</v>
      </c>
      <c r="EZ111" s="2">
        <f>36.9563244840629*(1/14151.6638359215)</f>
        <v>2.6114473119588804E-3</v>
      </c>
      <c r="FA111" s="2">
        <f>28.7383622250493*(1/14151.6638359215)</f>
        <v>2.0307408767089312E-3</v>
      </c>
      <c r="FB111" s="2">
        <f>23.2401564962975*(1/14151.6638359215)</f>
        <v>1.6422207851847406E-3</v>
      </c>
      <c r="FC111" s="2">
        <f>19.1169181132921*(1/14151.6638359215)</f>
        <v>1.350860106270132E-3</v>
      </c>
      <c r="FD111" s="2">
        <f>15.0238578915152*(1/14151.6638359215)</f>
        <v>1.0616319088487525E-3</v>
      </c>
      <c r="FE111" s="2">
        <f>9.61618664644956*(1/14151.6638359215)</f>
        <v>6.7950926180429527E-4</v>
      </c>
      <c r="FF111" s="2">
        <f>2.33806255939699*(1/14151.6638359215)</f>
        <v>1.6521467627447672E-4</v>
      </c>
      <c r="FG111" s="2">
        <f>-3.88739269659248*(1/14151.6638359215)</f>
        <v>-2.7469509887063741E-4</v>
      </c>
      <c r="FH111" s="2">
        <f>-8.62581484145877*(1/14151.6638359215)</f>
        <v>-6.0952655047978609E-4</v>
      </c>
      <c r="FI111" s="2">
        <f>-11.8772038752032*(1/14151.6638359215)</f>
        <v>-8.3927967855306287E-4</v>
      </c>
      <c r="FJ111" s="2">
        <f>-13.6415597978257*(1/14151.6638359215)</f>
        <v>-9.6395448309046243E-4</v>
      </c>
      <c r="FK111" s="2">
        <f>-13.9188826093264*(1/14151.6638359215)</f>
        <v>-9.8355096409199431E-4</v>
      </c>
      <c r="FL111" s="2">
        <f>-12.7091723097052*(1/14151.6638359215)</f>
        <v>-8.9806912155765114E-4</v>
      </c>
      <c r="FM111" s="2">
        <f>-10.0124288989614*(1/14151.6638359215)</f>
        <v>-7.0750895548738358E-4</v>
      </c>
      <c r="FN111" s="2">
        <f>-5.82865237709616*(1/14151.6638359215)</f>
        <v>-4.1187046588127361E-4</v>
      </c>
      <c r="FO111" s="2">
        <f>-0.157842744109005*(1/14151.6638359215)</f>
        <v>-1.1153652739287736E-5</v>
      </c>
      <c r="FP111" s="2">
        <f t="shared" si="19"/>
        <v>4.9464148393856954E-4</v>
      </c>
      <c r="FQ111" s="2"/>
    </row>
    <row r="112" spans="2:173">
      <c r="B112" s="2">
        <v>10.331952662721894</v>
      </c>
      <c r="C112" s="2">
        <f t="shared" si="20"/>
        <v>4.9464148393856954E-4</v>
      </c>
      <c r="D112" s="2">
        <f>1.93520234708521*(1/14151.6638359215)</f>
        <v>1.3674733724051871E-4</v>
      </c>
      <c r="E112" s="2">
        <f>-2.07160958049212*(1/14151.6638359215)</f>
        <v>-1.4638629100513999E-4</v>
      </c>
      <c r="F112" s="2">
        <f>-5.02043578273244*(1/14151.6638359215)</f>
        <v>-3.5475940079843828E-4</v>
      </c>
      <c r="G112" s="2">
        <f>-6.91127625963464*(1/14151.6638359215)</f>
        <v>-4.8837199213929783E-4</v>
      </c>
      <c r="H112" s="2">
        <f>-7.74413101119938*(1/14151.6638359215)</f>
        <v>-5.472240650277652E-4</v>
      </c>
      <c r="I112" s="2">
        <f>-7.51900003742667*(1/14151.6638359215)</f>
        <v>-5.3131561946384109E-4</v>
      </c>
      <c r="J112" s="2">
        <f>-6.23588333831648*(1/14151.6638359215)</f>
        <v>-4.4064665544752351E-4</v>
      </c>
      <c r="K112" s="2">
        <f>-3.89478091386885*(1/14151.6638359215)</f>
        <v>-2.7521717297881515E-4</v>
      </c>
      <c r="L112" s="2">
        <f>-0.495692764083016*(1/14151.6638359215)</f>
        <v>-3.5027172057662045E-5</v>
      </c>
      <c r="M112" s="2">
        <f>3.96138111103975*(1/14151.6638359215)</f>
        <v>2.7992334731584591E-4</v>
      </c>
      <c r="N112" s="2">
        <f>8.95433966524295*(1/14151.6638359215)</f>
        <v>6.3274112281510957E-4</v>
      </c>
      <c r="O112" s="2">
        <f>10.9696230735025*(1/14151.6638359215)</f>
        <v>7.7514723361772132E-4</v>
      </c>
      <c r="P112" s="2">
        <f>10.6753470359794*(1/14151.6638359215)</f>
        <v>7.5435278563372292E-4</v>
      </c>
      <c r="Q112" s="2">
        <f>9.68793323481135*(1/14151.6638359215)</f>
        <v>6.8457909593783899E-4</v>
      </c>
      <c r="R112" s="2">
        <f>9.62380335213612*(1/14151.6638359215)</f>
        <v>6.8004748160479861E-4</v>
      </c>
      <c r="S112" s="2">
        <f>12.0993790700915*(1/14151.6638359215)</f>
        <v>8.5497925970933278E-4</v>
      </c>
      <c r="T112" s="2">
        <f>18.731082070815*(1/14151.6638359215)</f>
        <v>1.3235957473261522E-3</v>
      </c>
      <c r="U112" s="2">
        <f>31.1353340364442*(1/14151.6638359215)</f>
        <v>2.2001182615299731E-3</v>
      </c>
      <c r="V112" s="2">
        <f>50.9285566491168*(1/14151.6638359215)</f>
        <v>3.5987681193955195E-3</v>
      </c>
      <c r="W112" s="2">
        <f>79.7271715909702*(1/14151.6638359215)</f>
        <v>5.6337666379974952E-3</v>
      </c>
      <c r="X112" s="2">
        <f>119.147600544151*(1/14151.6638359215)</f>
        <v>8.419335134411253E-3</v>
      </c>
      <c r="Y112" s="2">
        <f>167.619554147561*(1/14151.6638359215)</f>
        <v>1.1844512142952996E-2</v>
      </c>
      <c r="Z112" s="2">
        <f>221.131881649431*(1/14151.6638359215)</f>
        <v>1.562585744074324E-2</v>
      </c>
      <c r="AA112" s="2">
        <f>280.291493970278*(1/14151.6638359215)</f>
        <v>1.9806257216116705E-2</v>
      </c>
      <c r="AB112" s="2">
        <f>345.767870955502*(1/14151.6638359215)</f>
        <v>2.4433018969672763E-2</v>
      </c>
      <c r="AC112" s="2">
        <f>418.230492450502*(1/14151.6638359215)</f>
        <v>2.9553450202010719E-2</v>
      </c>
      <c r="AD112" s="2">
        <f>498.348838300693*(1/14151.6638359215)</f>
        <v>3.5214858413731003E-2</v>
      </c>
      <c r="AE112" s="2">
        <f>586.792388351446*(1/14151.6638359215)</f>
        <v>4.1464551105430951E-2</v>
      </c>
      <c r="AF112" s="2">
        <f>684.230622448173*(1/14151.6638359215)</f>
        <v>4.8349835777710772E-2</v>
      </c>
      <c r="AG112" s="2">
        <f>791.333020436276*(1/14151.6638359215)</f>
        <v>5.5918019931169995E-2</v>
      </c>
      <c r="AH112" s="2">
        <f>908.769062161153*(1/14151.6638359215)</f>
        <v>6.4216411066407839E-2</v>
      </c>
      <c r="AI112" s="2">
        <f>1037.43812303602*(1/14151.6638359215)</f>
        <v>7.3308561810425887E-2</v>
      </c>
      <c r="AJ112" s="2">
        <f>1180.58356111162*(1/14151.6638359215)</f>
        <v>8.3423657797390374E-2</v>
      </c>
      <c r="AK112" s="2">
        <f>1337.44699077334*(1/14151.6638359215)</f>
        <v>9.4508109172185606E-2</v>
      </c>
      <c r="AL112" s="2">
        <f>1505.94008255738*(1/14151.6638359215)</f>
        <v>0.10641434816553634</v>
      </c>
      <c r="AM112" s="2">
        <f>1683.97450699991*(1/14151.6638359215)</f>
        <v>0.11899480700816523</v>
      </c>
      <c r="AN112" s="2">
        <f>1869.46193463714*(1/14151.6638359215)</f>
        <v>0.13210191793079773</v>
      </c>
      <c r="AO112" s="2">
        <f>2060.31403600525*(1/14151.6638359215)</f>
        <v>0.14558811316415718</v>
      </c>
      <c r="AP112" s="2">
        <f>2254.44248164046*(1/14151.6638359215)</f>
        <v>0.15930582493896978</v>
      </c>
      <c r="AQ112" s="2">
        <f>2449.75894207891*(1/14151.6638359215)</f>
        <v>0.17310748548595603</v>
      </c>
      <c r="AR112" s="2">
        <f>2644.17508785681*(1/14151.6638359215)</f>
        <v>0.18684552703584142</v>
      </c>
      <c r="AS112" s="2">
        <f>2835.60258951035*(1/14151.6638359215)</f>
        <v>0.20037238181934999</v>
      </c>
      <c r="AT112" s="2">
        <f>3025.19934320863*(1/14151.6638359215)</f>
        <v>0.21376987033352896</v>
      </c>
      <c r="AU112" s="2">
        <f>3219.30585564793*(1/14151.6638359215)</f>
        <v>0.22748603224140265</v>
      </c>
      <c r="AV112" s="2">
        <f>3417.15150348709*(1/14151.6638359215)</f>
        <v>0.24146641293253832</v>
      </c>
      <c r="AW112" s="2">
        <f>3617.61504548368*(1/14151.6638359215)</f>
        <v>0.25563178205950621</v>
      </c>
      <c r="AX112" s="2">
        <f>3819.57524039526*(1/14151.6638359215)</f>
        <v>0.2699029092748757</v>
      </c>
      <c r="AY112" s="2">
        <f>4021.91084697937*(1/14151.6638359215)</f>
        <v>0.28420056423121498</v>
      </c>
      <c r="AZ112" s="2">
        <f>4223.50062399355*(1/14151.6638359215)</f>
        <v>0.29844551658109203</v>
      </c>
      <c r="BA112" s="2">
        <f>4423.2233301954*(1/14151.6638359215)</f>
        <v>0.31255853597707917</v>
      </c>
      <c r="BB112" s="2">
        <f>4619.95772434238*(1/14151.6638359215)</f>
        <v>0.32646039207173883</v>
      </c>
      <c r="BC112" s="2">
        <f>4812.58256519208*(1/14151.6638359215)</f>
        <v>0.3400718545176426</v>
      </c>
      <c r="BD112" s="2">
        <f>5000.11654271099*(1/14151.6638359215)</f>
        <v>0.3533235809360506</v>
      </c>
      <c r="BE112" s="2">
        <f>5186.62699252149*(1/14151.6638359215)</f>
        <v>0.36650298174523854</v>
      </c>
      <c r="BF112" s="2">
        <f>5373.60351141684*(1/14151.6638359215)</f>
        <v>0.37971531642639056</v>
      </c>
      <c r="BG112" s="2">
        <f>5559.90602714295*(1/14151.6638359215)</f>
        <v>0.39288002397499794</v>
      </c>
      <c r="BH112" s="2">
        <f>5744.39446744564*(1/14151.6638359215)</f>
        <v>0.40591654338654576</v>
      </c>
      <c r="BI112" s="2">
        <f>5925.92876007083*(1/14151.6638359215)</f>
        <v>0.41874431365652615</v>
      </c>
      <c r="BJ112" s="2">
        <f>6103.36883276441*(1/14151.6638359215)</f>
        <v>0.43128277378042901</v>
      </c>
      <c r="BK112" s="2">
        <f>6275.57461327226*(1/14151.6638359215)</f>
        <v>0.44345136275374364</v>
      </c>
      <c r="BL112" s="2">
        <f>6441.40602934026*(1/14151.6638359215)</f>
        <v>0.45516951957195934</v>
      </c>
      <c r="BM112" s="2">
        <f>6599.72300871433*(1/14151.6638359215)</f>
        <v>0.46635668323056817</v>
      </c>
      <c r="BN112" s="2">
        <f>6749.3854791403*(1/14151.6638359215)</f>
        <v>0.47693229272505588</v>
      </c>
      <c r="BO112" s="2">
        <f>6890.19343617605*(1/14151.6638359215)</f>
        <v>0.48688221512770191</v>
      </c>
      <c r="BP112" s="2">
        <f>7024.96859430859*(1/14151.6638359215)</f>
        <v>0.49640584144437827</v>
      </c>
      <c r="BQ112" s="2">
        <f>7153.85708328813*(1/14151.6638359215)</f>
        <v>0.50551349765172682</v>
      </c>
      <c r="BR112" s="2">
        <f>7276.68935511481*(1/14151.6638359215)</f>
        <v>0.51419320296771176</v>
      </c>
      <c r="BS112" s="2">
        <f>7393.2958617887*(1/14151.6638359215)</f>
        <v>0.52243297661029253</v>
      </c>
      <c r="BT112" s="2">
        <f>7503.50705530991*(1/14151.6638359215)</f>
        <v>0.53022083779743145</v>
      </c>
      <c r="BU112" s="2">
        <f>7607.15338767858*(1/14151.6638359215)</f>
        <v>0.53754480574709274</v>
      </c>
      <c r="BV112" s="2">
        <f>7704.06531089481*(1/14151.6638359215)</f>
        <v>0.54439289967723803</v>
      </c>
      <c r="BW112" s="2">
        <f>7794.0732769587*(1/14151.6638359215)</f>
        <v>0.55075313880582877</v>
      </c>
      <c r="BX112" s="2">
        <f>7877.00773787038*(1/14151.6638359215)</f>
        <v>0.55661354235082849</v>
      </c>
      <c r="BY112" s="2">
        <f>7952.69635674834*(1/14151.6638359215)</f>
        <v>0.56196193245926496</v>
      </c>
      <c r="BZ112" s="2">
        <f>8020.31290713153*(1/14151.6638359215)</f>
        <v>0.56673992543360041</v>
      </c>
      <c r="CA112" s="2">
        <f>8079.69970094117*(1/14151.6638359215)</f>
        <v>0.57093637855022239</v>
      </c>
      <c r="CB112" s="2">
        <f>8131.43627814519*(1/14151.6638359215)</f>
        <v>0.57459224388195085</v>
      </c>
      <c r="CC112" s="2">
        <f>8176.10217871151*(1/14151.6638359215)</f>
        <v>0.57774847350160463</v>
      </c>
      <c r="CD112" s="2">
        <f>8214.27694260807*(1/14151.6638359215)</f>
        <v>0.58044601948200458</v>
      </c>
      <c r="CE112" s="2">
        <f>8246.54010980278*(1/14151.6638359215)</f>
        <v>0.58272583389596877</v>
      </c>
      <c r="CF112" s="2">
        <f>8273.47122026358*(1/14151.6638359215)</f>
        <v>0.58462886881631793</v>
      </c>
      <c r="CG112" s="2">
        <f>8295.64981395839*(1/14151.6638359215)</f>
        <v>0.5861960763158709</v>
      </c>
      <c r="CH112" s="2">
        <f>8313.65543085514*(1/14151.6638359215)</f>
        <v>0.58746840846744774</v>
      </c>
      <c r="CI112" s="2">
        <f>8328.06761092176*(1/14151.6638359215)</f>
        <v>0.58848681734386821</v>
      </c>
      <c r="CJ112" s="2">
        <f>8339.98051307104*(1/14151.6638359215)</f>
        <v>0.5893286195720302</v>
      </c>
      <c r="CK112" s="2">
        <f>8352.14485790293*(1/14151.6638359215)</f>
        <v>0.59018818951185692</v>
      </c>
      <c r="CL112" s="2">
        <f>8363.31255323504*(1/14151.6638359215)</f>
        <v>0.59097733313917822</v>
      </c>
      <c r="CM112" s="2">
        <f>8371.61905093596*(1/14151.6638359215)</f>
        <v>0.59156429576048042</v>
      </c>
      <c r="CN112" s="2">
        <f>8375.19980287431*(1/14151.6638359215)</f>
        <v>0.59181732268225196</v>
      </c>
      <c r="CO112" s="2">
        <f>8372.19026091867*(1/14151.6638359215)</f>
        <v>0.59160465921097871</v>
      </c>
      <c r="CP112" s="2">
        <f>8360.72587693764*(1/14151.6638359215)</f>
        <v>0.59079455065314757</v>
      </c>
      <c r="CQ112" s="2">
        <f>8338.94210279984*(1/14151.6638359215)</f>
        <v>0.58925524231524695</v>
      </c>
      <c r="CR112" s="2">
        <f>8304.97439037385*(1/14151.6638359215)</f>
        <v>0.58685497950376264</v>
      </c>
      <c r="CS112" s="2">
        <f>8256.95819152829*(1/14151.6638359215)</f>
        <v>0.58346200752518307</v>
      </c>
      <c r="CT112" s="2">
        <f>8193.02895813173*(1/14151.6638359215)</f>
        <v>0.57894457168599311</v>
      </c>
      <c r="CU112" s="2">
        <f>8113.16268638153*(1/14151.6638359215)</f>
        <v>0.57330097580382733</v>
      </c>
      <c r="CV112" s="2">
        <f>8019.57798385098*(1/14151.6638359215)</f>
        <v>0.56668799349901866</v>
      </c>
      <c r="CW112" s="2">
        <f>7913.20355619006*(1/14151.6638359215)</f>
        <v>0.55917124996311673</v>
      </c>
      <c r="CX112" s="2">
        <f>7794.96174323188*(1/14151.6638359215)</f>
        <v>0.55081592055951378</v>
      </c>
      <c r="CY112" s="2">
        <f>7665.77488480953*(1/14151.6638359215)</f>
        <v>0.54168718065160038</v>
      </c>
      <c r="CZ112" s="2">
        <f>7526.56532075614*(1/14151.6638359215)</f>
        <v>0.53185020560277041</v>
      </c>
      <c r="DA112" s="2">
        <f>7378.25539090478*(1/14151.6638359215)</f>
        <v>0.52137017077641301</v>
      </c>
      <c r="DB112" s="2">
        <f>7221.76743508862*(1/14151.6638359215)</f>
        <v>0.51031225153592463</v>
      </c>
      <c r="DC112" s="2">
        <f>7058.02379314074*(1/14151.6638359215)</f>
        <v>0.49874162324469529</v>
      </c>
      <c r="DD112" s="2">
        <f>6887.94680489426*(1/14151.6638359215)</f>
        <v>0.48672346126611793</v>
      </c>
      <c r="DE112" s="2">
        <f>6711.50385077621*(1/14151.6638359215)</f>
        <v>0.47425546060105261</v>
      </c>
      <c r="DF112" s="2">
        <f>6520.3008475968*(1/14151.6638359215)</f>
        <v>0.46074446956874199</v>
      </c>
      <c r="DG112" s="2">
        <f>6314.5585237359*(1/14151.6638359215)</f>
        <v>0.44620608551395269</v>
      </c>
      <c r="DH112" s="2">
        <f>6097.28613983002*(1/14151.6638359215)</f>
        <v>0.4308529520290848</v>
      </c>
      <c r="DI112" s="2">
        <f>5871.49295651581*(1/14151.6638359215)</f>
        <v>0.41489771270654846</v>
      </c>
      <c r="DJ112" s="2">
        <f>5640.18823442978*(1/14151.6638359215)</f>
        <v>0.39855301113874386</v>
      </c>
      <c r="DK112" s="2">
        <f>5406.3812342085*(1/14151.6638359215)</f>
        <v>0.38203149091807537</v>
      </c>
      <c r="DL112" s="2">
        <f>5173.08121648851*(1/14151.6638359215)</f>
        <v>0.36554579563694534</v>
      </c>
      <c r="DM112" s="2">
        <f>4943.29744190635*(1/14151.6638359215)</f>
        <v>0.34930856888775597</v>
      </c>
      <c r="DN112" s="2">
        <f>4720.03917109865*(1/14151.6638359215)</f>
        <v>0.333532454262916</v>
      </c>
      <c r="DO112" s="2">
        <f>4506.31566470194*(1/14151.6638359215)</f>
        <v>0.31843009535482697</v>
      </c>
      <c r="DP112" s="2">
        <f>4300.58665185439*(1/14151.6638359215)</f>
        <v>0.30389265189709425</v>
      </c>
      <c r="DQ112" s="2">
        <f>4095.62215503975*(1/14151.6638359215)</f>
        <v>0.28940923148864917</v>
      </c>
      <c r="DR112" s="2">
        <f>3891.92342482201*(1/14151.6638359215)</f>
        <v>0.2750152540327484</v>
      </c>
      <c r="DS112" s="2">
        <f>3690.22064051559*(1/14151.6638359215)</f>
        <v>0.26076231624076712</v>
      </c>
      <c r="DT112" s="2">
        <f>3491.24398143484*(1/14151.6638359215)</f>
        <v>0.24670201482407558</v>
      </c>
      <c r="DU112" s="2">
        <f>3295.72362689424*(1/14151.6638359215)</f>
        <v>0.23288594649405306</v>
      </c>
      <c r="DV112" s="2">
        <f>3104.38975620814*(1/14151.6638359215)</f>
        <v>0.21936570796206981</v>
      </c>
      <c r="DW112" s="2">
        <f>2917.97254869096*(1/14151.6638359215)</f>
        <v>0.20619289593950091</v>
      </c>
      <c r="DX112" s="2">
        <f>2737.20218365708*(1/14151.6638359215)</f>
        <v>0.1934191071377187</v>
      </c>
      <c r="DY112" s="2">
        <f>2562.80884042089*(1/14151.6638359215)</f>
        <v>0.18109593826809625</v>
      </c>
      <c r="DZ112" s="2">
        <f>2395.41841903686*(1/14151.6638359215)</f>
        <v>0.16926761734945353</v>
      </c>
      <c r="EA112" s="2">
        <f>2233.33023214396*(1/14151.6638359215)</f>
        <v>0.15781396859322264</v>
      </c>
      <c r="EB112" s="2">
        <f>2075.86014982978*(1/14151.6638359215)</f>
        <v>0.14668664928010625</v>
      </c>
      <c r="EC112" s="2">
        <f>1923.21333525752*(1/14151.6638359215)</f>
        <v>0.13590015686888934</v>
      </c>
      <c r="ED112" s="2">
        <f>1775.59495159036*(1/14151.6638359215)</f>
        <v>0.12546898881835547</v>
      </c>
      <c r="EE112" s="2">
        <f>1633.21016199145*(1/14151.6638359215)</f>
        <v>0.11540764258728604</v>
      </c>
      <c r="EF112" s="2">
        <f>1496.26412962404*(1/14151.6638359215)</f>
        <v>0.10573061563446962</v>
      </c>
      <c r="EG112" s="2">
        <f>1364.96201765127*(1/14151.6638359215)</f>
        <v>9.6452405418686868E-2</v>
      </c>
      <c r="EH112" s="2">
        <f>1239.50898923633*(1/14151.6638359215)</f>
        <v>8.7587509398722105E-2</v>
      </c>
      <c r="EI112" s="2">
        <f>1120.1102075424*(1/14151.6638359215)</f>
        <v>7.915042503335884E-2</v>
      </c>
      <c r="EJ112" s="2">
        <f>1006.97083573265*(1/14151.6638359215)</f>
        <v>7.1155649781379934E-2</v>
      </c>
      <c r="EK112" s="2">
        <f>900.079457859287*(1/14151.6638359215)</f>
        <v>6.3602376956877274E-2</v>
      </c>
      <c r="EL112" s="2">
        <f>798.909963265671*(1/14151.6638359215)</f>
        <v>5.6453429966148508E-2</v>
      </c>
      <c r="EM112" s="2">
        <f>703.464896350503*(1/14151.6638359215)</f>
        <v>4.9708988604214972E-2</v>
      </c>
      <c r="EN112" s="2">
        <f>613.788937233992*(1/14151.6638359215)</f>
        <v>4.3372210105499902E-2</v>
      </c>
      <c r="EO112" s="2">
        <f>529.926766036349*(1/14151.6638359215)</f>
        <v>3.744625170442669E-2</v>
      </c>
      <c r="EP112" s="2">
        <f>451.923062877786*(1/14151.6638359215)</f>
        <v>3.1934270635418788E-2</v>
      </c>
      <c r="EQ112" s="2">
        <f>379.8225078785*(1/14151.6638359215)</f>
        <v>2.6839424132898609E-2</v>
      </c>
      <c r="ER112" s="2">
        <f>313.669781158728*(1/14151.6638359215)</f>
        <v>2.2164869431291367E-2</v>
      </c>
      <c r="ES112" s="2">
        <f>253.509562838669*(1/14151.6638359215)</f>
        <v>1.7913763765019613E-2</v>
      </c>
      <c r="ET112" s="2">
        <f>199.386533038533*(1/14151.6638359215)</f>
        <v>1.4089264368506656E-2</v>
      </c>
      <c r="EU112" s="2">
        <f>151.379710554653*(1/14151.6638359215)</f>
        <v>1.0696954952420672E-2</v>
      </c>
      <c r="EV112" s="2">
        <f>111.926632501153*(1/14151.6638359215)</f>
        <v>7.9090793703738924E-3</v>
      </c>
      <c r="EW112" s="2">
        <f>81.5735554351342*(1/14151.6638359215)</f>
        <v>5.7642377872257067E-3</v>
      </c>
      <c r="EX112" s="2">
        <f>59.0113947658139*(1/14151.6638359215)</f>
        <v>4.1699262680352745E-3</v>
      </c>
      <c r="EY112" s="2">
        <f>42.9310659024172*(1/14151.6638359215)</f>
        <v>3.03364087786231E-3</v>
      </c>
      <c r="EZ112" s="2">
        <f>32.0234842541696*(1/14151.6638359215)</f>
        <v>2.2628776817665524E-3</v>
      </c>
      <c r="FA112" s="2">
        <f>24.979565230296*(1/14151.6638359215)</f>
        <v>1.7651327448077014E-3</v>
      </c>
      <c r="FB112" s="2">
        <f>20.4902242400212*(1/14151.6638359215)</f>
        <v>1.4479021320454478E-3</v>
      </c>
      <c r="FC112" s="2">
        <f>17.2463766925718*(1/14151.6638359215)</f>
        <v>1.2186819085396106E-3</v>
      </c>
      <c r="FD112" s="2">
        <f>13.9389379971721*(1/14151.6638359215)</f>
        <v>9.8496813934984581E-4</v>
      </c>
      <c r="FE112" s="2">
        <f>9.25882356304702*(1/14151.6638359215)</f>
        <v>6.5425688953585316E-4</v>
      </c>
      <c r="FF112" s="2">
        <f>2.66494935401934*(1/14151.6638359215)</f>
        <v>1.883135004418941E-4</v>
      </c>
      <c r="FG112" s="2">
        <f>-2.99717279563474*(1/14151.6638359215)</f>
        <v>-2.1178942846472555E-4</v>
      </c>
      <c r="FH112" s="2">
        <f>-7.30471111989853*(1/14151.6638359215)</f>
        <v>-5.1617330686988278E-4</v>
      </c>
      <c r="FI112" s="2">
        <f>-10.2576656187732*(1/14151.6638359215)</f>
        <v>-7.2483813477366012E-4</v>
      </c>
      <c r="FJ112" s="2">
        <f>-11.8560362922588*(1/14151.6638359215)</f>
        <v>-8.3778391217606129E-4</v>
      </c>
      <c r="FK112" s="2">
        <f>-12.0998231403553*(1/14151.6638359215)</f>
        <v>-8.5501063907708402E-4</v>
      </c>
      <c r="FL112" s="2">
        <f>-10.9890261630627*(1/14151.6638359215)</f>
        <v>-7.7651831547672842E-4</v>
      </c>
      <c r="FM112" s="2">
        <f>-8.52364536038044*(1/14151.6638359215)</f>
        <v>-6.0230694137495492E-4</v>
      </c>
      <c r="FN112" s="2">
        <f>-4.70368073230939*(1/14151.6638359215)</f>
        <v>-3.3237651677182493E-4</v>
      </c>
      <c r="FO112" s="2">
        <f>0.470867721150766*(1/14151.6638359215)</f>
        <v>3.3272958332683923E-5</v>
      </c>
      <c r="FP112" s="2">
        <f t="shared" si="19"/>
        <v>4.9464148393856954E-4</v>
      </c>
      <c r="FQ112" s="2"/>
    </row>
    <row r="113" spans="2:173">
      <c r="B113" s="2">
        <v>10.341420118343196</v>
      </c>
      <c r="C113" s="2">
        <f t="shared" si="20"/>
        <v>4.9464148393856954E-4</v>
      </c>
      <c r="D113" s="2">
        <f>2.72945452172772*(1/14151.6638359215)</f>
        <v>1.9287163356717689E-4</v>
      </c>
      <c r="E113" s="2">
        <f>-0.649171495917703*(1/14151.6638359215)</f>
        <v>-4.5872450295907662E-5</v>
      </c>
      <c r="F113" s="2">
        <f>-3.13587805293665*(1/14151.6638359215)</f>
        <v>-2.2159076765071098E-4</v>
      </c>
      <c r="G113" s="2">
        <f>-4.73066514932818*(1/14151.6638359215)</f>
        <v>-3.3428331849716652E-4</v>
      </c>
      <c r="H113" s="2">
        <f>-5.43353278509285*(1/14151.6638359215)</f>
        <v>-3.8395010283531371E-4</v>
      </c>
      <c r="I113" s="2">
        <f>-5.24448096023066*(1/14151.6638359215)</f>
        <v>-3.7059112066515254E-4</v>
      </c>
      <c r="J113" s="2">
        <f>-4.1635096747416*(1/14151.6638359215)</f>
        <v>-2.9420637198668227E-4</v>
      </c>
      <c r="K113" s="2">
        <f>-2.1906189286257*(1/14151.6638359215)</f>
        <v>-1.5479585679990508E-4</v>
      </c>
      <c r="L113" s="2">
        <f>0.674191278117689*(1/14151.6638359215)</f>
        <v>4.7640424895224932E-5</v>
      </c>
      <c r="M113" s="2">
        <f>4.43092094548749*(1/14151.6638359215)</f>
        <v>3.1310247309863167E-4</v>
      </c>
      <c r="N113" s="2">
        <f>8.58918900533019*(1/14151.6638359215)</f>
        <v>6.0693845648933885E-4</v>
      </c>
      <c r="O113" s="2">
        <f>9.84890013630832*(1/14151.6638359215)</f>
        <v>6.9595351122661814E-4</v>
      </c>
      <c r="P113" s="2">
        <f>8.83757901596131*(1/14151.6638359215)</f>
        <v>6.2449045698278083E-4</v>
      </c>
      <c r="Q113" s="2">
        <f>7.0734424660261*(1/14151.6638359215)</f>
        <v>4.9983115399274928E-4</v>
      </c>
      <c r="R113" s="2">
        <f>6.07470730823963*(1/14151.6638359215)</f>
        <v>4.2925746249144629E-4</v>
      </c>
      <c r="S113" s="2">
        <f>7.3595903643394*(1/14151.6638359215)</f>
        <v>5.2005124271383406E-4</v>
      </c>
      <c r="T113" s="2">
        <f>12.446308456062*(1/14151.6638359215)</f>
        <v>8.7949435489481068E-4</v>
      </c>
      <c r="U113" s="2">
        <f>22.8530784051446*(1/14151.6638359215)</f>
        <v>1.6148686592693147E-3</v>
      </c>
      <c r="V113" s="2">
        <f>40.0981170333238*(1/14151.6638359215)</f>
        <v>2.8334560160722454E-3</v>
      </c>
      <c r="W113" s="2">
        <f>65.6996411623368*(1/14151.6638359215)</f>
        <v>4.6425382855385432E-3</v>
      </c>
      <c r="X113" s="2">
        <f>101.175867613928*(1/14151.6638359215)</f>
        <v>7.1493973279036583E-3</v>
      </c>
      <c r="Y113" s="2">
        <f>144.722493046216*(1/14151.6638359215)</f>
        <v>1.022653553138137E-2</v>
      </c>
      <c r="Z113" s="2">
        <f>192.203827375379*(1/14151.6638359215)</f>
        <v>1.3581712341661447E-2</v>
      </c>
      <c r="AA113" s="2">
        <f>244.448974446647*(1/14151.6638359215)</f>
        <v>1.7273514781078705E-2</v>
      </c>
      <c r="AB113" s="2">
        <f>302.353222429167*(1/14151.6638359215)</f>
        <v>2.1365206659424506E-2</v>
      </c>
      <c r="AC113" s="2">
        <f>366.811859492086*(1/14151.6638359215)</f>
        <v>2.5920051786490213E-2</v>
      </c>
      <c r="AD113" s="2">
        <f>438.720173804565*(1/14151.6638359215)</f>
        <v>3.1001313972068168E-2</v>
      </c>
      <c r="AE113" s="2">
        <f>518.973453535724*(1/14151.6638359215)</f>
        <v>3.6672257025947834E-2</v>
      </c>
      <c r="AF113" s="2">
        <f>608.466986854723*(1/14151.6638359215)</f>
        <v>4.2996144757921469E-2</v>
      </c>
      <c r="AG113" s="2">
        <f>708.096061930709*(1/14151.6638359215)</f>
        <v>5.003624097778045E-2</v>
      </c>
      <c r="AH113" s="2">
        <f>818.755966932829*(1/14151.6638359215)</f>
        <v>5.7855809495316129E-2</v>
      </c>
      <c r="AI113" s="2">
        <f>941.533914396573*(1/14151.6638359215)</f>
        <v>6.6531676085087282E-2</v>
      </c>
      <c r="AJ113" s="2">
        <f>1079.27490329339*(1/14151.6638359215)</f>
        <v>7.6264877106099804E-2</v>
      </c>
      <c r="AK113" s="2">
        <f>1231.04352661528*(1/14151.6638359215)</f>
        <v>8.6989313828278861E-2</v>
      </c>
      <c r="AL113" s="2">
        <f>1394.73948271286*(1/14151.6638359215)</f>
        <v>9.8556572490971717E-2</v>
      </c>
      <c r="AM113" s="2">
        <f>1568.26246993676*(1/14151.6638359215)</f>
        <v>0.11081823933352647</v>
      </c>
      <c r="AN113" s="2">
        <f>1749.5121866376*(1/14151.6638359215)</f>
        <v>0.12362590059529059</v>
      </c>
      <c r="AO113" s="2">
        <f>1936.38833116601*(1/14151.6638359215)</f>
        <v>0.13683114251561221</v>
      </c>
      <c r="AP113" s="2">
        <f>2126.79060187264*(1/14151.6638359215)</f>
        <v>0.15028555133384086</v>
      </c>
      <c r="AQ113" s="2">
        <f>2318.61869710806*(1/14151.6638359215)</f>
        <v>0.16384071328932051</v>
      </c>
      <c r="AR113" s="2">
        <f>2509.77231522293*(1/14151.6638359215)</f>
        <v>0.17734821462140135</v>
      </c>
      <c r="AS113" s="2">
        <f>2698.15115456786*(1/14151.6638359215)</f>
        <v>0.19065964156943013</v>
      </c>
      <c r="AT113" s="2">
        <f>2885.01920552369*(1/14151.6638359215)</f>
        <v>0.203864311573073</v>
      </c>
      <c r="AU113" s="2">
        <f>3076.94125620602*(1/14151.6638359215)</f>
        <v>0.21742611270879317</v>
      </c>
      <c r="AV113" s="2">
        <f>3273.04632858304*(1/14151.6638359215)</f>
        <v>0.23128349899571454</v>
      </c>
      <c r="AW113" s="2">
        <f>3472.09863980158*(1/14151.6638359215)</f>
        <v>0.2453491462246489</v>
      </c>
      <c r="AX113" s="2">
        <f>3672.86240700846*(1/14151.6638359215)</f>
        <v>0.2595357301864073</v>
      </c>
      <c r="AY113" s="2">
        <f>3874.10184735048*(1/14151.6638359215)</f>
        <v>0.27375592667179932</v>
      </c>
      <c r="AZ113" s="2">
        <f>4074.58117797444*(1/14151.6638359215)</f>
        <v>0.28792241147163455</v>
      </c>
      <c r="BA113" s="2">
        <f>4273.06461602719*(1/14151.6638359215)</f>
        <v>0.30194786037672616</v>
      </c>
      <c r="BB113" s="2">
        <f>4468.31637865546*(1/14151.6638359215)</f>
        <v>0.31574494917787882</v>
      </c>
      <c r="BC113" s="2">
        <f>4659.10068300609*(1/14151.6638359215)</f>
        <v>0.32922635366590502</v>
      </c>
      <c r="BD113" s="2">
        <f>4844.32413210913*(1/14151.6638359215)</f>
        <v>0.34231481105512618</v>
      </c>
      <c r="BE113" s="2">
        <f>5028.07593911805*(1/14151.6638359215)</f>
        <v>0.35529927769730985</v>
      </c>
      <c r="BF113" s="2">
        <f>5211.94887902038*(1/14151.6638359215)</f>
        <v>0.36829230396151502</v>
      </c>
      <c r="BG113" s="2">
        <f>5394.88118233181*(1/14151.6638359215)</f>
        <v>0.38121886195726729</v>
      </c>
      <c r="BH113" s="2">
        <f>5575.81107956789*(1/14151.6638359215)</f>
        <v>0.39400392379408267</v>
      </c>
      <c r="BI113" s="2">
        <f>5753.67680124431*(1/14151.6638359215)</f>
        <v>0.4065724615814868</v>
      </c>
      <c r="BJ113" s="2">
        <f>5927.41657787668*(1/14151.6638359215)</f>
        <v>0.41884944742899982</v>
      </c>
      <c r="BK113" s="2">
        <f>6095.96863998064*(1/14151.6638359215)</f>
        <v>0.43075985344614387</v>
      </c>
      <c r="BL113" s="2">
        <f>6258.27121807184*(1/14151.6638359215)</f>
        <v>0.44222865174244202</v>
      </c>
      <c r="BM113" s="2">
        <f>6413.26254266592*(1/14151.6638359215)</f>
        <v>0.45318081442741631</v>
      </c>
      <c r="BN113" s="2">
        <f>6559.88084427848*(1/14151.6638359215)</f>
        <v>0.46354131361058626</v>
      </c>
      <c r="BO113" s="2">
        <f>6697.98231105362*(1/14151.6638359215)</f>
        <v>0.47329998710483601</v>
      </c>
      <c r="BP113" s="2">
        <f>6830.32560893056*(1/14151.6638359215)</f>
        <v>0.48265177071214654</v>
      </c>
      <c r="BQ113" s="2">
        <f>6956.99803096836*(1/14151.6638359215)</f>
        <v>0.49160283282798511</v>
      </c>
      <c r="BR113" s="2">
        <f>7077.77605182701*(1/14151.6638359215)</f>
        <v>0.50013737846579742</v>
      </c>
      <c r="BS113" s="2">
        <f>7192.43614616641*(1/14151.6638359215)</f>
        <v>0.50823961263902284</v>
      </c>
      <c r="BT113" s="2">
        <f>7300.75478864655*(1/14151.6638359215)</f>
        <v>0.51589374036110669</v>
      </c>
      <c r="BU113" s="2">
        <f>7402.50845392738*(1/14151.6638359215)</f>
        <v>0.52308396664549228</v>
      </c>
      <c r="BV113" s="2">
        <f>7497.47361666886*(1/14151.6638359215)</f>
        <v>0.52979449650562271</v>
      </c>
      <c r="BW113" s="2">
        <f>7585.42675153094*(1/14151.6638359215)</f>
        <v>0.53600953495494108</v>
      </c>
      <c r="BX113" s="2">
        <f>7666.14433317359*(1/14151.6638359215)</f>
        <v>0.54171328700689148</v>
      </c>
      <c r="BY113" s="2">
        <f>7739.40013412921*(1/14151.6638359215)</f>
        <v>0.54688976673429091</v>
      </c>
      <c r="BZ113" s="2">
        <f>7804.35680714596*(1/14151.6638359215)</f>
        <v>0.55147980461039348</v>
      </c>
      <c r="CA113" s="2">
        <f>7860.9040640697*(1/14151.6638359215)</f>
        <v>0.55547560733573842</v>
      </c>
      <c r="CB113" s="2">
        <f>7909.66337391546*(1/14151.6638359215)</f>
        <v>0.55892108981829947</v>
      </c>
      <c r="CC113" s="2">
        <f>7951.2562056983*(1/14151.6638359215)</f>
        <v>0.56186016696605245</v>
      </c>
      <c r="CD113" s="2">
        <f>7986.30402843325*(1/14151.6638359215)</f>
        <v>0.56433675368697123</v>
      </c>
      <c r="CE113" s="2">
        <f>8015.42831113535*(1/14151.6638359215)</f>
        <v>0.56639476488903029</v>
      </c>
      <c r="CF113" s="2">
        <f>8039.25052281964*(1/14151.6638359215)</f>
        <v>0.56807811548020393</v>
      </c>
      <c r="CG113" s="2">
        <f>8058.39213250118*(1/14151.6638359215)</f>
        <v>0.5694307203684682</v>
      </c>
      <c r="CH113" s="2">
        <f>8073.47460919499*(1/14151.6638359215)</f>
        <v>0.57049649446179607</v>
      </c>
      <c r="CI113" s="2">
        <f>8085.11942191612*(1/14151.6638359215)</f>
        <v>0.57131935266816269</v>
      </c>
      <c r="CJ113" s="2">
        <f>8094.38045006263*(1/14151.6638359215)</f>
        <v>0.57197376534033229</v>
      </c>
      <c r="CK113" s="2">
        <f>8103.59761070651*(1/14151.6638359215)</f>
        <v>0.57262507820013064</v>
      </c>
      <c r="CL113" s="2">
        <f>8111.58608018535*(1/14151.6638359215)</f>
        <v>0.57318956797118947</v>
      </c>
      <c r="CM113" s="2">
        <f>8116.63128953806*(1/14151.6638359215)</f>
        <v>0.5735460779484759</v>
      </c>
      <c r="CN113" s="2">
        <f>8117.01866980356*(1/14151.6638359215)</f>
        <v>0.57357345142695815</v>
      </c>
      <c r="CO113" s="2">
        <f>8111.03365202074*(1/14151.6638359215)</f>
        <v>0.57315053170160202</v>
      </c>
      <c r="CP113" s="2">
        <f>8096.96166722852*(1/14151.6638359215)</f>
        <v>0.57215616206737563</v>
      </c>
      <c r="CQ113" s="2">
        <f>8073.08814646582*(1/14151.6638359215)</f>
        <v>0.57046918581924699</v>
      </c>
      <c r="CR113" s="2">
        <f>8037.69852077153*(1/14151.6638359215)</f>
        <v>0.56796844625218212</v>
      </c>
      <c r="CS113" s="2">
        <f>7989.07822118458*(1/14151.6638359215)</f>
        <v>0.5645327866611497</v>
      </c>
      <c r="CT113" s="2">
        <f>7925.51267874387*(1/14151.6638359215)</f>
        <v>0.56004105034111651</v>
      </c>
      <c r="CU113" s="2">
        <f>7846.99070312426*(1/14151.6638359215)</f>
        <v>0.55449244654936336</v>
      </c>
      <c r="CV113" s="2">
        <f>7755.56144703633*(1/14151.6638359215)</f>
        <v>0.54803177470554432</v>
      </c>
      <c r="CW113" s="2">
        <f>7652.07124827934*(1/14151.6638359215)</f>
        <v>0.54071883963607925</v>
      </c>
      <c r="CX113" s="2">
        <f>7537.36053749202*(1/14151.6638359215)</f>
        <v>0.53261302874929528</v>
      </c>
      <c r="CY113" s="2">
        <f>7412.26974531309*(1/14151.6638359215)</f>
        <v>0.52377372945351863</v>
      </c>
      <c r="CZ113" s="2">
        <f>7277.63930238128*(1/14151.6638359215)</f>
        <v>0.51426032915707609</v>
      </c>
      <c r="DA113" s="2">
        <f>7134.30963933529*(1/14151.6638359215)</f>
        <v>0.50413221526829266</v>
      </c>
      <c r="DB113" s="2">
        <f>6983.1211868139*(1/14151.6638359215)</f>
        <v>0.4934487751954989</v>
      </c>
      <c r="DC113" s="2">
        <f>6824.91437545582*(1/14151.6638359215)</f>
        <v>0.48226939634702032</v>
      </c>
      <c r="DD113" s="2">
        <f>6660.52963589977*(1/14151.6638359215)</f>
        <v>0.47065346613118325</v>
      </c>
      <c r="DE113" s="2">
        <f>6489.91768381235*(1/14151.6638359215)</f>
        <v>0.45859750196572929</v>
      </c>
      <c r="DF113" s="2">
        <f>6305.25138556553*(1/14151.6638359215)</f>
        <v>0.44554841456597932</v>
      </c>
      <c r="DG113" s="2">
        <f>6106.75412268224*(1/14151.6638359215)</f>
        <v>0.43152198875593156</v>
      </c>
      <c r="DH113" s="2">
        <f>5897.24984235587*(1/14151.6638359215)</f>
        <v>0.41671777331134324</v>
      </c>
      <c r="DI113" s="2">
        <f>5679.56249177994*(1/14151.6638359215)</f>
        <v>0.40133531700798131</v>
      </c>
      <c r="DJ113" s="2">
        <f>5456.51601814785*(1/14151.6638359215)</f>
        <v>0.38557416862160393</v>
      </c>
      <c r="DK113" s="2">
        <f>5230.93436865303*(1/14151.6638359215)</f>
        <v>0.36963387692797134</v>
      </c>
      <c r="DL113" s="2">
        <f>5005.64149048892*(1/14151.6638359215)</f>
        <v>0.35371399070284465</v>
      </c>
      <c r="DM113" s="2">
        <f>4783.46133084892*(1/14151.6638359215)</f>
        <v>0.33801405872198209</v>
      </c>
      <c r="DN113" s="2">
        <f>4567.21783692655*(1/14151.6638359215)</f>
        <v>0.32273362976115039</v>
      </c>
      <c r="DO113" s="2">
        <f>4359.7349559152*(1/14151.6638359215)</f>
        <v>0.30807225259610693</v>
      </c>
      <c r="DP113" s="2">
        <f>4159.39763784887*(1/14151.6638359215)</f>
        <v>0.2939158028394494</v>
      </c>
      <c r="DQ113" s="2">
        <f>3959.1724668282*(1/14151.6638359215)</f>
        <v>0.27976727773723253</v>
      </c>
      <c r="DR113" s="2">
        <f>3759.6779920768*(1/14151.6638359215)</f>
        <v>0.26567038587600711</v>
      </c>
      <c r="DS113" s="2">
        <f>3561.75755399881*(1/14151.6638359215)</f>
        <v>0.25168472027705446</v>
      </c>
      <c r="DT113" s="2">
        <f>3366.25449299833*(1/14151.6638359215)</f>
        <v>0.23786987396165302</v>
      </c>
      <c r="DU113" s="2">
        <f>3174.01214947955*(1/14151.6638359215)</f>
        <v>0.22428543995108763</v>
      </c>
      <c r="DV113" s="2">
        <f>2985.87386384659*(1/14151.6638359215)</f>
        <v>0.21099101126663825</v>
      </c>
      <c r="DW113" s="2">
        <f>2802.68297650358*(1/14151.6638359215)</f>
        <v>0.1980461809295854</v>
      </c>
      <c r="DX113" s="2">
        <f>2625.28282785464*(1/14151.6638359215)</f>
        <v>0.18551054196120906</v>
      </c>
      <c r="DY113" s="2">
        <f>2454.51675830388*(1/14151.6638359215)</f>
        <v>0.17344368738278837</v>
      </c>
      <c r="DZ113" s="2">
        <f>2291.11343258798*(1/14151.6638359215)</f>
        <v>0.16189710688098688</v>
      </c>
      <c r="EA113" s="2">
        <f>2133.2214400125*(1/14151.6638359215)</f>
        <v>0.15073997409390788</v>
      </c>
      <c r="EB113" s="2">
        <f>1980.0538752566*(1/14151.6638359215)</f>
        <v>0.13991668387646283</v>
      </c>
      <c r="EC113" s="2">
        <f>1831.79403489847*(1/14151.6638359215)</f>
        <v>0.12944018852742845</v>
      </c>
      <c r="ED113" s="2">
        <f>1688.62521551631*(1/14151.6638359215)</f>
        <v>0.11932344034558205</v>
      </c>
      <c r="EE113" s="2">
        <f>1550.73071368827*(1/14151.6638359215)</f>
        <v>0.10957939162969756</v>
      </c>
      <c r="EF113" s="2">
        <f>1418.29382599262*(1/14151.6638359215)</f>
        <v>0.10022099467855727</v>
      </c>
      <c r="EG113" s="2">
        <f>1291.49784900751*(1/14151.6638359215)</f>
        <v>9.1261201790935054E-2</v>
      </c>
      <c r="EH113" s="2">
        <f>1170.52607931114*(1/14151.6638359215)</f>
        <v>8.2712965265608285E-2</v>
      </c>
      <c r="EI113" s="2">
        <f>1055.56181348169*(1/14151.6638359215)</f>
        <v>7.4589237401352967E-2</v>
      </c>
      <c r="EJ113" s="2">
        <f>946.788348097358*(1/14151.6638359215)</f>
        <v>6.690297049694631E-2</v>
      </c>
      <c r="EK113" s="2">
        <f>844.245922661048*(1/14151.6638359215)</f>
        <v>5.9657007999163944E-2</v>
      </c>
      <c r="EL113" s="2">
        <f>747.586293911005*(1/14151.6638359215)</f>
        <v>5.2826741970325018E-2</v>
      </c>
      <c r="EM113" s="2">
        <f>656.75837311848*(1/14151.6638359215)</f>
        <v>4.6408562324057955E-2</v>
      </c>
      <c r="EN113" s="2">
        <f>571.73723985298*(1/14151.6638359215)</f>
        <v>4.0400708106259987E-2</v>
      </c>
      <c r="EO113" s="2">
        <f>492.497973684013*(1/14151.6638359215)</f>
        <v>3.4801418362828393E-2</v>
      </c>
      <c r="EP113" s="2">
        <f>419.015654181084*(1/14151.6638359215)</f>
        <v>2.960893213966027E-2</v>
      </c>
      <c r="EQ113" s="2">
        <f>351.265360913691*(1/14151.6638359215)</f>
        <v>2.4821488482652188E-2</v>
      </c>
      <c r="ER113" s="2">
        <f>289.222173451363*(1/14151.6638359215)</f>
        <v>2.0437326437702935E-2</v>
      </c>
      <c r="ES113" s="2">
        <f>232.861171363597*(1/14151.6638359215)</f>
        <v>1.6454685050709024E-2</v>
      </c>
      <c r="ET113" s="2">
        <f>182.157434219899*(1/14151.6638359215)</f>
        <v>1.2871803367567601E-2</v>
      </c>
      <c r="EU113" s="2">
        <f>137.121282243394*(1/14151.6638359215)</f>
        <v>9.6894106469188335E-3</v>
      </c>
      <c r="EV113" s="2">
        <f>100.213720846463*(1/14151.6638359215)</f>
        <v>7.0814090843571466E-3</v>
      </c>
      <c r="EW113" s="2">
        <f>72.0495460495991*(1/14151.6638359215)</f>
        <v>5.0912420535820001E-3</v>
      </c>
      <c r="EX113" s="2">
        <f>51.3577567616749*(1/14151.6638359215)</f>
        <v>3.6290967166215681E-3</v>
      </c>
      <c r="EY113" s="2">
        <f>36.8673518915721*(1/14151.6638359215)</f>
        <v>2.6051602355046644E-3</v>
      </c>
      <c r="EZ113" s="2">
        <f>27.3073303481724*(1/14151.6638359215)</f>
        <v>1.9296197722601044E-3</v>
      </c>
      <c r="FA113" s="2">
        <f>21.4066910403572*(1/14151.6638359215)</f>
        <v>1.5126624889166809E-3</v>
      </c>
      <c r="FB113" s="2">
        <f>17.8944328770077*(1/14151.6638359215)</f>
        <v>1.2644755475031736E-3</v>
      </c>
      <c r="FC113" s="2">
        <f>15.4995547670064*(1/14151.6638359215)</f>
        <v>1.0952461100484537E-3</v>
      </c>
      <c r="FD113" s="2">
        <f>12.9510556192342*(1/14151.6638359215)</f>
        <v>9.1516133858127917E-4</v>
      </c>
      <c r="FE113" s="2">
        <f>8.97793434257242*(1/14151.6638359215)</f>
        <v>6.3440839513043818E-4</v>
      </c>
      <c r="FF113" s="2">
        <f>3.05484795673197*(1/14151.6638359215)</f>
        <v>2.158649323606584E-4</v>
      </c>
      <c r="FG113" s="2">
        <f>-2.05547248817591*(1/14151.6638359215)</f>
        <v>-1.4524599453517655E-4</v>
      </c>
      <c r="FH113" s="2">
        <f>-5.94249612214192*(1/14151.6638359215)</f>
        <v>-4.1991501430792489E-4</v>
      </c>
      <c r="FI113" s="2">
        <f>-8.60622294516714*(1/14151.6638359215)</f>
        <v>-6.0814212695766291E-4</v>
      </c>
      <c r="FJ113" s="2">
        <f>-10.0466529572516*(1/14151.6638359215)</f>
        <v>-7.0992733248439284E-4</v>
      </c>
      <c r="FK113" s="2">
        <f>-10.2637861583952*(1/14151.6638359215)</f>
        <v>-7.2527063088810746E-4</v>
      </c>
      <c r="FL113" s="2">
        <f>-9.25762254859798*(1/14151.6638359215)</f>
        <v>-6.541720221688096E-4</v>
      </c>
      <c r="FM113" s="2">
        <f>-7.02816212785946*(1/14151.6638359215)</f>
        <v>-4.9663150632646544E-4</v>
      </c>
      <c r="FN113" s="2">
        <f>-3.57540489618044*(1/14151.6638359215)</f>
        <v>-2.5264908336113145E-4</v>
      </c>
      <c r="FO113" s="2">
        <f>1.10064914643939*(1/14151.6638359215)</f>
        <v>7.7775246727214255E-5</v>
      </c>
      <c r="FP113" s="2">
        <f t="shared" si="19"/>
        <v>4.9464148393856954E-4</v>
      </c>
      <c r="FQ113" s="2"/>
    </row>
    <row r="114" spans="2:173">
      <c r="B114" s="2">
        <v>10.350887573964497</v>
      </c>
      <c r="C114" s="2">
        <f t="shared" si="20"/>
        <v>4.9464148393856954E-4</v>
      </c>
      <c r="D114" s="2">
        <f>3.4732649295908*(1/14151.6638359215)</f>
        <v>2.4543155984065496E-4</v>
      </c>
      <c r="E114" s="2">
        <f>0.683053950050155*(1/14151.6638359215)</f>
        <v>4.8266688494701465E-5</v>
      </c>
      <c r="F114" s="2">
        <f>-1.37063293862225*(1/14151.6638359215)</f>
        <v>-9.6853130099313148E-5</v>
      </c>
      <c r="G114" s="2">
        <f>-2.68779573642566*(1/14151.6638359215)</f>
        <v>-1.8992789594133555E-4</v>
      </c>
      <c r="H114" s="2">
        <f>-3.26843444336051*(1/14151.6638359215)</f>
        <v>-2.3095760903139647E-4</v>
      </c>
      <c r="I114" s="2">
        <f>-3.11254905942681*(1/14151.6638359215)</f>
        <v>-2.1994226936949661E-4</v>
      </c>
      <c r="J114" s="2">
        <f>-2.22013958462455*(1/14151.6638359215)</f>
        <v>-1.5688187695563527E-4</v>
      </c>
      <c r="K114" s="2">
        <f>-0.591206018953753*(1/14151.6638359215)</f>
        <v>-4.1776431789814069E-5</v>
      </c>
      <c r="L114" s="2">
        <f>1.77425163758612*(1/14151.6638359215)</f>
        <v>1.2537406612800507E-4</v>
      </c>
      <c r="M114" s="2">
        <f>4.87623338499417*(1/14151.6638359215)</f>
        <v>3.4456961679775862E-4</v>
      </c>
      <c r="N114" s="2">
        <f>8.25918961614778*(1/14151.6638359215)</f>
        <v>5.836196868373374E-4</v>
      </c>
      <c r="O114" s="2">
        <f>8.85742871949465*(1/14151.6638359215)</f>
        <v>6.2589309795584816E-4</v>
      </c>
      <c r="P114" s="2">
        <f>7.25390268661391*(1/14151.6638359215)</f>
        <v>5.1258302703609726E-4</v>
      </c>
      <c r="Q114" s="2">
        <f>4.85899034651169*(1/14151.6638359215)</f>
        <v>3.433511707773895E-4</v>
      </c>
      <c r="R114" s="2">
        <f>3.08307052819398*(1/14151.6638359215)</f>
        <v>2.1785922587901996E-4</v>
      </c>
      <c r="S114" s="2">
        <f>3.33652206066773*(1/14151.6638359215)</f>
        <v>2.3576888904035142E-4</v>
      </c>
      <c r="T114" s="2">
        <f>7.02972377293867*(1/14151.6638359215)</f>
        <v>4.9674185696066051E-4</v>
      </c>
      <c r="U114" s="2">
        <f>15.573054494013*(1/14151.6638359215)</f>
        <v>1.1004398263392572E-3</v>
      </c>
      <c r="V114" s="2">
        <f>30.3768930528967*(1/14151.6638359215)</f>
        <v>2.1465244938754357E-3</v>
      </c>
      <c r="W114" s="2">
        <f>52.8516182785961*(1/14151.6638359215)</f>
        <v>3.7346575562685145E-3</v>
      </c>
      <c r="X114" s="2">
        <f>84.407609000124*(1/14151.6638359215)</f>
        <v>5.9645007102182707E-3</v>
      </c>
      <c r="Y114" s="2">
        <f>123.00935222603*(1/14151.6638359215)</f>
        <v>8.6922183604865241E-3</v>
      </c>
      <c r="Z114" s="2">
        <f>164.413196973812*(1/14151.6638359215)</f>
        <v>1.1617941104315814E-2</v>
      </c>
      <c r="AA114" s="2">
        <f>209.671977320695*(1/14151.6638359215)</f>
        <v>1.4816065428891811E-2</v>
      </c>
      <c r="AB114" s="2">
        <f>259.908101743983*(1/14151.6638359215)</f>
        <v>1.8365904162042927E-2</v>
      </c>
      <c r="AC114" s="2">
        <f>316.243978720975*(1/14151.6638359215)</f>
        <v>2.2346770131597214E-2</v>
      </c>
      <c r="AD114" s="2">
        <f>379.802016728988*(1/14151.6638359215)</f>
        <v>2.6837976165384008E-2</v>
      </c>
      <c r="AE114" s="2">
        <f>451.704624245299*(1/14151.6638359215)</f>
        <v>3.1918835091229808E-2</v>
      </c>
      <c r="AF114" s="2">
        <f>533.074209747221*(1/14151.6638359215)</f>
        <v>3.7668659736963664E-2</v>
      </c>
      <c r="AG114" s="2">
        <f>625.033181712057*(1/14151.6638359215)</f>
        <v>4.4166762930413918E-2</v>
      </c>
      <c r="AH114" s="2">
        <f>728.703948617107*(1/14151.6638359215)</f>
        <v>5.1492457499408707E-2</v>
      </c>
      <c r="AI114" s="2">
        <f>845.360508988332*(1/14151.6638359215)</f>
        <v>5.9735768089864714E-2</v>
      </c>
      <c r="AJ114" s="2">
        <f>977.419509211864*(1/14151.6638359215)</f>
        <v>6.9067462352437825E-2</v>
      </c>
      <c r="AK114" s="2">
        <f>1123.7689534407*(1/14151.6638359215)</f>
        <v>7.9408963247714445E-2</v>
      </c>
      <c r="AL114" s="2">
        <f>1282.30934072081*(1/14151.6638359215)</f>
        <v>9.0611913594632901E-2</v>
      </c>
      <c r="AM114" s="2">
        <f>1450.94117009817*(1/14151.6638359215)</f>
        <v>0.1025279562121319</v>
      </c>
      <c r="AN114" s="2">
        <f>1627.56494061875*(1/14151.6638359215)</f>
        <v>0.11500873391914976</v>
      </c>
      <c r="AO114" s="2">
        <f>1810.08115132854*(1/14151.6638359215)</f>
        <v>0.12790588953462623</v>
      </c>
      <c r="AP114" s="2">
        <f>1996.39030127353*(1/14151.6638359215)</f>
        <v>0.14107106587750098</v>
      </c>
      <c r="AQ114" s="2">
        <f>2184.39288949963*(1/14151.6638359215)</f>
        <v>0.15435590576670813</v>
      </c>
      <c r="AR114" s="2">
        <f>2371.98941505285*(1/14151.6638359215)</f>
        <v>0.16761205202118876</v>
      </c>
      <c r="AS114" s="2">
        <f>2557.08037697916*(1/14151.6638359215)</f>
        <v>0.18069114745988121</v>
      </c>
      <c r="AT114" s="2">
        <f>2741.04038867041*(1/14151.6638359215)</f>
        <v>0.19369032648392642</v>
      </c>
      <c r="AU114" s="2">
        <f>2930.64167896101*(1/14151.6638359215)</f>
        <v>0.20708813556764211</v>
      </c>
      <c r="AV114" s="2">
        <f>3124.90642850498*(1/14151.6638359215)</f>
        <v>0.22081547899498269</v>
      </c>
      <c r="AW114" s="2">
        <f>3322.47854913452*(1/14151.6638359215)</f>
        <v>0.23477653141399493</v>
      </c>
      <c r="AX114" s="2">
        <f>3522.00195268178*(1/14151.6638359215)</f>
        <v>0.24887546747272218</v>
      </c>
      <c r="AY114" s="2">
        <f>3722.12055097895*(1/14151.6638359215)</f>
        <v>0.26301646181921057</v>
      </c>
      <c r="AZ114" s="2">
        <f>3921.47825585819*(1/14151.6638359215)</f>
        <v>0.27710368910150407</v>
      </c>
      <c r="BA114" s="2">
        <f>4118.71897915169*(1/14151.6638359215)</f>
        <v>0.29104132396764892</v>
      </c>
      <c r="BB114" s="2">
        <f>4312.48663269157*(1/14151.6638359215)</f>
        <v>0.30473354106568618</v>
      </c>
      <c r="BC114" s="2">
        <f>4501.42512831002*(1/14151.6638359215)</f>
        <v>0.31808451504366203</v>
      </c>
      <c r="BD114" s="2">
        <f>4684.32297206821*(1/14151.6638359215)</f>
        <v>0.33100863802162145</v>
      </c>
      <c r="BE114" s="2">
        <f>4865.28005996321*(1/14151.6638359215)</f>
        <v>0.34379562123384783</v>
      </c>
      <c r="BF114" s="2">
        <f>5045.99600669191*(1/14151.6638359215)</f>
        <v>0.35656556467116896</v>
      </c>
      <c r="BG114" s="2">
        <f>5225.49736962502*(1/14151.6638359215)</f>
        <v>0.36924968188977308</v>
      </c>
      <c r="BH114" s="2">
        <f>5402.81070613317*(1/14151.6638359215)</f>
        <v>0.38177918644584319</v>
      </c>
      <c r="BI114" s="2">
        <f>5576.96257358704*(1/14151.6638359215)</f>
        <v>0.39408529189556535</v>
      </c>
      <c r="BJ114" s="2">
        <f>5746.97952935734*(1/14151.6638359215)</f>
        <v>0.40609921179512809</v>
      </c>
      <c r="BK114" s="2">
        <f>5911.88813081472*(1/14151.6638359215)</f>
        <v>0.41775215970071561</v>
      </c>
      <c r="BL114" s="2">
        <f>6070.71493532988*(1/14151.6638359215)</f>
        <v>0.4289753491685156</v>
      </c>
      <c r="BM114" s="2">
        <f>6222.48650027351*(1/14151.6638359215)</f>
        <v>0.43969999375471502</v>
      </c>
      <c r="BN114" s="2">
        <f>6366.22938301624*(1/14151.6638359215)</f>
        <v>0.4498573070154967</v>
      </c>
      <c r="BO114" s="2">
        <f>6501.8676569826*(1/14151.6638359215)</f>
        <v>0.45944192374600912</v>
      </c>
      <c r="BP114" s="2">
        <f>6632.10272433801*(1/14151.6638359215)</f>
        <v>0.46864473331422618</v>
      </c>
      <c r="BQ114" s="2">
        <f>6756.95033794928*(1/14151.6638359215)</f>
        <v>0.47746684886606439</v>
      </c>
      <c r="BR114" s="2">
        <f>6876.11913105706*(1/14151.6638359215)</f>
        <v>0.48588768153206452</v>
      </c>
      <c r="BS114" s="2">
        <f>6989.31773690192*(1/14151.6638359215)</f>
        <v>0.49388664244276148</v>
      </c>
      <c r="BT114" s="2">
        <f>7096.25478872452*(1/14151.6638359215)</f>
        <v>0.50144314272869672</v>
      </c>
      <c r="BU114" s="2">
        <f>7196.63891976549*(1/14151.6638359215)</f>
        <v>0.50853659352040947</v>
      </c>
      <c r="BV114" s="2">
        <f>7290.17876326545*(1/14151.6638359215)</f>
        <v>0.51514640594843819</v>
      </c>
      <c r="BW114" s="2">
        <f>7376.58295246503*(1/14151.6638359215)</f>
        <v>0.52125199114332244</v>
      </c>
      <c r="BX114" s="2">
        <f>7455.56012060486*(1/14151.6638359215)</f>
        <v>0.52683276023560122</v>
      </c>
      <c r="BY114" s="2">
        <f>7526.81654979927*(1/14151.6638359215)</f>
        <v>0.53186795821801358</v>
      </c>
      <c r="BZ114" s="2">
        <f>7589.56345766488*(1/14151.6638359215)</f>
        <v>0.53630184730647101</v>
      </c>
      <c r="CA114" s="2">
        <f>7643.77436164779*(1/14151.6638359215)</f>
        <v>0.54013255616243649</v>
      </c>
      <c r="CB114" s="2">
        <f>7690.08803335151*(1/14151.6638359215)</f>
        <v>0.54340522234788957</v>
      </c>
      <c r="CC114" s="2">
        <f>7729.14324437954*(1/14151.6638359215)</f>
        <v>0.54616498342480935</v>
      </c>
      <c r="CD114" s="2">
        <f>7761.5787663354*(1/14151.6638359215)</f>
        <v>0.54845697695517637</v>
      </c>
      <c r="CE114" s="2">
        <f>7788.03337082258*(1/14151.6638359215)</f>
        <v>0.55032634050096874</v>
      </c>
      <c r="CF114" s="2">
        <f>7809.14582944459*(1/14151.6638359215)</f>
        <v>0.55181821162416622</v>
      </c>
      <c r="CG114" s="2">
        <f>7825.55491380495*(1/14151.6638359215)</f>
        <v>0.55297772788674937</v>
      </c>
      <c r="CH114" s="2">
        <f>7837.89939550715*(1/14151.6638359215)</f>
        <v>0.55385002685069629</v>
      </c>
      <c r="CI114" s="2">
        <f>7846.8180461547*(1/14151.6638359215)</f>
        <v>0.55448024607798685</v>
      </c>
      <c r="CJ114" s="2">
        <f>7853.29732429932*(1/14151.6638359215)</f>
        <v>0.55493809175745912</v>
      </c>
      <c r="CK114" s="2">
        <f>7859.24826471642*(1/14151.6638359215)</f>
        <v>0.5553586034715654</v>
      </c>
      <c r="CL114" s="2">
        <f>7863.57746530238*(1/14151.6638359215)</f>
        <v>0.55566451807186634</v>
      </c>
      <c r="CM114" s="2">
        <f>7864.75340828125*(1/14151.6638359215)</f>
        <v>0.55574761381187998</v>
      </c>
      <c r="CN114" s="2">
        <f>7861.24457587704*(1/14151.6638359215)</f>
        <v>0.55549966894512137</v>
      </c>
      <c r="CO114" s="2">
        <f>7851.5194503138*(1/14151.6638359215)</f>
        <v>0.55481246172510856</v>
      </c>
      <c r="CP114" s="2">
        <f>7834.04651381556*(1/14151.6638359215)</f>
        <v>0.55357777040535794</v>
      </c>
      <c r="CQ114" s="2">
        <f>7807.29424860636*(1/14151.6638359215)</f>
        <v>0.5516873732393871</v>
      </c>
      <c r="CR114" s="2">
        <f>7769.73113691023*(1/14151.6638359215)</f>
        <v>0.54903304848071222</v>
      </c>
      <c r="CS114" s="2">
        <f>7719.82566095121*(1/14151.6638359215)</f>
        <v>0.54550657438285077</v>
      </c>
      <c r="CT114" s="2">
        <f>7656.04630295332*(1/14151.6638359215)</f>
        <v>0.54099972919931849</v>
      </c>
      <c r="CU114" s="2">
        <f>7578.35383462564*(1/14151.6638359215)</f>
        <v>0.5355097409386822</v>
      </c>
      <c r="CV114" s="2">
        <f>7488.55445066902*(1/14151.6638359215)</f>
        <v>0.52916424086195768</v>
      </c>
      <c r="CW114" s="2">
        <f>7387.42472224298*(1/14151.6638359215)</f>
        <v>0.5220181038706776</v>
      </c>
      <c r="CX114" s="2">
        <f>7275.7360874295*(1/14151.6638359215)</f>
        <v>0.51412584214736146</v>
      </c>
      <c r="CY114" s="2">
        <f>7154.25998431058*(1/14151.6638359215)</f>
        <v>0.50554196787453032</v>
      </c>
      <c r="CZ114" s="2">
        <f>7023.7678509682*(1/14151.6638359215)</f>
        <v>0.49632099323470402</v>
      </c>
      <c r="DA114" s="2">
        <f>6885.03112548433*(1/14151.6638359215)</f>
        <v>0.48651743041040124</v>
      </c>
      <c r="DB114" s="2">
        <f>6738.82124594102*(1/14151.6638359215)</f>
        <v>0.47618579158414659</v>
      </c>
      <c r="DC114" s="2">
        <f>6585.90965042023*(1/14151.6638359215)</f>
        <v>0.46538058893845835</v>
      </c>
      <c r="DD114" s="2">
        <f>6427.06777700396*(1/14151.6638359215)</f>
        <v>0.45415633465585747</v>
      </c>
      <c r="DE114" s="2">
        <f>6262.24469460609*(1/14151.6638359215)</f>
        <v>0.44250942978948438</v>
      </c>
      <c r="DF114" s="2">
        <f>6084.20387045174*(1/14151.6638359215)</f>
        <v>0.42992851872357674</v>
      </c>
      <c r="DG114" s="2">
        <f>5893.15682469349*(1/14151.6638359215)</f>
        <v>0.41642854812129954</v>
      </c>
      <c r="DH114" s="2">
        <f>5691.7195226958*(1/14151.6638359215)</f>
        <v>0.4021943701240539</v>
      </c>
      <c r="DI114" s="2">
        <f>5482.50792982322*(1/14151.6638359215)</f>
        <v>0.38741083687324751</v>
      </c>
      <c r="DJ114" s="2">
        <f>5268.13801144022*(1/14151.6638359215)</f>
        <v>0.37226280051028221</v>
      </c>
      <c r="DK114" s="2">
        <f>5051.22573291129*(1/14151.6638359215)</f>
        <v>0.35693511317656129</v>
      </c>
      <c r="DL114" s="2">
        <f>4834.38705960091*(1/14151.6638359215)</f>
        <v>0.34161262701348744</v>
      </c>
      <c r="DM114" s="2">
        <f>4620.23795687355*(1/14151.6638359215)</f>
        <v>0.32648019416246249</v>
      </c>
      <c r="DN114" s="2">
        <f>4411.39439009376*(1/14151.6638359215)</f>
        <v>0.31172266676489407</v>
      </c>
      <c r="DO114" s="2">
        <f>4210.47232462601*(1/14151.6638359215)</f>
        <v>0.29752489696218404</v>
      </c>
      <c r="DP114" s="2">
        <f>4015.78778935585*(1/14151.6638359215)</f>
        <v>0.28376789018705217</v>
      </c>
      <c r="DQ114" s="2">
        <f>3820.54997112625*(1/14151.6638359215)</f>
        <v>0.26997178673990679</v>
      </c>
      <c r="DR114" s="2">
        <f>3625.4959597612*(1/14151.6638359215)</f>
        <v>0.25618867164993836</v>
      </c>
      <c r="DS114" s="2">
        <f>3431.58211151259*(1/14151.6638359215)</f>
        <v>0.24248612398509106</v>
      </c>
      <c r="DT114" s="2">
        <f>3239.76478263231*(1/14151.6638359215)</f>
        <v>0.22893172281330901</v>
      </c>
      <c r="DU114" s="2">
        <f>3051.00032937233*(1/14151.6638359215)</f>
        <v>0.21559304720254197</v>
      </c>
      <c r="DV114" s="2">
        <f>2866.24510798452*(1/14151.6638359215)</f>
        <v>0.20253767622073265</v>
      </c>
      <c r="DW114" s="2">
        <f>2686.45547472078*(1/14151.6638359215)</f>
        <v>0.18983318893582585</v>
      </c>
      <c r="DX114" s="2">
        <f>2512.58778583303*(1/14151.6638359215)</f>
        <v>0.17754716441576782</v>
      </c>
      <c r="DY114" s="2">
        <f>2345.59839757314*(1/14151.6638359215)</f>
        <v>0.16574718172850128</v>
      </c>
      <c r="DZ114" s="2">
        <f>2186.31835834729*(1/14151.6638359215)</f>
        <v>0.15449196530500584</v>
      </c>
      <c r="EA114" s="2">
        <f>2032.7408509761*(1/14151.6638359215)</f>
        <v>0.14363970728419553</v>
      </c>
      <c r="EB114" s="2">
        <f>1883.97618623226*(1/14151.6638359215)</f>
        <v>0.13312753949469314</v>
      </c>
      <c r="EC114" s="2">
        <f>1740.18814120398*(1/14151.6638359215)</f>
        <v>0.12296703492820538</v>
      </c>
      <c r="ED114" s="2">
        <f>1601.54049297945*(1/14151.6638359215)</f>
        <v>0.11316976657643762</v>
      </c>
      <c r="EE114" s="2">
        <f>1468.19701864684*(1/14151.6638359215)</f>
        <v>0.1037473074310938</v>
      </c>
      <c r="EF114" s="2">
        <f>1340.32149529441*(1/14151.6638359215)</f>
        <v>9.4711230483884204E-2</v>
      </c>
      <c r="EG114" s="2">
        <f>1218.07770001032*(1/14151.6638359215)</f>
        <v>8.6073108726512068E-2</v>
      </c>
      <c r="EH114" s="2">
        <f>1101.62940988278*(1/14151.6638359215)</f>
        <v>7.7844515150684135E-2</v>
      </c>
      <c r="EI114" s="2">
        <f>991.140401999977*(1/14151.6638359215)</f>
        <v>7.0037022748105568E-2</v>
      </c>
      <c r="EJ114" s="2">
        <f>886.774453450097*(1/14151.6638359215)</f>
        <v>6.266220451048142E-2</v>
      </c>
      <c r="EK114" s="2">
        <f>788.623917944746*(1/14151.6638359215)</f>
        <v>5.57265864345197E-2</v>
      </c>
      <c r="EL114" s="2">
        <f>696.513823953804*(1/14151.6638359215)</f>
        <v>4.9217804494891035E-2</v>
      </c>
      <c r="EM114" s="2">
        <f>610.338855214607*(1/14151.6638359215)</f>
        <v>4.3128416721245851E-2</v>
      </c>
      <c r="EN114" s="2">
        <f>530.004244278842*(1/14151.6638359215)</f>
        <v>3.7451726554832358E-2</v>
      </c>
      <c r="EO114" s="2">
        <f>455.415223698194*(1/14151.6638359215)</f>
        <v>3.218103743689861E-2</v>
      </c>
      <c r="EP114" s="2">
        <f>386.477026024348*(1/14151.6638359215)</f>
        <v>2.7309652808692665E-2</v>
      </c>
      <c r="EQ114" s="2">
        <f>323.094883808979*(1/14151.6638359215)</f>
        <v>2.2830876111461867E-2</v>
      </c>
      <c r="ER114" s="2">
        <f>265.174029603796*(1/14151.6638359215)</f>
        <v>1.8738010786455973E-2</v>
      </c>
      <c r="ES114" s="2">
        <f>212.619695960473*(1/14151.6638359215)</f>
        <v>1.5024360274922264E-2</v>
      </c>
      <c r="ET114" s="2">
        <f>165.337115430694*(1/14151.6638359215)</f>
        <v>1.1683228018108721E-2</v>
      </c>
      <c r="EU114" s="2">
        <f>123.267609024819*(1/14151.6638359215)</f>
        <v>8.7104675785136965E-3</v>
      </c>
      <c r="EV114" s="2">
        <f>88.8917041637599*(1/14151.6638359215)</f>
        <v>6.2813606367700739E-3</v>
      </c>
      <c r="EW114" s="2">
        <f>62.8920093068646*(1/14151.6638359215)</f>
        <v>4.4441424016322621E-3</v>
      </c>
      <c r="EX114" s="2">
        <f>44.0378522599299*(1/14151.6638359215)</f>
        <v>3.1118497987598875E-3</v>
      </c>
      <c r="EY114" s="2">
        <f>31.0985608287598*(1/14151.6638359215)</f>
        <v>2.1975197538130885E-3</v>
      </c>
      <c r="EZ114" s="2">
        <f>22.8434628191583*(1/14151.6638359215)</f>
        <v>1.6141891924520001E-3</v>
      </c>
      <c r="FA114" s="2">
        <f>18.0418860369293*(1/14151.6638359215)</f>
        <v>1.2748950403367522E-3</v>
      </c>
      <c r="FB114" s="2">
        <f>15.4631582878766*(1/14151.6638359215)</f>
        <v>1.0926742231274675E-3</v>
      </c>
      <c r="FC114" s="2">
        <f>13.8766073778049*(1/14151.6638359215)</f>
        <v>9.805636664843311E-4</v>
      </c>
      <c r="FD114" s="2">
        <f>12.0515611125176*(1/14151.6638359215)</f>
        <v>8.516002960674377E-4</v>
      </c>
      <c r="FE114" s="2">
        <f>8.75734729781866*(1/14151.6638359215)</f>
        <v>6.188210375369206E-4</v>
      </c>
      <c r="FF114" s="2">
        <f>3.48529209953449*(1/14151.6638359215)</f>
        <v>2.4628143658187324E-4</v>
      </c>
      <c r="FG114" s="2">
        <f>-1.08953495865573*(1/14151.6638359215)</f>
        <v>-7.6989884107488328E-5</v>
      </c>
      <c r="FH114" s="2">
        <f>-4.56962916168149*(1/14151.6638359215)</f>
        <v>-3.2290402136901344E-4</v>
      </c>
      <c r="FI114" s="2">
        <f>-6.95499050954373*(1/14151.6638359215)</f>
        <v>-4.9146097520276835E-4</v>
      </c>
      <c r="FJ114" s="2">
        <f>-8.24561900224247*(1/14151.6638359215)</f>
        <v>-5.8266074560875468E-4</v>
      </c>
      <c r="FK114" s="2">
        <f>-8.44151463977768*(1/14151.6638359215)</f>
        <v>-5.9650333258697008E-4</v>
      </c>
      <c r="FL114" s="2">
        <f>-7.54267742214939*(1/14151.6638359215)</f>
        <v>-5.3298873613741695E-4</v>
      </c>
      <c r="FM114" s="2">
        <f>-5.54910734935711*(1/14151.6638359215)</f>
        <v>-3.9211695626006042E-4</v>
      </c>
      <c r="FN114" s="2">
        <f>-2.46080442140159*(1/14151.6638359215)</f>
        <v>-1.7388799295495365E-4</v>
      </c>
      <c r="FO114" s="2">
        <f>1.72223136171746*(1/14151.6638359215)</f>
        <v>1.2169815377792397E-4</v>
      </c>
      <c r="FP114" s="2">
        <f t="shared" si="19"/>
        <v>4.9464148393856954E-4</v>
      </c>
      <c r="FQ114" s="2"/>
    </row>
    <row r="115" spans="2:173">
      <c r="B115" s="2">
        <v>10.360355029585799</v>
      </c>
      <c r="C115" s="2">
        <f t="shared" si="20"/>
        <v>4.9464148393856954E-4</v>
      </c>
      <c r="D115" s="2">
        <f>4.16267448457778*(1/14151.6638359215)</f>
        <v>2.9414735488639618E-4</v>
      </c>
      <c r="E115" s="2">
        <f>1.91793126076423*(1/14151.6638359215)</f>
        <v>1.3552690927379863E-4</v>
      </c>
      <c r="F115" s="2">
        <f>0.265770328559107*(1/14151.6638359215)</f>
        <v>1.8780147100759697E-5</v>
      </c>
      <c r="G115" s="2">
        <f>-0.793808312036979*(1/14151.6638359215)</f>
        <v>-5.6092931632677481E-5</v>
      </c>
      <c r="H115" s="2">
        <f>-1.26080466102439*(1/14151.6638359215)</f>
        <v>-8.9092326926538487E-5</v>
      </c>
      <c r="I115" s="2">
        <f>-1.13521871840313*(1/14151.6638359215)</f>
        <v>-8.0218038780823615E-5</v>
      </c>
      <c r="J115" s="2">
        <f>-0.417050484173194*(1/14151.6638359215)</f>
        <v>-2.9470067195532515E-5</v>
      </c>
      <c r="K115" s="2">
        <f>0.893700041665406*(1/14151.6638359215)</f>
        <v>6.3151587829333975E-5</v>
      </c>
      <c r="L115" s="2">
        <f>2.7970328591131*(1/14151.6638359215)</f>
        <v>1.9764692629380625E-4</v>
      </c>
      <c r="M115" s="2">
        <f>5.29294796816917*(1/14151.6638359215)</f>
        <v>3.7401594819783351E-4</v>
      </c>
      <c r="N115" s="2">
        <f>7.96248367950611*(1/14151.6638359215)</f>
        <v>5.6265353472393482E-4</v>
      </c>
      <c r="O115" s="2">
        <f>7.9861724390947*(1/14151.6638359215)</f>
        <v>5.64327455180444E-4</v>
      </c>
      <c r="P115" s="2">
        <f>5.90014587205356*(1/14151.6638359215)</f>
        <v>4.169224156580855E-4</v>
      </c>
      <c r="Q115" s="2">
        <f>3.00150683513711*(1/14151.6638359215)</f>
        <v>2.1209568499771137E-4</v>
      </c>
      <c r="R115" s="2">
        <f>0.587358185099462*(1/14151.6638359215)</f>
        <v>4.1504532040151845E-5</v>
      </c>
      <c r="S115" s="2">
        <f>-0.0451972213039267*(1/14151.6638359215)</f>
        <v>-3.1937743736677473E-6</v>
      </c>
      <c r="T115" s="2">
        <f>2.40094347268084*(1/14151.6638359215)</f>
        <v>1.6965803459706758E-4</v>
      </c>
      <c r="U115" s="2">
        <f>9.22288312380821*(1/14151.6638359215)</f>
        <v>6.5171722779321182E-4</v>
      </c>
      <c r="V115" s="2">
        <f>21.7177245888325*(1/14151.6638359215)</f>
        <v>1.5346410740556097E-3</v>
      </c>
      <c r="W115" s="2">
        <f>41.1825707245083*(1/14151.6638359215)</f>
        <v>2.9100868422251252E-3</v>
      </c>
      <c r="X115" s="2">
        <f>68.9145243875958*(1/14151.6638359215)</f>
        <v>4.8697118011430188E-3</v>
      </c>
      <c r="Y115" s="2">
        <f>102.659677781456*(1/14151.6638359215)</f>
        <v>7.2542479083535418E-3</v>
      </c>
      <c r="Z115" s="2">
        <f>138.088333019391*(1/14151.6638359215)</f>
        <v>9.7577454227592772E-3</v>
      </c>
      <c r="AA115" s="2">
        <f>176.469089131364*(1/14151.6638359215)</f>
        <v>1.2469847445317941E-2</v>
      </c>
      <c r="AB115" s="2">
        <f>219.143129545666*(1/14151.6638359215)</f>
        <v>1.5485326113344345E-2</v>
      </c>
      <c r="AC115" s="2">
        <f>267.451637690584*(1/14151.6638359215)</f>
        <v>1.8898953564153019E-2</v>
      </c>
      <c r="AD115" s="2">
        <f>322.735796994421*(1/14151.6638359215)</f>
        <v>2.2805501935059619E-2</v>
      </c>
      <c r="AE115" s="2">
        <f>386.336790885446*(1/14151.6638359215)</f>
        <v>2.7299743363377406E-2</v>
      </c>
      <c r="AF115" s="2">
        <f>459.595802791958*(1/14151.6638359215)</f>
        <v>3.2476449986421754E-2</v>
      </c>
      <c r="AG115" s="2">
        <f>543.854016142247*(1/14151.6638359215)</f>
        <v>3.8430393941507407E-2</v>
      </c>
      <c r="AH115" s="2">
        <f>640.452614364602*(1/14151.6638359215)</f>
        <v>4.5256347365949023E-2</v>
      </c>
      <c r="AI115" s="2">
        <f>750.842843340669*(1/14151.6638359215)</f>
        <v>5.3056859747811914E-2</v>
      </c>
      <c r="AJ115" s="2">
        <f>876.994173691408*(1/14151.6638359215)</f>
        <v>6.1971099925742526E-2</v>
      </c>
      <c r="AK115" s="2">
        <f>1017.62633379372*(1/14151.6638359215)</f>
        <v>7.1908599977527396E-2</v>
      </c>
      <c r="AL115" s="2">
        <f>1170.65663028999*(1/14151.6638359215)</f>
        <v>8.27221903984523E-2</v>
      </c>
      <c r="AM115" s="2">
        <f>1334.00236982264*(1/14151.6638359215)</f>
        <v>9.4264701683805588E-2</v>
      </c>
      <c r="AN115" s="2">
        <f>1505.58085903405*(1/14151.6638359215)</f>
        <v>0.10638896432887268</v>
      </c>
      <c r="AO115" s="2">
        <f>1683.30940456663*(1/14151.6638359215)</f>
        <v>0.11894780882894111</v>
      </c>
      <c r="AP115" s="2">
        <f>1865.10531306282*(1/14151.6638359215)</f>
        <v>0.13179406567930052</v>
      </c>
      <c r="AQ115" s="2">
        <f>2048.88589116494*(1/14151.6638359215)</f>
        <v>0.14478056537523207</v>
      </c>
      <c r="AR115" s="2">
        <f>2232.56844551542*(1/14151.6638359215)</f>
        <v>0.15776013841202469</v>
      </c>
      <c r="AS115" s="2">
        <f>2414.07028275668*(1/14151.6638359215)</f>
        <v>0.17058561528496663</v>
      </c>
      <c r="AT115" s="2">
        <f>2594.87535904312*(1/14151.6638359215)</f>
        <v>0.1833618568903882</v>
      </c>
      <c r="AU115" s="2">
        <f>2781.92909576579*(1/14151.6638359215)</f>
        <v>0.19657964802021047</v>
      </c>
      <c r="AV115" s="2">
        <f>2974.14541284597*(1/14151.6638359215)</f>
        <v>0.21016224292274574</v>
      </c>
      <c r="AW115" s="2">
        <f>3170.04825496103*(1/14151.6638359215)</f>
        <v>0.22400533899868527</v>
      </c>
      <c r="AX115" s="2">
        <f>3368.1615667883*(1/14151.6638359215)</f>
        <v>0.23800463364871746</v>
      </c>
      <c r="AY115" s="2">
        <f>3567.0092930051*(1/14151.6638359215)</f>
        <v>0.25205582427353007</v>
      </c>
      <c r="AZ115" s="2">
        <f>3765.11537828876*(1/14151.6638359215)</f>
        <v>0.26605460827381155</v>
      </c>
      <c r="BA115" s="2">
        <f>3961.00376731666*(1/14151.6638359215)</f>
        <v>0.27989668305025389</v>
      </c>
      <c r="BB115" s="2">
        <f>4153.19840476603*(1/14151.6638359215)</f>
        <v>0.29347774600353843</v>
      </c>
      <c r="BC115" s="2">
        <f>4340.22323531426*(1/14151.6638359215)</f>
        <v>0.30669349453435785</v>
      </c>
      <c r="BD115" s="2">
        <f>4520.74899055227*(1/14151.6638359215)</f>
        <v>0.31944999845722361</v>
      </c>
      <c r="BE115" s="2">
        <f>4698.88590499987*(1/14151.6638359215)</f>
        <v>0.33203769955816631</v>
      </c>
      <c r="BF115" s="2">
        <f>4876.44009363434*(1/14151.6638359215)</f>
        <v>0.34458422346468959</v>
      </c>
      <c r="BG115" s="2">
        <f>5052.5263479221*(1/14151.6638359215)</f>
        <v>0.35702701862498698</v>
      </c>
      <c r="BH115" s="2">
        <f>5226.25945932944*(1/14151.6638359215)</f>
        <v>0.36930353348724287</v>
      </c>
      <c r="BI115" s="2">
        <f>5396.75421932277*(1/14151.6638359215)</f>
        <v>0.3813512164996502</v>
      </c>
      <c r="BJ115" s="2">
        <f>5563.12541936848*(1/14151.6638359215)</f>
        <v>0.39310751611040029</v>
      </c>
      <c r="BK115" s="2">
        <f>5724.48785093294*(1/14151.6638359215)</f>
        <v>0.40450988076768318</v>
      </c>
      <c r="BL115" s="2">
        <f>5879.95630548251*(1/14151.6638359215)</f>
        <v>0.41549575891968826</v>
      </c>
      <c r="BM115" s="2">
        <f>6028.64557448361*(1/14151.6638359215)</f>
        <v>0.42600259901460902</v>
      </c>
      <c r="BN115" s="2">
        <f>6169.67044940254*(1/14151.6638359215)</f>
        <v>0.4359678495006305</v>
      </c>
      <c r="BO115" s="2">
        <f>6303.02626088801*(1/14151.6638359215)</f>
        <v>0.44539118042705983</v>
      </c>
      <c r="BP115" s="2">
        <f>6431.36781176875*(1/14151.6638359215)</f>
        <v>0.45446018830972074</v>
      </c>
      <c r="BQ115" s="2">
        <f>6554.63543207755*(1/14151.6638359215)</f>
        <v>0.46317065668559521</v>
      </c>
      <c r="BR115" s="2">
        <f>6672.46466280867*(1/14151.6638359215)</f>
        <v>0.47149683176276397</v>
      </c>
      <c r="BS115" s="2">
        <f>6784.49104495626*(1/14151.6638359215)</f>
        <v>0.47941295974930015</v>
      </c>
      <c r="BT115" s="2">
        <f>6890.35011951458*(1/14151.6638359215)</f>
        <v>0.48689328685328453</v>
      </c>
      <c r="BU115" s="2">
        <f>6989.67742747785*(1/14151.6638359215)</f>
        <v>0.4939120592827953</v>
      </c>
      <c r="BV115" s="2">
        <f>7082.10850984028*(1/14151.6638359215)</f>
        <v>0.50044352324590968</v>
      </c>
      <c r="BW115" s="2">
        <f>7167.27890759611*(1/14151.6638359215)</f>
        <v>0.50646192495070708</v>
      </c>
      <c r="BX115" s="2">
        <f>7244.82416173955*(1/14151.6638359215)</f>
        <v>0.51194151060526483</v>
      </c>
      <c r="BY115" s="2">
        <f>7314.37797748994*(1/14151.6638359215)</f>
        <v>0.51685639669617389</v>
      </c>
      <c r="BZ115" s="2">
        <f>7375.23935477217*(1/14151.6638359215)</f>
        <v>0.52115704840666355</v>
      </c>
      <c r="CA115" s="2">
        <f>7427.48584098111*(1/14151.6638359215)</f>
        <v>0.52484894547365868</v>
      </c>
      <c r="CB115" s="2">
        <f>7471.75478156222*(1/14151.6638359215)</f>
        <v>0.52797712468243418</v>
      </c>
      <c r="CC115" s="2">
        <f>7508.68352196093*(1/14151.6638359215)</f>
        <v>0.53058662281826274</v>
      </c>
      <c r="CD115" s="2">
        <f>7538.90940762268*(1/14151.6638359215)</f>
        <v>0.53272247666641781</v>
      </c>
      <c r="CE115" s="2">
        <f>7563.06978399292*(1/14151.6638359215)</f>
        <v>0.53442972301217351</v>
      </c>
      <c r="CF115" s="2">
        <f>7581.80199651707*(1/14151.6638359215)</f>
        <v>0.53575339864080185</v>
      </c>
      <c r="CG115" s="2">
        <f>7595.7433906406*(1/14151.6638359215)</f>
        <v>0.53673854033757828</v>
      </c>
      <c r="CH115" s="2">
        <f>7605.53131180893*(1/14151.6638359215)</f>
        <v>0.53743018488777494</v>
      </c>
      <c r="CI115" s="2">
        <f>7611.80310546751*(1/14151.6638359215)</f>
        <v>0.53787336907666594</v>
      </c>
      <c r="CJ115" s="2">
        <f>7615.45911877836*(1/14151.6638359215)</f>
        <v>0.53813171419800554</v>
      </c>
      <c r="CK115" s="2">
        <f>7617.97771504912*(1/14151.6638359215)</f>
        <v>0.53830968594040718</v>
      </c>
      <c r="CL115" s="2">
        <f>7618.37581632442*(1/14151.6638359215)</f>
        <v>0.53833781699834604</v>
      </c>
      <c r="CM115" s="2">
        <f>7615.3254548837*(1/14151.6638359215)</f>
        <v>0.53812226909697658</v>
      </c>
      <c r="CN115" s="2">
        <f>7607.49866300641*(1/14151.6638359215)</f>
        <v>0.53756920396145358</v>
      </c>
      <c r="CO115" s="2">
        <f>7593.567472972*(1/14151.6638359215)</f>
        <v>0.53658478331693193</v>
      </c>
      <c r="CP115" s="2">
        <f>7572.20391705992*(1/14151.6638359215)</f>
        <v>0.53507516888856688</v>
      </c>
      <c r="CQ115" s="2">
        <f>7542.08002754962*(1/14151.6638359215)</f>
        <v>0.53294652240151308</v>
      </c>
      <c r="CR115" s="2">
        <f>7501.86783672055*(1/14151.6638359215)</f>
        <v>0.53010500558092566</v>
      </c>
      <c r="CS115" s="2">
        <f>7450.23937685217*(1/14151.6638359215)</f>
        <v>0.52645678015196018</v>
      </c>
      <c r="CT115" s="2">
        <f>7385.86668022391*(1/14151.6638359215)</f>
        <v>0.5219080078397702</v>
      </c>
      <c r="CU115" s="2">
        <f>7308.65339796188*(1/14151.6638359215)</f>
        <v>0.516451880337219</v>
      </c>
      <c r="CV115" s="2">
        <f>7220.11409523951*(1/14151.6638359215)</f>
        <v>0.51019542146786478</v>
      </c>
      <c r="CW115" s="2">
        <f>7120.96603682148*(1/14151.6638359215)</f>
        <v>0.50318931536136158</v>
      </c>
      <c r="CX115" s="2">
        <f>7011.92234244387*(1/14151.6638359215)</f>
        <v>0.49548395324692091</v>
      </c>
      <c r="CY115" s="2">
        <f>6893.69613184279*(1/14151.6638359215)</f>
        <v>0.48712972635375634</v>
      </c>
      <c r="CZ115" s="2">
        <f>6767.00052475434*(1/14151.6638359215)</f>
        <v>0.47817702591108086</v>
      </c>
      <c r="DA115" s="2">
        <f>6632.54864091457*(1/14151.6638359215)</f>
        <v>0.46867624314810363</v>
      </c>
      <c r="DB115" s="2">
        <f>6491.05360005964*(1/14151.6638359215)</f>
        <v>0.45867776929404208</v>
      </c>
      <c r="DC115" s="2">
        <f>6343.22852192563*(1/14151.6638359215)</f>
        <v>0.44823199557810756</v>
      </c>
      <c r="DD115" s="2">
        <f>6189.78652624863*(1/14151.6638359215)</f>
        <v>0.4373893132295123</v>
      </c>
      <c r="DE115" s="2">
        <f>6030.68599632424*(1/14151.6638359215)</f>
        <v>0.4261467814841961</v>
      </c>
      <c r="DF115" s="2">
        <f>5859.28731795064*(1/14151.6638359215)</f>
        <v>0.41403522482479221</v>
      </c>
      <c r="DG115" s="2">
        <f>5675.77980446803*(1/14151.6638359215)</f>
        <v>0.40106802071294723</v>
      </c>
      <c r="DH115" s="2">
        <f>5482.55877769368*(1/14151.6638359215)</f>
        <v>0.3874144299398331</v>
      </c>
      <c r="DI115" s="2">
        <f>5282.019559445*(1/14151.6638359215)</f>
        <v>0.37324371329663203</v>
      </c>
      <c r="DJ115" s="2">
        <f>5076.55747153928*(1/14151.6638359215)</f>
        <v>0.35872513157451746</v>
      </c>
      <c r="DK115" s="2">
        <f>4868.56783579384*(1/14151.6638359215)</f>
        <v>0.34402794556466498</v>
      </c>
      <c r="DL115" s="2">
        <f>4660.44597402601*(1/14151.6638359215)</f>
        <v>0.3293214160582511</v>
      </c>
      <c r="DM115" s="2">
        <f>4454.58720805307*(1/14151.6638359215)</f>
        <v>0.31477480384644857</v>
      </c>
      <c r="DN115" s="2">
        <f>4253.38685969243*(1/14151.6638359215)</f>
        <v>0.30055736972043945</v>
      </c>
      <c r="DO115" s="2">
        <f>4059.24025076137*(1/14151.6638359215)</f>
        <v>0.28683837447139648</v>
      </c>
      <c r="DP115" s="2">
        <f>3870.40188104703*(1/14151.6638359215)</f>
        <v>0.27349447569710483</v>
      </c>
      <c r="DQ115" s="2">
        <f>3680.3552966831*(1/14151.6638359215)</f>
        <v>0.26006520076750039</v>
      </c>
      <c r="DR115" s="2">
        <f>3489.95322311316*(1/14151.6638359215)</f>
        <v>0.24661080587955533</v>
      </c>
      <c r="DS115" s="2">
        <f>3300.26111071488*(1/14151.6638359215)</f>
        <v>0.23320657902696573</v>
      </c>
      <c r="DT115" s="2">
        <f>3112.34440986586*(1/14151.6638359215)</f>
        <v>0.21992780820342295</v>
      </c>
      <c r="DU115" s="2">
        <f>2927.26857094384*(1/14151.6638359215)</f>
        <v>0.20684978140262814</v>
      </c>
      <c r="DV115" s="2">
        <f>2746.09904432644*(1/14151.6638359215)</f>
        <v>0.19404778661827399</v>
      </c>
      <c r="DW115" s="2">
        <f>2569.90128039132*(1/14151.6638359215)</f>
        <v>0.18159711184405608</v>
      </c>
      <c r="DX115" s="2">
        <f>2399.74072951613*(1/14151.6638359215)</f>
        <v>0.16957304507366916</v>
      </c>
      <c r="DY115" s="2">
        <f>2236.68284207851*(1/14151.6638359215)</f>
        <v>0.15805087430080733</v>
      </c>
      <c r="DZ115" s="2">
        <f>2081.65738240576*(1/14151.6638359215)</f>
        <v>0.14709629952640907</v>
      </c>
      <c r="EA115" s="2">
        <f>1932.50526891849*(1/14151.6638359215)</f>
        <v>0.13655675341956375</v>
      </c>
      <c r="EB115" s="2">
        <f>1788.23753034895*(1/14151.6638359215)</f>
        <v>0.12636235223520678</v>
      </c>
      <c r="EC115" s="2">
        <f>1649.00017189762*(1/14151.6638359215)</f>
        <v>0.11652341314891358</v>
      </c>
      <c r="ED115" s="2">
        <f>1514.93919876499*(1/14151.6638359215)</f>
        <v>0.10705025333626031</v>
      </c>
      <c r="EE115" s="2">
        <f>1386.2006161515*(1/14151.6638359215)</f>
        <v>9.795318997281964E-2</v>
      </c>
      <c r="EF115" s="2">
        <f>1262.9304292577*(1/14151.6638359215)</f>
        <v>8.9242540234171913E-2</v>
      </c>
      <c r="EG115" s="2">
        <f>1145.27464328403*(1/14151.6638359215)</f>
        <v>8.0928621295889777E-2</v>
      </c>
      <c r="EH115" s="2">
        <f>1033.37926343098*(1/14151.6638359215)</f>
        <v>7.3021750333549421E-2</v>
      </c>
      <c r="EI115" s="2">
        <f>927.390294899033*(1/14151.6638359215)</f>
        <v>6.5532244522726477E-2</v>
      </c>
      <c r="EJ115" s="2">
        <f>827.453742888647*(1/14151.6638359215)</f>
        <v>5.8470421038994844E-2</v>
      </c>
      <c r="EK115" s="2">
        <f>733.713476700662*(1/14151.6638359215)</f>
        <v>5.1846446128706078E-2</v>
      </c>
      <c r="EL115" s="2">
        <f>646.162104399163*(1/14151.6638359215)</f>
        <v>4.5659797454981554E-2</v>
      </c>
      <c r="EM115" s="2">
        <f>564.640634295942*(1/14151.6638359215)</f>
        <v>3.9899240177165708E-2</v>
      </c>
      <c r="EN115" s="2">
        <f>488.985477030402*(1/14151.6638359215)</f>
        <v>3.4553214568961051E-2</v>
      </c>
      <c r="EO115" s="2">
        <f>419.033043241948*(1/14151.6638359215)</f>
        <v>2.9610160904070277E-2</v>
      </c>
      <c r="EP115" s="2">
        <f>354.619743569984*(1/14151.6638359215)</f>
        <v>2.5058519456195985E-2</v>
      </c>
      <c r="EQ115" s="2">
        <f>295.581988653901*(1/14151.6638359215)</f>
        <v>2.0886730499039861E-2</v>
      </c>
      <c r="ER115" s="2">
        <f>241.756189133127*(1/14151.6638359215)</f>
        <v>1.7083234306306205E-2</v>
      </c>
      <c r="ES115" s="2">
        <f>192.978755647052*(1/14151.6638359215)</f>
        <v>1.363647115169663E-2</v>
      </c>
      <c r="ET115" s="2">
        <f>149.086098835081*(1/14151.6638359215)</f>
        <v>1.0534881308913816E-2</v>
      </c>
      <c r="EU115" s="2">
        <f>109.951479666355*(1/14151.6638359215)</f>
        <v>7.7695090090581847E-3</v>
      </c>
      <c r="EV115" s="2">
        <f>78.0694990677882*(1/14151.6638359215)</f>
        <v>5.5166304098902179E-3</v>
      </c>
      <c r="EW115" s="2">
        <f>54.1883403825501*(1/14151.6638359215)</f>
        <v>3.8291144427132708E-3</v>
      </c>
      <c r="EX115" s="2">
        <f>37.1197722019785*(1/14151.6638359215)</f>
        <v>2.6229970293497585E-3</v>
      </c>
      <c r="EY115" s="2">
        <f>25.6755631174178*(1/14151.6638359215)</f>
        <v>1.8143140916225635E-3</v>
      </c>
      <c r="EZ115" s="2">
        <f>18.6674817202127*(1/14151.6638359215)</f>
        <v>1.3191015513545901E-3</v>
      </c>
      <c r="FA115" s="2">
        <f>14.9072966017076*(1/14151.6638359215)</f>
        <v>1.0533953303687204E-3</v>
      </c>
      <c r="FB115" s="2">
        <f>13.206776353247*(1/14151.6638359215)</f>
        <v>9.3323135048784369E-4</v>
      </c>
      <c r="FC115" s="2">
        <f>12.3776895661758*(1/14151.6638359215)</f>
        <v>8.7464553353487813E-4</v>
      </c>
      <c r="FD115" s="2">
        <f>11.2318048318382*(1/14151.6638359215)</f>
        <v>7.9367380133269188E-4</v>
      </c>
      <c r="FE115" s="2">
        <f>8.58089074157857*(1/14151.6638359215)</f>
        <v>6.0635207570416516E-4</v>
      </c>
      <c r="FF115" s="2">
        <f>3.93381551442662*(1/14151.6638359215)</f>
        <v>2.7797547765665009E-4</v>
      </c>
      <c r="FG115" s="2">
        <f>-0.126603391513656*(1/14151.6638359215)</f>
        <v>-8.9461842071386432E-6</v>
      </c>
      <c r="FH115" s="2">
        <f>-3.21656955200936*(1/14151.6638359215)</f>
        <v>-2.2729267662821852E-4</v>
      </c>
      <c r="FI115" s="2">
        <f>-5.33608296706134*(1/14151.6638359215)</f>
        <v>-3.7706399960664948E-4</v>
      </c>
      <c r="FJ115" s="2">
        <f>-6.4851436366696*(1/14151.6638359215)</f>
        <v>-4.5826015314243178E-4</v>
      </c>
      <c r="FK115" s="2">
        <f>-6.66375156083412*(1/14151.6638359215)</f>
        <v>-4.7088113723556404E-4</v>
      </c>
      <c r="FL115" s="2">
        <f>-5.87190673955494*(1/14151.6638359215)</f>
        <v>-4.1492695188604902E-4</v>
      </c>
      <c r="FM115" s="2">
        <f>-4.10960917283161*(1/14151.6638359215)</f>
        <v>-2.9039759709385501E-4</v>
      </c>
      <c r="FN115" s="2">
        <f>-1.3768588606648*(1/14151.6638359215)</f>
        <v>-9.7293072859029267E-5</v>
      </c>
      <c r="FO115" s="2">
        <f>2.32634419694575*(1/14151.6638359215)</f>
        <v>1.6438662081844654E-4</v>
      </c>
      <c r="FP115" s="2">
        <f t="shared" si="19"/>
        <v>4.9464148393856954E-4</v>
      </c>
      <c r="FQ115" s="2"/>
    </row>
    <row r="116" spans="2:173">
      <c r="B116" s="2">
        <v>10.3698224852071</v>
      </c>
      <c r="C116" s="2">
        <f t="shared" si="20"/>
        <v>4.9464148393856954E-4</v>
      </c>
      <c r="D116" s="2">
        <f>4.79372410059195*(1/14151.6638359215)</f>
        <v>3.38739257529841E-4</v>
      </c>
      <c r="E116" s="2">
        <f>3.04832493957726*(1/14151.6638359215)</f>
        <v>2.1540399594849232E-4</v>
      </c>
      <c r="F116" s="2">
        <f>1.76380251695575*(1/14151.6638359215)</f>
        <v>1.2463569919451088E-4</v>
      </c>
      <c r="G116" s="2">
        <f>0.940156832727888*(1/14151.6638359215)</f>
        <v>6.6434367267929713E-5</v>
      </c>
      <c r="H116" s="2">
        <f>0.577387886893395*(1/14151.6638359215)</f>
        <v>4.0800000168729128E-5</v>
      </c>
      <c r="I116" s="2">
        <f>0.675495679452272*(1/14151.6638359215)</f>
        <v>4.7732597896909157E-5</v>
      </c>
      <c r="J116" s="2">
        <f>1.23448021040452*(1/14151.6638359215)</f>
        <v>8.7232160452469908E-5</v>
      </c>
      <c r="K116" s="2">
        <f>2.25434147975013*(1/14151.6638359215)</f>
        <v>1.5929868783541072E-4</v>
      </c>
      <c r="L116" s="2">
        <f>3.73507948748944*(1/14151.6638359215)</f>
        <v>2.6393218004575552E-4</v>
      </c>
      <c r="M116" s="2">
        <f>5.67669423362188*(1/14151.6638359215)</f>
        <v>4.0113263708346395E-4</v>
      </c>
      <c r="N116" s="2">
        <f>7.69721337721556*(1/14151.6638359215)</f>
        <v>5.43908721013959E-4</v>
      </c>
      <c r="O116" s="2">
        <f>7.22609491114175*(1/14151.6638359215)</f>
        <v>5.1061804427544302E-4</v>
      </c>
      <c r="P116" s="2">
        <f>4.75213639639674*(1/14151.6638359215)</f>
        <v>3.3580054271316708E-4</v>
      </c>
      <c r="Q116" s="2">
        <f>1.4579218907715*(1/14151.6638359215)</f>
        <v>1.0302123535967712E-4</v>
      </c>
      <c r="R116" s="2">
        <f>-1.47396454794341*(1/14151.6638359215)</f>
        <v>-1.0415485875251018E-4</v>
      </c>
      <c r="S116" s="2">
        <f>-2.86093886195577*(1/14151.6638359215)</f>
        <v>-2.0216272059076062E-4</v>
      </c>
      <c r="T116" s="2">
        <f>-1.52041699347521*(1/14151.6638359215)</f>
        <v>-1.074373311225709E-4</v>
      </c>
      <c r="U116" s="2">
        <f>3.73018511528927*(1/14151.6638359215)</f>
        <v>2.6358632868460699E-4</v>
      </c>
      <c r="V116" s="2">
        <f>14.0734515221286*(1/14151.6638359215)</f>
        <v>9.9447327786331596E-4</v>
      </c>
      <c r="W116" s="2">
        <f>30.6919662848338*(1/14151.6638359215)</f>
        <v>2.168788535446105E-3</v>
      </c>
      <c r="X116" s="2">
        <f>54.7683134612011*(1/14151.6638359215)</f>
        <v>3.8700971204658928E-3</v>
      </c>
      <c r="Y116" s="2">
        <f>83.8530158069465*(1/14151.6638359215)</f>
        <v>5.9253114530674784E-3</v>
      </c>
      <c r="Z116" s="2">
        <f>113.557578086781*(1/14151.6638359215)</f>
        <v>8.0243269910450499E-3</v>
      </c>
      <c r="AA116" s="2">
        <f>145.348896417599*(1/14151.6638359215)</f>
        <v>1.0270799116119229E-2</v>
      </c>
      <c r="AB116" s="2">
        <f>180.768926479935*(1/14151.6638359215)</f>
        <v>1.2773687149145318E-2</v>
      </c>
      <c r="AC116" s="2">
        <f>221.359623954328*(1/14151.6638359215)</f>
        <v>1.5641950410978933E-2</v>
      </c>
      <c r="AD116" s="2">
        <f>268.662944521323*(1/14151.6638359215)</f>
        <v>1.8984548222476114E-2</v>
      </c>
      <c r="AE116" s="2">
        <f>324.220843861439*(1/14151.6638359215)</f>
        <v>2.2910439904491063E-2</v>
      </c>
      <c r="AF116" s="2">
        <f>389.575277655221*(1/14151.6638359215)</f>
        <v>2.7528584777879825E-2</v>
      </c>
      <c r="AG116" s="2">
        <f>466.268201583206*(1/14151.6638359215)</f>
        <v>3.2947942163497869E-2</v>
      </c>
      <c r="AH116" s="2">
        <f>555.84157132593*(1/14151.6638359215)</f>
        <v>3.9277471382200606E-2</v>
      </c>
      <c r="AI116" s="2">
        <f>659.905853982952*(1/14151.6638359215)</f>
        <v>4.6630972981982335E-2</v>
      </c>
      <c r="AJ116" s="2">
        <f>779.975691556402*(1/14151.6638359215)</f>
        <v>5.5115476215352961E-2</v>
      </c>
      <c r="AK116" s="2">
        <f>914.61873021846*(1/14151.6638359215)</f>
        <v>6.462976656475275E-2</v>
      </c>
      <c r="AL116" s="2">
        <f>1061.78832512919*(1/14151.6638359215)</f>
        <v>7.5029221824364417E-2</v>
      </c>
      <c r="AM116" s="2">
        <f>1219.43783144867*(1/14151.6638359215)</f>
        <v>8.6169219788371637E-2</v>
      </c>
      <c r="AN116" s="2">
        <f>1385.52060433695*(1/14151.6638359215)</f>
        <v>9.7905138250956092E-2</v>
      </c>
      <c r="AO116" s="2">
        <f>1557.9899989541*(1/14151.6638359215)</f>
        <v>0.11009235500630092</v>
      </c>
      <c r="AP116" s="2">
        <f>1734.79937046023*(1/14151.6638359215)</f>
        <v>0.12258624784859205</v>
      </c>
      <c r="AQ116" s="2">
        <f>1913.90207401534*(1/14151.6638359215)</f>
        <v>0.13524219457200767</v>
      </c>
      <c r="AR116" s="2">
        <f>2093.25146477952*(1/14151.6638359215)</f>
        <v>0.14791557297073232</v>
      </c>
      <c r="AS116" s="2">
        <f>2270.80089791284*(1/14151.6638359215)</f>
        <v>0.16046176083894906</v>
      </c>
      <c r="AT116" s="2">
        <f>2448.13658303616*(1/14151.6638359215)</f>
        <v>0.1729928446167579</v>
      </c>
      <c r="AU116" s="2">
        <f>2632.32547847321*(1/14151.6638359215)</f>
        <v>0.18600819726875623</v>
      </c>
      <c r="AV116" s="2">
        <f>2822.17689119904*(1/14151.6638359215)</f>
        <v>0.19942368077140457</v>
      </c>
      <c r="AW116" s="2">
        <f>3016.10123875967*(1/14151.6638359215)</f>
        <v>0.21312697034986303</v>
      </c>
      <c r="AX116" s="2">
        <f>3212.50893870107*(1/14151.6638359215)</f>
        <v>0.22700574122928804</v>
      </c>
      <c r="AY116" s="2">
        <f>3409.81040856924*(1/14151.6638359215)</f>
        <v>0.24094766863483841</v>
      </c>
      <c r="AZ116" s="2">
        <f>3606.41606591015*(1/14151.6638359215)</f>
        <v>0.25484042779167065</v>
      </c>
      <c r="BA116" s="2">
        <f>3800.73632826983*(1/14151.6638359215)</f>
        <v>0.26857169392494556</v>
      </c>
      <c r="BB116" s="2">
        <f>3991.18161319418*(1/14151.6638359215)</f>
        <v>0.28202914225981474</v>
      </c>
      <c r="BC116" s="2">
        <f>4176.16233822922*(1/14151.6638359215)</f>
        <v>0.29510044802143826</v>
      </c>
      <c r="BD116" s="2">
        <f>4354.23811552533*(1/14151.6638359215)</f>
        <v>0.30768382898361851</v>
      </c>
      <c r="BE116" s="2">
        <f>4529.54002417092*(1/14151.6638359215)</f>
        <v>0.32007119987357829</v>
      </c>
      <c r="BF116" s="2">
        <f>4703.97633905061*(1/14151.6638359215)</f>
        <v>0.3323974052514162</v>
      </c>
      <c r="BG116" s="2">
        <f>4876.73987612253*(1/14151.6638359215)</f>
        <v>0.34460540701537773</v>
      </c>
      <c r="BH116" s="2">
        <f>5047.02345134469*(1/14151.6638359215)</f>
        <v>0.35663816706369977</v>
      </c>
      <c r="BI116" s="2">
        <f>5214.01988067522*(1/14151.6638359215)</f>
        <v>0.36843864729462772</v>
      </c>
      <c r="BJ116" s="2">
        <f>5376.92198007219*(1/14151.6638359215)</f>
        <v>0.37994980960640284</v>
      </c>
      <c r="BK116" s="2">
        <f>5534.9225654937*(1/14151.6638359215)</f>
        <v>0.39111461589726831</v>
      </c>
      <c r="BL116" s="2">
        <f>5687.21445289784*(1/14151.6638359215)</f>
        <v>0.40187602806546679</v>
      </c>
      <c r="BM116" s="2">
        <f>5832.99045824271*(1/14151.6638359215)</f>
        <v>0.41217700800924156</v>
      </c>
      <c r="BN116" s="2">
        <f>5971.44339748634*(1/14151.6638359215)</f>
        <v>0.4219605176268309</v>
      </c>
      <c r="BO116" s="2">
        <f>6102.63490969487*(1/14151.6638359215)</f>
        <v>0.43123091252382695</v>
      </c>
      <c r="BP116" s="2">
        <f>6229.18874246059*(1/14151.6638359215)</f>
        <v>0.44017359475773404</v>
      </c>
      <c r="BQ116" s="2">
        <f>6350.97474119987*(1/14151.6638359215)</f>
        <v>0.44877936720621087</v>
      </c>
      <c r="BR116" s="2">
        <f>6467.55871708557*(1/14151.6638359215)</f>
        <v>0.45701754875414818</v>
      </c>
      <c r="BS116" s="2">
        <f>6578.50648129048*(1/14151.6638359215)</f>
        <v>0.46485745828643155</v>
      </c>
      <c r="BT116" s="2">
        <f>6683.38384498748*(1/14151.6638359215)</f>
        <v>0.47226841468795283</v>
      </c>
      <c r="BU116" s="2">
        <f>6781.75661934939*(1/14151.6638359215)</f>
        <v>0.47921973684359986</v>
      </c>
      <c r="BV116" s="2">
        <f>6873.19061554905*(1/14151.6638359215)</f>
        <v>0.48568074363826175</v>
      </c>
      <c r="BW116" s="2">
        <f>6957.2516447593*(1/14151.6638359215)</f>
        <v>0.49162075395682769</v>
      </c>
      <c r="BX116" s="2">
        <f>7033.50551815298*(1/14151.6638359215)</f>
        <v>0.49700908668418675</v>
      </c>
      <c r="BY116" s="2">
        <f>7101.51679093264*(1/14151.6638359215)</f>
        <v>0.50181497195451275</v>
      </c>
      <c r="BZ116" s="2">
        <f>7160.69099455172*(1/14151.6638359215)</f>
        <v>0.50599640279580205</v>
      </c>
      <c r="CA116" s="2">
        <f>7211.21374937535*(1/14151.6638359215)</f>
        <v>0.50956649571274848</v>
      </c>
      <c r="CB116" s="2">
        <f>7253.70814365651*(1/14151.6638359215)</f>
        <v>0.51256928003364899</v>
      </c>
      <c r="CC116" s="2">
        <f>7288.79726564815*(1/14151.6638359215)</f>
        <v>0.51504878508679841</v>
      </c>
      <c r="CD116" s="2">
        <f>7317.10420360326*(1/14151.6638359215)</f>
        <v>0.51704904020049458</v>
      </c>
      <c r="CE116" s="2">
        <f>7339.25204577479*(1/14151.6638359215)</f>
        <v>0.518614074703032</v>
      </c>
      <c r="CF116" s="2">
        <f>7355.86388041572*(1/14151.6638359215)</f>
        <v>0.51978791792270806</v>
      </c>
      <c r="CG116" s="2">
        <f>7367.562795779*(1/14151.6638359215)</f>
        <v>0.52061459918781727</v>
      </c>
      <c r="CH116" s="2">
        <f>7374.97188011763*(1/14151.6638359215)</f>
        <v>0.52113814782665813</v>
      </c>
      <c r="CI116" s="2">
        <f>7378.71422168455*(1/14151.6638359215)</f>
        <v>0.52140259316752469</v>
      </c>
      <c r="CJ116" s="2">
        <f>7379.59381649697*(1/14151.6638359215)</f>
        <v>0.52146474803656473</v>
      </c>
      <c r="CK116" s="2">
        <f>7378.66685682108*(1/14151.6638359215)</f>
        <v>0.52139924622090283</v>
      </c>
      <c r="CL116" s="2">
        <f>7375.07024098975*(1/14151.6638359215)</f>
        <v>0.52114509830776479</v>
      </c>
      <c r="CM116" s="2">
        <f>7367.68747706362*(1/14151.6638359215)</f>
        <v>0.52062340955005204</v>
      </c>
      <c r="CN116" s="2">
        <f>7355.40207310332*(1/14151.6638359215)</f>
        <v>0.51975528520066527</v>
      </c>
      <c r="CO116" s="2">
        <f>7337.09753716949*(1/14151.6638359215)</f>
        <v>0.51846183051250583</v>
      </c>
      <c r="CP116" s="2">
        <f>7311.65737732275*(1/14151.6638359215)</f>
        <v>0.51666415073847349</v>
      </c>
      <c r="CQ116" s="2">
        <f>7277.96510162374*(1/14151.6638359215)</f>
        <v>0.51428335113146983</v>
      </c>
      <c r="CR116" s="2">
        <f>7234.9042181331*(1/14151.6638359215)</f>
        <v>0.51124053694439608</v>
      </c>
      <c r="CS116" s="2">
        <f>7181.35823491146*(1/14151.6638359215)</f>
        <v>0.50745681343015303</v>
      </c>
      <c r="CT116" s="2">
        <f>7116.21066001945*(1/14151.6638359215)</f>
        <v>0.50285328584164124</v>
      </c>
      <c r="CU116" s="2">
        <f>7039.29071020922*(1/14151.6638359215)</f>
        <v>0.49741788611041082</v>
      </c>
      <c r="CV116" s="2">
        <f>6951.79748123825*(1/14151.6638359215)</f>
        <v>0.49123534602287117</v>
      </c>
      <c r="CW116" s="2">
        <f>6854.39725075532*(1/14151.6638359215)</f>
        <v>0.48435274680258039</v>
      </c>
      <c r="CX116" s="2">
        <f>6747.75325193466*(1/14151.6638359215)</f>
        <v>0.47681695454118123</v>
      </c>
      <c r="CY116" s="2">
        <f>6632.52871795052*(1/14151.6638359215)</f>
        <v>0.46867483533031767</v>
      </c>
      <c r="CZ116" s="2">
        <f>6509.38688197711*(1/14151.6638359215)</f>
        <v>0.45997325526163085</v>
      </c>
      <c r="DA116" s="2">
        <f>6378.99097718866*(1/14151.6638359215)</f>
        <v>0.45075908042676349</v>
      </c>
      <c r="DB116" s="2">
        <f>6242.00423675944*(1/14151.6638359215)</f>
        <v>0.44107917691736109</v>
      </c>
      <c r="DC116" s="2">
        <f>6099.08989386367*(1/14151.6638359215)</f>
        <v>0.4309804108250655</v>
      </c>
      <c r="DD116" s="2">
        <f>5950.91118167557*(1/14151.6638359215)</f>
        <v>0.42050964824151865</v>
      </c>
      <c r="DE116" s="2">
        <f>5797.44270213364*(1/14151.6638359215)</f>
        <v>0.40966509446174487</v>
      </c>
      <c r="DF116" s="2">
        <f>5632.63074375745*(1/14151.6638359215)</f>
        <v>0.3980189756528848</v>
      </c>
      <c r="DG116" s="2">
        <f>5456.6362367042*(1/14151.6638359215)</f>
        <v>0.38558266363376248</v>
      </c>
      <c r="DH116" s="2">
        <f>5271.63120419338*(1/14151.6638359215)</f>
        <v>0.3725096402312974</v>
      </c>
      <c r="DI116" s="2">
        <f>5079.78766944461*(1/14151.6638359215)</f>
        <v>0.35895338727241854</v>
      </c>
      <c r="DJ116" s="2">
        <f>4883.27765567739*(1/14151.6638359215)</f>
        <v>0.34506738658404618</v>
      </c>
      <c r="DK116" s="2">
        <f>4684.27318611125*(1/14151.6638359215)</f>
        <v>0.33100511999310284</v>
      </c>
      <c r="DL116" s="2">
        <f>4484.94628396573*(1/14151.6638359215)</f>
        <v>0.31692006932651168</v>
      </c>
      <c r="DM116" s="2">
        <f>4287.46897246034*(1/14151.6638359215)</f>
        <v>0.3029657164111938</v>
      </c>
      <c r="DN116" s="2">
        <f>4094.01327481467*(1/14151.6638359215)</f>
        <v>0.28929554307407584</v>
      </c>
      <c r="DO116" s="2">
        <f>3906.75121424824*(1/14151.6638359215)</f>
        <v>0.2760630311420797</v>
      </c>
      <c r="DP116" s="2">
        <f>3723.88468759406*(1/14151.6638359215)</f>
        <v>0.26314112112680604</v>
      </c>
      <c r="DQ116" s="2">
        <f>3539.18907224792*(1/14151.6638359215)</f>
        <v>0.25008996209084006</v>
      </c>
      <c r="DR116" s="2">
        <f>3353.62567737066*(1/14151.6638359215)</f>
        <v>0.2369774830898734</v>
      </c>
      <c r="DS116" s="2">
        <f>3168.3613492636*(1/14151.6638359215)</f>
        <v>0.22388613706476507</v>
      </c>
      <c r="DT116" s="2">
        <f>2984.56293422804*(1/14151.6638359215)</f>
        <v>0.21089837695637273</v>
      </c>
      <c r="DU116" s="2">
        <f>2803.39727856538*(1/14151.6638359215)</f>
        <v>0.19809665570556101</v>
      </c>
      <c r="DV116" s="2">
        <f>2626.0312285769*(1/14151.6638359215)</f>
        <v>0.18556342625318611</v>
      </c>
      <c r="DW116" s="2">
        <f>2453.63163056393*(1/14151.6638359215)</f>
        <v>0.17338114154010775</v>
      </c>
      <c r="DX116" s="2">
        <f>2287.3653308278*(1/14151.6638359215)</f>
        <v>0.16163225450718571</v>
      </c>
      <c r="DY116" s="2">
        <f>2128.39917566981*(1/14151.6638359215)</f>
        <v>0.15039921809527759</v>
      </c>
      <c r="DZ116" s="2">
        <f>1977.75469085436*(1/14151.6638359215)</f>
        <v>0.13975421645009536</v>
      </c>
      <c r="EA116" s="2">
        <f>1833.13149772343*(1/14151.6638359215)</f>
        <v>0.12953469775549284</v>
      </c>
      <c r="EB116" s="2">
        <f>1693.44835519887*(1/14151.6638359215)</f>
        <v>0.11966425819841413</v>
      </c>
      <c r="EC116" s="2">
        <f>1558.83464470299*(1/14151.6638359215)</f>
        <v>0.11015204026724855</v>
      </c>
      <c r="ED116" s="2">
        <f>1429.41974765814*(1/14151.6638359215)</f>
        <v>0.10100718645038829</v>
      </c>
      <c r="EE116" s="2">
        <f>1305.33304548661*(1/14151.6638359215)</f>
        <v>9.2238839236221296E-2</v>
      </c>
      <c r="EF116" s="2">
        <f>1186.70391961078*(1/14151.6638359215)</f>
        <v>8.385614111314188E-2</v>
      </c>
      <c r="EG116" s="2">
        <f>1073.66175145296*(1/14151.6638359215)</f>
        <v>7.5868234569539394E-2</v>
      </c>
      <c r="EH116" s="2">
        <f>966.33592243547*(1/14151.6638359215)</f>
        <v>6.8284262093803907E-2</v>
      </c>
      <c r="EI116" s="2">
        <f>864.855813980641*(1/14151.6638359215)</f>
        <v>6.1113366174326243E-2</v>
      </c>
      <c r="EJ116" s="2">
        <f>769.350807510782*(1/14151.6638359215)</f>
        <v>5.4364689299495714E-2</v>
      </c>
      <c r="EK116" s="2">
        <f>680.014631919077*(1/14151.6638359215)</f>
        <v>4.805192094748463E-2</v>
      </c>
      <c r="EL116" s="2">
        <f>597.000686252177*(1/14151.6638359215)</f>
        <v>4.2185900765731602E-2</v>
      </c>
      <c r="EM116" s="2">
        <f>520.098002019541*(1/14151.6638359215)</f>
        <v>3.6751721073204416E-2</v>
      </c>
      <c r="EN116" s="2">
        <f>449.076464626487*(1/14151.6638359215)</f>
        <v>3.1733121266390295E-2</v>
      </c>
      <c r="EO116" s="2">
        <f>383.705959478333*(1/14151.6638359215)</f>
        <v>2.7113840741776467E-2</v>
      </c>
      <c r="EP116" s="2">
        <f>323.756371980399*(1/14151.6638359215)</f>
        <v>2.2877618895850299E-2</v>
      </c>
      <c r="EQ116" s="2">
        <f>268.997587537993*(1/14151.6638359215)</f>
        <v>1.9008195125098305E-2</v>
      </c>
      <c r="ER116" s="2">
        <f>219.199491556455*(1/14151.6638359215)</f>
        <v>1.5489308826009265E-2</v>
      </c>
      <c r="ES116" s="2">
        <f>174.131969441093*(1/14151.6638359215)</f>
        <v>1.2304699395069698E-2</v>
      </c>
      <c r="ET116" s="2">
        <f>133.564906597225*(1/14151.6638359215)</f>
        <v>9.4381062287668301E-3</v>
      </c>
      <c r="EU116" s="2">
        <f>97.3056829354264*(1/14151.6638359215)</f>
        <v>6.8759182004050371E-3</v>
      </c>
      <c r="EV116" s="2">
        <f>67.8560221732935*(1/14151.6638359215)</f>
        <v>4.794914785995196E-3</v>
      </c>
      <c r="EW116" s="2">
        <f>46.0259344522751*(1/14151.6638359215)</f>
        <v>3.2523337881618128E-3</v>
      </c>
      <c r="EX116" s="2">
        <f>30.6716075292202*(1/14151.6638359215)</f>
        <v>2.1673499232906976E-3</v>
      </c>
      <c r="EY116" s="2">
        <f>20.6492291609838*(1/14151.6638359215)</f>
        <v>1.4591379077680872E-3</v>
      </c>
      <c r="EZ116" s="2">
        <f>14.8149871044212*(1/14151.6638359215)</f>
        <v>1.0468724579802391E-3</v>
      </c>
      <c r="FA116" s="2">
        <f>12.0250691163876*(1/14151.6638359215)</f>
        <v>8.4972829031340375E-4</v>
      </c>
      <c r="FB116" s="2">
        <f>11.1356629537379*(1/14151.6638359215)</f>
        <v>7.8688012115380986E-4</v>
      </c>
      <c r="FC116" s="2">
        <f>11.0029563733277*(1/14151.6638359215)</f>
        <v>7.7750266688773645E-4</v>
      </c>
      <c r="FD116" s="2">
        <f>10.4831371320117*(1/14151.6638359215)</f>
        <v>7.4077064390139821E-4</v>
      </c>
      <c r="FE116" s="2">
        <f>8.43239298664498*(1/14151.6638359215)</f>
        <v>5.9585876858103703E-4</v>
      </c>
      <c r="FF116" s="2">
        <f>4.37795193340806*(1/14151.6638359215)</f>
        <v>3.093595201360989E-4</v>
      </c>
      <c r="FG116" s="2">
        <f>0.806079028810858*(1/14151.6638359215)</f>
        <v>5.6960018140394823E-5</v>
      </c>
      <c r="FH116" s="2">
        <f>-1.91377660661768*(1/14151.6638359215)</f>
        <v>-1.3523332866061276E-4</v>
      </c>
      <c r="FI116" s="2">
        <f>-3.78161497287829*(1/14151.6638359215)</f>
        <v>-2.6722052026697586E-4</v>
      </c>
      <c r="FJ116" s="2">
        <f>-4.79743606997099*(1/14151.6638359215)</f>
        <v>-3.3900155667869567E-4</v>
      </c>
      <c r="FK116" s="2">
        <f>-4.96123989789576*(1/14151.6638359215)</f>
        <v>-3.5057643789577087E-4</v>
      </c>
      <c r="FL116" s="2">
        <f>-4.27302645665262*(1/14151.6638359215)</f>
        <v>-3.0194516391820282E-4</v>
      </c>
      <c r="FM116" s="2">
        <f>-2.73279574624119*(1/14151.6638359215)</f>
        <v>-1.9310773474596468E-4</v>
      </c>
      <c r="FN116" s="2">
        <f>-0.340547766662046*(1/14151.6638359215)</f>
        <v>-2.4064150379097167E-5</v>
      </c>
      <c r="FO116" s="2">
        <f>2.90371748208502*(1/14151.6638359215)</f>
        <v>2.0518558918241443E-4</v>
      </c>
      <c r="FP116" s="2">
        <f t="shared" si="19"/>
        <v>4.9464148393856954E-4</v>
      </c>
      <c r="FQ116" s="2"/>
    </row>
    <row r="117" spans="2:173">
      <c r="B117" s="2">
        <v>10.379289940828404</v>
      </c>
      <c r="C117" s="2">
        <f t="shared" si="20"/>
        <v>4.9464148393856954E-4</v>
      </c>
      <c r="D117" s="2">
        <f>5.36245469153642*(1/14151.6638359215)</f>
        <v>3.7892750659641698E-4</v>
      </c>
      <c r="E117" s="2">
        <f>4.06709948984166*(1/14151.6638359215)</f>
        <v>2.8739373242586832E-4</v>
      </c>
      <c r="F117" s="2">
        <f>3.11393439491556*(1/14151.6638359215)</f>
        <v>2.2004016142691203E-4</v>
      </c>
      <c r="G117" s="2">
        <f>2.5029594067585*(1/14151.6638359215)</f>
        <v>1.7686679359957516E-4</v>
      </c>
      <c r="H117" s="2">
        <f>2.23417452537025*(1/14151.6638359215)</f>
        <v>1.578736289438414E-4</v>
      </c>
      <c r="I117" s="2">
        <f>2.30757975075081*(1/14151.6638359215)</f>
        <v>1.6306066745971074E-4</v>
      </c>
      <c r="J117" s="2">
        <f>2.7231750829002*(1/14151.6638359215)</f>
        <v>1.9242790914718457E-4</v>
      </c>
      <c r="K117" s="2">
        <f>3.4809605218184*(1/14151.6638359215)</f>
        <v>2.4597535400626154E-4</v>
      </c>
      <c r="L117" s="2">
        <f>4.58093606750566*(1/14151.6638359215)</f>
        <v>3.2370300203695925E-4</v>
      </c>
      <c r="M117" s="2">
        <f>6.02310171996156*(1/14151.6638359215)</f>
        <v>4.2561085323924812E-4</v>
      </c>
      <c r="N117" s="2">
        <f>7.46152089108658*(1/14151.6638359215)</f>
        <v>5.2725396657224335E-4</v>
      </c>
      <c r="O117" s="2">
        <f>6.56815975166931*(1/14151.6638359215)</f>
        <v>4.6412632661589918E-4</v>
      </c>
      <c r="P117" s="2">
        <f>3.78570208376022*(1/14151.6638359215)</f>
        <v>2.6750932806578431E-4</v>
      </c>
      <c r="Q117" s="2">
        <f>0.18516547228441*(1/14151.6638359215)</f>
        <v>1.3084360569278089E-5</v>
      </c>
      <c r="R117" s="2">
        <f>-3.16243249783356*(1/14151.6638359215)</f>
        <v>-2.2346718622627846E-4</v>
      </c>
      <c r="S117" s="2">
        <f>-5.18607424166722*(1/14151.6638359215)</f>
        <v>-3.6646392267340933E-4</v>
      </c>
      <c r="T117" s="2">
        <f>-4.81474217429216*(1/14151.6638359215)</f>
        <v>-3.4022445912478412E-4</v>
      </c>
      <c r="U117" s="2">
        <f>-0.977418710783248*(1/14151.6638359215)</f>
        <v>-6.9067405933021336E-5</v>
      </c>
      <c r="V117" s="2">
        <f>7.39691373378455*(1/14151.6638359215)</f>
        <v>5.2268862654925355E-4</v>
      </c>
      <c r="W117" s="2">
        <f>21.3792727443363*(1/14151.6638359215)</f>
        <v>1.5107250279694175E-3</v>
      </c>
      <c r="X117" s="2">
        <f>42.0406759058017*(1/14151.6638359215)</f>
        <v>2.9707231879751743E-3</v>
      </c>
      <c r="Y117" s="2">
        <f>66.7689123969582*(1/14151.6638359215)</f>
        <v>4.7180962727136795E-3</v>
      </c>
      <c r="Z117" s="2">
        <f>91.1492747506509*(1/14151.6638359215)</f>
        <v>6.440887503226622E-3</v>
      </c>
      <c r="AA117" s="2">
        <f>116.81998571835*(1/14151.6638359215)</f>
        <v>8.254858727058164E-3</v>
      </c>
      <c r="AB117" s="2">
        <f>145.496113192522*(1/14151.6638359215)</f>
        <v>1.0281201905263309E-2</v>
      </c>
      <c r="AC117" s="2">
        <f>178.892725065636*(1/14151.6638359215)</f>
        <v>1.2641108998897248E-2</v>
      </c>
      <c r="AD117" s="2">
        <f>218.724889230169*(1/14151.6638359215)</f>
        <v>1.545577196901572E-2</v>
      </c>
      <c r="AE117" s="2">
        <f>266.707673578572*(1/14151.6638359215)</f>
        <v>1.8846382776672638E-2</v>
      </c>
      <c r="AF117" s="2">
        <f>324.556146003321*(1/14151.6638359215)</f>
        <v>2.2934133382923674E-2</v>
      </c>
      <c r="AG117" s="2">
        <f>393.985374396884*(1/14151.6638359215)</f>
        <v>2.7840215748823945E-2</v>
      </c>
      <c r="AH117" s="2">
        <f>476.710426651729*(1/14151.6638359215)</f>
        <v>3.368582183542855E-2</v>
      </c>
      <c r="AI117" s="2">
        <f>574.474477444576*(1/14151.6638359215)</f>
        <v>4.0594129715431339E-2</v>
      </c>
      <c r="AJ117" s="2">
        <f>688.340857631248*(1/14151.6638359215)</f>
        <v>4.8640277610609739E-2</v>
      </c>
      <c r="AK117" s="2">
        <f>816.749205259082*(1/14151.6638359215)</f>
        <v>5.7714005556428527E-2</v>
      </c>
      <c r="AL117" s="2">
        <f>957.711398947214*(1/14151.6638359215)</f>
        <v>6.7674826794304754E-2</v>
      </c>
      <c r="AM117" s="2">
        <f>1109.23931731478*(1/14151.6638359215)</f>
        <v>7.8382254565655521E-2</v>
      </c>
      <c r="AN117" s="2">
        <f>1269.34483898093*(1/14151.6638359215)</f>
        <v>8.9695802111898842E-2</v>
      </c>
      <c r="AO117" s="2">
        <f>1436.03984256478*(1/14151.6638359215)</f>
        <v>0.10147498267445036</v>
      </c>
      <c r="AP117" s="2">
        <f>1607.33620668552*(1/14151.6638359215)</f>
        <v>0.113579309494731</v>
      </c>
      <c r="AQ117" s="2">
        <f>1781.24580996221*(1/14151.6638359215)</f>
        <v>0.1258682958141524</v>
      </c>
      <c r="AR117" s="2">
        <f>1955.78053101402*(1/14151.6638359215)</f>
        <v>0.13820145487413404</v>
      </c>
      <c r="AS117" s="2">
        <f>2128.9522484601*(1/14151.6638359215)</f>
        <v>0.150438299916094</v>
      </c>
      <c r="AT117" s="2">
        <f>2302.43652704389*(1/14151.6638359215)</f>
        <v>0.16269723148733659</v>
      </c>
      <c r="AU117" s="2">
        <f>2483.3527989362*(1/14151.6638359215)</f>
        <v>0.17548133051554315</v>
      </c>
      <c r="AV117" s="2">
        <f>2670.41447315729*(1/14151.6638359215)</f>
        <v>0.18869968253336505</v>
      </c>
      <c r="AW117" s="2">
        <f>2861.93098200902*(1/14151.6638359215)</f>
        <v>0.20223282683867277</v>
      </c>
      <c r="AX117" s="2">
        <f>3056.21175779323*(1/14151.6638359215)</f>
        <v>0.21596130272933534</v>
      </c>
      <c r="AY117" s="2">
        <f>3251.56623281174*(1/14151.6638359215)</f>
        <v>0.22976564950322048</v>
      </c>
      <c r="AZ117" s="2">
        <f>3446.30383936637*(1/14151.6638359215)</f>
        <v>0.24352640645819584</v>
      </c>
      <c r="BA117" s="2">
        <f>3638.734009759*(1/14151.6638359215)</f>
        <v>0.25712411289213333</v>
      </c>
      <c r="BB117" s="2">
        <f>3827.16617629137*(1/14151.6638359215)</f>
        <v>0.2704393081028949</v>
      </c>
      <c r="BC117" s="2">
        <f>4009.90977126536*(1/14151.6638359215)</f>
        <v>0.28335253138835254</v>
      </c>
      <c r="BD117" s="2">
        <f>4185.42627495149*(1/14151.6638359215)</f>
        <v>0.29575506622249781</v>
      </c>
      <c r="BE117" s="2">
        <f>4357.8889674193*(1/14151.6638359215)</f>
        <v>0.30794180938340043</v>
      </c>
      <c r="BF117" s="2">
        <f>4529.29994214369*(1/14151.6638359215)</f>
        <v>0.3200542349406903</v>
      </c>
      <c r="BG117" s="2">
        <f>4698.90971312587*(1/14151.6638359215)</f>
        <v>0.33203938191341981</v>
      </c>
      <c r="BH117" s="2">
        <f>4865.96879436696*(1/14151.6638359215)</f>
        <v>0.34384428932063499</v>
      </c>
      <c r="BI117" s="2">
        <f>5029.72769986814*(1/14151.6638359215)</f>
        <v>0.35541599618138642</v>
      </c>
      <c r="BJ117" s="2">
        <f>5189.4369436306*(1/14151.6638359215)</f>
        <v>0.36670154151472495</v>
      </c>
      <c r="BK117" s="2">
        <f>5344.34703965551*(1/14151.6638359215)</f>
        <v>0.37764796433970038</v>
      </c>
      <c r="BL117" s="2">
        <f>5493.70850194404*(1/14151.6638359215)</f>
        <v>0.38820230367536229</v>
      </c>
      <c r="BM117" s="2">
        <f>5636.7718444974*(1/14151.6638359215)</f>
        <v>0.39831159854076309</v>
      </c>
      <c r="BN117" s="2">
        <f>5772.78758131669*(1/14151.6638359215)</f>
        <v>0.40792288795494763</v>
      </c>
      <c r="BO117" s="2">
        <f>5901.87039032828*(1/14151.6638359215)</f>
        <v>0.41704427541215505</v>
      </c>
      <c r="BP117" s="2">
        <f>6026.63338765139*(1/14151.6638359215)</f>
        <v>0.42586041171737316</v>
      </c>
      <c r="BQ117" s="2">
        <f>6146.88969316294*(1/14151.6638359215)</f>
        <v>0.43435809134754499</v>
      </c>
      <c r="BR117" s="2">
        <f>6262.14736389154*(1/14151.6638359215)</f>
        <v>0.4425025521024733</v>
      </c>
      <c r="BS117" s="2">
        <f>6371.91445686571*(1/14151.6638359215)</f>
        <v>0.4502590317819542</v>
      </c>
      <c r="BT117" s="2">
        <f>6475.69902911404*(1/14151.6638359215)</f>
        <v>0.45759276818578898</v>
      </c>
      <c r="BU117" s="2">
        <f>6573.00913766512*(1/14151.6638359215)</f>
        <v>0.46446899911377892</v>
      </c>
      <c r="BV117" s="2">
        <f>6663.35283954751*(1/14151.6638359215)</f>
        <v>0.47085296236572305</v>
      </c>
      <c r="BW117" s="2">
        <f>6746.2381917898*(1/14151.6638359215)</f>
        <v>0.4767098957414227</v>
      </c>
      <c r="BX117" s="2">
        <f>6821.17325142056*(1/14151.6638359215)</f>
        <v>0.48200503704067754</v>
      </c>
      <c r="BY117" s="2">
        <f>6887.66536385887*(1/14151.6638359215)</f>
        <v>0.48670357377877699</v>
      </c>
      <c r="BZ117" s="2">
        <f>6945.2248730875*(1/14151.6638359215)</f>
        <v>0.49077090535872347</v>
      </c>
      <c r="CA117" s="2">
        <f>6994.13333413625*(1/14151.6638359215)</f>
        <v>0.49422692732305279</v>
      </c>
      <c r="CB117" s="2">
        <f>7034.99264474334*(1/14151.6638359215)</f>
        <v>0.49711417161325255</v>
      </c>
      <c r="CC117" s="2">
        <f>7068.40470264697*(1/14151.6638359215)</f>
        <v>0.49947517017080867</v>
      </c>
      <c r="CD117" s="2">
        <f>7094.97140558535*(1/14151.6638359215)</f>
        <v>0.50135245493720804</v>
      </c>
      <c r="CE117" s="2">
        <f>7115.2946512967*(1/14151.6638359215)</f>
        <v>0.50278855785393806</v>
      </c>
      <c r="CF117" s="2">
        <f>7129.97633751922*(1/14151.6638359215)</f>
        <v>0.50382601086248491</v>
      </c>
      <c r="CG117" s="2">
        <f>7139.61836199113*(1/14151.6638359215)</f>
        <v>0.50450734590433599</v>
      </c>
      <c r="CH117" s="2">
        <f>7144.82262245062*(1/14151.6638359215)</f>
        <v>0.50487509492097671</v>
      </c>
      <c r="CI117" s="2">
        <f>7146.19101663592*(1/14151.6638359215)</f>
        <v>0.50497178985389524</v>
      </c>
      <c r="CJ117" s="2">
        <f>7144.42940045247*(1/14151.6638359215)</f>
        <v>0.50484730864773641</v>
      </c>
      <c r="CK117" s="2">
        <f>7140.19658514882*(1/14151.6638359215)</f>
        <v>0.50454820492730279</v>
      </c>
      <c r="CL117" s="2">
        <f>7132.74984703673*(1/14151.6638359215)</f>
        <v>0.50402199555726468</v>
      </c>
      <c r="CM117" s="2">
        <f>7121.17952253927*(1/14151.6638359215)</f>
        <v>0.50320440091739693</v>
      </c>
      <c r="CN117" s="2">
        <f>7104.5759480795*(1/14151.6638359215)</f>
        <v>0.5020311413874734</v>
      </c>
      <c r="CO117" s="2">
        <f>7082.02946008048*(1/14151.6638359215)</f>
        <v>0.50043793734726782</v>
      </c>
      <c r="CP117" s="2">
        <f>7052.63039496527*(1/14151.6638359215)</f>
        <v>0.49836050917655444</v>
      </c>
      <c r="CQ117" s="2">
        <f>7015.46908915694*(1/14151.6638359215)</f>
        <v>0.49573457725510767</v>
      </c>
      <c r="CR117" s="2">
        <f>6969.63587907855*(1/14151.6638359215)</f>
        <v>0.49249586196270151</v>
      </c>
      <c r="CS117" s="2">
        <f>6914.22110115315*(1/14151.6638359215)</f>
        <v>0.48858008367910921</v>
      </c>
      <c r="CT117" s="2">
        <f>6848.31509180382*(1/14151.6638359215)</f>
        <v>0.48392296278410613</v>
      </c>
      <c r="CU117" s="2">
        <f>6771.66708844396*(1/14151.6638359215)</f>
        <v>0.47850677962369903</v>
      </c>
      <c r="CV117" s="2">
        <f>6685.16170915576*(1/14151.6638359215)</f>
        <v>0.47239404402658702</v>
      </c>
      <c r="CW117" s="2">
        <f>6589.42042278507*(1/14151.6638359215)</f>
        <v>0.46562867088878901</v>
      </c>
      <c r="CX117" s="2">
        <f>6485.06276530149*(1/14151.6638359215)</f>
        <v>0.45825443852335607</v>
      </c>
      <c r="CY117" s="2">
        <f>6372.70827267461*(1/14151.6638359215)</f>
        <v>0.45031512524333822</v>
      </c>
      <c r="CZ117" s="2">
        <f>6252.97648087403*(1/14151.6638359215)</f>
        <v>0.44185450936178639</v>
      </c>
      <c r="DA117" s="2">
        <f>6126.48692586933*(1/14151.6638359215)</f>
        <v>0.43291636919175008</v>
      </c>
      <c r="DB117" s="2">
        <f>5993.85914363015*(1/14151.6638359215)</f>
        <v>0.42354448304628306</v>
      </c>
      <c r="DC117" s="2">
        <f>5855.71267012606*(1/14151.6638359215)</f>
        <v>0.41378262923843401</v>
      </c>
      <c r="DD117" s="2">
        <f>5712.66704132667*(1/14151.6638359215)</f>
        <v>0.40367458608125456</v>
      </c>
      <c r="DE117" s="2">
        <f>5564.7159252012*(1/14151.6638359215)</f>
        <v>0.39321990613401592</v>
      </c>
      <c r="DF117" s="2">
        <f>5406.36316356745*(1/14151.6638359215)</f>
        <v>0.38203021399111758</v>
      </c>
      <c r="DG117" s="2">
        <f>5237.73929610043*(1/14151.6638359215)</f>
        <v>0.37011473398663935</v>
      </c>
      <c r="DH117" s="2">
        <f>5060.80039903883*(1/14151.6638359215)</f>
        <v>0.35761168847106739</v>
      </c>
      <c r="DI117" s="2">
        <f>4877.50254862144*(1/14151.6638359215)</f>
        <v>0.34465929979489485</v>
      </c>
      <c r="DJ117" s="2">
        <f>4689.80182108697*(1/14151.6638359215)</f>
        <v>0.33139579030860927</v>
      </c>
      <c r="DK117" s="2">
        <f>4499.65429267413*(1/14151.6638359215)</f>
        <v>0.31795938236269805</v>
      </c>
      <c r="DL117" s="2">
        <f>4309.01603962166*(1/14151.6638359215)</f>
        <v>0.30448829830765084</v>
      </c>
      <c r="DM117" s="2">
        <f>4119.84313816824*(1/14151.6638359215)</f>
        <v>0.29112076049395308</v>
      </c>
      <c r="DN117" s="2">
        <f>3934.09166455267*(1/14151.6638359215)</f>
        <v>0.27799499127209853</v>
      </c>
      <c r="DO117" s="2">
        <f>3753.71769501363*(1/14151.6638359215)</f>
        <v>0.2652492129925727</v>
      </c>
      <c r="DP117" s="2">
        <f>3576.88098366867*(1/14151.6638359215)</f>
        <v>0.25275338823336019</v>
      </c>
      <c r="DQ117" s="2">
        <f>3397.65192656995*(1/14151.6638359215)</f>
        <v>0.24008851298075712</v>
      </c>
      <c r="DR117" s="2">
        <f>3217.0892177717*(1/14151.6638359215)</f>
        <v>0.22732939780590938</v>
      </c>
      <c r="DS117" s="2">
        <f>3036.44962481676*(1/14151.6638359215)</f>
        <v>0.21456484976058215</v>
      </c>
      <c r="DT117" s="2">
        <f>2856.98991524797*(1/14151.6638359215)</f>
        <v>0.20188367589654058</v>
      </c>
      <c r="DU117" s="2">
        <f>2679.96685660826*(1/14151.6638359215)</f>
        <v>0.1893746832655562</v>
      </c>
      <c r="DV117" s="2">
        <f>2506.63721644044*(1/14151.6638359215)</f>
        <v>0.1771266789193921</v>
      </c>
      <c r="DW117" s="2">
        <f>2338.25776228738*(1/14151.6638359215)</f>
        <v>0.16522846990981552</v>
      </c>
      <c r="DX117" s="2">
        <f>2176.08526169193*(1/14151.6638359215)</f>
        <v>0.15376886328859241</v>
      </c>
      <c r="DY117" s="2">
        <f>2021.37648219694*(1/14151.6638359215)</f>
        <v>0.14283666610748857</v>
      </c>
      <c r="DZ117" s="2">
        <f>1875.23446978412*(1/14151.6638359215)</f>
        <v>0.13250982298096767</v>
      </c>
      <c r="EA117" s="2">
        <f>1735.23634127471*(1/14151.6638359215)</f>
        <v>0.12261712554746523</v>
      </c>
      <c r="EB117" s="2">
        <f>1600.21910837423*(1/14151.6638359215)</f>
        <v>0.11307639348472626</v>
      </c>
      <c r="EC117" s="2">
        <f>1470.2960773437*(1/14151.6638359215)</f>
        <v>0.10389563336090651</v>
      </c>
      <c r="ED117" s="2">
        <f>1345.58055444413*(1/14151.6638359215)</f>
        <v>9.508285174416109E-2</v>
      </c>
      <c r="EE117" s="2">
        <f>1226.18584593654*(1/14151.6638359215)</f>
        <v>8.6646055202645775E-2</v>
      </c>
      <c r="EF117" s="2">
        <f>1112.22525808198*(1/14151.6638359215)</f>
        <v>7.8593250304518442E-2</v>
      </c>
      <c r="EG117" s="2">
        <f>1003.81209714145*(1/14151.6638359215)</f>
        <v>7.093244361793348E-2</v>
      </c>
      <c r="EH117" s="2">
        <f>901.059669375985*(1/14151.6638359215)</f>
        <v>6.3671641711047722E-2</v>
      </c>
      <c r="EI117" s="2">
        <f>804.081281046597*(1/14151.6638359215)</f>
        <v>5.6818851152016396E-2</v>
      </c>
      <c r="EJ117" s="2">
        <f>712.990238414293*(1/14151.6638359215)</f>
        <v>5.0382078508994343E-2</v>
      </c>
      <c r="EK117" s="2">
        <f>628.027416590287*(1/14151.6638359215)</f>
        <v>4.4378344756617963E-2</v>
      </c>
      <c r="EL117" s="2">
        <f>549.499120517957*(1/14151.6638359215)</f>
        <v>3.8829294342277297E-2</v>
      </c>
      <c r="EM117" s="2">
        <f>477.145250042476*(1/14151.6638359215)</f>
        <v>3.3716547790750021E-2</v>
      </c>
      <c r="EN117" s="2">
        <f>410.672733585932*(1/14151.6638359215)</f>
        <v>2.901939576486489E-2</v>
      </c>
      <c r="EO117" s="2">
        <f>349.788499570413*(1/14151.6638359215)</f>
        <v>2.4717128927450684E-2</v>
      </c>
      <c r="EP117" s="2">
        <f>294.199476418009*(1/14151.6638359215)</f>
        <v>2.0789037941336311E-2</v>
      </c>
      <c r="EQ117" s="2">
        <f>243.612592550798*(1/14151.6638359215)</f>
        <v>1.7214413469349835E-2</v>
      </c>
      <c r="ER117" s="2">
        <f>197.734776390887*(1/14151.6638359215)</f>
        <v>1.3972546174321367E-2</v>
      </c>
      <c r="ES117" s="2">
        <f>156.272956360356*(1/14151.6638359215)</f>
        <v>1.1042726719079117E-2</v>
      </c>
      <c r="ET117" s="2">
        <f>118.934060881292*(1/14151.6638359215)</f>
        <v>8.4042457664517782E-3</v>
      </c>
      <c r="EU117" s="2">
        <f>85.4630075994623*(1/14151.6638359215)</f>
        <v>6.039078414407326E-3</v>
      </c>
      <c r="EV117" s="2">
        <f>58.3601900950241*(1/14151.6638359215)</f>
        <v>4.1239101473628187E-3</v>
      </c>
      <c r="EW117" s="2">
        <f>38.4921866916615*(1/14151.6638359215)</f>
        <v>2.7199760493148433E-3</v>
      </c>
      <c r="EX117" s="2">
        <f>24.7614491830565*(1/14151.6638359215)</f>
        <v>1.7497199954823639E-3</v>
      </c>
      <c r="EY117" s="2">
        <f>16.0704293628969*(1/14151.6638359215)</f>
        <v>1.1355858610847547E-3</v>
      </c>
      <c r="EZ117" s="2">
        <f>11.3215790248706*(1/14151.6638359215)</f>
        <v>8.0001752134139668E-4</v>
      </c>
      <c r="FA117" s="2">
        <f>9.41734996266534*(1/14151.6638359215)</f>
        <v>6.6545885147165941E-4</v>
      </c>
      <c r="FB117" s="2">
        <f>9.26019396996902*(1/14151.6638359215)</f>
        <v>6.5435372669492428E-4</v>
      </c>
      <c r="FC117" s="2">
        <f>9.75256284046936*(1/14151.6638359215)</f>
        <v>6.8914602223055926E-4</v>
      </c>
      <c r="FD117" s="2">
        <f>9.79690836785402*(1/14151.6638359215)</f>
        <v>6.9227961329792879E-4</v>
      </c>
      <c r="FE117" s="2">
        <f>8.29568234581075*(1/14151.6638359215)</f>
        <v>5.8619837511640334E-4</v>
      </c>
      <c r="FF117" s="2">
        <f>4.79523508847842*(1/14151.6638359215)</f>
        <v>3.3884602857132338E-4</v>
      </c>
      <c r="FG117" s="2">
        <f>1.68126911787809*(1/14151.6638359215)</f>
        <v>1.1880363590961547E-4</v>
      </c>
      <c r="FH117" s="2">
        <f>-0.691709638998963*(1/14151.6638359215)</f>
        <v>-4.8878326041294185E-5</v>
      </c>
      <c r="FI117" s="2">
        <f>-2.32370118215339*(1/14151.6638359215)</f>
        <v>-1.6419985728145157E-4</v>
      </c>
      <c r="FJ117" s="2">
        <f>-3.21470551158518*(1/14151.6638359215)</f>
        <v>-2.2716095781085598E-4</v>
      </c>
      <c r="FK117" s="2">
        <f>-3.36472262729434*(1/14151.6638359215)</f>
        <v>-2.3776162762950784E-4</v>
      </c>
      <c r="FL117" s="2">
        <f>-2.77375252928088*(1/14151.6638359215)</f>
        <v>-1.9600186673740787E-4</v>
      </c>
      <c r="FM117" s="2">
        <f>-1.44179521754447*(1/14151.6638359215)</f>
        <v>-1.0188167513453276E-4</v>
      </c>
      <c r="FN117" s="2">
        <f>0.631149307914391*(1/14151.6638359215)</f>
        <v>4.4598947179082212E-5</v>
      </c>
      <c r="FO117" s="2">
        <f>3.44508104709589*(1/14151.6638359215)</f>
        <v>2.4344000020345028E-4</v>
      </c>
      <c r="FP117" s="2">
        <f t="shared" si="19"/>
        <v>4.9464148393856954E-4</v>
      </c>
      <c r="FQ117" s="2"/>
    </row>
    <row r="118" spans="2:173">
      <c r="B118" s="2">
        <v>10.388757396449705</v>
      </c>
      <c r="C118" s="2">
        <f t="shared" si="20"/>
        <v>4.9464148393856954E-4</v>
      </c>
      <c r="D118" s="2">
        <f>5.86490717131455*(1/14151.6638359215)</f>
        <v>4.144323409115696E-4</v>
      </c>
      <c r="E118" s="2">
        <f>4.96711941491024*(1/14151.6638359215)</f>
        <v>3.5099190261304007E-4</v>
      </c>
      <c r="F118" s="2">
        <f>4.30663673078698*(1/14151.6638359215)</f>
        <v>3.0432016904297456E-4</v>
      </c>
      <c r="G118" s="2">
        <f>3.88345911894502*(1/14151.6638359215)</f>
        <v>2.7441714020139064E-4</v>
      </c>
      <c r="H118" s="2">
        <f>3.69758657938421*(1/14151.6638359215)</f>
        <v>2.612828160882779E-4</v>
      </c>
      <c r="I118" s="2">
        <f>3.74901911210455*(1/14151.6638359215)</f>
        <v>2.6491719670363617E-4</v>
      </c>
      <c r="J118" s="2">
        <f>4.03775671710605*(1/14151.6638359215)</f>
        <v>2.8532028204746621E-4</v>
      </c>
      <c r="K118" s="2">
        <f>4.56379939438869*(1/14151.6638359215)</f>
        <v>3.2249207211976666E-4</v>
      </c>
      <c r="L118" s="2">
        <f>5.32714714395264*(1/14151.6638359215)</f>
        <v>3.7643256692054952E-4</v>
      </c>
      <c r="M118" s="2">
        <f>6.32779996579763*(1/14151.6638359215)</f>
        <v>4.4714176644979563E-4</v>
      </c>
      <c r="N118" s="2">
        <f>7.25354840292954*(1/14151.6638359215)</f>
        <v>5.1255799226361553E-4</v>
      </c>
      <c r="O118" s="2">
        <f>6.00333057671058*(1/14151.6638359215)</f>
        <v>4.2421376357684422E-4</v>
      </c>
      <c r="P118" s="2">
        <f>2.97667075826037*(1/14151.6638359215)</f>
        <v>2.1034069158035092E-4</v>
      </c>
      <c r="Q118" s="2">
        <f>-0.859832461455165*(1/14151.6638359215)</f>
        <v>-6.0758400667533673E-5</v>
      </c>
      <c r="R118" s="2">
        <f>-4.53958049147068*(1/14151.6638359215)</f>
        <v>-3.207806901085197E-4</v>
      </c>
      <c r="S118" s="2">
        <f>-7.09597474081871*(1/14151.6638359215)</f>
        <v>-5.0142335368416765E-4</v>
      </c>
      <c r="T118" s="2">
        <f>-7.56241661853407*(1/14151.6638359215)</f>
        <v>-5.3438356833619878E-4</v>
      </c>
      <c r="U118" s="2">
        <f>-4.97230753365077*(1/14151.6638359215)</f>
        <v>-3.5135851100627795E-4</v>
      </c>
      <c r="V118" s="2">
        <f>1.64095110479709*(1/14151.6638359215)</f>
        <v>1.1595464136392396E-4</v>
      </c>
      <c r="W118" s="2">
        <f>13.2439578877755*(1/14151.6638359215)</f>
        <v>9.358587118327423E-4</v>
      </c>
      <c r="X118" s="2">
        <f>30.8033114062542*(1/14151.6638359215)</f>
        <v>2.1766565234587775E-3</v>
      </c>
      <c r="Y118" s="2">
        <f>51.5869136459422*(1/14151.6638359215)</f>
        <v>3.6452896453770989E-3</v>
      </c>
      <c r="Z118" s="2">
        <f>71.191765585662*(1/14151.6638359215)</f>
        <v>5.0306286533569481E-3</v>
      </c>
      <c r="AA118" s="2">
        <f>91.3909435725586*(1/14151.6638359215)</f>
        <v>6.4579645638966369E-3</v>
      </c>
      <c r="AB118" s="2">
        <f>114.035310329142*(1/14151.6638359215)</f>
        <v>8.0580850175145848E-3</v>
      </c>
      <c r="AC118" s="2">
        <f>140.975728577921*(1/14151.6638359215)</f>
        <v>9.9617776547291214E-3</v>
      </c>
      <c r="AD118" s="2">
        <f>174.063061041412*(1/14151.6638359215)</f>
        <v>1.229983011605912E-2</v>
      </c>
      <c r="AE118" s="2">
        <f>215.148170442114*(1/14151.6638359215)</f>
        <v>1.5203030042022224E-2</v>
      </c>
      <c r="AF118" s="2">
        <f>266.081919502541*(1/14151.6638359215)</f>
        <v>1.8802165073137127E-2</v>
      </c>
      <c r="AG118" s="2">
        <f>328.715170945203*(1/14151.6638359215)</f>
        <v>2.3228022849922255E-2</v>
      </c>
      <c r="AH118" s="2">
        <f>404.898787492609*(1/14151.6638359215)</f>
        <v>2.8611391012895952E-2</v>
      </c>
      <c r="AI118" s="2">
        <f>496.473650254902*(1/14151.6638359215)</f>
        <v>3.5082351871211871E-2</v>
      </c>
      <c r="AJ118" s="2">
        <f>604.066466740315*(1/14151.6638359215)</f>
        <v>4.2685190500851143E-2</v>
      </c>
      <c r="AK118" s="2">
        <f>726.020821459698*(1/14151.6638359215)</f>
        <v>5.1302859499589182E-2</v>
      </c>
      <c r="AL118" s="2">
        <f>860.432825452827*(1/14151.6638359215)</f>
        <v>6.080082423020608E-2</v>
      </c>
      <c r="AM118" s="2">
        <f>1005.39858975948*(1/14151.6638359215)</f>
        <v>7.1044550055482047E-2</v>
      </c>
      <c r="AN118" s="2">
        <f>1159.01422541943*(1/14151.6638359215)</f>
        <v>8.1899502338196942E-2</v>
      </c>
      <c r="AO118" s="2">
        <f>1319.37584347246*(1/14151.6638359215)</f>
        <v>9.3231146441131355E-2</v>
      </c>
      <c r="AP118" s="2">
        <f>1484.57955495837*(1/14151.6638359215)</f>
        <v>0.10490494772706704</v>
      </c>
      <c r="AQ118" s="2">
        <f>1652.72147091688*(1/14151.6638359215)</f>
        <v>0.11678637155878013</v>
      </c>
      <c r="AR118" s="2">
        <f>1821.89770238779*(1/14151.6638359215)</f>
        <v>0.12874088329905239</v>
      </c>
      <c r="AS118" s="2">
        <f>1990.20436041089*(1/14151.6638359215)</f>
        <v>0.14063394831066492</v>
      </c>
      <c r="AT118" s="2">
        <f>2159.38765746064*(1/14151.6638359215)</f>
        <v>0.15258895932642322</v>
      </c>
      <c r="AU118" s="2">
        <f>2336.5330290076*(1/14151.6638359215)</f>
        <v>0.16510659496282856</v>
      </c>
      <c r="AV118" s="2">
        <f>2520.27176831373*(1/14151.6638359215)</f>
        <v>0.17809013820102659</v>
      </c>
      <c r="AW118" s="2">
        <f>2708.83096618761*(1/14151.6638359215)</f>
        <v>0.19141430983625551</v>
      </c>
      <c r="AX118" s="2">
        <f>2900.43771343782*(1/14151.6638359215)</f>
        <v>0.20495383066375356</v>
      </c>
      <c r="AY118" s="2">
        <f>3093.31910087289*(1/14151.6638359215)</f>
        <v>0.21858342147875542</v>
      </c>
      <c r="AZ118" s="2">
        <f>3285.70221930139*(1/14151.6638359215)</f>
        <v>0.23217780307649868</v>
      </c>
      <c r="BA118" s="2">
        <f>3475.81415953192*(1/14151.6638359215)</f>
        <v>0.24561169625222296</v>
      </c>
      <c r="BB118" s="2">
        <f>3661.88201237294*(1/14151.6638359215)</f>
        <v>0.25875982180115809</v>
      </c>
      <c r="BC118" s="2">
        <f>3842.13286863306*(1/14151.6638359215)</f>
        <v>0.27149690051854425</v>
      </c>
      <c r="BD118" s="2">
        <f>4014.94939679475*(1/14151.6638359215)</f>
        <v>0.28370864679554569</v>
      </c>
      <c r="BE118" s="2">
        <f>4184.57928468787*(1/14151.6638359215)</f>
        <v>0.29569521529094372</v>
      </c>
      <c r="BF118" s="2">
        <f>4353.10610211649*(1/14151.6638359215)</f>
        <v>0.30760383744184894</v>
      </c>
      <c r="BG118" s="2">
        <f>4519.80761783162*(1/14151.6638359215)</f>
        <v>0.31938347817158336</v>
      </c>
      <c r="BH118" s="2">
        <f>4683.9616005842*(1/14151.6638359215)</f>
        <v>0.33098310240346374</v>
      </c>
      <c r="BI118" s="2">
        <f>4844.84581912525*(1/14151.6638359215)</f>
        <v>0.3423516750608126</v>
      </c>
      <c r="BJ118" s="2">
        <f>5001.73804220578*(1/14151.6638359215)</f>
        <v>0.35343816106695186</v>
      </c>
      <c r="BK118" s="2">
        <f>5153.91603857677*(1/14151.6638359215)</f>
        <v>0.36419152534520105</v>
      </c>
      <c r="BL118" s="2">
        <f>5300.65757698921*(1/14151.6638359215)</f>
        <v>0.37456073281888075</v>
      </c>
      <c r="BM118" s="2">
        <f>5441.24042619414*(1/14151.6638359215)</f>
        <v>0.38449474841131487</v>
      </c>
      <c r="BN118" s="2">
        <f>5574.94235494249*(1/14151.6638359215)</f>
        <v>0.39394253704581955</v>
      </c>
      <c r="BO118" s="2">
        <f>5701.90948971323*(1/14151.6638359215)</f>
        <v>0.40291442446788056</v>
      </c>
      <c r="BP118" s="2">
        <f>5824.76961857895*(1/14151.6638359215)</f>
        <v>0.41159609824774107</v>
      </c>
      <c r="BQ118" s="2">
        <f>5943.30171581345*(1/14151.6638359215)</f>
        <v>0.41997194002923022</v>
      </c>
      <c r="BR118" s="2">
        <f>6056.97667323029*(1/14151.6638359215)</f>
        <v>0.42800456140399012</v>
      </c>
      <c r="BS118" s="2">
        <f>6165.26538264295*(1/14151.6638359215)</f>
        <v>0.43565657396365737</v>
      </c>
      <c r="BT118" s="2">
        <f>6267.638735865*(1/14151.6638359215)</f>
        <v>0.44289058929987479</v>
      </c>
      <c r="BU118" s="2">
        <f>6363.56762470996*(1/14151.6638359215)</f>
        <v>0.44966921900428186</v>
      </c>
      <c r="BV118" s="2">
        <f>6452.52294099135*(1/14151.6638359215)</f>
        <v>0.45595507466851776</v>
      </c>
      <c r="BW118" s="2">
        <f>6533.97557652272*(1/14151.6638359215)</f>
        <v>0.4617107678842241</v>
      </c>
      <c r="BX118" s="2">
        <f>6607.39642311759*(1/14151.6638359215)</f>
        <v>0.46689891024304014</v>
      </c>
      <c r="BY118" s="2">
        <f>6672.25607000002*(1/14151.6638359215)</f>
        <v>0.47148209195470547</v>
      </c>
      <c r="BZ118" s="2">
        <f>6728.14748646337*(1/14151.6638359215)</f>
        <v>0.47543155098025691</v>
      </c>
      <c r="CA118" s="2">
        <f>6775.41984256946*(1/14151.6638359215)</f>
        <v>0.47877196074791245</v>
      </c>
      <c r="CB118" s="2">
        <f>6814.65280993159*(1/14151.6638359215)</f>
        <v>0.48154428263295779</v>
      </c>
      <c r="CC118" s="2">
        <f>6846.42606016304*(1/14151.6638359215)</f>
        <v>0.48378947801067723</v>
      </c>
      <c r="CD118" s="2">
        <f>6871.31926487711*(1/14151.6638359215)</f>
        <v>0.48554850825635637</v>
      </c>
      <c r="CE118" s="2">
        <f>6889.91209568707*(1/14151.6638359215)</f>
        <v>0.48686233474527885</v>
      </c>
      <c r="CF118" s="2">
        <f>6902.78422420621*(1/14151.6638359215)</f>
        <v>0.48777191885272958</v>
      </c>
      <c r="CG118" s="2">
        <f>6910.51532204782*(1/14151.6638359215)</f>
        <v>0.4883182219539936</v>
      </c>
      <c r="CH118" s="2">
        <f>6913.68506082519*(1/14151.6638359215)</f>
        <v>0.48854220542435589</v>
      </c>
      <c r="CI118" s="2">
        <f>6912.8731121516*(1/14151.6638359215)</f>
        <v>0.48848483063910075</v>
      </c>
      <c r="CJ118" s="2">
        <f>6908.69385364208*(1/14151.6638359215)</f>
        <v>0.48818951140611333</v>
      </c>
      <c r="CK118" s="2">
        <f>6901.44779514879*(1/14151.6638359215)</f>
        <v>0.48767748267385236</v>
      </c>
      <c r="CL118" s="2">
        <f>6890.50374220363*(1/14151.6638359215)</f>
        <v>0.48690414230398149</v>
      </c>
      <c r="CM118" s="2">
        <f>6875.14163902882*(1/14151.6638359215)</f>
        <v>0.48581860894529494</v>
      </c>
      <c r="CN118" s="2">
        <f>6854.64142984658*(1/14151.6638359215)</f>
        <v>0.48437000124658719</v>
      </c>
      <c r="CO118" s="2">
        <f>6828.28305887911*(1/14151.6638359215)</f>
        <v>0.48250743785665112</v>
      </c>
      <c r="CP118" s="2">
        <f>6795.34647034863*(1/14151.6638359215)</f>
        <v>0.480180037424281</v>
      </c>
      <c r="CQ118" s="2">
        <f>6755.11160847734*(1/14151.6638359215)</f>
        <v>0.47733691859826988</v>
      </c>
      <c r="CR118" s="2">
        <f>6706.85841748747*(1/14151.6638359215)</f>
        <v>0.47392720002741268</v>
      </c>
      <c r="CS118" s="2">
        <f>6649.86684160122*(1/14151.6638359215)</f>
        <v>0.46990000036050228</v>
      </c>
      <c r="CT118" s="2">
        <f>6583.41682504081*(1/14151.6638359215)</f>
        <v>0.46520443824633323</v>
      </c>
      <c r="CU118" s="2">
        <f>6507.18384974229*(1/14151.6638359215)</f>
        <v>0.45981758224251712</v>
      </c>
      <c r="CV118" s="2">
        <f>6421.76387948247*(1/14151.6638359215)</f>
        <v>0.45378154497861634</v>
      </c>
      <c r="CW118" s="2">
        <f>6327.73761165121*(1/14151.6638359215)</f>
        <v>0.44713736031443629</v>
      </c>
      <c r="CX118" s="2">
        <f>6225.68483194387*(1/14151.6638359215)</f>
        <v>0.43992599768665142</v>
      </c>
      <c r="CY118" s="2">
        <f>6116.18532605584*(1/14151.6638359215)</f>
        <v>0.43218842653193779</v>
      </c>
      <c r="CZ118" s="2">
        <f>5999.81887968251*(1/14151.6638359215)</f>
        <v>0.42396561628697177</v>
      </c>
      <c r="DA118" s="2">
        <f>5877.16527851922*(1/14151.6638359215)</f>
        <v>0.41529853638842618</v>
      </c>
      <c r="DB118" s="2">
        <f>5748.80430826141*(1/14151.6638359215)</f>
        <v>0.40622815627298081</v>
      </c>
      <c r="DC118" s="2">
        <f>5615.31575460444*(1/14151.6638359215)</f>
        <v>0.39679544537730982</v>
      </c>
      <c r="DD118" s="2">
        <f>5477.2794032437*(1/14151.6638359215)</f>
        <v>0.38704137313808945</v>
      </c>
      <c r="DE118" s="2">
        <f>5334.70677869372*(1/14151.6638359215)</f>
        <v>0.37696675391288681</v>
      </c>
      <c r="DF118" s="2">
        <f>5182.61359307582*(1/14151.6638359215)</f>
        <v>0.3662193826227465</v>
      </c>
      <c r="DG118" s="2">
        <f>5021.10215735505*(1/14151.6638359215)</f>
        <v>0.35480648887446498</v>
      </c>
      <c r="DH118" s="2">
        <f>4851.92995907386*(1/14151.6638359215)</f>
        <v>0.34285226213175674</v>
      </c>
      <c r="DI118" s="2">
        <f>4676.85448577481*(1/14151.6638359215)</f>
        <v>0.33048089185834395</v>
      </c>
      <c r="DJ118" s="2">
        <f>4497.63322500038*(1/14151.6638359215)</f>
        <v>0.31781656751794318</v>
      </c>
      <c r="DK118" s="2">
        <f>4316.02366429304*(1/14151.6638359215)</f>
        <v>0.30498347857427027</v>
      </c>
      <c r="DL118" s="2">
        <f>4133.78329119529*(1/14151.6638359215)</f>
        <v>0.29210581449104317</v>
      </c>
      <c r="DM118" s="2">
        <f>3952.6695932496*(1/14151.6638359215)</f>
        <v>0.27930776473197777</v>
      </c>
      <c r="DN118" s="2">
        <f>3774.44005799853*(1/14151.6638359215)</f>
        <v>0.26671351876079619</v>
      </c>
      <c r="DO118" s="2">
        <f>3600.85217298453*(1/14151.6638359215)</f>
        <v>0.25444726604121298</v>
      </c>
      <c r="DP118" s="2">
        <f>3430.0355439425*(1/14151.6638359215)</f>
        <v>0.24237683877396526</v>
      </c>
      <c r="DQ118" s="2">
        <f>3256.34448839835*(1/14151.6638359215)</f>
        <v>0.23010329570807744</v>
      </c>
      <c r="DR118" s="2">
        <f>3080.91973955421*(1/14151.6638359215)</f>
        <v>0.21770724455267509</v>
      </c>
      <c r="DS118" s="2">
        <f>2905.09273503227*(1/14151.6638359215)</f>
        <v>0.20528276877650281</v>
      </c>
      <c r="DT118" s="2">
        <f>2730.1949124547*(1/14151.6638359215)</f>
        <v>0.19292395184830369</v>
      </c>
      <c r="DU118" s="2">
        <f>2557.55770944375*(1/14151.6638359215)</f>
        <v>0.18072487723682648</v>
      </c>
      <c r="DV118" s="2">
        <f>2388.51256362159*(1/14151.6638359215)</f>
        <v>0.16877962841081431</v>
      </c>
      <c r="DW118" s="2">
        <f>2224.3909126104*(1/14151.6638359215)</f>
        <v>0.15718228883901103</v>
      </c>
      <c r="DX118" s="2">
        <f>2066.52419403238*(1/14151.6638359215)</f>
        <v>0.14602694199016183</v>
      </c>
      <c r="DY118" s="2">
        <f>1916.24384550971*(1/14151.6638359215)</f>
        <v>0.13540767133301057</v>
      </c>
      <c r="DZ118" s="2">
        <f>1774.72090528599*(1/14151.6638359215)</f>
        <v>0.12540722602392337</v>
      </c>
      <c r="EA118" s="2">
        <f>1639.43660345607*(1/14151.6638359215)</f>
        <v>0.11584762205095982</v>
      </c>
      <c r="EB118" s="2">
        <f>1509.16023746723*(1/14151.6638359215)</f>
        <v>0.10664189419455353</v>
      </c>
      <c r="EC118" s="2">
        <f>1383.98898754331*(1/14151.6638359215)</f>
        <v>9.7796909507580188E-2</v>
      </c>
      <c r="ED118" s="2">
        <f>1264.02003390817*(1/14151.6638359215)</f>
        <v>8.9319535042916884E-2</v>
      </c>
      <c r="EE118" s="2">
        <f>1149.35055678562*(1/14151.6638359215)</f>
        <v>8.1216637853437176E-2</v>
      </c>
      <c r="EF118" s="2">
        <f>1040.07773639956*(1/14151.6638359215)</f>
        <v>7.3495084992020968E-2</v>
      </c>
      <c r="EG118" s="2">
        <f>936.298752973822*(1/14151.6638359215)</f>
        <v>6.6161743511543358E-2</v>
      </c>
      <c r="EH118" s="2">
        <f>838.110786732244*(1/14151.6638359215)</f>
        <v>5.922348046487988E-2</v>
      </c>
      <c r="EI118" s="2">
        <f>745.611017898676*(1/14151.6638359215)</f>
        <v>5.2687162904906916E-2</v>
      </c>
      <c r="EJ118" s="2">
        <f>658.89662669695*(1/14151.6638359215)</f>
        <v>4.6559657884499575E-2</v>
      </c>
      <c r="EK118" s="2">
        <f>578.251863704569*(1/14151.6638359215)</f>
        <v>4.0861051421867356E-2</v>
      </c>
      <c r="EL118" s="2">
        <f>504.126958201593*(1/14151.6638359215)</f>
        <v>3.5623158099753312E-2</v>
      </c>
      <c r="EM118" s="2">
        <f>436.2166700218*(1/14151.6638359215)</f>
        <v>3.0824408711189209E-2</v>
      </c>
      <c r="EN118" s="2">
        <f>374.16981042756*(1/14151.6638359215)</f>
        <v>2.6439987182128789E-2</v>
      </c>
      <c r="EO118" s="2">
        <f>317.635190681243*(1/14151.6638359215)</f>
        <v>2.2445077438525789E-2</v>
      </c>
      <c r="EP118" s="2">
        <f>266.261622045219*(1/14151.6638359215)</f>
        <v>1.881486340633395E-2</v>
      </c>
      <c r="EQ118" s="2">
        <f>219.697915781849*(1/14151.6638359215)</f>
        <v>1.5524529011506381E-2</v>
      </c>
      <c r="ER118" s="2">
        <f>177.592883153522*(1/14151.6638359215)</f>
        <v>1.2549258179998158E-2</v>
      </c>
      <c r="ES118" s="2">
        <f>139.595335422597*(1/14151.6638359215)</f>
        <v>9.8642348377622497E-3</v>
      </c>
      <c r="ET118" s="2">
        <f>105.354083851446*(1/14151.6638359215)</f>
        <v>7.4446429107525346E-3</v>
      </c>
      <c r="EU118" s="2">
        <f>74.5562424258868*(1/14151.6638359215)</f>
        <v>5.2683729129177686E-3</v>
      </c>
      <c r="EV118" s="2">
        <f>49.6909194477246*(1/14151.6638359215)</f>
        <v>3.511312876270632E-3</v>
      </c>
      <c r="EW118" s="2">
        <f>31.6744922763281*(1/14151.6638359215)</f>
        <v>2.2382168375090989E-3</v>
      </c>
      <c r="EX118" s="2">
        <f>19.4573881048865*(1/14151.6638359215)</f>
        <v>1.3749187608242473E-3</v>
      </c>
      <c r="EY118" s="2">
        <f>11.9900341265944*(1/14151.6638359215)</f>
        <v>8.4725261040753501E-4</v>
      </c>
      <c r="EZ118" s="2">
        <f>8.22285753464608*(1/14151.6638359215)</f>
        <v>5.8105235045039774E-4</v>
      </c>
      <c r="FA118" s="2">
        <f>7.10628552223613*(1/14151.6638359215)</f>
        <v>5.0215194514429318E-4</v>
      </c>
      <c r="FB118" s="2">
        <f>7.59074528255915*(1/14151.6638359215)</f>
        <v>5.3638535868067924E-4</v>
      </c>
      <c r="FC118" s="2">
        <f>8.6266640088093*(1/14151.6638359215)</f>
        <v>6.0958655525098306E-4</v>
      </c>
      <c r="FD118" s="2">
        <f>9.16446889418102*(1/14151.6638359215)</f>
        <v>6.4758949904665161E-4</v>
      </c>
      <c r="FE118" s="2">
        <f>8.15458713186872*(1/14151.6638359215)</f>
        <v>5.7622815425912959E-4</v>
      </c>
      <c r="FF118" s="2">
        <f>5.16319871163745*(1/14151.6638359215)</f>
        <v>3.6484746751343694E-4</v>
      </c>
      <c r="FG118" s="2">
        <f>2.47172369124865*(1/14151.6638359215)</f>
        <v>1.7465958207505016E-4</v>
      </c>
      <c r="FH118" s="2">
        <f>0.419172037354746*(1/14151.6638359215)</f>
        <v>2.9619982654672153E-5</v>
      </c>
      <c r="FI118" s="2">
        <f>-0.99445625004483*(1/14151.6638359215)</f>
        <v>-7.0271330747737119E-5</v>
      </c>
      <c r="FJ118" s="2">
        <f>-1.76916117095008*(1/14151.6638359215)</f>
        <v>-1.2501435813217784E-4</v>
      </c>
      <c r="FK118" s="2">
        <f>-1.90494272536099*(1/14151.6638359215)</f>
        <v>-1.3460909949864901E-4</v>
      </c>
      <c r="FL118" s="2">
        <f>-1.40180091327758*(1/14151.6638359215)</f>
        <v>-9.9055554847152021E-5</v>
      </c>
      <c r="FM118" s="2">
        <f>-0.259735734699563*(1/14151.6638359215)</f>
        <v>-1.8353724177666637E-5</v>
      </c>
      <c r="FN118" s="2">
        <f>1.52125281037263*(1/14151.6638359215)</f>
        <v>1.0749639250977672E-4</v>
      </c>
      <c r="FO118" s="2">
        <f>3.94116472193915*(1/14151.6638359215)</f>
        <v>2.7849479521518868E-4</v>
      </c>
      <c r="FP118" s="2">
        <f t="shared" si="19"/>
        <v>4.9464148393856954E-4</v>
      </c>
      <c r="FQ118" s="2"/>
    </row>
    <row r="119" spans="2:173">
      <c r="B119" s="2">
        <v>10.398224852071007</v>
      </c>
      <c r="C119" s="2">
        <f t="shared" si="20"/>
        <v>4.9464148393856954E-4</v>
      </c>
      <c r="D119" s="2">
        <f>6.29712245382947*(1/14151.6638359215)</f>
        <v>4.4497399930072792E-4</v>
      </c>
      <c r="E119" s="2">
        <f>5.74124921813547*(1/14151.6638359215)</f>
        <v>4.0569429041709733E-4</v>
      </c>
      <c r="F119" s="2">
        <f>5.33238029291796*(1/14151.6638359215)</f>
        <v>3.7680235728767484E-4</v>
      </c>
      <c r="G119" s="2">
        <f>5.07051567817709*(1/14151.6638359215)</f>
        <v>3.5829819991247118E-4</v>
      </c>
      <c r="H119" s="2">
        <f>4.95565537391276*(1/14151.6638359215)</f>
        <v>3.5018181829147915E-4</v>
      </c>
      <c r="I119" s="2">
        <f>4.98779938012497*(1/14151.6638359215)</f>
        <v>3.5245321242469889E-4</v>
      </c>
      <c r="J119" s="2">
        <f>5.16694769681373*(1/14151.6638359215)</f>
        <v>3.6511238231213107E-4</v>
      </c>
      <c r="K119" s="2">
        <f>5.49310032397902*(1/14151.6638359215)</f>
        <v>3.8815932795377423E-4</v>
      </c>
      <c r="L119" s="2">
        <f>5.96625726162097*(1/14151.6638359215)</f>
        <v>4.2159404934963757E-4</v>
      </c>
      <c r="M119" s="2">
        <f>6.58641850973938*(1/14151.6638359215)</f>
        <v>4.6541654649970694E-4</v>
      </c>
      <c r="N119" s="2">
        <f>7.07143809455488*(1/14151.6638359215)</f>
        <v>4.9968951895290809E-4</v>
      </c>
      <c r="O119" s="2">
        <f>5.52257100229904*(1/14151.6638359215)</f>
        <v>3.9024181653333009E-4</v>
      </c>
      <c r="P119" s="2">
        <f>2.3008702440139*(1/14151.6638359215)</f>
        <v>1.6258655312130488E-4</v>
      </c>
      <c r="Q119" s="2">
        <f>-1.72014195157776*(1/14151.6638359215)</f>
        <v>-1.215505096447729E-4</v>
      </c>
      <c r="R119" s="2">
        <f>-5.6669433557538*(1/14151.6638359215)</f>
        <v>-4.0044361012655377E-4</v>
      </c>
      <c r="S119" s="2">
        <f>-8.66601173978984*(1/14151.6638359215)</f>
        <v>-6.1236698668553019E-4</v>
      </c>
      <c r="T119" s="2">
        <f>-9.84382487496384*(1/14151.6638359215)</f>
        <v>-6.955948776833597E-4</v>
      </c>
      <c r="U119" s="2">
        <f>-8.326860532553*(1/14151.6638359215)</f>
        <v>-5.8840152148164628E-4</v>
      </c>
      <c r="V119" s="2">
        <f>-3.24159648383455*(1/14151.6638359215)</f>
        <v>-2.2906115644199588E-4</v>
      </c>
      <c r="W119" s="2">
        <f>6.28548949991434*(1/14151.6638359215)</f>
        <v>4.4415197907398952E-4</v>
      </c>
      <c r="X119" s="2">
        <f>21.1279196474197*(1/14151.6638359215)</f>
        <v>1.4929636467049341E-3</v>
      </c>
      <c r="Y119" s="2">
        <f>38.4865656483556*(1/14151.6638359215)</f>
        <v>2.7195788491431129E-3</v>
      </c>
      <c r="Z119" s="2">
        <f>54.0133931664834*(1/14151.6638359215)</f>
        <v>3.8167521354895342E-3</v>
      </c>
      <c r="AA119" s="2">
        <f>69.5703565191765*(1/14151.6638359215)</f>
        <v>4.9160549123972571E-3</v>
      </c>
      <c r="AB119" s="2">
        <f>87.0971385355223*(1/14151.6638359215)</f>
        <v>6.1545511217162745E-3</v>
      </c>
      <c r="AC119" s="2">
        <f>108.533422044608*(1/14151.6638359215)</f>
        <v>7.669304705296566E-3</v>
      </c>
      <c r="AD119" s="2">
        <f>135.818889875527*(1/14151.6638359215)</f>
        <v>9.5973796049885467E-3</v>
      </c>
      <c r="AE119" s="2">
        <f>170.893224857356*(1/14151.6638359215)</f>
        <v>1.2075839762641458E-2</v>
      </c>
      <c r="AF119" s="2">
        <f>215.696109819187*(1/14151.6638359215)</f>
        <v>1.5241749120105617E-2</v>
      </c>
      <c r="AG119" s="2">
        <f>272.167227590108*(1/14151.6638359215)</f>
        <v>1.9232171619231058E-2</v>
      </c>
      <c r="AH119" s="2">
        <f>342.246260999206*(1/14151.6638359215)</f>
        <v>2.4184171201867749E-2</v>
      </c>
      <c r="AI119" s="2">
        <f>427.828308943321*(1/14151.6638359215)</f>
        <v>3.0231661372379013E-2</v>
      </c>
      <c r="AJ119" s="2">
        <f>529.129313708001*(1/14151.6638359215)</f>
        <v>3.7389901275417498E-2</v>
      </c>
      <c r="AK119" s="2">
        <f>644.436641364458*(1/14151.6638359215)</f>
        <v>4.5537870941271888E-2</v>
      </c>
      <c r="AL119" s="2">
        <f>771.959578354838*(1/14151.6638359215)</f>
        <v>5.4549033054004215E-2</v>
      </c>
      <c r="AM119" s="2">
        <f>909.907411121287*(1/14151.6638359215)</f>
        <v>6.4296850297676497E-2</v>
      </c>
      <c r="AN119" s="2">
        <f>1056.48942610595*(1/14151.6638359215)</f>
        <v>7.46547853563507E-2</v>
      </c>
      <c r="AO119" s="2">
        <f>1209.91490975098*(1/14151.6638359215)</f>
        <v>8.5496300914089315E-2</v>
      </c>
      <c r="AP119" s="2">
        <f>1368.39314849854*(1/14151.6638359215)</f>
        <v>9.6694859654955612E-2</v>
      </c>
      <c r="AQ119" s="2">
        <f>1530.13342879073*(1/14151.6638359215)</f>
        <v>0.10812392426300832</v>
      </c>
      <c r="AR119" s="2">
        <f>1693.34503706972*(1/14151.6638359215)</f>
        <v>0.11965695742231121</v>
      </c>
      <c r="AS119" s="2">
        <f>1856.23725977765*(1/14151.6638359215)</f>
        <v>0.13116742181692584</v>
      </c>
      <c r="AT119" s="2">
        <f>2020.60244068079*(1/14151.6638359215)</f>
        <v>0.14278196995832021</v>
      </c>
      <c r="AU119" s="2">
        <f>2193.38814054033*(1/14151.6638359215)</f>
        <v>0.1549915378128755</v>
      </c>
      <c r="AV119" s="2">
        <f>2373.16238626145*(1/14151.6638359215)</f>
        <v>0.16769493776679437</v>
      </c>
      <c r="AW119" s="2">
        <f>2558.09467277403*(1/14151.6638359215)</f>
        <v>0.18076282071375654</v>
      </c>
      <c r="AX119" s="2">
        <f>2746.35449500795*(1/14151.6638359215)</f>
        <v>0.19406583754744189</v>
      </c>
      <c r="AY119" s="2">
        <f>2936.11134789306*(1/14151.6638359215)</f>
        <v>0.20747463916152814</v>
      </c>
      <c r="AZ119" s="2">
        <f>3125.53472635924*(1/14151.6638359215)</f>
        <v>0.22085987644969504</v>
      </c>
      <c r="BA119" s="2">
        <f>3312.79412533637*(1/14151.6638359215)</f>
        <v>0.23409220030562253</v>
      </c>
      <c r="BB119" s="2">
        <f>3496.05903975424*(1/14151.6638359215)</f>
        <v>0.24704226162298398</v>
      </c>
      <c r="BC119" s="2">
        <f>3673.49896454277*(1/14151.6638359215)</f>
        <v>0.25958071129546206</v>
      </c>
      <c r="BD119" s="2">
        <f>3843.4434090192*(1/14151.6638359215)</f>
        <v>0.27158950732445308</v>
      </c>
      <c r="BE119" s="2">
        <f>4010.25752591958*(1/14151.6638359215)</f>
        <v>0.28337710479952538</v>
      </c>
      <c r="BF119" s="2">
        <f>4176.09001817198*(1/14151.6638359215)</f>
        <v>0.29509533766423374</v>
      </c>
      <c r="BG119" s="2">
        <f>4340.20534913931*(1/14151.6638359215)</f>
        <v>0.3066922306423408</v>
      </c>
      <c r="BH119" s="2">
        <f>4501.86798218445*(1/14151.6638359215)</f>
        <v>0.31811580845760717</v>
      </c>
      <c r="BI119" s="2">
        <f>4660.34238067033*(1/14151.6638359215)</f>
        <v>0.32931409583379689</v>
      </c>
      <c r="BJ119" s="2">
        <f>4814.89300795985*(1/14151.6638359215)</f>
        <v>0.34023511749467189</v>
      </c>
      <c r="BK119" s="2">
        <f>4964.78432741595*(1/14151.6638359215)</f>
        <v>0.35082689816399698</v>
      </c>
      <c r="BL119" s="2">
        <f>5109.28080240152*(1/14151.6638359215)</f>
        <v>0.36103746256553332</v>
      </c>
      <c r="BM119" s="2">
        <f>5247.64689627951*(1/14151.6638359215)</f>
        <v>0.3708148354230465</v>
      </c>
      <c r="BN119" s="2">
        <f>5379.14707241278*(1/14151.6638359215)</f>
        <v>0.38010704146029567</v>
      </c>
      <c r="BO119" s="2">
        <f>5503.92899477481*(1/14151.6638359215)</f>
        <v>0.38892451506684739</v>
      </c>
      <c r="BP119" s="2">
        <f>5624.66530648112*(1/14151.6638359215)</f>
        <v>0.39745611340794434</v>
      </c>
      <c r="BQ119" s="2">
        <f>5741.13223699811*(1/14151.6638359215)</f>
        <v>0.40568602417090066</v>
      </c>
      <c r="BR119" s="2">
        <f>5852.79271510559*(1/14151.6638359215)</f>
        <v>0.41357629625495407</v>
      </c>
      <c r="BS119" s="2">
        <f>5959.10966958333*(1/14151.6638359215)</f>
        <v>0.42108897855933963</v>
      </c>
      <c r="BT119" s="2">
        <f>6059.54602921117*(1/14151.6638359215)</f>
        <v>0.42818611998329714</v>
      </c>
      <c r="BU119" s="2">
        <f>6153.56472276889*(1/14151.6638359215)</f>
        <v>0.43482976942606227</v>
      </c>
      <c r="BV119" s="2">
        <f>6240.62867903632*(1/14151.6638359215)</f>
        <v>0.44098197578687437</v>
      </c>
      <c r="BW119" s="2">
        <f>6320.20082679325*(1/14151.6638359215)</f>
        <v>0.44660478796496961</v>
      </c>
      <c r="BX119" s="2">
        <f>6391.74409481949*(1/14151.6638359215)</f>
        <v>0.45166025485958594</v>
      </c>
      <c r="BY119" s="2">
        <f>6454.72128308758*(1/14151.6638359215)</f>
        <v>0.45611041626804399</v>
      </c>
      <c r="BZ119" s="2">
        <f>6508.76533076328*(1/14151.6638359215)</f>
        <v>0.4599293345452376</v>
      </c>
      <c r="CA119" s="2">
        <f>6554.24852198072*(1/14151.6638359215)</f>
        <v>0.46314331643067425</v>
      </c>
      <c r="CB119" s="2">
        <f>6591.73316433024*(1/14151.6638359215)</f>
        <v>0.46579209630448465</v>
      </c>
      <c r="CC119" s="2">
        <f>6621.78156540214*(1/14151.6638359215)</f>
        <v>0.46791540854679692</v>
      </c>
      <c r="CD119" s="2">
        <f>6644.95603278675*(1/14151.6638359215)</f>
        <v>0.46955298753774116</v>
      </c>
      <c r="CE119" s="2">
        <f>6661.81887407439*(1/14151.6638359215)</f>
        <v>0.47074456765744671</v>
      </c>
      <c r="CF119" s="2">
        <f>6672.93239685538*(1/14151.6638359215)</f>
        <v>0.47152988328604295</v>
      </c>
      <c r="CG119" s="2">
        <f>6678.85890872004*(1/14151.6638359215)</f>
        <v>0.47194866880365938</v>
      </c>
      <c r="CH119" s="2">
        <f>6680.1607172587*(1/14151.6638359215)</f>
        <v>0.4720406585904261</v>
      </c>
      <c r="CI119" s="2">
        <f>6677.40013006167*(1/14151.6638359215)</f>
        <v>0.47184558702647167</v>
      </c>
      <c r="CJ119" s="2">
        <f>6671.1151590631*(1/14151.6638359215)</f>
        <v>0.47140147168629404</v>
      </c>
      <c r="CK119" s="2">
        <f>6661.30138193751*(1/14151.6638359215)</f>
        <v>0.47070800007480201</v>
      </c>
      <c r="CL119" s="2">
        <f>6647.4210342288*(1/14151.6638359215)</f>
        <v>0.46972717210505632</v>
      </c>
      <c r="CM119" s="2">
        <f>6628.91387425054*(1/14151.6638359215)</f>
        <v>0.46841939938003707</v>
      </c>
      <c r="CN119" s="2">
        <f>6605.21966031629*(1/14151.6638359215)</f>
        <v>0.46674509350272342</v>
      </c>
      <c r="CO119" s="2">
        <f>6575.7781507396*(1/14151.6638359215)</f>
        <v>0.46466466607609408</v>
      </c>
      <c r="CP119" s="2">
        <f>6540.02910383404*(1/14151.6638359215)</f>
        <v>0.46213852870312899</v>
      </c>
      <c r="CQ119" s="2">
        <f>6497.41227791317*(1/14151.6638359215)</f>
        <v>0.45912709298680743</v>
      </c>
      <c r="CR119" s="2">
        <f>6447.36743129055*(1/14151.6638359215)</f>
        <v>0.45559077053010871</v>
      </c>
      <c r="CS119" s="2">
        <f>6389.33432227974*(1/14151.6638359215)</f>
        <v>0.45148997293601217</v>
      </c>
      <c r="CT119" s="2">
        <f>6322.7527091943*(1/14151.6638359215)</f>
        <v>0.44678511180749708</v>
      </c>
      <c r="CU119" s="2">
        <f>6247.24231118051*(1/14151.6638359215)</f>
        <v>0.44144931533230664</v>
      </c>
      <c r="CV119" s="2">
        <f>6163.16109270891*(1/14151.6638359215)</f>
        <v>0.43550787837857013</v>
      </c>
      <c r="CW119" s="2">
        <f>6071.05087609429*(1/14151.6638359215)</f>
        <v>0.42899908777397605</v>
      </c>
      <c r="CX119" s="2">
        <f>5971.45340126142*(1/14151.6638359215)</f>
        <v>0.42196122452428103</v>
      </c>
      <c r="CY119" s="2">
        <f>5864.91040813507*(1/14151.6638359215)</f>
        <v>0.41443256963524178</v>
      </c>
      <c r="CZ119" s="2">
        <f>5751.96363664003*(1/14151.6638359215)</f>
        <v>0.40645140411261649</v>
      </c>
      <c r="DA119" s="2">
        <f>5633.15482670105*(1/14151.6638359215)</f>
        <v>0.39805600896216042</v>
      </c>
      <c r="DB119" s="2">
        <f>5509.02571824296*(1/14151.6638359215)</f>
        <v>0.3892846651896345</v>
      </c>
      <c r="DC119" s="2">
        <f>5380.11805119052*(1/14151.6638359215)</f>
        <v>0.38017565380079482</v>
      </c>
      <c r="DD119" s="2">
        <f>5246.97356546851*(1/14151.6638359215)</f>
        <v>0.37076725580139874</v>
      </c>
      <c r="DE119" s="2">
        <f>5109.61637577811*(1/14151.6638359215)</f>
        <v>0.36106117521024284</v>
      </c>
      <c r="DF119" s="2">
        <f>4963.51104797786*(1/14151.6638359215)</f>
        <v>0.35073692433103615</v>
      </c>
      <c r="DG119" s="2">
        <f>4808.73799516649*(1/14151.6638359215)</f>
        <v>0.33980018540013346</v>
      </c>
      <c r="DH119" s="2">
        <f>4646.88348114241*(1/14151.6638359215)</f>
        <v>0.32836304868598681</v>
      </c>
      <c r="DI119" s="2">
        <f>4479.53376970412*(1/14151.6638359215)</f>
        <v>0.31653760445705431</v>
      </c>
      <c r="DJ119" s="2">
        <f>4308.27512465003*(1/14151.6638359215)</f>
        <v>0.30443594298178811</v>
      </c>
      <c r="DK119" s="2">
        <f>4134.69380977858*(1/14151.6638359215)</f>
        <v>0.29217015452864203</v>
      </c>
      <c r="DL119" s="2">
        <f>3960.37608888821*(1/14151.6638359215)</f>
        <v>0.27985232936607035</v>
      </c>
      <c r="DM119" s="2">
        <f>3786.90822577732*(1/14151.6638359215)</f>
        <v>0.26759455776252417</v>
      </c>
      <c r="DN119" s="2">
        <f>3615.87648424443*(1/14151.6638359215)</f>
        <v>0.25550892998646318</v>
      </c>
      <c r="DO119" s="2">
        <f>3448.86712808793*(1/14151.6638359215)</f>
        <v>0.24370753630633804</v>
      </c>
      <c r="DP119" s="2">
        <f>3283.99314308726*(1/14151.6638359215)</f>
        <v>0.23205703450582418</v>
      </c>
      <c r="DQ119" s="2">
        <f>3115.86738648234*(1/14151.6638359215)</f>
        <v>0.220176752543631</v>
      </c>
      <c r="DR119" s="2">
        <f>2945.69313795621*(1/14151.6638359215)</f>
        <v>0.20815171785518877</v>
      </c>
      <c r="DS119" s="2">
        <f>2774.85747756813*(1/14151.6638359215)</f>
        <v>0.1960799457746194</v>
      </c>
      <c r="DT119" s="2">
        <f>2604.74748537734*(1/14151.6638359215)</f>
        <v>0.18405945163604356</v>
      </c>
      <c r="DU119" s="2">
        <f>2436.75024144318*(1/14151.6638359215)</f>
        <v>0.1721882507735889</v>
      </c>
      <c r="DV119" s="2">
        <f>2272.2528258249*(1/14151.6638359215)</f>
        <v>0.16056435852137665</v>
      </c>
      <c r="DW119" s="2">
        <f>2112.64231858176*(1/14151.6638359215)</f>
        <v>0.14928579021352884</v>
      </c>
      <c r="DX119" s="2">
        <f>1959.30579977304*(1/14151.6638359215)</f>
        <v>0.1384505611841689</v>
      </c>
      <c r="DY119" s="2">
        <f>1813.63034945799*(1/14151.6638359215)</f>
        <v>0.12815668676741809</v>
      </c>
      <c r="DZ119" s="2">
        <f>1676.83818345098*(1/14151.6638359215)</f>
        <v>0.11849053248386401</v>
      </c>
      <c r="EA119" s="2">
        <f>1546.34908815129*(1/14151.6638359215)</f>
        <v>0.10926977252145829</v>
      </c>
      <c r="EB119" s="2">
        <f>1420.88219007008*(1/14151.6638359215)</f>
        <v>0.10040389642830701</v>
      </c>
      <c r="EC119" s="2">
        <f>1300.51789302544*(1/14151.6638359215)</f>
        <v>9.1898585784966486E-2</v>
      </c>
      <c r="ED119" s="2">
        <f>1185.33660083547*(1/14151.6638359215)</f>
        <v>8.3759522171993825E-2</v>
      </c>
      <c r="EE119" s="2">
        <f>1075.41871731823*(1/14151.6638359215)</f>
        <v>7.5992387169943193E-2</v>
      </c>
      <c r="EF119" s="2">
        <f>970.844646291854*(1/14151.6638359215)</f>
        <v>6.8602862359374045E-2</v>
      </c>
      <c r="EG119" s="2">
        <f>871.69479157441*(1/14151.6638359215)</f>
        <v>6.159662932084118E-2</v>
      </c>
      <c r="EH119" s="2">
        <f>778.049556983987*(1/14151.6638359215)</f>
        <v>5.4979369634900854E-2</v>
      </c>
      <c r="EI119" s="2">
        <f>689.989346338673*(1/14151.6638359215)</f>
        <v>4.8756764882109262E-2</v>
      </c>
      <c r="EJ119" s="2">
        <f>607.594563456544*(1/14151.6638359215)</f>
        <v>4.2934496643021756E-2</v>
      </c>
      <c r="EK119" s="2">
        <f>531.188006252219*(1/14151.6638359215)</f>
        <v>3.7535374808995395E-2</v>
      </c>
      <c r="EL119" s="2">
        <f>461.353750308195*(1/14151.6638359215)</f>
        <v>3.2600671953295697E-2</v>
      </c>
      <c r="EM119" s="2">
        <f>397.746553614584*(1/14151.6638359215)</f>
        <v>2.8105992215909949E-2</v>
      </c>
      <c r="EN119" s="2">
        <f>339.963221670208*(1/14151.6638359215)</f>
        <v>2.4022844635926934E-2</v>
      </c>
      <c r="EO119" s="2">
        <f>287.600559973887*(1/14151.6638359215)</f>
        <v>2.0322738252435291E-2</v>
      </c>
      <c r="EP119" s="2">
        <f>240.255374024443*(1/14151.6638359215)</f>
        <v>1.6977182104523793E-2</v>
      </c>
      <c r="EQ119" s="2">
        <f>197.52446932069*(1/14151.6638359215)</f>
        <v>1.3957685231280652E-2</v>
      </c>
      <c r="ER119" s="2">
        <f>159.004651361464*(1/14151.6638359215)</f>
        <v>1.1235756671795636E-2</v>
      </c>
      <c r="ES119" s="2">
        <f>124.292725645578*(1/14151.6638359215)</f>
        <v>8.7829054651568858E-3</v>
      </c>
      <c r="ET119" s="2">
        <f>92.9854976718535*(1/14151.6638359215)</f>
        <v>6.5706406504531453E-3</v>
      </c>
      <c r="EU119" s="2">
        <f>64.7181761821284*(1/14151.6638359215)</f>
        <v>4.5731849577893974E-3</v>
      </c>
      <c r="EV119" s="2">
        <f>41.9571268461428*(1/14151.6638359215)</f>
        <v>2.9648193549964099E-3</v>
      </c>
      <c r="EW119" s="2">
        <f>25.6602463818965*(1/14151.6638359215)</f>
        <v>1.8132317640815136E-3</v>
      </c>
      <c r="EX119" s="2">
        <f>14.8275152361116*(1/14151.6638359215)</f>
        <v>1.0477577342159988E-3</v>
      </c>
      <c r="EY119" s="2">
        <f>8.45891385551511*(1/14151.6638359215)</f>
        <v>5.9773281457150293E-4</v>
      </c>
      <c r="EZ119" s="2">
        <f>5.55442268683424*(1/14151.6638359215)</f>
        <v>3.9249255431967787E-4</v>
      </c>
      <c r="FA119" s="2">
        <f>5.11402217679605*(1/14151.6638359215)</f>
        <v>3.6137250263216456E-4</v>
      </c>
      <c r="FB119" s="2">
        <f>6.1376927721279*(1/14151.6638359215)</f>
        <v>4.3370820868062529E-4</v>
      </c>
      <c r="FC119" s="2">
        <f>7.62541491955637*(1/14151.6638359215)</f>
        <v>5.3883522163666723E-4</v>
      </c>
      <c r="FD119" s="2">
        <f>8.57716906580864*(1/14151.6638359215)</f>
        <v>6.0608909067193999E-4</v>
      </c>
      <c r="FE119" s="2">
        <f>7.99293565761176*(1/14151.6638359215)</f>
        <v>5.6480536495808387E-4</v>
      </c>
      <c r="FF119" s="2">
        <f>5.45937653488475*(1/14151.6638359215)</f>
        <v>3.8577630151354265E-4</v>
      </c>
      <c r="FG119" s="2">
        <f>3.15019956448285*(1/14151.6638359215)</f>
        <v>2.2260276961120465E-4</v>
      </c>
      <c r="FH119" s="2">
        <f>1.38840910895097*(1/14151.6638359215)</f>
        <v>9.8109248852190704E-5</v>
      </c>
      <c r="FI119" s="2">
        <f>0.174005168288635*(1/14151.6638359215)</f>
        <v>1.2295739236467277E-5</v>
      </c>
      <c r="FJ119" s="2">
        <f>-0.493012257504159*(1/14151.6638359215)</f>
        <v>-3.4837759235965912E-5</v>
      </c>
      <c r="FK119" s="2">
        <f>-0.612643168427409*(1/14151.6638359215)</f>
        <v>-4.3291246565108652E-5</v>
      </c>
      <c r="FL119" s="2">
        <f>-0.184887564481121*(1/14151.6638359215)</f>
        <v>-1.306472275096138E-5</v>
      </c>
      <c r="FM119" s="2">
        <f>0.790254554334945*(1/14151.6638359215)</f>
        <v>5.5841812206492874E-5</v>
      </c>
      <c r="FN119" s="2">
        <f>2.31278318802042*(1/14151.6638359215)</f>
        <v>1.6342835830722804E-4</v>
      </c>
      <c r="FO119" s="2">
        <f>4.38269833657544*(1/14151.6638359215)</f>
        <v>3.0969491555125369E-4</v>
      </c>
      <c r="FP119" s="2">
        <f t="shared" si="19"/>
        <v>4.9464148393856954E-4</v>
      </c>
      <c r="FQ119" s="2"/>
    </row>
    <row r="120" spans="2:173">
      <c r="B120" s="2">
        <v>10.407692307692308</v>
      </c>
      <c r="C120" s="2">
        <f t="shared" si="20"/>
        <v>4.9464148393856954E-4</v>
      </c>
      <c r="D120" s="2">
        <f>6.64323116672225*(1/14151.6638359215)</f>
        <v>4.694311032077784E-4</v>
      </c>
      <c r="E120" s="2">
        <f>6.36108065151565*(1/14151.6638359215)</f>
        <v>4.4949348184551767E-4</v>
      </c>
      <c r="F120" s="2">
        <f>6.15354845438019*(1/14151.6638359215)</f>
        <v>4.3482861985178693E-4</v>
      </c>
      <c r="G120" s="2">
        <f>6.02063457531593*(1/14151.6638359215)</f>
        <v>4.2543651722659018E-4</v>
      </c>
      <c r="H120" s="2">
        <f>5.96233901432284*(1/14151.6638359215)</f>
        <v>4.2131717396992537E-4</v>
      </c>
      <c r="I120" s="2">
        <f>5.97866177140091*(1/14151.6638359215)</f>
        <v>4.2247059008179185E-4</v>
      </c>
      <c r="J120" s="2">
        <f>6.06960284655014*(1/14151.6638359215)</f>
        <v>4.288967655621896E-4</v>
      </c>
      <c r="K120" s="2">
        <f>6.23516223977053*(1/14151.6638359215)</f>
        <v>4.405957004111186E-4</v>
      </c>
      <c r="L120" s="2">
        <f>6.47533995106214*(1/14151.6638359215)</f>
        <v>4.5756739462858304E-4</v>
      </c>
      <c r="M120" s="2">
        <f>6.79013598042487*(1/14151.6638359215)</f>
        <v>4.7981184821457596E-4</v>
      </c>
      <c r="N120" s="2">
        <f>6.92462965251001*(1/14151.6638359215)</f>
        <v>4.8931558386322463E-4</v>
      </c>
      <c r="O120" s="2">
        <f>5.16329281449232*(1/14151.6638359215)</f>
        <v>3.6485411710997635E-4</v>
      </c>
      <c r="P120" s="2">
        <f>1.83233914994357*(1/14151.6638359215)</f>
        <v>1.2947870802954635E-4</v>
      </c>
      <c r="Q120" s="2">
        <f>-2.27899847172717*(1/14151.6638359215)</f>
        <v>-1.6104102656412279E-4</v>
      </c>
      <c r="R120" s="2">
        <f>-6.38148718111158*(1/14151.6638359215)</f>
        <v>-4.5093546985714155E-4</v>
      </c>
      <c r="S120" s="2">
        <f>-9.68589410879895*(1/14151.6638359215)</f>
        <v>-6.844350050354516E-4</v>
      </c>
      <c r="T120" s="2">
        <f>-11.402986385381*(1/14151.6638359215)</f>
        <v>-8.0577001528516618E-4</v>
      </c>
      <c r="U120" s="2">
        <f>-10.7435311414487*(1/14151.6638359215)</f>
        <v>-7.5917088379234561E-4</v>
      </c>
      <c r="V120" s="2">
        <f>-6.91829550759305*(1/14151.6638359215)</f>
        <v>-4.8886799374305218E-4</v>
      </c>
      <c r="W120" s="2">
        <f>0.861953385595111*(1/14151.6638359215)</f>
        <v>6.0908271676662822E-5</v>
      </c>
      <c r="X120" s="2">
        <f>13.3864484075276*(1/14151.6638359215)</f>
        <v>9.4592752928093619E-4</v>
      </c>
      <c r="Y120" s="2">
        <f>27.8486673299666*(1/14151.6638359215)</f>
        <v>1.9678723048294627E-3</v>
      </c>
      <c r="Z120" s="2">
        <f>40.0099416599504*(1/14151.6638359215)</f>
        <v>2.8272252735676373E-3</v>
      </c>
      <c r="AA120" s="2">
        <f>51.770789348276*(1/14151.6638359215)</f>
        <v>3.6582828668431898E-3</v>
      </c>
      <c r="AB120" s="2">
        <f>65.1082042303502*(1/14151.6638359215)</f>
        <v>4.6007455367251251E-3</v>
      </c>
      <c r="AC120" s="2">
        <f>81.99918014158*(1/14151.6638359215)</f>
        <v>5.7943137352824588E-3</v>
      </c>
      <c r="AD120" s="2">
        <f>104.420710917377*(1/14151.6638359215)</f>
        <v>7.3786879145845349E-3</v>
      </c>
      <c r="AE120" s="2">
        <f>134.349790393141*(1/14151.6638359215)</f>
        <v>9.4935685266998634E-3</v>
      </c>
      <c r="AF120" s="2">
        <f>173.763412404282*(1/14151.6638359215)</f>
        <v>1.2278656023697671E-2</v>
      </c>
      <c r="AG120" s="2">
        <f>224.638570786207*(1/14151.6638359215)</f>
        <v>1.5873650857646974E-2</v>
      </c>
      <c r="AH120" s="2">
        <f>288.952259374322*(1/14151.6638359215)</f>
        <v>2.0418253480616728E-2</v>
      </c>
      <c r="AI120" s="2">
        <f>368.604386193233*(1/14151.6638359215)</f>
        <v>2.6046717224698049E-2</v>
      </c>
      <c r="AJ120" s="2">
        <f>463.406234102173*(1/14151.6638359215)</f>
        <v>3.2745706757526145E-2</v>
      </c>
      <c r="AK120" s="2">
        <f>571.633805447496*(1/14151.6638359215)</f>
        <v>4.0393399113714423E-2</v>
      </c>
      <c r="AL120" s="2">
        <f>691.651621620097*(1/14151.6638359215)</f>
        <v>4.8874226355240399E-2</v>
      </c>
      <c r="AM120" s="2">
        <f>821.824204010872*(1/14151.6638359215)</f>
        <v>5.8072620544081632E-2</v>
      </c>
      <c r="AN120" s="2">
        <f>960.516074010719*(1/14151.6638359215)</f>
        <v>6.787301374221584E-2</v>
      </c>
      <c r="AO120" s="2">
        <f>1106.09175301053*(1/14151.6638359215)</f>
        <v>7.8159838011620339E-2</v>
      </c>
      <c r="AP120" s="2">
        <f>1256.91576240123*(1/14151.6638359215)</f>
        <v>8.8817525414274706E-2</v>
      </c>
      <c r="AQ120" s="2">
        <f>1411.35262357367*(1/14151.6638359215)</f>
        <v>9.9730508012153343E-2</v>
      </c>
      <c r="AR120" s="2">
        <f>1567.76685791876*(1/14151.6638359215)</f>
        <v>0.11078321786723486</v>
      </c>
      <c r="AS120" s="2">
        <f>1724.52298682739*(1/14151.6638359215)</f>
        <v>0.12186008704149635</v>
      </c>
      <c r="AT120" s="2">
        <f>1883.43637789762*(1/14151.6638359215)</f>
        <v>0.13308939498102332</v>
      </c>
      <c r="AU120" s="2">
        <f>2051.18941987065*(1/14151.6638359215)</f>
        <v>0.14494333978341598</v>
      </c>
      <c r="AV120" s="2">
        <f>2226.30218850401*(1/14151.6638359215)</f>
        <v>0.15731734545961548</v>
      </c>
      <c r="AW120" s="2">
        <f>2406.90893353591*(1/14151.6638359215)</f>
        <v>0.17007957236988605</v>
      </c>
      <c r="AX120" s="2">
        <f>2591.14390470453*(1/14151.6638359215)</f>
        <v>0.18309818087448976</v>
      </c>
      <c r="AY120" s="2">
        <f>2777.14135174806*(1/14151.6638359215)</f>
        <v>0.19624133133368935</v>
      </c>
      <c r="AZ120" s="2">
        <f>2963.03552440468*(1/14151.6638359215)</f>
        <v>0.20937718410774694</v>
      </c>
      <c r="BA120" s="2">
        <f>3146.96067241261*(1/14151.6638359215)</f>
        <v>0.22237389955692746</v>
      </c>
      <c r="BB120" s="2">
        <f>3327.05104550997*(1/14151.6638359215)</f>
        <v>0.2350996380414887</v>
      </c>
      <c r="BC120" s="2">
        <f>3501.44089343498*(1/14151.6638359215)</f>
        <v>0.2474225599216956</v>
      </c>
      <c r="BD120" s="2">
        <f>3668.43051696511*(1/14151.6638359215)</f>
        <v>0.25922255923387943</v>
      </c>
      <c r="BE120" s="2">
        <f>3832.56737849674*(1/14151.6638359215)</f>
        <v>0.2708209736277401</v>
      </c>
      <c r="BF120" s="2">
        <f>3996.05378310025*(1/14151.6638359215)</f>
        <v>0.28237342473872035</v>
      </c>
      <c r="BG120" s="2">
        <f>4158.09141154126*(1/14151.6638359215)</f>
        <v>0.29382350087956999</v>
      </c>
      <c r="BH120" s="2">
        <f>4317.88194458529*(1/14151.6638359215)</f>
        <v>0.30511479036303202</v>
      </c>
      <c r="BI120" s="2">
        <f>4474.62706299795*(1/14151.6638359215)</f>
        <v>0.31619088150185559</v>
      </c>
      <c r="BJ120" s="2">
        <f>4627.52844754484*(1/14151.6638359215)</f>
        <v>0.3269953626087892</v>
      </c>
      <c r="BK120" s="2">
        <f>4775.78777899155*(1/14151.6638359215)</f>
        <v>0.33747182199658082</v>
      </c>
      <c r="BL120" s="2">
        <f>4918.60673810365*(1/14151.6638359215)</f>
        <v>0.34756384797797668</v>
      </c>
      <c r="BM120" s="2">
        <f>5055.18700564675*(1/14151.6638359215)</f>
        <v>0.35721502886572604</v>
      </c>
      <c r="BN120" s="2">
        <f>5184.7302623864*(1/14151.6638359215)</f>
        <v>0.36636895297257399</v>
      </c>
      <c r="BO120" s="2">
        <f>5307.34963237091*(1/14151.6638359215)</f>
        <v>0.37503361399096691</v>
      </c>
      <c r="BP120" s="2">
        <f>5425.8006937917*(1/14151.6638359215)</f>
        <v>0.3834037295331495</v>
      </c>
      <c r="BQ120" s="2">
        <f>5539.89476478353*(1/14151.6638359215)</f>
        <v>0.39146596675943401</v>
      </c>
      <c r="BR120" s="2">
        <f>5649.12180032633*(1/14151.6638359215)</f>
        <v>0.39918428432330566</v>
      </c>
      <c r="BS120" s="2">
        <f>5752.97175539992*(1/14151.6638359215)</f>
        <v>0.40652264087824197</v>
      </c>
      <c r="BT120" s="2">
        <f>5850.93458498421*(1/14151.6638359215)</f>
        <v>0.41344499507772692</v>
      </c>
      <c r="BU120" s="2">
        <f>5942.5002440591*(1/14151.6638359215)</f>
        <v>0.41991530557524354</v>
      </c>
      <c r="BV120" s="2">
        <f>6027.15868760446*(1/14151.6638359215)</f>
        <v>0.42589753102427308</v>
      </c>
      <c r="BW120" s="2">
        <f>6104.39987060019*(1/14151.6638359215)</f>
        <v>0.43135563007829858</v>
      </c>
      <c r="BX120" s="2">
        <f>6173.71374802617*(1/14151.6638359215)</f>
        <v>0.43625356139080185</v>
      </c>
      <c r="BY120" s="2">
        <f>6234.59009596342*(1/14151.6638359215)</f>
        <v>0.4405552709737221</v>
      </c>
      <c r="BZ120" s="2">
        <f>6286.66570174242*(1/14151.6638359215)</f>
        <v>0.4442350931050828</v>
      </c>
      <c r="CA120" s="2">
        <f>6330.28845020349*(1/14151.6638359215)</f>
        <v>0.44731761039540602</v>
      </c>
      <c r="CB120" s="2">
        <f>6366.00062868088*(1/14151.6638359215)</f>
        <v>0.44984114253208246</v>
      </c>
      <c r="CC120" s="2">
        <f>6394.34452450884*(1/14151.6638359215)</f>
        <v>0.45184400920250278</v>
      </c>
      <c r="CD120" s="2">
        <f>6415.86242502162*(1/14151.6638359215)</f>
        <v>0.45336453009405764</v>
      </c>
      <c r="CE120" s="2">
        <f>6431.09661755345*(1/14151.6638359215)</f>
        <v>0.45444102489413629</v>
      </c>
      <c r="CF120" s="2">
        <f>6440.58938943859*(1/14151.6638359215)</f>
        <v>0.45511181329012995</v>
      </c>
      <c r="CG120" s="2">
        <f>6444.88302801128*(1/14151.6638359215)</f>
        <v>0.45541521496942872</v>
      </c>
      <c r="CH120" s="2">
        <f>6444.51982060577*(1/14151.6638359215)</f>
        <v>0.45538954961942318</v>
      </c>
      <c r="CI120" s="2">
        <f>6440.04205455631*(1/14151.6638359215)</f>
        <v>0.45507313692750395</v>
      </c>
      <c r="CJ120" s="2">
        <f>6431.91927047587*(1/14151.6638359215)</f>
        <v>0.45449915607446656</v>
      </c>
      <c r="CK120" s="2">
        <f>6419.89541579503*(1/14151.6638359215)</f>
        <v>0.45364951359989625</v>
      </c>
      <c r="CL120" s="2">
        <f>6403.51527887671*(1/14151.6638359215)</f>
        <v>0.45249204285241129</v>
      </c>
      <c r="CM120" s="2">
        <f>6382.35618818552*(1/14151.6638359215)</f>
        <v>0.45099687656408544</v>
      </c>
      <c r="CN120" s="2">
        <f>6355.99547218607*(1/14151.6638359215)</f>
        <v>0.44913414746699243</v>
      </c>
      <c r="CO120" s="2">
        <f>6324.01045934297*(1/14151.6638359215)</f>
        <v>0.4468739882932059</v>
      </c>
      <c r="CP120" s="2">
        <f>6285.97847812084*(1/14151.6638359215)</f>
        <v>0.4441865317748005</v>
      </c>
      <c r="CQ120" s="2">
        <f>6241.47685698429*(1/14151.6638359215)</f>
        <v>0.44104191064384973</v>
      </c>
      <c r="CR120" s="2">
        <f>6190.08292439793*(1/14151.6638359215)</f>
        <v>0.43741025763242747</v>
      </c>
      <c r="CS120" s="2">
        <f>6131.37400882639*(1/14151.6638359215)</f>
        <v>0.43326170547260884</v>
      </c>
      <c r="CT120" s="2">
        <f>6064.92743873426*(1/14151.6638359215)</f>
        <v>0.42856638689646603</v>
      </c>
      <c r="CU120" s="2">
        <f>5990.31491585661*(1/14151.6638359215)</f>
        <v>0.42329403703409446</v>
      </c>
      <c r="CV120" s="2">
        <f>5907.68951834138*(1/14151.6638359215)</f>
        <v>0.41745547285724477</v>
      </c>
      <c r="CW120" s="2">
        <f>5817.55961560656*(1/14151.6638359215)</f>
        <v>0.41108661730924617</v>
      </c>
      <c r="CX120" s="2">
        <f>5720.43420863541*(1/14151.6638359215)</f>
        <v>0.40422343796176802</v>
      </c>
      <c r="CY120" s="2">
        <f>5616.8222984112*(1/14151.6638359215)</f>
        <v>0.39690190238648043</v>
      </c>
      <c r="CZ120" s="2">
        <f>5507.23288591721*(1/14151.6638359215)</f>
        <v>0.38915797815505426</v>
      </c>
      <c r="DA120" s="2">
        <f>5392.17497213669*(1/14151.6638359215)</f>
        <v>0.38102763283915814</v>
      </c>
      <c r="DB120" s="2">
        <f>5272.15755805297*(1/14151.6638359215)</f>
        <v>0.37254683401046657</v>
      </c>
      <c r="DC120" s="2">
        <f>5147.68964464929*(1/14151.6638359215)</f>
        <v>0.36375154924064751</v>
      </c>
      <c r="DD120" s="2">
        <f>5019.28023290893*(1/14151.6638359215)</f>
        <v>0.35467774610137176</v>
      </c>
      <c r="DE120" s="2">
        <f>4886.96476005667*(1/14151.6638359215)</f>
        <v>0.34532792869570378</v>
      </c>
      <c r="DF120" s="2">
        <f>4746.59849444249*(1/14151.6638359215)</f>
        <v>0.33540921756451619</v>
      </c>
      <c r="DG120" s="2">
        <f>4598.24244998484*(1/14151.6638359215)</f>
        <v>0.32492592413854643</v>
      </c>
      <c r="DH120" s="2">
        <f>4443.33350410939*(1/14151.6638359215)</f>
        <v>0.31397958258666181</v>
      </c>
      <c r="DI120" s="2">
        <f>4283.30853424192*(1/14151.6638359215)</f>
        <v>0.30267172707773748</v>
      </c>
      <c r="DJ120" s="2">
        <f>4119.6044178081*(1/14151.6638359215)</f>
        <v>0.29110389178064078</v>
      </c>
      <c r="DK120" s="2">
        <f>3953.65803223364*(1/14151.6638359215)</f>
        <v>0.27937761086424179</v>
      </c>
      <c r="DL120" s="2">
        <f>3786.90625494426*(1/14151.6638359215)</f>
        <v>0.26759441849741139</v>
      </c>
      <c r="DM120" s="2">
        <f>3620.78596336561*(1/14151.6638359215)</f>
        <v>0.25585584884901547</v>
      </c>
      <c r="DN120" s="2">
        <f>3456.73403492349*(1/14151.6638359215)</f>
        <v>0.24426343608793061</v>
      </c>
      <c r="DO120" s="2">
        <f>3296.18734704356*(1/14151.6638359215)</f>
        <v>0.23291871438302331</v>
      </c>
      <c r="DP120" s="2">
        <f>3137.25760853599*(1/14151.6638359215)</f>
        <v>0.22168825128340144</v>
      </c>
      <c r="DQ120" s="2">
        <f>2974.80262754362*(1/14151.6638359215)</f>
        <v>0.21020868373036172</v>
      </c>
      <c r="DR120" s="2">
        <f>2810.06870313982*(1/14151.6638359215)</f>
        <v>0.19856807904148749</v>
      </c>
      <c r="DS120" s="2">
        <f>2644.47913482525*(1/14151.6638359215)</f>
        <v>0.18686701192779231</v>
      </c>
      <c r="DT120" s="2">
        <f>2479.45722210056*(1/14151.6638359215)</f>
        <v>0.17520605710028922</v>
      </c>
      <c r="DU120" s="2">
        <f>2316.42626446646*(1/14151.6638359215)</f>
        <v>0.1636857892699953</v>
      </c>
      <c r="DV120" s="2">
        <f>2156.8095614236*(1/14151.6638359215)</f>
        <v>0.15240678314792355</v>
      </c>
      <c r="DW120" s="2">
        <f>2002.03041247264*(1/14151.6638359215)</f>
        <v>0.14146961344508757</v>
      </c>
      <c r="DX120" s="2">
        <f>1853.51211711424*(1/14151.6638359215)</f>
        <v>0.13097485487250105</v>
      </c>
      <c r="DY120" s="2">
        <f>1712.67797484905*(1/14151.6638359215)</f>
        <v>0.12102308214117689</v>
      </c>
      <c r="DZ120" s="2">
        <f>1580.78411033879*(1/14151.6638359215)</f>
        <v>0.11170305687492722</v>
      </c>
      <c r="EA120" s="2">
        <f>1455.22197618682*(1/14151.6638359215)</f>
        <v>0.10283045110872377</v>
      </c>
      <c r="EB120" s="2">
        <f>1334.67837681304*(1/14151.6638359215)</f>
        <v>9.4312470412503333E-2</v>
      </c>
      <c r="EC120" s="2">
        <f>1219.21725002999*(1/14151.6638359215)</f>
        <v>8.6153632828333757E-2</v>
      </c>
      <c r="ED120" s="2">
        <f>1108.90253365018*(1/14151.6638359215)</f>
        <v>7.8358456398280651E-2</v>
      </c>
      <c r="EE120" s="2">
        <f>1003.79816548612*(1/14151.6638359215)</f>
        <v>7.0931459164409738E-2</v>
      </c>
      <c r="EF120" s="2">
        <f>903.968083350359*(1/14151.6638359215)</f>
        <v>6.3877159168789444E-2</v>
      </c>
      <c r="EG120" s="2">
        <f>809.476225055413*(1/14151.6638359215)</f>
        <v>5.7200074453485857E-2</v>
      </c>
      <c r="EH120" s="2">
        <f>720.386528413797*(1/14151.6638359215)</f>
        <v>5.090472306056501E-2</v>
      </c>
      <c r="EI120" s="2">
        <f>636.762931238035*(1/14151.6638359215)</f>
        <v>4.4995623032093562E-2</v>
      </c>
      <c r="EJ120" s="2">
        <f>558.669371340634*(1/14151.6638359215)</f>
        <v>3.9477292410136998E-2</v>
      </c>
      <c r="EK120" s="2">
        <f>486.463586622421*(1/14151.6638359215)</f>
        <v>3.4375010052713317E-2</v>
      </c>
      <c r="EL120" s="2">
        <f>420.854034072583*(1/14151.6638359215)</f>
        <v>2.9738837705027964E-2</v>
      </c>
      <c r="EM120" s="2">
        <f>361.459271832431*(1/14151.6638359215)</f>
        <v>2.554182151464978E-2</v>
      </c>
      <c r="EN120" s="2">
        <f>307.828782247076*(1/14151.6638359215)</f>
        <v>2.1752126521385209E-2</v>
      </c>
      <c r="EO120" s="2">
        <f>259.512047661629*(1/14151.6638359215)</f>
        <v>1.833791776504071E-2</v>
      </c>
      <c r="EP120" s="2">
        <f>216.0585504212*(1/14151.6638359215)</f>
        <v>1.526736028542266E-2</v>
      </c>
      <c r="EQ120" s="2">
        <f>177.017772870893*(1/14151.6638359215)</f>
        <v>1.2508619122337025E-2</v>
      </c>
      <c r="ER120" s="2">
        <f>141.939197355833*(1/14151.6638359215)</f>
        <v>1.0029859315591244E-2</v>
      </c>
      <c r="ES120" s="2">
        <f>110.372306221123*(1/14151.6638359215)</f>
        <v>7.7992459049912128E-3</v>
      </c>
      <c r="ET120" s="2">
        <f>81.8665818118749*(1/14151.6638359215)</f>
        <v>5.7849439303434436E-3</v>
      </c>
      <c r="EU120" s="2">
        <f>56.0097980300281*(1/14151.6638359215)</f>
        <v>3.9578242303818095E-3</v>
      </c>
      <c r="EV120" s="2">
        <f>35.2333561581008*(1/14151.6638359215)</f>
        <v>2.4896970820255881E-3</v>
      </c>
      <c r="EW120" s="2">
        <f>20.5294996907425*(1/14151.6638359215)</f>
        <v>1.4506774559350393E-3</v>
      </c>
      <c r="EX120" s="2">
        <f>10.950774698725*(1/14151.6638359215)</f>
        <v>7.7381534960775373E-4</v>
      </c>
      <c r="EY120" s="2">
        <f>5.54972725282449*(1/14151.6638359215)</f>
        <v>3.921607605416324E-4</v>
      </c>
      <c r="EZ120" s="2">
        <f>3.37890342381748*(1/14151.6638359215)</f>
        <v>2.3876368623459881E-4</v>
      </c>
      <c r="FA120" s="2">
        <f>3.49084928248026*(1/14151.6638359215)</f>
        <v>2.4667412418456091E-4</v>
      </c>
      <c r="FB120" s="2">
        <f>4.93811089958953*(1/14151.6638359215)</f>
        <v>3.4894207188945569E-4</v>
      </c>
      <c r="FC120" s="2">
        <f>6.77323434592096*(1/14151.6638359215)</f>
        <v>4.7861752684714716E-4</v>
      </c>
      <c r="FD120" s="2">
        <f>8.04876569225107*(1/14151.6638359215)</f>
        <v>5.6875048655555965E-4</v>
      </c>
      <c r="FE120" s="2">
        <f>7.81725100935616*(1/14151.6638359215)</f>
        <v>5.5239094851260162E-4</v>
      </c>
      <c r="FF120" s="2">
        <f>5.68707909065025*(1/14151.6638359215)</f>
        <v>4.0186646295360716E-4</v>
      </c>
      <c r="FG120" s="2">
        <f>3.71769772662503*(1/14151.6638359215)</f>
        <v>2.6270393147612164E-4</v>
      </c>
      <c r="FH120" s="2">
        <f>2.21513268592462*(1/14151.6638359215)</f>
        <v>1.5652807412665475E-4</v>
      </c>
      <c r="FI120" s="2">
        <f>1.1793839685486*(1/14151.6638359215)</f>
        <v>8.3338890905176963E-5</v>
      </c>
      <c r="FJ120" s="2">
        <f>0.610451574496976*(1/14151.6638359215)</f>
        <v>4.3136381811688631E-5</v>
      </c>
      <c r="FK120" s="2">
        <f>0.50833550376975*(1/14151.6638359215)</f>
        <v>3.5920546846189921E-5</v>
      </c>
      <c r="FL120" s="2">
        <f>0.873035756366917*(1/14151.6638359215)</f>
        <v>6.1691386008680467E-5</v>
      </c>
      <c r="FM120" s="2">
        <f>1.70455233228868*(1/14151.6638359215)</f>
        <v>1.2044889929917462E-4</v>
      </c>
      <c r="FN120" s="2">
        <f>3.00288523153472*(1/14151.6638359215)</f>
        <v>2.1219308671764983E-4</v>
      </c>
      <c r="FO120" s="2">
        <f>4.76803445410517*(1/14151.6638359215)</f>
        <v>3.3692394826411549E-4</v>
      </c>
      <c r="FP120" s="2">
        <f t="shared" si="19"/>
        <v>4.9464148393856954E-4</v>
      </c>
      <c r="FQ120" s="2"/>
    </row>
    <row r="121" spans="2:173">
      <c r="B121" s="2">
        <v>10.417159763313609</v>
      </c>
      <c r="C121" s="2">
        <f t="shared" si="20"/>
        <v>4.9464148393856954E-4</v>
      </c>
      <c r="D121" s="2">
        <f>6.88651116716744*(1/14151.6638359215)</f>
        <v>4.8662201469817619E-4</v>
      </c>
      <c r="E121" s="2">
        <f>6.79675856080966*(1/14151.6638359215)</f>
        <v>4.8027982007015232E-4</v>
      </c>
      <c r="F121" s="2">
        <f>6.73074218092665*(1/14151.6638359215)</f>
        <v>4.7561490005449742E-4</v>
      </c>
      <c r="G121" s="2">
        <f>6.68846202751844*(1/14151.6638359215)</f>
        <v>4.7262725465121357E-4</v>
      </c>
      <c r="H121" s="2">
        <f>6.66991810058502*(1/14151.6638359215)</f>
        <v>4.7131688386029994E-4</v>
      </c>
      <c r="I121" s="2">
        <f>6.67511040012638*(1/14151.6638359215)</f>
        <v>4.716837876817559E-4</v>
      </c>
      <c r="J121" s="2">
        <f>6.70403892614253*(1/14151.6638359215)</f>
        <v>4.7372796611558224E-4</v>
      </c>
      <c r="K121" s="2">
        <f>6.75670367863345*(1/14151.6638359215)</f>
        <v>4.7744941916177735E-4</v>
      </c>
      <c r="L121" s="2">
        <f>6.83310465759918*(1/14151.6638359215)</f>
        <v>4.8284814682034421E-4</v>
      </c>
      <c r="M121" s="2">
        <f>6.93324186303968*(1/14151.6638359215)</f>
        <v>4.8992414909127999E-4</v>
      </c>
      <c r="N121" s="2">
        <f>6.83003064628528*(1/14151.6638359215)</f>
        <v>4.8263092774635116E-4</v>
      </c>
      <c r="O121" s="2">
        <f>4.99526970575745*(1/14151.6638359215)</f>
        <v>3.5298108856132097E-4</v>
      </c>
      <c r="P121" s="2">
        <f>1.71955186851422*(1/14151.6638359215)</f>
        <v>1.2150881256445911E-4</v>
      </c>
      <c r="Q121" s="2">
        <f>-2.29407016631315*(1/14151.6638359215)</f>
        <v>-1.6210603876061966E-4</v>
      </c>
      <c r="R121" s="2">
        <f>-6.34254369959408*(1/14151.6638359215)</f>
        <v>-4.4818360393034866E-4</v>
      </c>
      <c r="S121" s="2">
        <f>-9.72281603219566*(1/14151.6638359215)</f>
        <v>-6.8704402146099654E-4</v>
      </c>
      <c r="T121" s="2">
        <f>-11.7318344649874*(1/14151.6638359215)</f>
        <v>-8.2900742986900312E-4</v>
      </c>
      <c r="U121" s="2">
        <f>-11.666546298838*(1/14151.6638359215)</f>
        <v>-8.2439396767075069E-4</v>
      </c>
      <c r="V121" s="2">
        <f>-8.82389883461617*(1/14151.6638359215)</f>
        <v>-6.2352377338262244E-4</v>
      </c>
      <c r="W121" s="2">
        <f>-2.50083937319063*(1/14151.6638359215)</f>
        <v>-1.767169855210022E-4</v>
      </c>
      <c r="X121" s="2">
        <f>8.00568478457227*(1/14151.6638359215)</f>
        <v>5.657062573978936E-4</v>
      </c>
      <c r="Y121" s="2">
        <f>19.9347923537489*(1/14151.6638359215)</f>
        <v>1.408653610266515E-3</v>
      </c>
      <c r="Z121" s="2">
        <f>29.2191039550368*(1/14151.6638359215)</f>
        <v>2.0647115628106756E-3</v>
      </c>
      <c r="AA121" s="2">
        <f>37.7567271517018*(1/14151.6638359215)</f>
        <v>2.6680062209973516E-3</v>
      </c>
      <c r="AB121" s="2">
        <f>47.5197668607803*(1/14151.6638359215)</f>
        <v>3.3578925709187471E-3</v>
      </c>
      <c r="AC121" s="2">
        <f>60.4803279993089*(1/14151.6638359215)</f>
        <v>4.2737255986670811E-3</v>
      </c>
      <c r="AD121" s="2">
        <f>78.6105154843282*(1/14151.6638359215)</f>
        <v>5.5548602903348577E-3</v>
      </c>
      <c r="AE121" s="2">
        <f>103.882434232868*(1/14151.6638359215)</f>
        <v>7.3406516320138112E-3</v>
      </c>
      <c r="AF121" s="2">
        <f>138.268189161968*(1/14151.6638359215)</f>
        <v>9.7704546097963849E-3</v>
      </c>
      <c r="AG121" s="2">
        <f>183.739885188664*(1/14151.6638359215)</f>
        <v>1.2983624209774737E-2</v>
      </c>
      <c r="AH121" s="2">
        <f>242.269627229994*(1/14151.6638359215)</f>
        <v>1.7119515418041187E-2</v>
      </c>
      <c r="AI121" s="2">
        <f>315.718068839035*(1/14151.6638359215)</f>
        <v>2.2309607725251392E-2</v>
      </c>
      <c r="AJ121" s="2">
        <f>403.450527434547*(1/14151.6638359215)</f>
        <v>2.8509052512288986E-2</v>
      </c>
      <c r="AK121" s="2">
        <f>503.770834274125*(1/14151.6638359215)</f>
        <v>3.5597993290046342E-2</v>
      </c>
      <c r="AL121" s="2">
        <f>615.254689926523*(1/14151.6638359215)</f>
        <v>4.3475784689345688E-2</v>
      </c>
      <c r="AM121" s="2">
        <f>736.477794960496*(1/14151.6638359215)</f>
        <v>5.2041781341009327E-2</v>
      </c>
      <c r="AN121" s="2">
        <f>866.0158499448*(1/14151.6638359215)</f>
        <v>6.1195337875859637E-2</v>
      </c>
      <c r="AO121" s="2">
        <f>1002.44455544819*(1/14151.6638359215)</f>
        <v>7.0835808924718913E-2</v>
      </c>
      <c r="AP121" s="2">
        <f>1144.33961203944*(1/14151.6638359215)</f>
        <v>8.0862549118410801E-2</v>
      </c>
      <c r="AQ121" s="2">
        <f>1290.27672028726*(1/14151.6638359215)</f>
        <v>9.1174913087754425E-2</v>
      </c>
      <c r="AR121" s="2">
        <f>1438.83158076043*(1/14151.6638359215)</f>
        <v>0.10167225546357384</v>
      </c>
      <c r="AS121" s="2">
        <f>1588.57989402771*(1/14151.6638359215)</f>
        <v>0.11225393087669172</v>
      </c>
      <c r="AT121" s="2">
        <f>1741.3486075047*(1/14151.6638359215)</f>
        <v>0.12304903703864094</v>
      </c>
      <c r="AU121" s="2">
        <f>1903.42207073706*(1/14151.6638359215)</f>
        <v>0.13450164537582918</v>
      </c>
      <c r="AV121" s="2">
        <f>2073.27417037226*(1/14151.6638359215)</f>
        <v>0.14650391603492019</v>
      </c>
      <c r="AW121" s="2">
        <f>2249.01266905487*(1/14151.6638359215)</f>
        <v>0.15892213771684913</v>
      </c>
      <c r="AX121" s="2">
        <f>2428.74532942941*(1/14151.6638359215)</f>
        <v>0.17162259912254763</v>
      </c>
      <c r="AY121" s="2">
        <f>2610.57991414039*(1/14151.6638359215)</f>
        <v>0.18447158895294657</v>
      </c>
      <c r="AZ121" s="2">
        <f>2792.62418583234*(1/14151.6638359215)</f>
        <v>0.19733539590897833</v>
      </c>
      <c r="BA121" s="2">
        <f>2972.98590714983*(1/14151.6638359215)</f>
        <v>0.21008030869157804</v>
      </c>
      <c r="BB121" s="2">
        <f>3149.7728407373*(1/14151.6638359215)</f>
        <v>0.22257261600167169</v>
      </c>
      <c r="BC121" s="2">
        <f>3321.09274923931*(1/14151.6638359215)</f>
        <v>0.23467860654019371</v>
      </c>
      <c r="BD121" s="2">
        <f>3485.22771760405*(1/14151.6638359215)</f>
        <v>0.24627688715707161</v>
      </c>
      <c r="BE121" s="2">
        <f>3646.98637447173*(1/14151.6638359215)</f>
        <v>0.25770725031034858</v>
      </c>
      <c r="BF121" s="2">
        <f>3808.62676103577*(1/14151.6638359215)</f>
        <v>0.26912925612098298</v>
      </c>
      <c r="BG121" s="2">
        <f>3969.24194188211*(1/14151.6638359215)</f>
        <v>0.28047881774911093</v>
      </c>
      <c r="BH121" s="2">
        <f>4127.92498159659*(1/14151.6638359215)</f>
        <v>0.29169184835486139</v>
      </c>
      <c r="BI121" s="2">
        <f>4283.76894476517*(1/14151.6638359215)</f>
        <v>0.30270426109837201</v>
      </c>
      <c r="BJ121" s="2">
        <f>4435.86689597374*(1/14151.6638359215)</f>
        <v>0.3134519691397753</v>
      </c>
      <c r="BK121" s="2">
        <f>4583.31189980822*(1/14151.6638359215)</f>
        <v>0.32387088563920607</v>
      </c>
      <c r="BL121" s="2">
        <f>4725.19702085451*(1/14151.6638359215)</f>
        <v>0.33389692375679753</v>
      </c>
      <c r="BM121" s="2">
        <f>4860.61532369855*(1/14151.6638359215)</f>
        <v>0.3434659966526859</v>
      </c>
      <c r="BN121" s="2">
        <f>4988.65987292621*(1/14151.6638359215)</f>
        <v>0.35251401748700228</v>
      </c>
      <c r="BO121" s="2">
        <f>5109.37788365152*(1/14151.6638359215)</f>
        <v>0.36104432262461372</v>
      </c>
      <c r="BP121" s="2">
        <f>5225.64946320932*(1/14151.6638359215)</f>
        <v>0.36926042928923536</v>
      </c>
      <c r="BQ121" s="2">
        <f>5337.35370757207*(1/14151.6638359215)</f>
        <v>0.37715379403121063</v>
      </c>
      <c r="BR121" s="2">
        <f>5444.03683941481*(1/14151.6638359215)</f>
        <v>0.3846923515520545</v>
      </c>
      <c r="BS121" s="2">
        <f>5545.24508141255*(1/14151.6638359215)</f>
        <v>0.39184403655327965</v>
      </c>
      <c r="BT121" s="2">
        <f>5640.52465624035*(1/14151.6638359215)</f>
        <v>0.39857678373640237</v>
      </c>
      <c r="BU121" s="2">
        <f>5729.42178657326*(1/14151.6638359215)</f>
        <v>0.40485852780293824</v>
      </c>
      <c r="BV121" s="2">
        <f>5811.48269508631*(1/14151.6638359215)</f>
        <v>0.41065720345440138</v>
      </c>
      <c r="BW121" s="2">
        <f>5886.25360445454*(1/14151.6638359215)</f>
        <v>0.4159407453923068</v>
      </c>
      <c r="BX121" s="2">
        <f>5953.280737353*(1/14151.6638359215)</f>
        <v>0.42067708831816997</v>
      </c>
      <c r="BY121" s="2">
        <f>6012.11004530566*(1/14151.6638359215)</f>
        <v>0.42483414777313888</v>
      </c>
      <c r="BZ121" s="2">
        <f>6062.38943865621*(1/14151.6638359215)</f>
        <v>0.42838704402148847</v>
      </c>
      <c r="CA121" s="2">
        <f>6104.41720909674*(1/14151.6638359215)</f>
        <v>0.43135685526967898</v>
      </c>
      <c r="CB121" s="2">
        <f>6138.6922015919*(1/14151.6638359215)</f>
        <v>0.43377883143393459</v>
      </c>
      <c r="CC121" s="2">
        <f>6165.71326110635*(1/14151.6638359215)</f>
        <v>0.43568822243048028</v>
      </c>
      <c r="CD121" s="2">
        <f>6185.97923260472*(1/14151.6638359215)</f>
        <v>0.43712027817553889</v>
      </c>
      <c r="CE121" s="2">
        <f>6199.98896105167*(1/14151.6638359215)</f>
        <v>0.43811024858533548</v>
      </c>
      <c r="CF121" s="2">
        <f>6208.24129141184*(1/14151.6638359215)</f>
        <v>0.43869338357609344</v>
      </c>
      <c r="CG121" s="2">
        <f>6211.23506864988*(1/14151.6638359215)</f>
        <v>0.43890493306403711</v>
      </c>
      <c r="CH121" s="2">
        <f>6209.46913773044*(1/14151.6638359215)</f>
        <v>0.43878014696539069</v>
      </c>
      <c r="CI121" s="2">
        <f>6203.44234361816*(1/14151.6638359215)</f>
        <v>0.43835427519637776</v>
      </c>
      <c r="CJ121" s="2">
        <f>6193.5391056839*(1/14151.6638359215)</f>
        <v>0.43765448200957791</v>
      </c>
      <c r="CK121" s="2">
        <f>6179.28133449874*(1/14151.6638359215)</f>
        <v>0.43664698413862302</v>
      </c>
      <c r="CL121" s="2">
        <f>6160.3113650881*(1/14151.6638359215)</f>
        <v>0.43530650787868752</v>
      </c>
      <c r="CM121" s="2">
        <f>6136.3536935344*(1/14151.6638359215)</f>
        <v>0.43361358527739685</v>
      </c>
      <c r="CN121" s="2">
        <f>6107.13281592008*(1/14151.6638359215)</f>
        <v>0.43154874838237761</v>
      </c>
      <c r="CO121" s="2">
        <f>6072.3732283276*(1/14151.6638359215)</f>
        <v>0.42909252924125807</v>
      </c>
      <c r="CP121" s="2">
        <f>6031.79942683938*(1/14151.6638359215)</f>
        <v>0.42622545990166349</v>
      </c>
      <c r="CQ121" s="2">
        <f>5985.13590753788*(1/14151.6638359215)</f>
        <v>0.42292807241122199</v>
      </c>
      <c r="CR121" s="2">
        <f>5932.10716650553*(1/14151.6638359215)</f>
        <v>0.41918089881755977</v>
      </c>
      <c r="CS121" s="2">
        <f>5872.43769982477*(1/14151.6638359215)</f>
        <v>0.41496447116830348</v>
      </c>
      <c r="CT121" s="2">
        <f>5805.85200357804*(1/14151.6638359215)</f>
        <v>0.41025932151107986</v>
      </c>
      <c r="CU121" s="2">
        <f>5731.84704056178*(1/14151.6638359215)</f>
        <v>0.40502990369319675</v>
      </c>
      <c r="CV121" s="2">
        <f>5650.33737214012*(1/14151.6638359215)</f>
        <v>0.39927018035842093</v>
      </c>
      <c r="CW121" s="2">
        <f>5561.81204301417*(1/14151.6638359215)</f>
        <v>0.3930147089062766</v>
      </c>
      <c r="CX121" s="2">
        <f>5466.76160788013*(1/14151.6638359215)</f>
        <v>0.38629815343717544</v>
      </c>
      <c r="CY121" s="2">
        <f>5365.67662143421*(1/14151.6638359215)</f>
        <v>0.37915517805152971</v>
      </c>
      <c r="CZ121" s="2">
        <f>5259.04763837262*(1/14151.6638359215)</f>
        <v>0.37162044684975176</v>
      </c>
      <c r="DA121" s="2">
        <f>5147.36521339156*(1/14151.6638359215)</f>
        <v>0.3637286239322533</v>
      </c>
      <c r="DB121" s="2">
        <f>5031.11990118727*(1/14151.6638359215)</f>
        <v>0.35551437339944869</v>
      </c>
      <c r="DC121" s="2">
        <f>4910.80225645594*(1/14151.6638359215)</f>
        <v>0.34701235935174884</v>
      </c>
      <c r="DD121" s="2">
        <f>4786.9028338938*(1/14151.6638359215)</f>
        <v>0.33825724588956757</v>
      </c>
      <c r="DE121" s="2">
        <f>4659.47969037564*(1/14151.6638359215)</f>
        <v>0.32925313548986185</v>
      </c>
      <c r="DF121" s="2">
        <f>4524.75641706095*(1/14151.6638359215)</f>
        <v>0.31973317551365621</v>
      </c>
      <c r="DG121" s="2">
        <f>4382.76462134032*(1/14151.6638359215)</f>
        <v>0.30969959943617698</v>
      </c>
      <c r="DH121" s="2">
        <f>4234.78899508023*(1/14151.6638359215)</f>
        <v>0.29924318752760126</v>
      </c>
      <c r="DI121" s="2">
        <f>4082.11423014725*(1/14151.6638359215)</f>
        <v>0.28845472005811246</v>
      </c>
      <c r="DJ121" s="2">
        <f>3926.02501840785*(1/14151.6638359215)</f>
        <v>0.27742497729788695</v>
      </c>
      <c r="DK121" s="2">
        <f>3767.80605172855*(1/14151.6638359215)</f>
        <v>0.26624473951710464</v>
      </c>
      <c r="DL121" s="2">
        <f>3608.74202197585*(1/14151.6638359215)</f>
        <v>0.25500478698594409</v>
      </c>
      <c r="DM121" s="2">
        <f>3450.11762101624*(1/14151.6638359215)</f>
        <v>0.24379589997458287</v>
      </c>
      <c r="DN121" s="2">
        <f>3293.21754071627*(1/14151.6638359215)</f>
        <v>0.23270885875320318</v>
      </c>
      <c r="DO121" s="2">
        <f>3139.32647294244*(1/14151.6638359215)</f>
        <v>0.22183444359198345</v>
      </c>
      <c r="DP121" s="2">
        <f>2986.57031785425*(1/14151.6638359215)</f>
        <v>0.21104022484433022</v>
      </c>
      <c r="DQ121" s="2">
        <f>2830.07913504107*(1/14151.6638359215)</f>
        <v>0.19998207757432832</v>
      </c>
      <c r="DR121" s="2">
        <f>2671.12951714294*(1/14151.6638359215)</f>
        <v>0.18875020973595696</v>
      </c>
      <c r="DS121" s="2">
        <f>2511.16722021209*(1/14151.6638359215)</f>
        <v>0.17744678288908583</v>
      </c>
      <c r="DT121" s="2">
        <f>2351.63800030072*(1/14151.6638359215)</f>
        <v>0.16617395859358261</v>
      </c>
      <c r="DU121" s="2">
        <f>2193.98761346112*(1/14151.6638359215)</f>
        <v>0.1550338984093213</v>
      </c>
      <c r="DV121" s="2">
        <f>2039.66181574547*(1/14151.6638359215)</f>
        <v>0.14412876389616808</v>
      </c>
      <c r="DW121" s="2">
        <f>1890.10636320601*(1/14151.6638359215)</f>
        <v>0.13356071661399338</v>
      </c>
      <c r="DX121" s="2">
        <f>1746.76701189497*(1/14151.6638359215)</f>
        <v>0.12343191812266699</v>
      </c>
      <c r="DY121" s="2">
        <f>1611.08951786453*(1/14151.6638359215)</f>
        <v>0.1138445299820551</v>
      </c>
      <c r="DZ121" s="2">
        <f>1484.35141080908*(1/14151.6638359215)</f>
        <v>0.10488882636127324</v>
      </c>
      <c r="EA121" s="2">
        <f>1363.93403594102*(1/14151.6638359215)</f>
        <v>9.6379765076026913E-2</v>
      </c>
      <c r="EB121" s="2">
        <f>1248.50437233059*(1/14151.6638359215)</f>
        <v>8.8223150776199341E-2</v>
      </c>
      <c r="EC121" s="2">
        <f>1138.11260112149*(1/14151.6638359215)</f>
        <v>8.0422529415417013E-2</v>
      </c>
      <c r="ED121" s="2">
        <f>1032.80890345745*(1/14151.6638359215)</f>
        <v>7.2981446947308556E-2</v>
      </c>
      <c r="EE121" s="2">
        <f>932.643460482182*(1/14151.6638359215)</f>
        <v>6.5903449325501309E-2</v>
      </c>
      <c r="EF121" s="2">
        <f>837.666453339442*(1/14151.6638359215)</f>
        <v>5.9192082503625731E-2</v>
      </c>
      <c r="EG121" s="2">
        <f>747.928063172937*(1/14151.6638359215)</f>
        <v>5.285089243530882E-2</v>
      </c>
      <c r="EH121" s="2">
        <f>663.47847112639*(1/14151.6638359215)</f>
        <v>4.6883425074178704E-2</v>
      </c>
      <c r="EI121" s="2">
        <f>584.367858343526*(1/14151.6638359215)</f>
        <v>4.1293226373863644E-2</v>
      </c>
      <c r="EJ121" s="2">
        <f>510.646405968055*(1/14151.6638359215)</f>
        <v>3.6083842287990844E-2</v>
      </c>
      <c r="EK121" s="2">
        <f>442.706721168221*(1/14151.6638359215)</f>
        <v>3.1283015644032484E-2</v>
      </c>
      <c r="EL121" s="2">
        <f>381.374887911245*(1/14151.6638359215)</f>
        <v>2.6949120070474838E-2</v>
      </c>
      <c r="EM121" s="2">
        <f>326.233213414182*(1/14151.6638359215)</f>
        <v>2.3052640113319863E-2</v>
      </c>
      <c r="EN121" s="2">
        <f>276.784344016179*(1/14151.6638359215)</f>
        <v>1.9558431236446613E-2</v>
      </c>
      <c r="EO121" s="2">
        <f>232.530926056383*(1/14151.6638359215)</f>
        <v>1.6431348903734155E-2</v>
      </c>
      <c r="EP121" s="2">
        <f>192.975605873941*(1/14151.6638359215)</f>
        <v>1.363624857906153E-2</v>
      </c>
      <c r="EQ121" s="2">
        <f>157.621029807995*(1/14151.6638359215)</f>
        <v>1.1137985726307449E-2</v>
      </c>
      <c r="ER121" s="2">
        <f>125.969844197705*(1/14151.6638359215)</f>
        <v>8.9014158093518869E-3</v>
      </c>
      <c r="ES121" s="2">
        <f>97.5246953822098*(1/14151.6638359215)</f>
        <v>6.8913942920733164E-3</v>
      </c>
      <c r="ET121" s="2">
        <f>71.788229700658*(1/14151.6638359215)</f>
        <v>5.0727766383509088E-3</v>
      </c>
      <c r="EU121" s="2">
        <f>48.3011147702391*(1/14151.6638359215)</f>
        <v>3.4131050122626042E-3</v>
      </c>
      <c r="EV121" s="2">
        <f>29.4489271889752*(1/14151.6638359215)</f>
        <v>2.0809515778790828E-3</v>
      </c>
      <c r="EW121" s="2">
        <f>16.2552033455744*(1/14151.6638359215)</f>
        <v>1.1486425577968745E-3</v>
      </c>
      <c r="EX121" s="2">
        <f>7.83039080715758*(1/14151.6638359215)</f>
        <v>5.5331944695305132E-4</v>
      </c>
      <c r="EY121" s="2">
        <f>3.28493714085015*(1/14151.6638359215)</f>
        <v>2.3212374028500573E-4</v>
      </c>
      <c r="EZ121" s="2">
        <f>1.72928991377732*(1/14151.6638359215)</f>
        <v>1.2219693273011638E-4</v>
      </c>
      <c r="FA121" s="2">
        <f>2.27389669306434*(1/14151.6638359215)</f>
        <v>1.6068051922576445E-4</v>
      </c>
      <c r="FB121" s="2">
        <f>4.02920504583686*(1/14151.6638359215)</f>
        <v>2.8471599470935948E-4</v>
      </c>
      <c r="FC121" s="2">
        <f>6.10566253921934*(1/14151.6638359215)</f>
        <v>4.31444854118227E-4</v>
      </c>
      <c r="FD121" s="2">
        <f>7.61371674033729*(1/14151.6638359215)</f>
        <v>5.3800859238976656E-4</v>
      </c>
      <c r="FE121" s="2">
        <f>7.66381521631589*(1/14151.6638359215)</f>
        <v>5.4154870446135447E-4</v>
      </c>
      <c r="FF121" s="2">
        <f>5.88827919057864*(1/14151.6638359215)</f>
        <v>4.1608387952463106E-4</v>
      </c>
      <c r="FG121" s="2">
        <f>4.22069797644609*(1/14151.6638359215)</f>
        <v>2.9824747290368737E-4</v>
      </c>
      <c r="FH121" s="2">
        <f>2.9483952723304*(1/14151.6638359215)</f>
        <v>2.0834265896328171E-4</v>
      </c>
      <c r="FI121" s="2">
        <f>2.07137107823124*(1/14151.6638359215)</f>
        <v>1.4636943770339077E-4</v>
      </c>
      <c r="FJ121" s="2">
        <f>1.58962539414859*(1/14151.6638359215)</f>
        <v>1.1232780912401316E-4</v>
      </c>
      <c r="FK121" s="2">
        <f>1.50315822008246*(1/14151.6638359215)</f>
        <v>1.0621777322514956E-4</v>
      </c>
      <c r="FL121" s="2">
        <f>1.81196955603286*(1/14151.6638359215)</f>
        <v>1.2803933000680071E-4</v>
      </c>
      <c r="FM121" s="2">
        <f>2.51605940199993*(1/14151.6638359215)</f>
        <v>1.7779247946897648E-4</v>
      </c>
      <c r="FN121" s="2">
        <f>3.61542775798344*(1/14151.6638359215)</f>
        <v>2.554772216116606E-4</v>
      </c>
      <c r="FO121" s="2">
        <f>5.11007462398346*(1/14151.6638359215)</f>
        <v>3.6109355643485804E-4</v>
      </c>
      <c r="FP121" s="2">
        <f t="shared" si="19"/>
        <v>4.9464148393856954E-4</v>
      </c>
      <c r="FQ121" s="2"/>
    </row>
    <row r="122" spans="2:173">
      <c r="B122" s="2">
        <v>10.426627218934911</v>
      </c>
      <c r="C122" s="2">
        <f t="shared" si="20"/>
        <v>4.9464148393856954E-4</v>
      </c>
      <c r="D122" s="2">
        <f>7.04193433117731*(1/14151.6638359215)</f>
        <v>4.9760469248164322E-4</v>
      </c>
      <c r="E122" s="2">
        <f>7.07509808328486*(1/14151.6638359215)</f>
        <v>4.9994814498956458E-4</v>
      </c>
      <c r="F122" s="2">
        <f>7.09949125632264*(1/14151.6638359215)</f>
        <v>5.0167184146233284E-4</v>
      </c>
      <c r="G122" s="2">
        <f>7.11511385029066*(1/14151.6638359215)</f>
        <v>5.0277578189994877E-4</v>
      </c>
      <c r="H122" s="2">
        <f>7.12196586518891*(1/14151.6638359215)</f>
        <v>5.0325996630241161E-4</v>
      </c>
      <c r="I122" s="2">
        <f>7.1200473010174*(1/14151.6638359215)</f>
        <v>5.0312439466972201E-4</v>
      </c>
      <c r="J122" s="2">
        <f>7.10935815777613*(1/14151.6638359215)</f>
        <v>5.0236906700187997E-4</v>
      </c>
      <c r="K122" s="2">
        <f>7.08989843546509*(1/14151.6638359215)</f>
        <v>5.0099398329888495E-4</v>
      </c>
      <c r="L122" s="2">
        <f>7.06166813408428*(1/14151.6638359215)</f>
        <v>4.9899914356073684E-4</v>
      </c>
      <c r="M122" s="2">
        <f>7.02466725363371*(1/14151.6638359215)</f>
        <v>4.9638454778743628E-4</v>
      </c>
      <c r="N122" s="2">
        <f>6.77991698327318*(1/14151.6638359215)</f>
        <v>4.790897425123651E-4</v>
      </c>
      <c r="O122" s="2">
        <f>4.98835860858088*(1/14151.6638359215)</f>
        <v>3.5249272922374062E-4</v>
      </c>
      <c r="P122" s="2">
        <f>1.90461883156171*(1/14151.6638359215)</f>
        <v>1.345862121687184E-4</v>
      </c>
      <c r="Q122" s="2">
        <f>-1.85526515262094*(1/14151.6638359215)</f>
        <v>-1.310987297417055E-4</v>
      </c>
      <c r="R122" s="2">
        <f>-5.67525614880434*(1/14151.6638359215)</f>
        <v>-4.0103101759658141E-4</v>
      </c>
      <c r="S122" s="2">
        <f>-8.93931696182355*(1/14151.6638359215)</f>
        <v>-6.3167957248480371E-4</v>
      </c>
      <c r="T122" s="2">
        <f>-11.0314103965159*(1/14151.6638359215)</f>
        <v>-7.79513315495427E-4</v>
      </c>
      <c r="U122" s="2">
        <f>-11.335499257718*(1/14151.6638359215)</f>
        <v>-8.0100116771745502E-4</v>
      </c>
      <c r="V122" s="2">
        <f>-9.23554635026639*(1/14151.6638359215)</f>
        <v>-6.5261205023988669E-4</v>
      </c>
      <c r="W122" s="2">
        <f>-4.11551447899771*(1/14151.6638359215)</f>
        <v>-2.9081488415172804E-4</v>
      </c>
      <c r="X122" s="2">
        <f>4.64063355125347*(1/14151.6638359215)</f>
        <v>3.2792140945816145E-4</v>
      </c>
      <c r="Y122" s="2">
        <f>14.3619626042719*(1/14151.6638359215)</f>
        <v>1.0148603564067566E-3</v>
      </c>
      <c r="Z122" s="2">
        <f>21.2030743358846*(1/14151.6638359215)</f>
        <v>1.4982743076516799E-3</v>
      </c>
      <c r="AA122" s="2">
        <f>27.0251471554185*(1/14151.6638359215)</f>
        <v>1.90967984180206E-3</v>
      </c>
      <c r="AB122" s="2">
        <f>33.7598667080264*(1/14151.6638359215)</f>
        <v>2.3855757951466413E-3</v>
      </c>
      <c r="AC122" s="2">
        <f>43.3389186388605*(1/14151.6638359215)</f>
        <v>3.0624610039741268E-3</v>
      </c>
      <c r="AD122" s="2">
        <f>57.6939885930769*(1/14151.6638359215)</f>
        <v>4.0768343045734946E-3</v>
      </c>
      <c r="AE122" s="2">
        <f>78.7567622158231*(1/14151.6638359215)</f>
        <v>5.5651945332331147E-3</v>
      </c>
      <c r="AF122" s="2">
        <f>108.458925152254*(1/14151.6638359215)</f>
        <v>7.6640405262418804E-3</v>
      </c>
      <c r="AG122" s="2">
        <f>148.732163047521*(1/14151.6638359215)</f>
        <v>1.0509871119888438E-2</v>
      </c>
      <c r="AH122" s="2">
        <f>201.508161546779*(1/14151.6638359215)</f>
        <v>1.4239185150461681E-2</v>
      </c>
      <c r="AI122" s="2">
        <f>268.571807857318*(1/14151.6638359215)</f>
        <v>1.8978108226086879E-2</v>
      </c>
      <c r="AJ122" s="2">
        <f>348.815267526764*(1/14151.6638359215)</f>
        <v>2.464835736426681E-2</v>
      </c>
      <c r="AK122" s="2">
        <f>440.602798363378*(1/14151.6638359215)</f>
        <v>3.1134346001421089E-2</v>
      </c>
      <c r="AL122" s="2">
        <f>542.764860331256*(1/14151.6638359215)</f>
        <v>3.835343084913756E-2</v>
      </c>
      <c r="AM122" s="2">
        <f>654.13191339449*(1/14151.6638359215)</f>
        <v>4.6222968619003768E-2</v>
      </c>
      <c r="AN122" s="2">
        <f>773.534417517175*(1/14151.6638359215)</f>
        <v>5.46603160226075E-2</v>
      </c>
      <c r="AO122" s="2">
        <f>899.802832663403*(1/14151.6638359215)</f>
        <v>6.3582829771536287E-2</v>
      </c>
      <c r="AP122" s="2">
        <f>1031.7676187973*(1/14151.6638359215)</f>
        <v>7.2907866577380118E-2</v>
      </c>
      <c r="AQ122" s="2">
        <f>1168.2592358829*(1/14151.6638359215)</f>
        <v>8.2552783151722431E-2</v>
      </c>
      <c r="AR122" s="2">
        <f>1308.10814388432*(1/14151.6638359215)</f>
        <v>9.2434936206152563E-2</v>
      </c>
      <c r="AS122" s="2">
        <f>1450.14480276567*(1/14151.6638359215)</f>
        <v>0.10247168245225932</v>
      </c>
      <c r="AT122" s="2">
        <f>1596.19669453522*(1/14151.6638359215)</f>
        <v>0.11279215737753441</v>
      </c>
      <c r="AU122" s="2">
        <f>1752.04260120417*(1/14151.6638359215)</f>
        <v>0.12380470745474602</v>
      </c>
      <c r="AV122" s="2">
        <f>1916.11364794752*(1/14151.6638359215)</f>
        <v>0.13539847117367243</v>
      </c>
      <c r="AW122" s="2">
        <f>2086.50024867798*(1/14151.6638359215)</f>
        <v>0.14743851132061006</v>
      </c>
      <c r="AX122" s="2">
        <f>2261.29281730822*(1/14151.6638359215)</f>
        <v>0.15978989068185237</v>
      </c>
      <c r="AY122" s="2">
        <f>2438.5817677509*(1/14151.6638359215)</f>
        <v>0.17231767204369219</v>
      </c>
      <c r="AZ122" s="2">
        <f>2616.45751391871*(1/14151.6638359215)</f>
        <v>0.18488691819242445</v>
      </c>
      <c r="BA122" s="2">
        <f>2793.01046972434*(1/14151.6638359215)</f>
        <v>0.19736269191434411</v>
      </c>
      <c r="BB122" s="2">
        <f>2966.33104908041*(1/14151.6638359215)</f>
        <v>0.20961005599574112</v>
      </c>
      <c r="BC122" s="2">
        <f>3134.50966589962*(1/14151.6638359215)</f>
        <v>0.22149407322291112</v>
      </c>
      <c r="BD122" s="2">
        <f>3295.82089232179*(1/14151.6638359215)</f>
        <v>0.23289281956768437</v>
      </c>
      <c r="BE122" s="2">
        <f>3455.39130551737*(1/14151.6638359215)</f>
        <v>0.24416855470707757</v>
      </c>
      <c r="BF122" s="2">
        <f>3615.53373577541*(1/14151.6638359215)</f>
        <v>0.25548471032770126</v>
      </c>
      <c r="BG122" s="2">
        <f>3775.19742451016*(1/14151.6638359215)</f>
        <v>0.26676703660296736</v>
      </c>
      <c r="BH122" s="2">
        <f>3933.33161313579*(1/14151.6638359215)</f>
        <v>0.27794128370628213</v>
      </c>
      <c r="BI122" s="2">
        <f>4088.88554306658*(1/14151.6638359215)</f>
        <v>0.28893320181105958</v>
      </c>
      <c r="BJ122" s="2">
        <f>4240.80845571673*(1/14151.6638359215)</f>
        <v>0.29966854109070817</v>
      </c>
      <c r="BK122" s="2">
        <f>4388.04959250049*(1/14151.6638359215)</f>
        <v>0.31007305171863969</v>
      </c>
      <c r="BL122" s="2">
        <f>4529.55819483207*(1/14151.6638359215)</f>
        <v>0.32007248386826331</v>
      </c>
      <c r="BM122" s="2">
        <f>4664.28350412575*(1/14151.6638359215)</f>
        <v>0.32959258771299316</v>
      </c>
      <c r="BN122" s="2">
        <f>4791.17476179569*(1/14151.6638359215)</f>
        <v>0.33855911342623463</v>
      </c>
      <c r="BO122" s="2">
        <f>4910.18962513956*(1/14151.6638359215)</f>
        <v>0.34696906894268581</v>
      </c>
      <c r="BP122" s="2">
        <f>5024.36605822646*(1/14151.6638359215)</f>
        <v>0.35503712612738825</v>
      </c>
      <c r="BQ122" s="2">
        <f>5133.67553100499*(1/14151.6638359215)</f>
        <v>0.36276126895934746</v>
      </c>
      <c r="BR122" s="2">
        <f>5237.74230447735*(1/14151.6638359215)</f>
        <v>0.37011494656778565</v>
      </c>
      <c r="BS122" s="2">
        <f>5336.19063964568*(1/14151.6638359215)</f>
        <v>0.37707160808192053</v>
      </c>
      <c r="BT122" s="2">
        <f>5428.64479751216*(1/14151.6638359215)</f>
        <v>0.3836047026309729</v>
      </c>
      <c r="BU122" s="2">
        <f>5514.72903907897*(1/14151.6638359215)</f>
        <v>0.38968767934416337</v>
      </c>
      <c r="BV122" s="2">
        <f>5594.06762534829*(1/14151.6638359215)</f>
        <v>0.39529398735071258</v>
      </c>
      <c r="BW122" s="2">
        <f>5666.28481732228*(1/14151.6638359215)</f>
        <v>0.40039707577983985</v>
      </c>
      <c r="BX122" s="2">
        <f>5731.00487600312*(1/14151.6638359215)</f>
        <v>0.40497039376076588</v>
      </c>
      <c r="BY122" s="2">
        <f>5787.85167492495*(1/14151.6638359215)</f>
        <v>0.40898736304303035</v>
      </c>
      <c r="BZ122" s="2">
        <f>5836.49155680587*(1/14151.6638359215)</f>
        <v>0.41242440637905531</v>
      </c>
      <c r="CA122" s="2">
        <f>5877.15519654756*(1/14151.6638359215)</f>
        <v>0.4152978239653658</v>
      </c>
      <c r="CB122" s="2">
        <f>5910.27948727245*(1/14151.6638359215)</f>
        <v>0.41763848801087611</v>
      </c>
      <c r="CC122" s="2">
        <f>5936.30132210296*(1/14151.6638359215)</f>
        <v>0.41947727072450003</v>
      </c>
      <c r="CD122" s="2">
        <f>5955.65759416154*(1/14151.6638359215)</f>
        <v>0.42084504431515363</v>
      </c>
      <c r="CE122" s="2">
        <f>5968.7851965706*(1/14151.6638359215)</f>
        <v>0.42177268099174975</v>
      </c>
      <c r="CF122" s="2">
        <f>5976.12102245259*(1/14151.6638359215)</f>
        <v>0.42229105296320441</v>
      </c>
      <c r="CG122" s="2">
        <f>5978.10196492993*(1/14151.6638359215)</f>
        <v>0.42243103243843128</v>
      </c>
      <c r="CH122" s="2">
        <f>5975.16491712505*(1/14151.6638359215)</f>
        <v>0.42222349162634498</v>
      </c>
      <c r="CI122" s="2">
        <f>5967.7467721604*(1/14151.6638359215)</f>
        <v>0.42169930273586126</v>
      </c>
      <c r="CJ122" s="2">
        <f>5956.13411261392*(1/14151.6638359215)</f>
        <v>0.42087871657149778</v>
      </c>
      <c r="CK122" s="2">
        <f>5939.65245601289*(1/14151.6638359215)</f>
        <v>0.41971407213165501</v>
      </c>
      <c r="CL122" s="2">
        <f>5918.0529645406*(1/14151.6638359215)</f>
        <v>0.41818778577248761</v>
      </c>
      <c r="CM122" s="2">
        <f>5891.2138317772*(1/14151.6638359215)</f>
        <v>0.41629125027852865</v>
      </c>
      <c r="CN122" s="2">
        <f>5859.01325130284*(1/14151.6638359215)</f>
        <v>0.41401585843431143</v>
      </c>
      <c r="CO122" s="2">
        <f>5821.3294166977*(1/14151.6638359215)</f>
        <v>0.41135300302437111</v>
      </c>
      <c r="CP122" s="2">
        <f>5778.04052154192*(1/14151.6638359215)</f>
        <v>0.4082940768332402</v>
      </c>
      <c r="CQ122" s="2">
        <f>5729.02475941567*(1/14151.6638359215)</f>
        <v>0.40483047264545335</v>
      </c>
      <c r="CR122" s="2">
        <f>5674.1603238991*(1/14151.6638359215)</f>
        <v>0.40095358324554364</v>
      </c>
      <c r="CS122" s="2">
        <f>5613.32540857238*(1/14151.6638359215)</f>
        <v>0.3966548014180456</v>
      </c>
      <c r="CT122" s="2">
        <f>5546.39820701567*(1/14151.6638359215)</f>
        <v>0.39192551994749319</v>
      </c>
      <c r="CU122" s="2">
        <f>5472.77987096853*(1/14151.6638359215)</f>
        <v>0.38672342237785817</v>
      </c>
      <c r="CV122" s="2">
        <f>5392.12117140653*(1/14151.6638359215)</f>
        <v>0.38102383111444343</v>
      </c>
      <c r="CW122" s="2">
        <f>5304.90347739458*(1/14151.6638359215)</f>
        <v>0.37486076117276179</v>
      </c>
      <c r="CX122" s="2">
        <f>5211.61067251293*(1/14151.6638359215)</f>
        <v>0.36826840525169746</v>
      </c>
      <c r="CY122" s="2">
        <f>5112.72664034184*(1/14151.6638359215)</f>
        <v>0.36128095605013499</v>
      </c>
      <c r="CZ122" s="2">
        <f>5008.73526446156*(1/14151.6638359215)</f>
        <v>0.35393260626695855</v>
      </c>
      <c r="DA122" s="2">
        <f>4900.12042845233*(1/14151.6638359215)</f>
        <v>0.3462575486010514</v>
      </c>
      <c r="DB122" s="2">
        <f>4787.36601589445*(1/14151.6638359215)</f>
        <v>0.33828997575130121</v>
      </c>
      <c r="DC122" s="2">
        <f>4670.95591036817*(1/14151.6638359215)</f>
        <v>0.33006408041659197</v>
      </c>
      <c r="DD122" s="2">
        <f>4551.37399545373*(1/14151.6638359215)</f>
        <v>0.321614055295807</v>
      </c>
      <c r="DE122" s="2">
        <f>4428.70989006995*(1/14151.6638359215)</f>
        <v>0.31294623313680275</v>
      </c>
      <c r="DF122" s="2">
        <f>4299.5337410201*(1/14151.6638359215)</f>
        <v>0.30381824998601881</v>
      </c>
      <c r="DG122" s="2">
        <f>4163.83991961432*(1/14151.6638359215)</f>
        <v>0.29422970810295451</v>
      </c>
      <c r="DH122" s="2">
        <f>4022.76015416957*(1/14151.6638359215)</f>
        <v>0.28426057888391215</v>
      </c>
      <c r="DI122" s="2">
        <f>3877.4261730029*(1/14151.6638359215)</f>
        <v>0.27399083372520044</v>
      </c>
      <c r="DJ122" s="2">
        <f>3728.96970443126*(1/14151.6638359215)</f>
        <v>0.26350044402312112</v>
      </c>
      <c r="DK122" s="2">
        <f>3578.52247677164*(1/14151.6638359215)</f>
        <v>0.25286938117397845</v>
      </c>
      <c r="DL122" s="2">
        <f>3427.21621834104*(1/14151.6638359215)</f>
        <v>0.2421776165740778</v>
      </c>
      <c r="DM122" s="2">
        <f>3276.1826574564*(1/14151.6638359215)</f>
        <v>0.23150512161972001</v>
      </c>
      <c r="DN122" s="2">
        <f>3126.55352243478*(1/14151.6638359215)</f>
        <v>0.22093186770721446</v>
      </c>
      <c r="DO122" s="2">
        <f>2979.46054159313*(1/14151.6638359215)</f>
        <v>0.21053782623286285</v>
      </c>
      <c r="DP122" s="2">
        <f>2833.05725948228*(1/14151.6638359215)</f>
        <v>0.20019252098760745</v>
      </c>
      <c r="DQ122" s="2">
        <f>2682.76699389937*(1/14151.6638359215)</f>
        <v>0.18957254956054281</v>
      </c>
      <c r="DR122" s="2">
        <f>2529.88509853797*(1/14151.6638359215)</f>
        <v>0.17876944561927083</v>
      </c>
      <c r="DS122" s="2">
        <f>2375.86742777006*(1/14151.6638359215)</f>
        <v>0.16788608430192783</v>
      </c>
      <c r="DT122" s="2">
        <f>2222.16983596763*(1/14151.6638359215)</f>
        <v>0.15702534074665089</v>
      </c>
      <c r="DU122" s="2">
        <f>2070.24817750274*(1/14151.6638359215)</f>
        <v>0.14629009009158206</v>
      </c>
      <c r="DV122" s="2">
        <f>1921.55830674734*(1/14151.6638359215)</f>
        <v>0.13578320747485562</v>
      </c>
      <c r="DW122" s="2">
        <f>1777.55607807345*(1/14151.6638359215)</f>
        <v>0.12560756803461073</v>
      </c>
      <c r="DX122" s="2">
        <f>1639.69734585306*(1/14151.6638359215)</f>
        <v>0.1158660469089845</v>
      </c>
      <c r="DY122" s="2">
        <f>1509.43796445815*(1/14151.6638359215)</f>
        <v>0.10666151923611331</v>
      </c>
      <c r="DZ122" s="2">
        <f>1388.06568333591*(1/14151.6638359215)</f>
        <v>9.80849813442113E-2</v>
      </c>
      <c r="EA122" s="2">
        <f>1272.96893611686*(1/14151.6638359215)</f>
        <v>8.9951891938363684E-2</v>
      </c>
      <c r="EB122" s="2">
        <f>1162.80612171641*(1/14151.6638359215)</f>
        <v>8.2167449368379705E-2</v>
      </c>
      <c r="EC122" s="2">
        <f>1057.61570291175*(1/14151.6638359215)</f>
        <v>7.473437153214306E-2</v>
      </c>
      <c r="ED122" s="2">
        <f>957.436142480016*(1/14151.6638359215)</f>
        <v>6.7655376327533545E-2</v>
      </c>
      <c r="EE122" s="2">
        <f>862.305903198371*(1/14151.6638359215)</f>
        <v>6.0933181652432958E-2</v>
      </c>
      <c r="EF122" s="2">
        <f>772.263447844009*(1/14151.6638359215)</f>
        <v>5.4570505404725245E-2</v>
      </c>
      <c r="EG122" s="2">
        <f>687.347239194077*(1/14151.6638359215)</f>
        <v>4.8570065482291022E-2</v>
      </c>
      <c r="EH122" s="2">
        <f>607.595740025739*(1/14151.6638359215)</f>
        <v>4.2934579783012121E-2</v>
      </c>
      <c r="EI122" s="2">
        <f>533.047413116157*(1/14151.6638359215)</f>
        <v>3.7666766204770233E-2</v>
      </c>
      <c r="EJ122" s="2">
        <f>463.740721242484*(1/14151.6638359215)</f>
        <v>3.2769342645446405E-2</v>
      </c>
      <c r="EK122" s="2">
        <f>400.10230041829*(1/14151.6638359215)</f>
        <v>2.8272456515162615E-2</v>
      </c>
      <c r="EL122" s="2">
        <f>343.06887917517*(1/14151.6638359215)</f>
        <v>2.4242299926906845E-2</v>
      </c>
      <c r="EM122" s="2">
        <f>292.187308223054*(1/14151.6638359215)</f>
        <v>2.0646851961066807E-2</v>
      </c>
      <c r="EN122" s="2">
        <f>246.914776350312*(1/14151.6638359215)</f>
        <v>1.7447755911468334E-2</v>
      </c>
      <c r="EO122" s="2">
        <f>206.708472345317*(1/14151.6638359215)</f>
        <v>1.4606655071937482E-2</v>
      </c>
      <c r="EP122" s="2">
        <f>171.025584996439*(1/14151.6638359215)</f>
        <v>1.2085192736300078E-2</v>
      </c>
      <c r="EQ122" s="2">
        <f>139.323303092043*(1/14151.6638359215)</f>
        <v>9.8450121983816065E-3</v>
      </c>
      <c r="ER122" s="2">
        <f>111.058815420514*(1/14151.6638359215)</f>
        <v>7.8477567520089612E-3</v>
      </c>
      <c r="ES122" s="2">
        <f>85.6893107702156*(1/14151.6638359215)</f>
        <v>6.0550696910075278E-3</v>
      </c>
      <c r="ET122" s="2">
        <f>62.6719779295194*(1/14151.6638359215)</f>
        <v>4.4285943092032508E-3</v>
      </c>
      <c r="EU122" s="2">
        <f>41.501606326354*(1/14151.6638359215)</f>
        <v>2.9326308770145811E-3</v>
      </c>
      <c r="EV122" s="2">
        <f>24.5081766359912*(1/14151.6638359215)</f>
        <v>1.7318229799793239E-3</v>
      </c>
      <c r="EW122" s="2">
        <f>12.7429209663164*(1/14151.6638359215)</f>
        <v>9.0045390521295066E-4</v>
      </c>
      <c r="EX122" s="2">
        <f>5.37830870503664*(1/14151.6638359215)</f>
        <v>3.8004779984843575E-4</v>
      </c>
      <c r="EY122" s="2">
        <f>1.58680923986244*(1/14151.6638359215)</f>
        <v>1.121288110189987E-4</v>
      </c>
      <c r="EZ122" s="2">
        <f>0.540891958504477*(1/14151.6638359215)</f>
        <v>3.8221085857870528E-5</v>
      </c>
      <c r="FA122" s="2">
        <f>1.41302624867338*(1/14151.6638359215)</f>
        <v>9.9848771498278698E-5</v>
      </c>
      <c r="FB122" s="2">
        <f>3.3756814980802*(1/14151.6638359215)</f>
        <v>2.3853601507348052E-4</v>
      </c>
      <c r="FC122" s="2">
        <f>5.60132709443472*(1/14151.6638359215)</f>
        <v>3.9580696371664372E-4</v>
      </c>
      <c r="FD122" s="2">
        <f>7.26243242544786*(1/14151.6638359215)</f>
        <v>5.1318576456101626E-4</v>
      </c>
      <c r="FE122" s="2">
        <f>7.53146687883023*(1/14151.6638359215)</f>
        <v>5.3219656473982454E-4</v>
      </c>
      <c r="FF122" s="2">
        <f>6.06638716195332*(1/14151.6638359215)</f>
        <v>4.286695354192111E-4</v>
      </c>
      <c r="FG122" s="2">
        <f>4.66596790488286*(1/14151.6638359215)</f>
        <v>3.2971161264014234E-4</v>
      </c>
      <c r="FH122" s="2">
        <f>3.59749987911822*(1/14151.6638359215)</f>
        <v>2.5421038266798014E-4</v>
      </c>
      <c r="FI122" s="2">
        <f>2.86098308465909*(1/14151.6638359215)</f>
        <v>2.0216584550270263E-4</v>
      </c>
      <c r="FJ122" s="2">
        <f>2.45641752150548*(1/14151.6638359215)</f>
        <v>1.7357800114431056E-4</v>
      </c>
      <c r="FK122" s="2">
        <f>2.38380318965739*(1/14151.6638359215)</f>
        <v>1.6844684959280382E-4</v>
      </c>
      <c r="FL122" s="2">
        <f>2.64314008911481*(1/14151.6638359215)</f>
        <v>1.8677239084818179E-4</v>
      </c>
      <c r="FM122" s="2">
        <f>3.2344282198779*(1/14151.6638359215)</f>
        <v>2.2855462491045577E-4</v>
      </c>
      <c r="FN122" s="2">
        <f>4.15766758194641*(1/14151.6638359215)</f>
        <v>2.937935517796081E-4</v>
      </c>
      <c r="FO122" s="2">
        <f>5.41285817532045*(1/14151.6638359215)</f>
        <v>3.8248917145564646E-4</v>
      </c>
      <c r="FP122" s="2">
        <f t="shared" si="19"/>
        <v>4.9464148393856954E-4</v>
      </c>
      <c r="FQ122" s="2"/>
    </row>
    <row r="123" spans="2:173">
      <c r="B123" s="2">
        <v>10.436094674556212</v>
      </c>
      <c r="C123" s="2">
        <f t="shared" si="20"/>
        <v>4.9464148393856954E-4</v>
      </c>
      <c r="D123" s="2">
        <f>7.12522212610673*(1/14151.6638359215)</f>
        <v>5.0349006369276611E-4</v>
      </c>
      <c r="E123" s="2">
        <f>7.22425400361598*(1/14151.6638359215)</f>
        <v>5.104879600996801E-4</v>
      </c>
      <c r="F123" s="2">
        <f>7.29709563252775*(1/14151.6638359215)</f>
        <v>5.1563517315931162E-4</v>
      </c>
      <c r="G123" s="2">
        <f>7.34374701284202*(1/14151.6638359215)</f>
        <v>5.1893170287165924E-4</v>
      </c>
      <c r="H123" s="2">
        <f>7.36420814455881*(1/14151.6638359215)</f>
        <v>5.2037754923672428E-4</v>
      </c>
      <c r="I123" s="2">
        <f>7.35847902767811*(1/14151.6638359215)</f>
        <v>5.1997271225450608E-4</v>
      </c>
      <c r="J123" s="2">
        <f>7.32655966219992*(1/14151.6638359215)</f>
        <v>5.1771719192500476E-4</v>
      </c>
      <c r="K123" s="2">
        <f>7.26845004812425*(1/14151.6638359215)</f>
        <v>5.1361098824822095E-4</v>
      </c>
      <c r="L123" s="2">
        <f>7.18415018545107*(1/14151.6638359215)</f>
        <v>5.0765410122415239E-4</v>
      </c>
      <c r="M123" s="2">
        <f>7.07366007418042*(1/14151.6638359215)</f>
        <v>4.9984653085280212E-4</v>
      </c>
      <c r="N123" s="2">
        <f>6.76592480728567*(1/14151.6638359215)</f>
        <v>4.7810101241322348E-4</v>
      </c>
      <c r="O123" s="2">
        <f>5.10980390437393*(1/14151.6638359215)</f>
        <v>3.610744265563739E-4</v>
      </c>
      <c r="P123" s="2">
        <f>2.32419075743011*(1/14151.6638359215)</f>
        <v>1.6423445217307679E-4</v>
      </c>
      <c r="Q123" s="2">
        <f>-1.06132967573718*(1/14151.6638359215)</f>
        <v>-7.4996812250668511E-5</v>
      </c>
      <c r="R123" s="2">
        <f>-4.51717243731998*(1/14151.6638359215)</f>
        <v>-3.1919726822890855E-4</v>
      </c>
      <c r="S123" s="2">
        <f>-7.51375256950832*(1/14151.6638359215)</f>
        <v>-5.309448172755479E-4</v>
      </c>
      <c r="T123" s="2">
        <f>-9.52148511449425*(1/14151.6638359215)</f>
        <v>-6.728173609046339E-4</v>
      </c>
      <c r="U123" s="2">
        <f>-10.0107851144692*(1/14151.6638359215)</f>
        <v>-7.0739280063016974E-4</v>
      </c>
      <c r="V123" s="2">
        <f>-8.45206761162455*(1/14151.6638359215)</f>
        <v>-5.972490379661555E-4</v>
      </c>
      <c r="W123" s="2">
        <f>-4.31574764815171*(1/14151.6638359215)</f>
        <v>-3.0496397442659334E-4</v>
      </c>
      <c r="X123" s="2">
        <f>2.92775973375957*(1/14151.6638359215)</f>
        <v>2.0688448847463214E-4</v>
      </c>
      <c r="Y123" s="2">
        <f>10.7331037242451*(1/14151.6638359215)</f>
        <v>7.5843405048959763E-4</v>
      </c>
      <c r="Z123" s="2">
        <f>15.5159187454184*(1/14151.6638359215)</f>
        <v>1.0964024389862894E-3</v>
      </c>
      <c r="AA123" s="2">
        <f>19.0722079747882*(1/14151.6638359215)</f>
        <v>1.3477007506620365E-3</v>
      </c>
      <c r="AB123" s="2">
        <f>23.264198804045*(1/14151.6638359215)</f>
        <v>1.643919688439245E-3</v>
      </c>
      <c r="AC123" s="2">
        <f>29.9541186248792*(1/14151.6638359215)</f>
        <v>2.116649955240313E-3</v>
      </c>
      <c r="AD123" s="2">
        <f>41.0041948289839*(1/14151.6638359215)</f>
        <v>2.8974822539878306E-3</v>
      </c>
      <c r="AE123" s="2">
        <f>58.2766548080457*(1/14151.6638359215)</f>
        <v>4.1180072876039284E-3</v>
      </c>
      <c r="AF123" s="2">
        <f>83.6337259537567*(1/14151.6638359215)</f>
        <v>5.9098157590111245E-3</v>
      </c>
      <c r="AG123" s="2">
        <f>118.937635657807*(1/14151.6638359215)</f>
        <v>8.404498371131797E-3</v>
      </c>
      <c r="AH123" s="2">
        <f>166.050611311888*(1/14151.6638359215)</f>
        <v>1.1733645826888415E-2</v>
      </c>
      <c r="AI123" s="2">
        <f>226.652770625879*(1/14151.6638359215)</f>
        <v>1.6015980400167572E-2</v>
      </c>
      <c r="AJ123" s="2">
        <f>299.151734286268*(1/14151.6638359215)</f>
        <v>2.1138979681450894E-2</v>
      </c>
      <c r="AK123" s="2">
        <f>381.998257230503*(1/14151.6638359215)</f>
        <v>2.6993169259777627E-2</v>
      </c>
      <c r="AL123" s="2">
        <f>474.308153699228*(1/14151.6638359215)</f>
        <v>3.3516069855707036E-2</v>
      </c>
      <c r="AM123" s="2">
        <f>575.197237933082*(1/14151.6638359215)</f>
        <v>4.0645202189798016E-2</v>
      </c>
      <c r="AN123" s="2">
        <f>683.781324172709*(1/14151.6638359215)</f>
        <v>4.8318086982609837E-2</v>
      </c>
      <c r="AO123" s="2">
        <f>799.176226658749*(1/14151.6638359215)</f>
        <v>5.6472244954701462E-2</v>
      </c>
      <c r="AP123" s="2">
        <f>920.497759631867*(1/14151.6638359215)</f>
        <v>6.5045196826633622E-2</v>
      </c>
      <c r="AQ123" s="2">
        <f>1046.86173733266*(1/14151.6638359215)</f>
        <v>7.3974463318962277E-2</v>
      </c>
      <c r="AR123" s="2">
        <f>1177.38397400179*(1/14151.6638359215)</f>
        <v>8.3197565152247938E-2</v>
      </c>
      <c r="AS123" s="2">
        <f>1311.1802838799*(1/14151.6638359215)</f>
        <v>9.2652023047049795E-2</v>
      </c>
      <c r="AT123" s="2">
        <f>1450.06768706321*(1/14151.6638359215)</f>
        <v>0.10246623322004507</v>
      </c>
      <c r="AU123" s="2">
        <f>1599.2377825133*(1/14151.6638359215)</f>
        <v>0.1130070499875723</v>
      </c>
      <c r="AV123" s="2">
        <f>1757.08446788373*(1/14151.6638359215)</f>
        <v>0.12416098122848858</v>
      </c>
      <c r="AW123" s="2">
        <f>1921.69074841718*(1/14151.6638359215)</f>
        <v>0.13579256620972774</v>
      </c>
      <c r="AX123" s="2">
        <f>2091.13962935624*(1/14151.6638359215)</f>
        <v>0.14776634419821727</v>
      </c>
      <c r="AY123" s="2">
        <f>2263.51411594355*(1/14151.6638359215)</f>
        <v>0.15994685446088816</v>
      </c>
      <c r="AZ123" s="2">
        <f>2436.89721342172*(1/14151.6638359215)</f>
        <v>0.17219863626466925</v>
      </c>
      <c r="BA123" s="2">
        <f>2609.37192703341*(1/14151.6638359215)</f>
        <v>0.18438622887649297</v>
      </c>
      <c r="BB123" s="2">
        <f>2779.02126202118*(1/14151.6638359215)</f>
        <v>0.19637417156328468</v>
      </c>
      <c r="BC123" s="2">
        <f>2943.92822362767*(1/14151.6638359215)</f>
        <v>0.20802700359197537</v>
      </c>
      <c r="BD123" s="2">
        <f>3102.37067588103*(1/14151.6638359215)</f>
        <v>0.21922303354932796</v>
      </c>
      <c r="BE123" s="2">
        <f>3259.82707252676*(1/14151.6638359215)</f>
        <v>0.2303493857911085</v>
      </c>
      <c r="BF123" s="2">
        <f>3418.66053822944*(1/14151.6638359215)</f>
        <v>0.24157304595886273</v>
      </c>
      <c r="BG123" s="2">
        <f>3577.65196882008*(1/14151.6638359215)</f>
        <v>0.25280786841041564</v>
      </c>
      <c r="BH123" s="2">
        <f>3735.58226012961*(1/14151.6638359215)</f>
        <v>0.26396770750358656</v>
      </c>
      <c r="BI123" s="2">
        <f>3891.23230798905*(1/14151.6638359215)</f>
        <v>0.27496641759620122</v>
      </c>
      <c r="BJ123" s="2">
        <f>4043.38300822938*(1/14151.6638359215)</f>
        <v>0.28571785304608255</v>
      </c>
      <c r="BK123" s="2">
        <f>4190.81525668161*(1/14151.6638359215)</f>
        <v>0.29613586821105553</v>
      </c>
      <c r="BL123" s="2">
        <f>4332.30994917672*(1/14151.6638359215)</f>
        <v>0.30613431744894309</v>
      </c>
      <c r="BM123" s="2">
        <f>4466.64798154572*(1/14151.6638359215)</f>
        <v>0.31562705511757017</v>
      </c>
      <c r="BN123" s="2">
        <f>4592.61024961955*(1/14151.6638359215)</f>
        <v>0.32452793557475695</v>
      </c>
      <c r="BO123" s="2">
        <f>4710.04890326085*(1/14151.6638359215)</f>
        <v>0.33282651127602558</v>
      </c>
      <c r="BP123" s="2">
        <f>4822.18458527442*(1/14151.6638359215)</f>
        <v>0.3407503627265478</v>
      </c>
      <c r="BQ123" s="2">
        <f>4929.0976709345*(1/14151.6638359215)</f>
        <v>0.34830516948988399</v>
      </c>
      <c r="BR123" s="2">
        <f>5030.50481593569*(1/14151.6638359215)</f>
        <v>0.35547090958779293</v>
      </c>
      <c r="BS123" s="2">
        <f>5126.12267597257*(1/14151.6638359215)</f>
        <v>0.36222756104203185</v>
      </c>
      <c r="BT123" s="2">
        <f>5215.66790673978*(1/14151.6638359215)</f>
        <v>0.36855510187436252</v>
      </c>
      <c r="BU123" s="2">
        <f>5298.85716393195*(1/14151.6638359215)</f>
        <v>0.37443351010654569</v>
      </c>
      <c r="BV123" s="2">
        <f>5375.40710324368*(1/14151.6638359215)</f>
        <v>0.37984276376034015</v>
      </c>
      <c r="BW123" s="2">
        <f>5445.03438036959*(1/14151.6638359215)</f>
        <v>0.38476284085750617</v>
      </c>
      <c r="BX123" s="2">
        <f>5507.4556510043*(1/14151.6638359215)</f>
        <v>0.38917371941980394</v>
      </c>
      <c r="BY123" s="2">
        <f>5562.38705582383*(1/14151.6638359215)</f>
        <v>0.39305534107619861</v>
      </c>
      <c r="BZ123" s="2">
        <f>5609.51938818696*(1/14151.6638359215)</f>
        <v>0.39638585633642498</v>
      </c>
      <c r="CA123" s="2">
        <f>5649.00428496993*(1/14151.6638359215)</f>
        <v>0.39917598032755203</v>
      </c>
      <c r="CB123" s="2">
        <f>5681.20380349036*(1/14151.6638359215)</f>
        <v>0.40145129713084532</v>
      </c>
      <c r="CC123" s="2">
        <f>5706.48000106586*(1/14151.6638359215)</f>
        <v>0.40323739082756954</v>
      </c>
      <c r="CD123" s="2">
        <f>5725.19493501407*(1/14151.6638359215)</f>
        <v>0.40455984549899171</v>
      </c>
      <c r="CE123" s="2">
        <f>5737.7106626526*(1/14151.6638359215)</f>
        <v>0.40544424522637651</v>
      </c>
      <c r="CF123" s="2">
        <f>5744.38924129908*(1/14151.6638359215)</f>
        <v>0.40591617409099007</v>
      </c>
      <c r="CG123" s="2">
        <f>5745.59272827112*(1/14151.6638359215)</f>
        <v>0.40600121617409729</v>
      </c>
      <c r="CH123" s="2">
        <f>5741.68318088636*(1/14151.6638359215)</f>
        <v>0.40572495555696503</v>
      </c>
      <c r="CI123" s="2">
        <f>5733.02265646241*(1/14151.6638359215)</f>
        <v>0.40511297632085808</v>
      </c>
      <c r="CJ123" s="2">
        <f>5719.79193234838*(1/14151.6638359215)</f>
        <v>0.40417805274809443</v>
      </c>
      <c r="CK123" s="2">
        <f>5701.14248884863*(1/14151.6638359215)</f>
        <v>0.40286022583275943</v>
      </c>
      <c r="CL123" s="2">
        <f>5676.94103268463*(1/14151.6638359215)</f>
        <v>0.40115007666269725</v>
      </c>
      <c r="CM123" s="2">
        <f>5647.22189530168*(1/14151.6638359215)</f>
        <v>0.39905003120320059</v>
      </c>
      <c r="CN123" s="2">
        <f>5612.01940814507*(1/14151.6638359215)</f>
        <v>0.39656251541956145</v>
      </c>
      <c r="CO123" s="2">
        <f>5571.3679026601*(1/14151.6638359215)</f>
        <v>0.39368995527707257</v>
      </c>
      <c r="CP123" s="2">
        <f>5525.30171029205*(1/14151.6638359215)</f>
        <v>0.39043477674102517</v>
      </c>
      <c r="CQ123" s="2">
        <f>5473.85516248625*(1/14151.6638359215)</f>
        <v>0.38679940577671407</v>
      </c>
      <c r="CR123" s="2">
        <f>5417.06259068797*(1/14151.6638359215)</f>
        <v>0.38278626834942997</v>
      </c>
      <c r="CS123" s="2">
        <f>5354.95832634252*(1/14151.6638359215)</f>
        <v>0.37839779042446614</v>
      </c>
      <c r="CT123" s="2">
        <f>5287.5767008952*(1/14151.6638359215)</f>
        <v>0.37363639796711534</v>
      </c>
      <c r="CU123" s="2">
        <f>5214.20877561954*(1/14151.6638359215)</f>
        <v>0.3684519951911373</v>
      </c>
      <c r="CV123" s="2">
        <f>5134.22678713826*(1/14151.6638359215)</f>
        <v>0.3628002224096033</v>
      </c>
      <c r="CW123" s="2">
        <f>5048.11329330954*(1/14151.6638359215)</f>
        <v>0.35671517864180713</v>
      </c>
      <c r="CX123" s="2">
        <f>4956.35444957078*(1/14151.6638359215)</f>
        <v>0.35023121712303185</v>
      </c>
      <c r="CY123" s="2">
        <f>4859.43641135937*(1/14151.6638359215)</f>
        <v>0.3433826910885594</v>
      </c>
      <c r="CZ123" s="2">
        <f>4757.84533411271*(1/14151.6638359215)</f>
        <v>0.33620395377367285</v>
      </c>
      <c r="DA123" s="2">
        <f>4652.06737326817*(1/14151.6638359215)</f>
        <v>0.32872935841365297</v>
      </c>
      <c r="DB123" s="2">
        <f>4542.58868426321*(1/14151.6638359215)</f>
        <v>0.32099325824378688</v>
      </c>
      <c r="DC123" s="2">
        <f>4429.89542253518*(1/14151.6638359215)</f>
        <v>0.31303000649935397</v>
      </c>
      <c r="DD123" s="2">
        <f>4314.47374352151*(1/14151.6638359215)</f>
        <v>0.3048739564156393</v>
      </c>
      <c r="DE123" s="2">
        <f>4196.45099435554*(1/14151.6638359215)</f>
        <v>0.29653410673193004</v>
      </c>
      <c r="DF123" s="2">
        <f>4072.72163945015*(1/14151.6638359215)</f>
        <v>0.28779101077233515</v>
      </c>
      <c r="DG123" s="2">
        <f>3943.23757915343*(1/14151.6638359215)</f>
        <v>0.27864126966782649</v>
      </c>
      <c r="DH123" s="2">
        <f>3808.97960651652*(1/14151.6638359215)</f>
        <v>0.26915418926558288</v>
      </c>
      <c r="DI123" s="2">
        <f>3670.92851459061*(1/14151.6638359215)</f>
        <v>0.25939907541278689</v>
      </c>
      <c r="DJ123" s="2">
        <f>3530.06509642683*(1/14151.6638359215)</f>
        <v>0.24944523395661669</v>
      </c>
      <c r="DK123" s="2">
        <f>3387.37014507635*(1/14151.6638359215)</f>
        <v>0.23936197074425336</v>
      </c>
      <c r="DL123" s="2">
        <f>3243.82445359032*(1/14151.6638359215)</f>
        <v>0.2292185916228765</v>
      </c>
      <c r="DM123" s="2">
        <f>3100.40881501986*(1/14151.6638359215)</f>
        <v>0.21908440243966365</v>
      </c>
      <c r="DN123" s="2">
        <f>2958.10402241618*(1/14151.6638359215)</f>
        <v>0.20902870904179871</v>
      </c>
      <c r="DO123" s="2">
        <f>2817.89086883042*(1/14151.6638359215)</f>
        <v>0.19912081727646058</v>
      </c>
      <c r="DP123" s="2">
        <f>2677.96194502627*(1/14151.6638359215)</f>
        <v>0.18923301005983031</v>
      </c>
      <c r="DQ123" s="2">
        <f>2534.04719015559*(1/14151.6638359215)</f>
        <v>0.1790635517869891</v>
      </c>
      <c r="DR123" s="2">
        <f>2387.45019093797*(1/14151.6638359215)</f>
        <v>0.16870455789642552</v>
      </c>
      <c r="DS123" s="2">
        <f>2239.62579590736*(1/14151.6638359215)</f>
        <v>0.15825883245067379</v>
      </c>
      <c r="DT123" s="2">
        <f>2092.02885359768*(1/14151.6638359215)</f>
        <v>0.14782917951226585</v>
      </c>
      <c r="DU123" s="2">
        <f>1946.11421254291*(1/14151.6638359215)</f>
        <v>0.13751840314373798</v>
      </c>
      <c r="DV123" s="2">
        <f>1803.33672127697*(1/14151.6638359215)</f>
        <v>0.12742930740762215</v>
      </c>
      <c r="DW123" s="2">
        <f>1665.1512283338*(1/14151.6638359215)</f>
        <v>0.11766469636645181</v>
      </c>
      <c r="DX123" s="2">
        <f>1533.01258224734*(1/14151.6638359215)</f>
        <v>0.10832737408276039</v>
      </c>
      <c r="DY123" s="2">
        <f>1408.37563155151*(1/14151.6638359215)</f>
        <v>9.9520144619079848E-2</v>
      </c>
      <c r="DZ123" s="2">
        <f>1292.52835410131*(1/14151.6638359215)</f>
        <v>9.1334020443621267E-2</v>
      </c>
      <c r="EA123" s="2">
        <f>1182.88287556122*(1/14151.6638359215)</f>
        <v>8.3586134413303453E-2</v>
      </c>
      <c r="EB123" s="2">
        <f>1078.09915195185*(1/14151.6638359215)</f>
        <v>7.6181794907768066E-2</v>
      </c>
      <c r="EC123" s="2">
        <f>978.205210949282*(1/14151.6638359215)</f>
        <v>6.9122982448627759E-2</v>
      </c>
      <c r="ED123" s="2">
        <f>883.229080229573*(1/14151.6638359215)</f>
        <v>6.2411677557493411E-2</v>
      </c>
      <c r="EE123" s="2">
        <f>793.19878746878*(1/14151.6638359215)</f>
        <v>5.6049860755975914E-2</v>
      </c>
      <c r="EF123" s="2">
        <f>708.142360343006*(1/14151.6638359215)</f>
        <v>5.0039512565689385E-2</v>
      </c>
      <c r="EG123" s="2">
        <f>628.087826528303*(1/14151.6638359215)</f>
        <v>4.4382613508244378E-2</v>
      </c>
      <c r="EH123" s="2">
        <f>553.063213700741*(1/14151.6638359215)</f>
        <v>3.908114410525268E-2</v>
      </c>
      <c r="EI123" s="2">
        <f>483.096549536389*(1/14151.6638359215)</f>
        <v>3.4137084878326014E-2</v>
      </c>
      <c r="EJ123" s="2">
        <f>418.215861711304*(1/14151.6638359215)</f>
        <v>2.9552416349075288E-2</v>
      </c>
      <c r="EK123" s="2">
        <f>358.880084617567*(1/14151.6638359215)</f>
        <v>2.5359568230176106E-2</v>
      </c>
      <c r="EL123" s="2">
        <f>306.129294490197*(1/14151.6638359215)</f>
        <v>2.1632035500528345E-2</v>
      </c>
      <c r="EM123" s="2">
        <f>259.476656660919*(1/14151.6638359215)</f>
        <v>1.8335416928310814E-2</v>
      </c>
      <c r="EN123" s="2">
        <f>218.336314542388*(1/14151.6638359215)</f>
        <v>1.5428314088989299E-2</v>
      </c>
      <c r="EO123" s="2">
        <f>182.122411547259*(1/14151.6638359215)</f>
        <v>1.286932855802958E-2</v>
      </c>
      <c r="EP123" s="2">
        <f>150.249091088187*(1/14151.6638359215)</f>
        <v>1.0617061910897445E-2</v>
      </c>
      <c r="EQ123" s="2">
        <f>122.130496577821*(1/14151.6638359215)</f>
        <v>8.6301157230582529E-3</v>
      </c>
      <c r="ER123" s="2">
        <f>97.1807714288271*(1/14151.6638359215)</f>
        <v>6.8670915699785683E-3</v>
      </c>
      <c r="ES123" s="2">
        <f>74.8140590538539*(1/14151.6638359215)</f>
        <v>5.2865910271237236E-3</v>
      </c>
      <c r="ET123" s="2">
        <f>54.4445028655565*(1/14151.6638359215)</f>
        <v>3.8472156699595099E-3</v>
      </c>
      <c r="EU123" s="2">
        <f>35.5232826436911*(1/14151.6638359215)</f>
        <v>2.5101841773206568E-3</v>
      </c>
      <c r="EV123" s="2">
        <f>20.3160767109546*(1/14151.6638359215)</f>
        <v>1.4355963331594854E-3</v>
      </c>
      <c r="EW123" s="2">
        <f>9.897537906263*(1/14151.6638359215)</f>
        <v>6.9939040532745328E-4</v>
      </c>
      <c r="EX123" s="2">
        <f>3.50497184017562*(1/14151.6638359215)</f>
        <v>2.4767206745533824E-4</v>
      </c>
      <c r="EY123" s="2">
        <f>0.375684123255124*(1/14151.6638359215)</f>
        <v>2.6546993174153571E-5</v>
      </c>
      <c r="EZ123" s="2">
        <f>-0.253019633935822*(1/14151.6638359215)</f>
        <v>-1.787914388508695E-5</v>
      </c>
      <c r="FA123" s="2">
        <f>0.856166179165464*(1/14151.6638359215)</f>
        <v>6.0499329908631478E-5</v>
      </c>
      <c r="FB123" s="2">
        <f>2.94054717312208*(1/14151.6638359215)</f>
        <v>2.0778808818635306E-4</v>
      </c>
      <c r="FC123" s="2">
        <f>5.23742895849583*(1/14151.6638359215)</f>
        <v>3.700928045790306E-4</v>
      </c>
      <c r="FD123" s="2">
        <f>6.98411714584968*(1/14151.6638359215)</f>
        <v>4.9351915271769894E-4</v>
      </c>
      <c r="FE123" s="2">
        <f>7.4179173457463*(1/14151.6638359215)</f>
        <v>5.2417280623337211E-4</v>
      </c>
      <c r="FF123" s="2">
        <f>6.22358502661393*(1/14151.6638359215)</f>
        <v>4.3977761899745375E-4</v>
      </c>
      <c r="FG123" s="2">
        <f>5.05896256653448*(1/14151.6638359215)</f>
        <v>3.5748182158575563E-4</v>
      </c>
      <c r="FH123" s="2">
        <f>4.17039876365923*(1/14151.6638359215)</f>
        <v>2.9469317615313961E-4</v>
      </c>
      <c r="FI123" s="2">
        <f>3.55789361798794*(1/14151.6638359215)</f>
        <v>2.514116826995887E-4</v>
      </c>
      <c r="FJ123" s="2">
        <f>3.22144712952061*(1/14151.6638359215)</f>
        <v>2.2763734122510285E-4</v>
      </c>
      <c r="FK123" s="2">
        <f>3.16105929825723*(1/14151.6638359215)</f>
        <v>2.2337015172968136E-4</v>
      </c>
      <c r="FL123" s="2">
        <f>3.37673012419781*(1/14151.6638359215)</f>
        <v>2.3861011421332502E-4</v>
      </c>
      <c r="FM123" s="2">
        <f>3.86845960734247*(1/14151.6638359215)</f>
        <v>2.7335722867604225E-4</v>
      </c>
      <c r="FN123" s="2">
        <f>4.63624774769102*(1/14151.6638359215)</f>
        <v>3.2761149511781958E-4</v>
      </c>
      <c r="FO123" s="2">
        <f>5.68009454524354*(1/14151.6638359215)</f>
        <v>4.0137291353866268E-4</v>
      </c>
      <c r="FP123" s="2">
        <f t="shared" si="19"/>
        <v>4.9464148393856954E-4</v>
      </c>
      <c r="FQ123" s="2"/>
    </row>
    <row r="124" spans="2:173">
      <c r="B124" s="2">
        <v>10.445562130177516</v>
      </c>
      <c r="C124" s="2">
        <f t="shared" si="20"/>
        <v>4.9464148393856954E-4</v>
      </c>
      <c r="D124" s="2">
        <f>7.15209601931063*(1/14151.6638359215)</f>
        <v>5.0538905546613513E-4</v>
      </c>
      <c r="E124" s="2">
        <f>7.27238110647786*(1/14151.6638359215)</f>
        <v>5.1388876889643209E-4</v>
      </c>
      <c r="F124" s="2">
        <f>7.3608552615017*(1/14151.6638359215)</f>
        <v>5.2014062422946119E-4</v>
      </c>
      <c r="G124" s="2">
        <f>7.41751848438213*(1/14151.6638359215)</f>
        <v>5.2414462146522091E-4</v>
      </c>
      <c r="H124" s="2">
        <f>7.44237077511916*(1/14151.6638359215)</f>
        <v>5.2590076060371189E-4</v>
      </c>
      <c r="I124" s="2">
        <f>7.43541213371279*(1/14151.6638359215)</f>
        <v>5.2540904164493426E-4</v>
      </c>
      <c r="J124" s="2">
        <f>7.39664256016302*(1/14151.6638359215)</f>
        <v>5.2266946458888811E-4</v>
      </c>
      <c r="K124" s="2">
        <f>7.32606205446985*(1/14151.6638359215)</f>
        <v>5.1768202943557322E-4</v>
      </c>
      <c r="L124" s="2">
        <f>7.22367061663327*(1/14151.6638359215)</f>
        <v>5.1044673618498896E-4</v>
      </c>
      <c r="M124" s="2">
        <f>7.0894682466533*(1/14151.6638359215)</f>
        <v>5.0096358483713672E-4</v>
      </c>
      <c r="N124" s="2">
        <f>6.77969026213475*(1/14151.6638359215)</f>
        <v>4.7907372170088606E-4</v>
      </c>
      <c r="O124" s="2">
        <f>5.32684997454794*(1/14151.6638359215)</f>
        <v>3.7641156801836064E-4</v>
      </c>
      <c r="P124" s="2">
        <f>2.91491836446361*(1/14151.6638359215)</f>
        <v>2.0597707790829547E-4</v>
      </c>
      <c r="Q124" s="2">
        <f>-0.0110099807482931*(1/14151.6638359215)</f>
        <v>-7.7799903078154023E-7</v>
      </c>
      <c r="R124" s="2">
        <f>-3.0058404737183*(1/14151.6638359215)</f>
        <v>-2.1240191320037613E-4</v>
      </c>
      <c r="S124" s="2">
        <f>-5.62447852707526*(1/14151.6638359215)</f>
        <v>-3.9744291500187518E-4</v>
      </c>
      <c r="T124" s="2">
        <f>-7.42182955344975*(1/14151.6638359215)</f>
        <v>-5.2444925483678792E-4</v>
      </c>
      <c r="U124" s="2">
        <f>-7.9527989654718*(1/14151.6638359215)</f>
        <v>-5.6196918310658453E-4</v>
      </c>
      <c r="V124" s="2">
        <f>-6.77229217577141*(1/14151.6638359215)</f>
        <v>-4.7855095021273348E-4</v>
      </c>
      <c r="W124" s="2">
        <f>-3.43521459697861*(1/14151.6638359215)</f>
        <v>-2.4274280655670497E-4</v>
      </c>
      <c r="X124" s="2">
        <f>2.50352835827796*(1/14151.6638359215)</f>
        <v>1.7690699746012871E-4</v>
      </c>
      <c r="Y124" s="2">
        <f>8.65114135637664*(1/14151.6638359215)</f>
        <v>6.1131619975435291E-4</v>
      </c>
      <c r="Z124" s="2">
        <f>11.7117031265605*(1/14151.6638359215)</f>
        <v>8.275848877099815E-4</v>
      </c>
      <c r="AA124" s="2">
        <f>13.3940682251694*(1/14151.6638359215)</f>
        <v>9.4646596898174777E-4</v>
      </c>
      <c r="AB124" s="2">
        <f>15.4684581807886*(1/14151.6638359215)</f>
        <v>1.0930487298267113E-3</v>
      </c>
      <c r="AC124" s="2">
        <f>19.7050945220036*(1/14151.6638359215)</f>
        <v>1.3924224565019482E-3</v>
      </c>
      <c r="AD124" s="2">
        <f>27.8741987774021*(1/14151.6638359215)</f>
        <v>1.9696764352646907E-3</v>
      </c>
      <c r="AE124" s="2">
        <f>41.7459924755667*(1/14151.6638359215)</f>
        <v>2.9498999523718105E-3</v>
      </c>
      <c r="AF124" s="2">
        <f>63.0906971450838*(1/14151.6638359215)</f>
        <v>4.4581822940804464E-3</v>
      </c>
      <c r="AG124" s="2">
        <f>93.6785343145393*(1/14151.6638359215)</f>
        <v>6.6196127466477041E-3</v>
      </c>
      <c r="AH124" s="2">
        <f>135.279725512518*(1/14151.6638359215)</f>
        <v>9.5592805963306115E-3</v>
      </c>
      <c r="AI124" s="2">
        <f>189.448124522498*(1/14151.6638359215)</f>
        <v>1.3386985920455332E-2</v>
      </c>
      <c r="AJ124" s="2">
        <f>254.111207620484*(1/14151.6638359215)</f>
        <v>1.7956277831831166E-2</v>
      </c>
      <c r="AK124" s="2">
        <f>327.825770390725*(1/14151.6638359215)</f>
        <v>2.3165175077053284E-2</v>
      </c>
      <c r="AL124" s="2">
        <f>410.010590895345*(1/14151.6638359215)</f>
        <v>2.8972606730143315E-2</v>
      </c>
      <c r="AM124" s="2">
        <f>500.084447196473*(1/14151.6638359215)</f>
        <v>3.533750186512323E-2</v>
      </c>
      <c r="AN124" s="2">
        <f>597.466117356234*(1/14151.6638359215)</f>
        <v>4.2218789556014734E-2</v>
      </c>
      <c r="AO124" s="2">
        <f>701.574379436755*(1/14151.6638359215)</f>
        <v>4.9575398876839649E-2</v>
      </c>
      <c r="AP124" s="2">
        <f>811.828011500185*(1/14151.6638359215)</f>
        <v>5.7366258901621371E-2</v>
      </c>
      <c r="AQ124" s="2">
        <f>927.645791608607*(1/14151.6638359215)</f>
        <v>6.5550298704378632E-2</v>
      </c>
      <c r="AR124" s="2">
        <f>1048.44649782417*(1/14151.6638359215)</f>
        <v>7.4086447359134805E-2</v>
      </c>
      <c r="AS124" s="2">
        <f>1173.648908209*(1/14151.6638359215)</f>
        <v>8.2933633939911683E-2</v>
      </c>
      <c r="AT124" s="2">
        <f>1305.04863316269*(1/14151.6638359215)</f>
        <v>9.2218741788513553E-2</v>
      </c>
      <c r="AU124" s="2">
        <f>1447.19438590571*(1/14151.6638359215)</f>
        <v>0.10226319694170961</v>
      </c>
      <c r="AV124" s="2">
        <f>1598.4504768348*(1/14151.6638359215)</f>
        <v>0.11295141655198279</v>
      </c>
      <c r="AW124" s="2">
        <f>1756.90324428434*(1/14151.6638359215)</f>
        <v>0.12414817541275615</v>
      </c>
      <c r="AX124" s="2">
        <f>1920.6390265887*(1/14151.6638359215)</f>
        <v>0.13571824831745205</v>
      </c>
      <c r="AY124" s="2">
        <f>2087.74416208222*(1/14151.6638359215)</f>
        <v>0.14752641005949069</v>
      </c>
      <c r="AZ124" s="2">
        <f>2256.30498909926*(1/14151.6638359215)</f>
        <v>0.15943743543229372</v>
      </c>
      <c r="BA124" s="2">
        <f>2424.40784597422*(1/14151.6638359215)</f>
        <v>0.17131609922928559</v>
      </c>
      <c r="BB124" s="2">
        <f>2590.13907104138*(1/14151.6638359215)</f>
        <v>0.18302717624388232</v>
      </c>
      <c r="BC124" s="2">
        <f>2751.58500263513*(1/14151.6638359215)</f>
        <v>0.19443544126950765</v>
      </c>
      <c r="BD124" s="2">
        <f>2907.03770304442*(1/14151.6638359215)</f>
        <v>0.20542020618560894</v>
      </c>
      <c r="BE124" s="2">
        <f>3062.33857639297*(1/14151.6638359215)</f>
        <v>0.21639424253562076</v>
      </c>
      <c r="BF124" s="2">
        <f>3219.8929993081*(1/14151.6638359215)</f>
        <v>0.22752752161445289</v>
      </c>
      <c r="BG124" s="2">
        <f>3378.29968420648*(1/14151.6638359215)</f>
        <v>0.23872102414072774</v>
      </c>
      <c r="BH124" s="2">
        <f>3536.15734350468*(1/14151.6638359215)</f>
        <v>0.24987573083306069</v>
      </c>
      <c r="BI124" s="2">
        <f>3692.06468961938*(1/14151.6638359215)</f>
        <v>0.26089262241007488</v>
      </c>
      <c r="BJ124" s="2">
        <f>3844.6204349672*(1/14151.6638359215)</f>
        <v>0.27167267959038921</v>
      </c>
      <c r="BK124" s="2">
        <f>3992.42329196478*(1/14151.6638359215)</f>
        <v>0.28211688309262395</v>
      </c>
      <c r="BL124" s="2">
        <f>4134.07197302875*(1/14151.6638359215)</f>
        <v>0.2921262136353987</v>
      </c>
      <c r="BM124" s="2">
        <f>4268.16519057578*(1/14151.6638359215)</f>
        <v>0.3016016519373359</v>
      </c>
      <c r="BN124" s="2">
        <f>4393.30165702244*(1/14151.6638359215)</f>
        <v>0.31044417871705088</v>
      </c>
      <c r="BO124" s="2">
        <f>4509.21976444115*(1/14151.6638359215)</f>
        <v>0.31863530795547107</v>
      </c>
      <c r="BP124" s="2">
        <f>4619.33915078453*(1/14151.6638359215)</f>
        <v>0.32641668176565591</v>
      </c>
      <c r="BQ124" s="2">
        <f>4723.85756321272*(1/14151.6638359215)</f>
        <v>0.33380227356885361</v>
      </c>
      <c r="BR124" s="2">
        <f>4822.59099421147*(1/14151.6638359215)</f>
        <v>0.34077908082936331</v>
      </c>
      <c r="BS124" s="2">
        <f>4915.35543626642*(1/14151.6638359215)</f>
        <v>0.34733410101147671</v>
      </c>
      <c r="BT124" s="2">
        <f>5001.9668818633*(1/14151.6638359215)</f>
        <v>0.35345433157949174</v>
      </c>
      <c r="BU124" s="2">
        <f>5082.24132348782*(1/14151.6638359215)</f>
        <v>0.35912676999770504</v>
      </c>
      <c r="BV124" s="2">
        <f>5155.99475362568*(1/14151.6638359215)</f>
        <v>0.3643384137304122</v>
      </c>
      <c r="BW124" s="2">
        <f>5223.04316476258*(1/14151.6638359215)</f>
        <v>0.36907626024190932</v>
      </c>
      <c r="BX124" s="2">
        <f>5283.20254938422*(1/14151.6638359215)</f>
        <v>0.37332730699649208</v>
      </c>
      <c r="BY124" s="2">
        <f>5336.28825900478*(1/14151.6638359215)</f>
        <v>0.37707850616544147</v>
      </c>
      <c r="BZ124" s="2">
        <f>5382.02026479496*(1/14151.6638359215)</f>
        <v>0.38031007005223316</v>
      </c>
      <c r="CA124" s="2">
        <f>5420.46634677775*(1/14151.6638359215)</f>
        <v>0.38302678820131758</v>
      </c>
      <c r="CB124" s="2">
        <f>5451.9064680134*(1/14151.6638359215)</f>
        <v>0.38524844366177624</v>
      </c>
      <c r="CC124" s="2">
        <f>5476.62059156216*(1/14151.6638359215)</f>
        <v>0.38699481948269054</v>
      </c>
      <c r="CD124" s="2">
        <f>5494.88868048427*(1/14151.6638359215)</f>
        <v>0.38828569871314106</v>
      </c>
      <c r="CE124" s="2">
        <f>5506.99069783996*(1/14151.6638359215)</f>
        <v>0.38914086440220808</v>
      </c>
      <c r="CF124" s="2">
        <f>5513.20660668949*(1/14151.6638359215)</f>
        <v>0.38958009959897361</v>
      </c>
      <c r="CG124" s="2">
        <f>5513.81637009309*(1/14151.6638359215)</f>
        <v>0.38962318735251755</v>
      </c>
      <c r="CH124" s="2">
        <f>5509.09995111101*(1/14151.6638359215)</f>
        <v>0.38928991071192159</v>
      </c>
      <c r="CI124" s="2">
        <f>5499.3373128035*(1/14151.6638359215)</f>
        <v>0.38860005272626696</v>
      </c>
      <c r="CJ124" s="2">
        <f>5484.60020596962*(1/14151.6638359215)</f>
        <v>0.38755868352722816</v>
      </c>
      <c r="CK124" s="2">
        <f>5463.88514151702*(1/14151.6638359215)</f>
        <v>0.38609489349569714</v>
      </c>
      <c r="CL124" s="2">
        <f>5437.17652497053*(1/14151.6638359215)</f>
        <v>0.38420758067819688</v>
      </c>
      <c r="CM124" s="2">
        <f>5404.66317649553*(1/14151.6638359215)</f>
        <v>0.38191008768712742</v>
      </c>
      <c r="CN124" s="2">
        <f>5366.53391625741*(1/14151.6638359215)</f>
        <v>0.37921575713488975</v>
      </c>
      <c r="CO124" s="2">
        <f>5322.97756442155*(1/14151.6638359215)</f>
        <v>0.37613793163388398</v>
      </c>
      <c r="CP124" s="2">
        <f>5274.18294115332*(1/14151.6638359215)</f>
        <v>0.37268995379650965</v>
      </c>
      <c r="CQ124" s="2">
        <f>5220.33886661813*(1/14151.6638359215)</f>
        <v>0.36888516623516887</v>
      </c>
      <c r="CR124" s="2">
        <f>5161.63416098135*(1/14151.6638359215)</f>
        <v>0.36473691156226118</v>
      </c>
      <c r="CS124" s="2">
        <f>5098.25764440837*(1/14151.6638359215)</f>
        <v>0.36025853239018746</v>
      </c>
      <c r="CT124" s="2">
        <f>5030.39813706457*(1/14151.6638359215)</f>
        <v>0.35546337133134781</v>
      </c>
      <c r="CU124" s="2">
        <f>4957.22912305743*(1/14151.6638359215)</f>
        <v>0.35029302423608871</v>
      </c>
      <c r="CV124" s="2">
        <f>4877.84009033285*(1/14151.6638359215)</f>
        <v>0.34468315152818391</v>
      </c>
      <c r="CW124" s="2">
        <f>4792.72086532068*(1/14151.6638359215)</f>
        <v>0.33866836584650944</v>
      </c>
      <c r="CX124" s="2">
        <f>4702.36598609052*(1/14151.6638359215)</f>
        <v>0.33228361276886709</v>
      </c>
      <c r="CY124" s="2">
        <f>4607.26999071197*(1/14151.6638359215)</f>
        <v>0.32556383787305837</v>
      </c>
      <c r="CZ124" s="2">
        <f>4507.92741725465*(1/14151.6638359215)</f>
        <v>0.31854398673688622</v>
      </c>
      <c r="DA124" s="2">
        <f>4404.83280378815*(1/14151.6638359215)</f>
        <v>0.31125900493815151</v>
      </c>
      <c r="DB124" s="2">
        <f>4298.48068838211*(1/14151.6638359215)</f>
        <v>0.30374383805465871</v>
      </c>
      <c r="DC124" s="2">
        <f>4189.36560910614*(1/14151.6638359215)</f>
        <v>0.29603343166421009</v>
      </c>
      <c r="DD124" s="2">
        <f>4077.98210402983*(1/14151.6638359215)</f>
        <v>0.28816273134460646</v>
      </c>
      <c r="DE124" s="2">
        <f>3964.49863844826*(1/14151.6638359215)</f>
        <v>0.28014364137064085</v>
      </c>
      <c r="DF124" s="2">
        <f>3846.11128548124*(1/14151.6638359215)</f>
        <v>0.27177802766333142</v>
      </c>
      <c r="DG124" s="2">
        <f>3722.72683430419*(1/14151.6638359215)</f>
        <v>0.26305930365973684</v>
      </c>
      <c r="DH124" s="2">
        <f>3595.1799772601*(1/14151.6638359215)</f>
        <v>0.25404645128259551</v>
      </c>
      <c r="DI124" s="2">
        <f>3464.30540669205*(1/14151.6638359215)</f>
        <v>0.24479845245465218</v>
      </c>
      <c r="DJ124" s="2">
        <f>3330.93781494302*(1/14151.6638359215)</f>
        <v>0.23537428909864452</v>
      </c>
      <c r="DK124" s="2">
        <f>3195.91189435605*(1/14151.6638359215)</f>
        <v>0.2258329431373145</v>
      </c>
      <c r="DL124" s="2">
        <f>3060.06233727414*(1/14151.6638359215)</f>
        <v>0.21623339649340118</v>
      </c>
      <c r="DM124" s="2">
        <f>2924.2238360403*(1/14151.6638359215)</f>
        <v>0.20663463108964431</v>
      </c>
      <c r="DN124" s="2">
        <f>2789.23108299759*(1/14151.6638359215)</f>
        <v>0.19709562884878734</v>
      </c>
      <c r="DO124" s="2">
        <f>2655.91877048901*(1/14151.6638359215)</f>
        <v>0.18767537169356929</v>
      </c>
      <c r="DP124" s="2">
        <f>2522.52788609238*(1/14151.6638359215)</f>
        <v>0.17824956240759396</v>
      </c>
      <c r="DQ124" s="2">
        <f>2385.10070984671*(1/14151.6638359215)</f>
        <v>0.16853853635164459</v>
      </c>
      <c r="DR124" s="2">
        <f>2244.93953795596*(1/14151.6638359215)</f>
        <v>0.15863431777241468</v>
      </c>
      <c r="DS124" s="2">
        <f>2103.48836303213*(1/14151.6638359215)</f>
        <v>0.14863894361967506</v>
      </c>
      <c r="DT124" s="2">
        <f>1962.19117768718*(1/14151.6638359215)</f>
        <v>0.13865445084319372</v>
      </c>
      <c r="DU124" s="2">
        <f>1822.49197453317*(1/14151.6638359215)</f>
        <v>0.12878287639274583</v>
      </c>
      <c r="DV124" s="2">
        <f>1685.83474618207*(1/14151.6638359215)</f>
        <v>0.11912625721810012</v>
      </c>
      <c r="DW124" s="2">
        <f>1553.66348524588*(1/14151.6638359215)</f>
        <v>0.10978663026902744</v>
      </c>
      <c r="DX124" s="2">
        <f>1427.42218433659*(1/14151.6638359215)</f>
        <v>0.10086603249529788</v>
      </c>
      <c r="DY124" s="2">
        <f>1308.55483606618*(1/14151.6638359215)</f>
        <v>9.2466500846680996E-2</v>
      </c>
      <c r="DZ124" s="2">
        <f>1198.34084928726*(1/14151.6638359215)</f>
        <v>8.4678442279379429E-2</v>
      </c>
      <c r="EA124" s="2">
        <f>1094.23205312099*(1/14151.6638359215)</f>
        <v>7.7321795218416312E-2</v>
      </c>
      <c r="EB124" s="2">
        <f>994.898990018208*(1/14151.6638359215)</f>
        <v>7.030261611308436E-2</v>
      </c>
      <c r="EC124" s="2">
        <f>900.359780782585*(1/14151.6638359215)</f>
        <v>6.3622185434986142E-2</v>
      </c>
      <c r="ED124" s="2">
        <f>810.632546217792*(1/14151.6638359215)</f>
        <v>5.7281783655724242E-2</v>
      </c>
      <c r="EE124" s="2">
        <f>725.73540712748*(1/14151.6638359215)</f>
        <v>5.1282691246899804E-2</v>
      </c>
      <c r="EF124" s="2">
        <f>645.686484315353*(1/14151.6638359215)</f>
        <v>4.5626188680117731E-2</v>
      </c>
      <c r="EG124" s="2">
        <f>570.503898585061*(1/14151.6638359215)</f>
        <v>4.0313556426979112E-2</v>
      </c>
      <c r="EH124" s="2">
        <f>500.205770740274*(1/14151.6638359215)</f>
        <v>3.5346074959086433E-2</v>
      </c>
      <c r="EI124" s="2">
        <f>434.810221584662*(1/14151.6638359215)</f>
        <v>3.0725024748042205E-2</v>
      </c>
      <c r="EJ124" s="2">
        <f>374.335371921881*(1/14151.6638359215)</f>
        <v>2.6451686265447936E-2</v>
      </c>
      <c r="EK124" s="2">
        <f>319.269834010972*(1/14151.6638359215)</f>
        <v>2.2560586353143994E-2</v>
      </c>
      <c r="EL124" s="2">
        <f>270.749420482147*(1/14151.6638359215)</f>
        <v>1.913198501754242E-2</v>
      </c>
      <c r="EM124" s="2">
        <f>228.256359129636*(1/14151.6638359215)</f>
        <v>1.6129294885471171E-2</v>
      </c>
      <c r="EN124" s="2">
        <f>191.165193885306*(1/14151.6638359215)</f>
        <v>1.3508319311547445E-2</v>
      </c>
      <c r="EO124" s="2">
        <f>158.850468681029*(1/14151.6638359215)</f>
        <v>1.122486165038878E-2</v>
      </c>
      <c r="EP124" s="2">
        <f>130.686727448674*(1/14151.6638359215)</f>
        <v>9.2347252566124995E-3</v>
      </c>
      <c r="EQ124" s="2">
        <f>106.048514120106*(1/14151.6638359215)</f>
        <v>7.4937134848356542E-3</v>
      </c>
      <c r="ER124" s="2">
        <f>84.3103726272044*(1/14151.6638359215)</f>
        <v>5.9576296896763055E-3</v>
      </c>
      <c r="ES124" s="2">
        <f>64.8468469018336*(1/14151.6638359215)</f>
        <v>4.5822772257514575E-3</v>
      </c>
      <c r="ET124" s="2">
        <f>47.0324808758633*(1/14151.6638359215)</f>
        <v>3.323459447678488E-3</v>
      </c>
      <c r="EU124" s="2">
        <f>30.2781536675662*(1/14151.6638359215)</f>
        <v>2.1395472658635698E-3</v>
      </c>
      <c r="EV124" s="2">
        <f>16.7775996256697*(1/14151.6638359215)</f>
        <v>1.1855566822526358E-3</v>
      </c>
      <c r="EW124" s="2">
        <f>7.62393951870716*(1/14151.6638359215)</f>
        <v>5.387309652844591E-4</v>
      </c>
      <c r="EX124" s="2">
        <f>2.1208236603872*(1/14151.6638359215)</f>
        <v>1.4986390893513622E-4</v>
      </c>
      <c r="EY124" s="2">
        <f>-0.428097635578619*(1/14151.6638359215)</f>
        <v>-3.0250692819028726E-5</v>
      </c>
      <c r="EZ124" s="2">
        <f>-0.719174055478734*(1/14151.6638359215)</f>
        <v>-5.0819046001731452E-5</v>
      </c>
      <c r="FA124" s="2">
        <f>0.55124471439843*(1/14151.6638359215)</f>
        <v>3.8952643363333198E-5</v>
      </c>
      <c r="FB124" s="2">
        <f>2.68680898776487*(1/14151.6638359215)</f>
        <v>1.8985816925250017E-4</v>
      </c>
      <c r="FC124" s="2">
        <f>4.99116907833127*(1/14151.6638359215)</f>
        <v>3.5269132564201165E-4</v>
      </c>
      <c r="FD124" s="2">
        <f>6.76797529980952*(1/14151.6638359215)</f>
        <v>4.782459065081952E-4</v>
      </c>
      <c r="FE124" s="2">
        <f>7.32087796591117*(1/14151.6638359215)</f>
        <v>5.1731570582735399E-4</v>
      </c>
      <c r="FF124" s="2">
        <f>6.3620548064002*(1/14151.6638359215)</f>
        <v>4.4956231861947193E-4</v>
      </c>
      <c r="FG124" s="2">
        <f>5.40513701600022*(1/14151.6638359215)</f>
        <v>3.8194357064080575E-4</v>
      </c>
      <c r="FH124" s="2">
        <f>4.67504418332483*(1/14151.6638359215)</f>
        <v>3.3035297033116742E-4</v>
      </c>
      <c r="FI124" s="2">
        <f>4.17177630837383*(1/14151.6638359215)</f>
        <v>2.9479051769054268E-4</v>
      </c>
      <c r="FJ124" s="2">
        <f>3.89533339114722*(1/14151.6638359215)</f>
        <v>2.7525621271893159E-4</v>
      </c>
      <c r="FK124" s="2">
        <f>3.845715431645*(1/14151.6638359215)</f>
        <v>2.7175005541633419E-4</v>
      </c>
      <c r="FL124" s="2">
        <f>4.02292242986718*(1/14151.6638359215)</f>
        <v>2.8427204578275114E-4</v>
      </c>
      <c r="FM124" s="2">
        <f>4.42695438581384*(1/14151.6638359215)</f>
        <v>3.1282218381818808E-4</v>
      </c>
      <c r="FN124" s="2">
        <f>5.05781129948483*(1/14151.6638359215)</f>
        <v>3.5740046952263444E-4</v>
      </c>
      <c r="FO124" s="2">
        <f>5.91549317088022*(1/14151.6638359215)</f>
        <v>4.1800690289609514E-4</v>
      </c>
      <c r="FP124" s="2">
        <f t="shared" si="19"/>
        <v>4.9464148393856954E-4</v>
      </c>
      <c r="FQ124" s="2"/>
    </row>
    <row r="125" spans="2:173">
      <c r="B125" s="2">
        <v>10.455029585798817</v>
      </c>
      <c r="C125" s="2">
        <f t="shared" si="20"/>
        <v>4.9464148393856954E-4</v>
      </c>
      <c r="D125" s="2">
        <f>7.13827747814389*(1/14151.6638359215)</f>
        <v>5.044125949363377E-4</v>
      </c>
      <c r="E125" s="2">
        <f>7.24763417654526*(1/14151.6638359215)</f>
        <v>5.1214007487574852E-4</v>
      </c>
      <c r="F125" s="2">
        <f>7.32807009520414*(1/14151.6638359215)</f>
        <v>5.1782392375680439E-4</v>
      </c>
      <c r="G125" s="2">
        <f>7.37958523412049*(1/14151.6638359215)</f>
        <v>5.2146414157950216E-4</v>
      </c>
      <c r="H125" s="2">
        <f>7.40217959329432*(1/14151.6638359215)</f>
        <v>5.2306072834384281E-4</v>
      </c>
      <c r="I125" s="2">
        <f>7.39585317272565*(1/14151.6638359215)</f>
        <v>5.2261368404982753E-4</v>
      </c>
      <c r="J125" s="2">
        <f>7.36060597241446*(1/14151.6638359215)</f>
        <v>5.2012300869745513E-4</v>
      </c>
      <c r="K125" s="2">
        <f>7.29643799236076*(1/14151.6638359215)</f>
        <v>5.1558870228672626E-4</v>
      </c>
      <c r="L125" s="2">
        <f>7.20334923256453*(1/14151.6638359215)</f>
        <v>5.0901076481763929E-4</v>
      </c>
      <c r="M125" s="2">
        <f>7.08133969302581*(1/14151.6638359215)</f>
        <v>5.0038919629019727E-4</v>
      </c>
      <c r="N125" s="2">
        <f>6.81284949163236*(1/14151.6638359215)</f>
        <v>4.8141685462730851E-4</v>
      </c>
      <c r="O125" s="2">
        <f>5.60674120051421*(1/14151.6638359215)</f>
        <v>3.9618954106883798E-4</v>
      </c>
      <c r="P125" s="2">
        <f>3.61345237100617*(1/14151.6638359215)</f>
        <v>2.553376347051192E-4</v>
      </c>
      <c r="Q125" s="2">
        <f>1.19694768725898*(1/14151.6638359215)</f>
        <v>8.4579997174660096E-5</v>
      </c>
      <c r="R125" s="2">
        <f>-1.27880816657708*(1/14151.6638359215)</f>
        <v>-9.0364509884064052E-5</v>
      </c>
      <c r="S125" s="2">
        <f>-3.44985050635028*(1/14151.6638359215)</f>
        <v>-2.4377702483247544E-4</v>
      </c>
      <c r="T125" s="2">
        <f>-4.95221464791036*(1/14151.6638359215)</f>
        <v>-3.4993868603210016E-4</v>
      </c>
      <c r="U125" s="2">
        <f>-5.42193590710658*(1/14151.6638359215)</f>
        <v>-3.8313063184443037E-4</v>
      </c>
      <c r="V125" s="2">
        <f>-4.49504959978819*(1/14151.6638359215)</f>
        <v>-3.176340006309576E-4</v>
      </c>
      <c r="W125" s="2">
        <f>-1.80759104180446*(1/14151.6638359215)</f>
        <v>-1.2772993075317471E-4</v>
      </c>
      <c r="X125" s="2">
        <f>3.00440445099645*(1/14151.6638359215)</f>
        <v>2.1230043942750392E-4</v>
      </c>
      <c r="Y125" s="2">
        <f>7.71900114337543*(1/14151.6638359215)</f>
        <v>5.4544831144039108E-4</v>
      </c>
      <c r="Z125" s="2">
        <f>9.34449342223485*(1/14151.6638359215)</f>
        <v>6.603105847183498E-4</v>
      </c>
      <c r="AA125" s="2">
        <f>9.48688652192294*(1/14151.6638359215)</f>
        <v>6.7037251816582548E-4</v>
      </c>
      <c r="AB125" s="2">
        <f>9.80833987021265*(1/14151.6638359215)</f>
        <v>6.9308739833940313E-4</v>
      </c>
      <c r="AC125" s="2">
        <f>11.9710128948769*(1/14151.6638359215)</f>
        <v>8.4590851179566588E-4</v>
      </c>
      <c r="AD125" s="2">
        <f>17.6370650236902*(1/14151.6638359215)</f>
        <v>1.246289145091309E-3</v>
      </c>
      <c r="AE125" s="2">
        <f>28.4686556844235*(1/14151.6638359215)</f>
        <v>2.0116825847827763E-3</v>
      </c>
      <c r="AF125" s="2">
        <f>46.1279443048506*(1/14151.6638359215)</f>
        <v>3.2595421174267127E-3</v>
      </c>
      <c r="AG125" s="2">
        <f>72.2770903127445*(1/14151.6638359215)</f>
        <v>5.1073210295797073E-3</v>
      </c>
      <c r="AH125" s="2">
        <f>108.578253135878*(1/14151.6638359215)</f>
        <v>7.6724726077983339E-3</v>
      </c>
      <c r="AI125" s="2">
        <f>156.445036924969*(1/14151.6638359215)</f>
        <v>1.1054886459912996E-2</v>
      </c>
      <c r="AJ125" s="2">
        <f>213.344967436857*(1/14151.6638359215)</f>
        <v>1.5075610183398962E-2</v>
      </c>
      <c r="AK125" s="2">
        <f>277.953897359288*(1/14151.6638359215)</f>
        <v>1.9641075465186723E-2</v>
      </c>
      <c r="AL125" s="2">
        <f>349.99819278454*(1/14151.6638359215)</f>
        <v>2.4731946493537486E-2</v>
      </c>
      <c r="AM125" s="2">
        <f>429.204219804889*(1/14151.6638359215)</f>
        <v>3.0328887456712326E-2</v>
      </c>
      <c r="AN125" s="2">
        <f>515.298344512615*(1/14151.6638359215)</f>
        <v>3.6412562542972593E-2</v>
      </c>
      <c r="AO125" s="2">
        <f>608.006932999992*(1/14151.6638359215)</f>
        <v>4.2963635940579212E-2</v>
      </c>
      <c r="AP125" s="2">
        <f>707.056351359318*(1/14151.6638359215)</f>
        <v>4.9962771837794809E-2</v>
      </c>
      <c r="AQ125" s="2">
        <f>812.172965682833*(1/14151.6638359215)</f>
        <v>5.7390634422877923E-2</v>
      </c>
      <c r="AR125" s="2">
        <f>923.083142062833*(1/14151.6638359215)</f>
        <v>6.5227887884091021E-2</v>
      </c>
      <c r="AS125" s="2">
        <f>1039.51324659159*(1/14151.6638359215)</f>
        <v>7.345519640969489E-2</v>
      </c>
      <c r="AT125" s="2">
        <f>1163.2265809077*(1/14151.6638359215)</f>
        <v>8.2197160305281902E-2</v>
      </c>
      <c r="AU125" s="2">
        <f>1298.09918262272*(1/14151.6638359215)</f>
        <v>9.1727672284563772E-2</v>
      </c>
      <c r="AV125" s="2">
        <f>1442.47552145466*(1/14151.6638359215)</f>
        <v>0.10192974749677071</v>
      </c>
      <c r="AW125" s="2">
        <f>1594.45681229142*(1/14151.6638359215)</f>
        <v>0.11266921195825561</v>
      </c>
      <c r="AX125" s="2">
        <f>1752.14427002087*(1/14151.6638359215)</f>
        <v>0.12381189168536925</v>
      </c>
      <c r="AY125" s="2">
        <f>1913.63910953087*(1/14151.6638359215)</f>
        <v>0.13522361269446176</v>
      </c>
      <c r="AZ125" s="2">
        <f>2077.04254570929*(1/14151.6638359215)</f>
        <v>0.14677020100188393</v>
      </c>
      <c r="BA125" s="2">
        <f>2240.45579344402*(1/14151.6638359215)</f>
        <v>0.1583174826239879</v>
      </c>
      <c r="BB125" s="2">
        <f>2401.98006762288*(1/14151.6638359215)</f>
        <v>0.169731283577121</v>
      </c>
      <c r="BC125" s="2">
        <f>2559.71658313377*(1/14151.6638359215)</f>
        <v>0.18087742987763614</v>
      </c>
      <c r="BD125" s="2">
        <f>2711.98260857469*(1/14151.6638359215)</f>
        <v>0.19163701456013962</v>
      </c>
      <c r="BE125" s="2">
        <f>2864.97071800909*(1/14151.6638359215)</f>
        <v>0.20244762391379506</v>
      </c>
      <c r="BF125" s="2">
        <f>3021.11694992166*(1/14151.6638359215)</f>
        <v>0.21348139589445927</v>
      </c>
      <c r="BG125" s="2">
        <f>3178.83468006403*(1/14151.6638359215)</f>
        <v>0.22462621476317998</v>
      </c>
      <c r="BH125" s="2">
        <f>3336.53728418774*(1/14151.6638359215)</f>
        <v>0.23576996478099838</v>
      </c>
      <c r="BI125" s="2">
        <f>3492.63813804445*(1/14151.6638359215)</f>
        <v>0.24680053020896417</v>
      </c>
      <c r="BJ125" s="2">
        <f>3645.55061738575*(1/14151.6638359215)</f>
        <v>0.25760579530812222</v>
      </c>
      <c r="BK125" s="2">
        <f>3793.68809796325*(1/14151.6638359215)</f>
        <v>0.2680736443395188</v>
      </c>
      <c r="BL125" s="2">
        <f>3935.46395552856*(1/14151.6638359215)</f>
        <v>0.27809196156419991</v>
      </c>
      <c r="BM125" s="2">
        <f>4069.29156583331*(1/14151.6638359215)</f>
        <v>0.28754863124321339</v>
      </c>
      <c r="BN125" s="2">
        <f>4193.58430462907*(1/14151.6638359215)</f>
        <v>0.2963315376376025</v>
      </c>
      <c r="BO125" s="2">
        <f>4307.96625510629*(1/14151.6638359215)</f>
        <v>0.30441411731186541</v>
      </c>
      <c r="BP125" s="2">
        <f>4416.06386118808*(1/14151.6638359215)</f>
        <v>0.31205262592365163</v>
      </c>
      <c r="BQ125" s="2">
        <f>4518.19264369186*(1/14151.6638359215)</f>
        <v>0.31926935914229576</v>
      </c>
      <c r="BR125" s="2">
        <f>4614.26745972642*(1/14151.6638359215)</f>
        <v>0.32605830050979007</v>
      </c>
      <c r="BS125" s="2">
        <f>4704.2031664005*(1/14151.6638359215)</f>
        <v>0.33241343356812297</v>
      </c>
      <c r="BT125" s="2">
        <f>4787.91462082287*(1/14151.6638359215)</f>
        <v>0.33832874185928546</v>
      </c>
      <c r="BU125" s="2">
        <f>4865.31668010231*(1/14151.6638359215)</f>
        <v>0.34379820892526874</v>
      </c>
      <c r="BV125" s="2">
        <f>4936.32420134757*(1/14151.6638359215)</f>
        <v>0.34881581830806235</v>
      </c>
      <c r="BW125" s="2">
        <f>5000.85204166743*(1/14151.6638359215)</f>
        <v>0.35337555354965755</v>
      </c>
      <c r="BX125" s="2">
        <f>5058.81505817064*(1/14151.6638359215)</f>
        <v>0.35747139819204382</v>
      </c>
      <c r="BY125" s="2">
        <f>5110.12735547034*(1/14151.6638359215)</f>
        <v>0.36109728260356105</v>
      </c>
      <c r="BZ125" s="2">
        <f>5154.5415186254*(1/14151.6638359215)</f>
        <v>0.36423572368511942</v>
      </c>
      <c r="CA125" s="2">
        <f>5192.04325438499*(1/14151.6638359215)</f>
        <v>0.36688571143174736</v>
      </c>
      <c r="CB125" s="2">
        <f>5222.82879860944*(1/14151.6638359215)</f>
        <v>0.36906111247161</v>
      </c>
      <c r="CC125" s="2">
        <f>5247.09438715904*(1/14151.6638359215)</f>
        <v>0.37077579343286954</v>
      </c>
      <c r="CD125" s="2">
        <f>5265.03625589414*(1/14151.6638359215)</f>
        <v>0.37204362094369248</v>
      </c>
      <c r="CE125" s="2">
        <f>5276.85064067504*(1/14151.6638359215)</f>
        <v>0.37287846163224192</v>
      </c>
      <c r="CF125" s="2">
        <f>5282.73377736206*(1/14151.6638359215)</f>
        <v>0.37329418212668203</v>
      </c>
      <c r="CG125" s="2">
        <f>5282.88190181552*(1/14151.6638359215)</f>
        <v>0.37330464905517735</v>
      </c>
      <c r="CH125" s="2">
        <f>5277.49124989574*(1/14151.6638359215)</f>
        <v>0.37292372904589216</v>
      </c>
      <c r="CI125" s="2">
        <f>5266.75805746305*(1/14151.6638359215)</f>
        <v>0.37216528872699156</v>
      </c>
      <c r="CJ125" s="2">
        <f>5250.6465745601*(1/14151.6638359215)</f>
        <v>0.37102680189676784</v>
      </c>
      <c r="CK125" s="2">
        <f>5228.01412252921*(1/14151.6638359215)</f>
        <v>0.36942752337423529</v>
      </c>
      <c r="CL125" s="2">
        <f>5198.9603968487*(1/14151.6638359215)</f>
        <v>0.36737449794787075</v>
      </c>
      <c r="CM125" s="2">
        <f>5163.82296774651*(1/14151.6638359215)</f>
        <v>0.36489157936602884</v>
      </c>
      <c r="CN125" s="2">
        <f>5122.93940545059*(1/14151.6638359215)</f>
        <v>0.36200262137706474</v>
      </c>
      <c r="CO125" s="2">
        <f>5076.64728018889*(1/14151.6638359215)</f>
        <v>0.35873147772933367</v>
      </c>
      <c r="CP125" s="2">
        <f>5025.28416218935*(1/14151.6638359215)</f>
        <v>0.3551020021711902</v>
      </c>
      <c r="CQ125" s="2">
        <f>4969.18762167992*(1/14151.6638359215)</f>
        <v>0.35113804845098956</v>
      </c>
      <c r="CR125" s="2">
        <f>4908.69522888856*(1/14151.6638359215)</f>
        <v>0.3468634703170877</v>
      </c>
      <c r="CS125" s="2">
        <f>4844.1445540432*(1/14151.6638359215)</f>
        <v>0.34230212151783834</v>
      </c>
      <c r="CT125" s="2">
        <f>4775.8731673718*(1/14151.6638359215)</f>
        <v>0.33747785580159767</v>
      </c>
      <c r="CU125" s="2">
        <f>4702.93628182487*(1/14151.6638359215)</f>
        <v>0.33232391161577035</v>
      </c>
      <c r="CV125" s="2">
        <f>4624.14695198796*(1/14151.6638359215)</f>
        <v>0.32675641575447684</v>
      </c>
      <c r="CW125" s="2">
        <f>4540.00556798975*(1/14151.6638359215)</f>
        <v>0.32081072731997401</v>
      </c>
      <c r="CX125" s="2">
        <f>4451.01832910911*(1/14151.6638359215)</f>
        <v>0.31452261590690034</v>
      </c>
      <c r="CY125" s="2">
        <f>4357.69143462493*(1/14151.6638359215)</f>
        <v>0.30792785110989562</v>
      </c>
      <c r="CZ125" s="2">
        <f>4260.53108381607*(1/14151.6638359215)</f>
        <v>0.30106220252359761</v>
      </c>
      <c r="DA125" s="2">
        <f>4160.0434759614*(1/14151.6638359215)</f>
        <v>0.29396143974264455</v>
      </c>
      <c r="DB125" s="2">
        <f>4056.73481033984*(1/14151.6638359215)</f>
        <v>0.28666133236167857</v>
      </c>
      <c r="DC125" s="2">
        <f>3951.11128623024*(1/14151.6638359215)</f>
        <v>0.27919764997533658</v>
      </c>
      <c r="DD125" s="2">
        <f>3843.67910291149*(1/14151.6638359215)</f>
        <v>0.27160616217825845</v>
      </c>
      <c r="DE125" s="2">
        <f>3734.64845756404*(1/14151.6638359215)</f>
        <v>0.26390172214833812</v>
      </c>
      <c r="DF125" s="2">
        <f>3621.49385224357*(1/14151.6638359215)</f>
        <v>0.255905870449738</v>
      </c>
      <c r="DG125" s="2">
        <f>3504.07691941318*(1/14151.6638359215)</f>
        <v>0.24760882960763239</v>
      </c>
      <c r="DH125" s="2">
        <f>3383.09389153943*(1/14151.6638359215)</f>
        <v>0.23905979754493911</v>
      </c>
      <c r="DI125" s="2">
        <f>3259.24100108896*(1/14151.6638359215)</f>
        <v>0.23030797218458171</v>
      </c>
      <c r="DJ125" s="2">
        <f>3133.21448052835*(1/14151.6638359215)</f>
        <v>0.22140255144947962</v>
      </c>
      <c r="DK125" s="2">
        <f>3005.71056232417*(1/14151.6638359215)</f>
        <v>0.2123927332625514</v>
      </c>
      <c r="DL125" s="2">
        <f>2877.42547894303*(1/14151.6638359215)</f>
        <v>0.20332771554671852</v>
      </c>
      <c r="DM125" s="2">
        <f>2749.05546285148*(1/14151.6638359215)</f>
        <v>0.19425669622489819</v>
      </c>
      <c r="DN125" s="2">
        <f>2621.29674651618*(1/14151.6638359215)</f>
        <v>0.18522887322001538</v>
      </c>
      <c r="DO125" s="2">
        <f>2494.84556240368*(1/14151.6638359215)</f>
        <v>0.17629344445498735</v>
      </c>
      <c r="DP125" s="2">
        <f>2367.99859428681*(1/14151.6638359215)</f>
        <v>0.16733004837749635</v>
      </c>
      <c r="DQ125" s="2">
        <f>2237.10853900979*(1/14151.6638359215)</f>
        <v>0.15808095535249256</v>
      </c>
      <c r="DR125" s="2">
        <f>2103.467883205*(1/14151.6638359215)</f>
        <v>0.1486374964522347</v>
      </c>
      <c r="DS125" s="2">
        <f>1968.50116755254*(1/14151.6638359215)</f>
        <v>0.13910033409328501</v>
      </c>
      <c r="DT125" s="2">
        <f>1833.63293273253*(1/14151.6638359215)</f>
        <v>0.12957013069220713</v>
      </c>
      <c r="DU125" s="2">
        <f>1700.28771942512*(1/14151.6638359215)</f>
        <v>0.12014754866556679</v>
      </c>
      <c r="DV125" s="2">
        <f>1569.89006831042*(1/14151.6638359215)</f>
        <v>0.11093325042992692</v>
      </c>
      <c r="DW125" s="2">
        <f>1443.86452006854*(1/14151.6638359215)</f>
        <v>0.10202789840185046</v>
      </c>
      <c r="DX125" s="2">
        <f>1323.63561537962*(1/14151.6638359215)</f>
        <v>9.353215499790242E-2</v>
      </c>
      <c r="DY125" s="2">
        <f>1210.62789492376*(1/14151.6638359215)</f>
        <v>8.5546682634645044E-2</v>
      </c>
      <c r="DZ125" s="2">
        <f>1106.10459507578*(1/14151.6638359215)</f>
        <v>7.8160745471364923E-2</v>
      </c>
      <c r="EA125" s="2">
        <f>1007.57266764307*(1/14151.6638359215)</f>
        <v>7.1198177071273044E-2</v>
      </c>
      <c r="EB125" s="2">
        <f>913.721162896806*(1/14151.6638359215)</f>
        <v>6.4566341703050228E-2</v>
      </c>
      <c r="EC125" s="2">
        <f>824.558067960175*(1/14151.6638359215)</f>
        <v>5.8265803761334403E-2</v>
      </c>
      <c r="ED125" s="2">
        <f>740.091369956371*(1/14151.6638359215)</f>
        <v>5.2297127640764031E-2</v>
      </c>
      <c r="EE125" s="2">
        <f>660.32905600857*(1/14151.6638359215)</f>
        <v>4.6660877735976262E-2</v>
      </c>
      <c r="EF125" s="2">
        <f>585.279113239994*(1/14151.6638359215)</f>
        <v>4.1357618441611531E-2</v>
      </c>
      <c r="EG125" s="2">
        <f>514.949528773819*(1/14151.6638359215)</f>
        <v>3.6387914152306994E-2</v>
      </c>
      <c r="EH125" s="2">
        <f>449.348289733236*(1/14151.6638359215)</f>
        <v>3.1752329262700878E-2</v>
      </c>
      <c r="EI125" s="2">
        <f>388.483383241436*(1/14151.6638359215)</f>
        <v>2.7451428167431419E-2</v>
      </c>
      <c r="EJ125" s="2">
        <f>332.3627964216*(1/14151.6638359215)</f>
        <v>2.3485775261136134E-2</v>
      </c>
      <c r="EK125" s="2">
        <f>281.501308843443*(1/14151.6638359215)</f>
        <v>1.9891746448138601E-2</v>
      </c>
      <c r="EL125" s="2">
        <f>237.122543776859*(1/14151.6638359215)</f>
        <v>1.6755806704153421E-2</v>
      </c>
      <c r="EM125" s="2">
        <f>198.681516031075*(1/14151.6638359215)</f>
        <v>1.4039445702967949E-2</v>
      </c>
      <c r="EN125" s="2">
        <f>165.517649671977*(1/14151.6638359215)</f>
        <v>1.1695985121681572E-2</v>
      </c>
      <c r="EO125" s="2">
        <f>136.970368765455*(1/14151.6638359215)</f>
        <v>9.6787466373939642E-3</v>
      </c>
      <c r="EP125" s="2">
        <f>112.379097377395*(1/14151.6638359215)</f>
        <v>7.9410519272045243E-3</v>
      </c>
      <c r="EQ125" s="2">
        <f>91.0832595736821*(1/14151.6638359215)</f>
        <v>6.4362226682125765E-3</v>
      </c>
      <c r="ER125" s="2">
        <f>72.4222794202116*(1/14151.6638359215)</f>
        <v>5.1175805375181698E-3</v>
      </c>
      <c r="ES125" s="2">
        <f>55.7355809828673*(1/14151.6638359215)</f>
        <v>3.9384472122205427E-3</v>
      </c>
      <c r="ET125" s="2">
        <f>40.3625883275368*(1/14151.6638359215)</f>
        <v>2.8521443694191984E-3</v>
      </c>
      <c r="EU125" s="2">
        <f>25.6782293432974*(1/14151.6638359215)</f>
        <v>1.8145024953262208E-3</v>
      </c>
      <c r="EV125" s="2">
        <f>13.7977175919421*(1/14151.6638359215)</f>
        <v>9.7498907209193518E-4</v>
      </c>
      <c r="EW125" s="2">
        <f>5.82701115694294*(1/14151.6638359215)</f>
        <v>4.1175449222812243E-4</v>
      </c>
      <c r="EX125" s="2">
        <f>1.13630761348466*(1/14151.6638359215)</f>
        <v>8.0294983449249527E-5</v>
      </c>
      <c r="EY125" s="2">
        <f>-0.904195463245209*(1/14151.6638359215)</f>
        <v>-6.3893226530018938E-5</v>
      </c>
      <c r="EZ125" s="2">
        <f>-0.924300498059172*(1/14151.6638359215)</f>
        <v>-6.5313909995021112E-5</v>
      </c>
      <c r="FA125" s="2">
        <f>0.44619008423027*(1/14151.6638359215)</f>
        <v>3.1529160768905156E-5</v>
      </c>
      <c r="FB125" s="2">
        <f>2.57747385881104*(1/14151.6638359215)</f>
        <v>1.8213221347645198E-4</v>
      </c>
      <c r="FC125" s="2">
        <f>4.83974840086975*(1/14151.6638359215)</f>
        <v>3.4199147584221886E-4</v>
      </c>
      <c r="FD125" s="2">
        <f>6.60321128559423*(1/14151.6638359215)</f>
        <v>4.6660317558089136E-4</v>
      </c>
      <c r="FE125" s="2">
        <f>7.23806008817196*(1/14151.6638359215)</f>
        <v>5.1146354040713026E-4</v>
      </c>
      <c r="FF125" s="2">
        <f>6.48397852315178*(1/14151.6638359215)</f>
        <v>4.5817782264537303E-4</v>
      </c>
      <c r="FG125" s="2">
        <f>5.70994630787922*(1/14151.6638359215)</f>
        <v>4.0348233070556199E-4</v>
      </c>
      <c r="FH125" s="2">
        <f>5.1193883954862*(1/14151.6638359215)</f>
        <v>3.6175169611445525E-4</v>
      </c>
      <c r="FI125" s="2">
        <f>4.71230478597256*(1/14151.6638359215)</f>
        <v>3.3298591887204155E-4</v>
      </c>
      <c r="FJ125" s="2">
        <f>4.48869547933831*(1/14151.6638359215)</f>
        <v>3.1718499897832148E-4</v>
      </c>
      <c r="FK125" s="2">
        <f>4.44856047558344*(1/14151.6638359215)</f>
        <v>3.1434893643329451E-4</v>
      </c>
      <c r="FL125" s="2">
        <f>4.59189977470795*(1/14151.6638359215)</f>
        <v>3.2447773123696051E-4</v>
      </c>
      <c r="FM125" s="2">
        <f>4.91871337671192*(1/14151.6638359215)</f>
        <v>3.4757138338932519E-4</v>
      </c>
      <c r="FN125" s="2">
        <f>5.42900128159523*(1/14151.6638359215)</f>
        <v>3.8362989289038009E-4</v>
      </c>
      <c r="FO125" s="2">
        <f>6.12276348935793*(1/14151.6638359215)</f>
        <v>4.3265325974012868E-4</v>
      </c>
      <c r="FP125" s="2">
        <f t="shared" si="19"/>
        <v>4.9464148393856954E-4</v>
      </c>
      <c r="FQ125" s="2"/>
    </row>
    <row r="126" spans="2:173">
      <c r="B126" s="2">
        <v>10.464497041420119</v>
      </c>
      <c r="C126" s="2">
        <f t="shared" si="20"/>
        <v>4.9464148393856954E-4</v>
      </c>
      <c r="D126" s="2">
        <f>7.09948796996142*(1/14151.6638359215)</f>
        <v>5.0167160923796279E-4</v>
      </c>
      <c r="E126" s="2">
        <f>7.178167998493*(1/14151.6638359215)</f>
        <v>5.0723138153356128E-4</v>
      </c>
      <c r="F126" s="2">
        <f>7.23604008559474*(1/14151.6638359215)</f>
        <v>5.1132080082536512E-4</v>
      </c>
      <c r="G126" s="2">
        <f>7.27310423126664*(1/14151.6638359215)</f>
        <v>5.1393986711337431E-4</v>
      </c>
      <c r="H126" s="2">
        <f>7.2893604355087*(1/14151.6638359215)</f>
        <v>5.1508858039758863E-4</v>
      </c>
      <c r="I126" s="2">
        <f>7.28480869832093*(1/14151.6638359215)</f>
        <v>5.1476694067800917E-4</v>
      </c>
      <c r="J126" s="2">
        <f>7.25944901970331*(1/14151.6638359215)</f>
        <v>5.1297494795463419E-4</v>
      </c>
      <c r="K126" s="2">
        <f>7.21328139965585*(1/14151.6638359215)</f>
        <v>5.0971260222746457E-4</v>
      </c>
      <c r="L126" s="2">
        <f>7.14630583817855*(1/14151.6638359215)</f>
        <v>5.0497990349650007E-4</v>
      </c>
      <c r="M126" s="2">
        <f>7.05852233527142*(1/14151.6638359215)</f>
        <v>4.987768517617418E-4</v>
      </c>
      <c r="N126" s="2">
        <f>6.8570386395905*(1/14151.6638359215)</f>
        <v>4.8453939544445071E-4</v>
      </c>
      <c r="O126" s="2">
        <f>5.91672196368408*(1/14151.6638359215)</f>
        <v>4.180937331669458E-4</v>
      </c>
      <c r="P126" s="2">
        <f>4.35644349540197*(1/14151.6638359215)</f>
        <v>3.0783966789430845E-4</v>
      </c>
      <c r="Q126" s="2">
        <f>2.46379708319816*(1/14151.6638359215)</f>
        <v>1.740994636223796E-4</v>
      </c>
      <c r="R126" s="2">
        <f>0.52637657552633*(1/14151.6638359215)</f>
        <v>3.7195384346978057E-5</v>
      </c>
      <c r="S126" s="2">
        <f>-1.16822417915876*(1/14151.6638359215)</f>
        <v>-8.2550305936000912E-5</v>
      </c>
      <c r="T126" s="2">
        <f>-2.33241133240345*(1/14151.6638359215)</f>
        <v>-1.6481534323073982E-4</v>
      </c>
      <c r="U126" s="2">
        <f>-2.67859103575375*(1/14151.6638359215)</f>
        <v>-1.8927746354139785E-4</v>
      </c>
      <c r="V126" s="2">
        <f>-1.91916944075564*(1/14151.6638359215)</f>
        <v>-1.3561440287213208E-4</v>
      </c>
      <c r="W126" s="2">
        <f>0.233447301044894*(1/14151.6638359215)</f>
        <v>1.6496102772900049E-5</v>
      </c>
      <c r="X126" s="2">
        <f>4.06685303810274*(1/14151.6638359215)</f>
        <v>2.8737631738960271E-4</v>
      </c>
      <c r="Y126" s="2">
        <f>7.53960872794993*(1/14151.6638359215)</f>
        <v>5.3277189278704918E-4</v>
      </c>
      <c r="Z126" s="2">
        <f>7.96835557536424*(1/14151.6638359215)</f>
        <v>5.6306846090690597E-4</v>
      </c>
      <c r="AA126" s="2">
        <f>6.84682148040844*(1/14151.6638359215)</f>
        <v>4.8381741961881495E-4</v>
      </c>
      <c r="AB126" s="2">
        <f>5.7195389042707*(1/14151.6638359215)</f>
        <v>4.0416017300754848E-4</v>
      </c>
      <c r="AC126" s="2">
        <f>6.13104030813914*(1/14151.6638359215)</f>
        <v>4.3323812515787551E-4</v>
      </c>
      <c r="AD126" s="2">
        <f>9.62585815320304*(1/14151.6638359215)</f>
        <v>6.8019268015464727E-4</v>
      </c>
      <c r="AE126" s="2">
        <f>17.7485249006494*(1/14151.6638359215)</f>
        <v>1.2541652420825532E-3</v>
      </c>
      <c r="AF126" s="2">
        <f>32.0435730116668*(1/14151.6638359215)</f>
        <v>2.2642972150263949E-3</v>
      </c>
      <c r="AG126" s="2">
        <f>54.0555349474433*(1/14151.6638359215)</f>
        <v>3.8197300030709371E-3</v>
      </c>
      <c r="AH126" s="2">
        <f>85.3289431691671*(1/14151.6638359215)</f>
        <v>6.0296050103009549E-3</v>
      </c>
      <c r="AI126" s="2">
        <f>127.130675211076*(1/14151.6638359215)</f>
        <v>8.9834436915027065E-3</v>
      </c>
      <c r="AJ126" s="2">
        <f>176.504293642815*(1/14151.6638359215)</f>
        <v>1.2472335104144435E-2</v>
      </c>
      <c r="AK126" s="2">
        <f>232.251197651423*(1/14151.6638359215)</f>
        <v>1.64115824361157E-2</v>
      </c>
      <c r="AL126" s="2">
        <f>294.396980231724*(1/14151.6638359215)</f>
        <v>2.0802994166979099E-2</v>
      </c>
      <c r="AM126" s="2">
        <f>362.967234378539*(1/14151.6638359215)</f>
        <v>2.5648378776297016E-2</v>
      </c>
      <c r="AN126" s="2">
        <f>437.98755308669*(1/14151.6638359215)</f>
        <v>3.0949544743631908E-2</v>
      </c>
      <c r="AO126" s="2">
        <f>519.483529351*(1/14151.6638359215)</f>
        <v>3.6708300548546298E-2</v>
      </c>
      <c r="AP126" s="2">
        <f>607.480756166307*(1/14151.6638359215)</f>
        <v>4.292645467060377E-2</v>
      </c>
      <c r="AQ126" s="2">
        <f>702.004826527401*(1/14151.6638359215)</f>
        <v>4.9605815589364527E-2</v>
      </c>
      <c r="AR126" s="2">
        <f>803.081333429119*(1/14151.6638359215)</f>
        <v>5.6748191784392082E-2</v>
      </c>
      <c r="AS126" s="2">
        <f>910.735869866284*(1/14151.6638359215)</f>
        <v>6.4355391735248957E-2</v>
      </c>
      <c r="AT126" s="2">
        <f>1026.68857837226*(1/14151.6638359215)</f>
        <v>7.2548965992690728E-2</v>
      </c>
      <c r="AU126" s="2">
        <f>1154.13894390561*(1/14151.6638359215)</f>
        <v>8.1554999983537768E-2</v>
      </c>
      <c r="AV126" s="2">
        <f>1291.42344839724*(1/14151.6638359215)</f>
        <v>9.1255944415467929E-2</v>
      </c>
      <c r="AW126" s="2">
        <f>1436.67052845032*(1/14151.6638359215)</f>
        <v>0.10151954887478218</v>
      </c>
      <c r="AX126" s="2">
        <f>1588.00862066799*(1/14151.6638359215)</f>
        <v>0.11221356294777937</v>
      </c>
      <c r="AY126" s="2">
        <f>1743.5661616534*(1/14151.6638359215)</f>
        <v>0.12320573622075909</v>
      </c>
      <c r="AZ126" s="2">
        <f>1901.47158800968*(1/14151.6638359215)</f>
        <v>0.1343638182800195</v>
      </c>
      <c r="BA126" s="2">
        <f>2059.85333634002*(1/14151.6638359215)</f>
        <v>0.14555555871186299</v>
      </c>
      <c r="BB126" s="2">
        <f>2216.83984324749*(1/14151.6638359215)</f>
        <v>0.1566487071025835</v>
      </c>
      <c r="BC126" s="2">
        <f>2370.55954533527*(1/14151.6638359215)</f>
        <v>0.16751101303848265</v>
      </c>
      <c r="BD126" s="2">
        <f>2519.3660272345*(1/14151.6638359215)</f>
        <v>0.1780261357565274</v>
      </c>
      <c r="BE126" s="2">
        <f>2669.76839826821*(1/14151.6638359215)</f>
        <v>0.18865402889881219</v>
      </c>
      <c r="BF126" s="2">
        <f>2824.21822098036*(1/14151.6638359215)</f>
        <v>0.19956792739886747</v>
      </c>
      <c r="BG126" s="2">
        <f>2980.95106578735*(1/14151.6638359215)</f>
        <v>0.21064315124704505</v>
      </c>
      <c r="BH126" s="2">
        <f>3138.20250310545*(1/14151.6638359215)</f>
        <v>0.22175502043368761</v>
      </c>
      <c r="BI126" s="2">
        <f>3294.20810335107*(1/14151.6638359215)</f>
        <v>0.23277885494914771</v>
      </c>
      <c r="BJ126" s="2">
        <f>3447.20343694054*(1/14151.6638359215)</f>
        <v>0.24358997478377228</v>
      </c>
      <c r="BK126" s="2">
        <f>3595.42407429023*(1/14151.6638359215)</f>
        <v>0.254063699927911</v>
      </c>
      <c r="BL126" s="2">
        <f>3737.10558581647*(1/14151.6638359215)</f>
        <v>0.26407535037191088</v>
      </c>
      <c r="BM126" s="2">
        <f>3870.48354193566*(1/14151.6638359215)</f>
        <v>0.27350024610612367</v>
      </c>
      <c r="BN126" s="2">
        <f>3993.79351306409*(1/14151.6638359215)</f>
        <v>0.28221370712089344</v>
      </c>
      <c r="BO126" s="2">
        <f>4106.55242168205*(1/14151.6638359215)</f>
        <v>0.29018159767604795</v>
      </c>
      <c r="BP126" s="2">
        <f>4212.59282291637*(1/14151.6638359215)</f>
        <v>0.29767473787947446</v>
      </c>
      <c r="BQ126" s="2">
        <f>4312.34034822405*(1/14151.6638359215)</f>
        <v>0.30472320415624454</v>
      </c>
      <c r="BR126" s="2">
        <f>4405.80083290223*(1/14151.6638359215)</f>
        <v>0.31132740884636351</v>
      </c>
      <c r="BS126" s="2">
        <f>4492.98011224803*(1/14151.6638359215)</f>
        <v>0.31748776428983522</v>
      </c>
      <c r="BT126" s="2">
        <f>4573.8840215586*(1/14151.6638359215)</f>
        <v>0.32320468282666542</v>
      </c>
      <c r="BU126" s="2">
        <f>4648.51839613106*(1/14151.6638359215)</f>
        <v>0.32847857679685816</v>
      </c>
      <c r="BV126" s="2">
        <f>4716.88907126257*(1/14151.6638359215)</f>
        <v>0.33330985854041983</v>
      </c>
      <c r="BW126" s="2">
        <f>4779.00188225026*(1/14151.6638359215)</f>
        <v>0.3376989403973551</v>
      </c>
      <c r="BX126" s="2">
        <f>4834.86266439126*(1/14151.6638359215)</f>
        <v>0.34164623470766847</v>
      </c>
      <c r="BY126" s="2">
        <f>4884.476416223*(1/14151.6638359215)</f>
        <v>0.34515209468335584</v>
      </c>
      <c r="BZ126" s="2">
        <f>4927.63048167379*(1/14151.6638359215)</f>
        <v>0.34820149339372169</v>
      </c>
      <c r="CA126" s="2">
        <f>4964.23688020558*(1/14151.6638359215)</f>
        <v>0.35078821386392328</v>
      </c>
      <c r="CB126" s="2">
        <f>4994.41211304624*(1/14151.6638359215)</f>
        <v>0.35292048842827983</v>
      </c>
      <c r="CC126" s="2">
        <f>5018.27268142364*(1/14151.6638359215)</f>
        <v>0.35460654942111058</v>
      </c>
      <c r="CD126" s="2">
        <f>5035.93508656564*(1/14151.6638359215)</f>
        <v>0.35585462917673383</v>
      </c>
      <c r="CE126" s="2">
        <f>5047.51582970014*(1/14151.6638359215)</f>
        <v>0.35667296002947102</v>
      </c>
      <c r="CF126" s="2">
        <f>5053.13141205498*(1/14151.6638359215)</f>
        <v>0.35706977431363923</v>
      </c>
      <c r="CG126" s="2">
        <f>5052.89833485806*(1/14151.6638359215)</f>
        <v>0.3570533043635597</v>
      </c>
      <c r="CH126" s="2">
        <f>5046.93309933723*(1/14151.6638359215)</f>
        <v>0.35663178251355021</v>
      </c>
      <c r="CI126" s="2">
        <f>5035.35220672038*(1/14151.6638359215)</f>
        <v>0.35581344109793139</v>
      </c>
      <c r="CJ126" s="2">
        <f>5018.0186792022*(1/14151.6638359215)</f>
        <v>0.35458860084457666</v>
      </c>
      <c r="CK126" s="2">
        <f>4993.6631403963*(1/14151.6638359215)</f>
        <v>0.35286756372213762</v>
      </c>
      <c r="CL126" s="2">
        <f>4962.4936037695*(1/14151.6638359215)</f>
        <v>0.35066502860060073</v>
      </c>
      <c r="CM126" s="2">
        <f>4924.98656144233*(1/14151.6638359215)</f>
        <v>0.34801466587562102</v>
      </c>
      <c r="CN126" s="2">
        <f>4881.61850553529*(1/14151.6638359215)</f>
        <v>0.34495014594285112</v>
      </c>
      <c r="CO126" s="2">
        <f>4832.86592816891*(1/14151.6638359215)</f>
        <v>0.34150513919794595</v>
      </c>
      <c r="CP126" s="2">
        <f>4779.20532146368*(1/14151.6638359215)</f>
        <v>0.33771331603655758</v>
      </c>
      <c r="CQ126" s="2">
        <f>4721.11317754015*(1/14151.6638359215)</f>
        <v>0.33360834685434215</v>
      </c>
      <c r="CR126" s="2">
        <f>4659.06598851883*(1/14151.6638359215)</f>
        <v>0.32922390204695318</v>
      </c>
      <c r="CS126" s="2">
        <f>4593.54024652023*(1/14151.6638359215)</f>
        <v>0.32459365201004414</v>
      </c>
      <c r="CT126" s="2">
        <f>4525.01244366487*(1/14151.6638359215)</f>
        <v>0.31975126713926916</v>
      </c>
      <c r="CU126" s="2">
        <f>4452.4256204645*(1/14151.6638359215)</f>
        <v>0.31462205943323807</v>
      </c>
      <c r="CV126" s="2">
        <f>4374.33324310115*(1/14151.6638359215)</f>
        <v>0.30910381237276696</v>
      </c>
      <c r="CW126" s="2">
        <f>4291.24677587841*(1/14151.6638359215)</f>
        <v>0.30323266759529982</v>
      </c>
      <c r="CX126" s="2">
        <f>4203.68452566345*(1/14151.6638359215)</f>
        <v>0.29704525025482437</v>
      </c>
      <c r="CY126" s="2">
        <f>4112.16479932345*(1/14151.6638359215)</f>
        <v>0.29057818550532877</v>
      </c>
      <c r="CZ126" s="2">
        <f>4017.20590372559*(1/14151.6638359215)</f>
        <v>0.28386809850080119</v>
      </c>
      <c r="DA126" s="2">
        <f>3919.32614573704*(1/14151.6638359215)</f>
        <v>0.27695161439522908</v>
      </c>
      <c r="DB126" s="2">
        <f>3819.04383222501*(1/14151.6638359215)</f>
        <v>0.26986535834260295</v>
      </c>
      <c r="DC126" s="2">
        <f>3716.87727005667*(1/14151.6638359215)</f>
        <v>0.26264595549691011</v>
      </c>
      <c r="DD126" s="2">
        <f>3613.3447660992*(1/14151.6638359215)</f>
        <v>0.25533003101213886</v>
      </c>
      <c r="DE126" s="2">
        <f>3508.69608691873*(1/14151.6638359215)</f>
        <v>0.24793523416041899</v>
      </c>
      <c r="DF126" s="2">
        <f>3400.66051286729*(1/14151.6638359215)</f>
        <v>0.2403011089222819</v>
      </c>
      <c r="DG126" s="2">
        <f>3289.05706882695*(1/14151.6638359215)</f>
        <v>0.23241486704045777</v>
      </c>
      <c r="DH126" s="2">
        <f>3174.45397449356*(1/14151.6638359215)</f>
        <v>0.22431666066259778</v>
      </c>
      <c r="DI126" s="2">
        <f>3057.41944956305*(1/14151.6638359215)</f>
        <v>0.21604664193635878</v>
      </c>
      <c r="DJ126" s="2">
        <f>2938.52171373127*(1/14151.6638359215)</f>
        <v>0.207644963009392</v>
      </c>
      <c r="DK126" s="2">
        <f>2818.32898669411*(1/14151.6638359215)</f>
        <v>0.19915177602935139</v>
      </c>
      <c r="DL126" s="2">
        <f>2697.40948814744*(1/14151.6638359215)</f>
        <v>0.19060723314388955</v>
      </c>
      <c r="DM126" s="2">
        <f>2576.33143778712*(1/14151.6638359215)</f>
        <v>0.18205148650065853</v>
      </c>
      <c r="DN126" s="2">
        <f>2455.66305530908*(1/14151.6638359215)</f>
        <v>0.17352468824731498</v>
      </c>
      <c r="DO126" s="2">
        <f>2335.97256040917*(1/14151.6638359215)</f>
        <v>0.16506699053151025</v>
      </c>
      <c r="DP126" s="2">
        <f>2215.61758121571*(1/14151.6638359215)</f>
        <v>0.15656233831613184</v>
      </c>
      <c r="DQ126" s="2">
        <f>2091.25166368185*(1/14151.6638359215)</f>
        <v>0.14777426088751325</v>
      </c>
      <c r="DR126" s="2">
        <f>1964.14997029811*(1/14151.6638359215)</f>
        <v>0.13879286514087921</v>
      </c>
      <c r="DS126" s="2">
        <f>1835.71024787677*(1/14151.6638359215)</f>
        <v>0.12971692015585784</v>
      </c>
      <c r="DT126" s="2">
        <f>1707.33024323006*(1/14151.6638359215)</f>
        <v>0.12064519501207369</v>
      </c>
      <c r="DU126" s="2">
        <f>1580.4077031703*(1/14151.6638359215)</f>
        <v>0.11167645878915765</v>
      </c>
      <c r="DV126" s="2">
        <f>1456.34037450973*(1/14151.6638359215)</f>
        <v>0.102909480566735</v>
      </c>
      <c r="DW126" s="2">
        <f>1336.52600406063*(1/14151.6638359215)</f>
        <v>9.4443029424433805E-2</v>
      </c>
      <c r="DX126" s="2">
        <f>1222.36233863524*(1/14151.6638359215)</f>
        <v>8.637587444187933E-2</v>
      </c>
      <c r="DY126" s="2">
        <f>1115.24712504583*(1/14151.6638359215)</f>
        <v>7.8806784698698965E-2</v>
      </c>
      <c r="DZ126" s="2">
        <f>1016.42101764886*(1/14151.6638359215)</f>
        <v>7.1823428639454734E-2</v>
      </c>
      <c r="EA126" s="2">
        <f>923.460917974348*(1/14151.6638359215)</f>
        <v>6.5254582689443591E-2</v>
      </c>
      <c r="EB126" s="2">
        <f>835.081197568956*(1/14151.6638359215)</f>
        <v>5.9009400396386594E-2</v>
      </c>
      <c r="EC126" s="2">
        <f>751.278728030548*(1/14151.6638359215)</f>
        <v>5.3087660697787323E-2</v>
      </c>
      <c r="ED126" s="2">
        <f>672.050380956989*(1/14151.6638359215)</f>
        <v>4.7489142531149428E-2</v>
      </c>
      <c r="EE126" s="2">
        <f>597.393027946128*(1/14151.6638359215)</f>
        <v>4.2213624833975442E-2</v>
      </c>
      <c r="EF126" s="2">
        <f>527.303540595858*(1/14151.6638359215)</f>
        <v>3.7260886543770987E-2</v>
      </c>
      <c r="EG126" s="2">
        <f>461.77879050403*(1/14151.6638359215)</f>
        <v>3.2630706598038746E-2</v>
      </c>
      <c r="EH126" s="2">
        <f>400.815649268508*(1/14151.6638359215)</f>
        <v>2.8322863934282291E-2</v>
      </c>
      <c r="EI126" s="2">
        <f>344.410988487156*(1/14151.6638359215)</f>
        <v>2.4337137490005205E-2</v>
      </c>
      <c r="EJ126" s="2">
        <f>292.561679757829*(1/14151.6638359215)</f>
        <v>2.0673306202710441E-2</v>
      </c>
      <c r="EK126" s="2">
        <f>245.804269359906*(1/14151.6638359215)</f>
        <v>1.7369284079231394E-2</v>
      </c>
      <c r="EL126" s="2">
        <f>205.44195100016*(1/14151.6638359215)</f>
        <v>1.4517158786564862E-2</v>
      </c>
      <c r="EM126" s="2">
        <f>170.907227767099*(1/14151.6638359215)</f>
        <v>1.2076829251220706E-2</v>
      </c>
      <c r="EN126" s="2">
        <f>141.509917195305*(1/14151.6638359215)</f>
        <v>9.9995250619299668E-3</v>
      </c>
      <c r="EO126" s="2">
        <f>116.559836819358*(1/14151.6638359215)</f>
        <v>8.2364758074235361E-3</v>
      </c>
      <c r="EP126" s="2">
        <f>95.3668041738398*(1/14151.6638359215)</f>
        <v>6.7389110764324404E-3</v>
      </c>
      <c r="EQ126" s="2">
        <f>77.2406367933281*(1/14151.6638359215)</f>
        <v>5.4580604576874121E-3</v>
      </c>
      <c r="ER126" s="2">
        <f>61.4911522124107*(1/14151.6638359215)</f>
        <v>4.345153539919897E-3</v>
      </c>
      <c r="ES126" s="2">
        <f>47.4281679656649*(1/14151.6638359215)</f>
        <v>3.3514199118606018E-3</v>
      </c>
      <c r="ET126" s="2">
        <f>34.3615015876718*(1/14151.6638359215)</f>
        <v>2.4280891622404993E-3</v>
      </c>
      <c r="EU126" s="2">
        <f>21.6355196162012*(1/14151.6638359215)</f>
        <v>1.5288322183913989E-3</v>
      </c>
      <c r="EV126" s="2">
        <f>11.2814028215766*(1/14151.6638359215)</f>
        <v>7.9717854751048785E-4</v>
      </c>
      <c r="EW126" s="2">
        <f>4.41163817426374*(1/14151.6638359215)</f>
        <v>3.1173989330255118E-4</v>
      </c>
      <c r="EX126" s="2">
        <f>0.461867147280886*(1/14151.6638359215)</f>
        <v>3.2636950159070188E-5</v>
      </c>
      <c r="EY126" s="2">
        <f>-1.13226878635131*(1/14151.6638359215)</f>
        <v>-8.0009587528305018E-5</v>
      </c>
      <c r="EZ126" s="2">
        <f>-0.935128153612188*(1/14151.6638359215)</f>
        <v>-6.6079025367923896E-5</v>
      </c>
      <c r="FA126" s="2">
        <f>0.488930518518891*(1/14151.6638359215)</f>
        <v>3.4549331031862645E-5</v>
      </c>
      <c r="FB126" s="2">
        <f>2.57554870306299*(1/14151.6638359215)</f>
        <v>1.8199617606273367E-4</v>
      </c>
      <c r="FC126" s="2">
        <f>4.7603678730399*(1/14151.6638359215)</f>
        <v>3.3638220411627833E-4</v>
      </c>
      <c r="FD126" s="2">
        <f>6.47902950147061*(1/14151.6638359215)</f>
        <v>4.5782810958417043E-4</v>
      </c>
      <c r="FE126" s="2">
        <f>7.16717506137575*(1/14151.6638359215)</f>
        <v>5.064545868580585E-4</v>
      </c>
      <c r="FF126" s="2">
        <f>6.59153819870836*(1/14151.6638359215)</f>
        <v>4.65778319435267E-4</v>
      </c>
      <c r="FG126" s="2">
        <f>5.97884549677071*(1/14151.6638359215)</f>
        <v>4.2248357268029969E-4</v>
      </c>
      <c r="FH126" s="2">
        <f>5.51138365751467*(1/14151.6638359215)</f>
        <v>3.8945128441540531E-4</v>
      </c>
      <c r="FI126" s="2">
        <f>5.18915268094012*(1/14151.6638359215)</f>
        <v>3.666814546405754E-4</v>
      </c>
      <c r="FJ126" s="2">
        <f>5.01215256704706*(1/14151.6638359215)</f>
        <v>3.5417408335580979E-4</v>
      </c>
      <c r="FK126" s="2">
        <f>4.98038331583548*(1/14151.6638359215)</f>
        <v>3.5192917056110795E-4</v>
      </c>
      <c r="FL126" s="2">
        <f>5.09384492730538*(1/14151.6638359215)</f>
        <v>3.599467162564697E-4</v>
      </c>
      <c r="FM126" s="2">
        <f>5.35253740145684*(1/14151.6638359215)</f>
        <v>3.7822672044190091E-4</v>
      </c>
      <c r="FN126" s="2">
        <f>5.75646073828974*(1/14151.6638359215)</f>
        <v>4.0676918311739296E-4</v>
      </c>
      <c r="FO126" s="2">
        <f>6.30561493780413*(1/14151.6638359215)</f>
        <v>4.4557410428294937E-4</v>
      </c>
      <c r="FP126" s="2">
        <f t="shared" si="19"/>
        <v>4.9464148393856954E-4</v>
      </c>
      <c r="FQ126" s="2"/>
    </row>
    <row r="127" spans="2:173">
      <c r="B127" s="2">
        <v>10.47396449704142</v>
      </c>
      <c r="C127" s="2">
        <f t="shared" si="20"/>
        <v>4.9464148393856954E-4</v>
      </c>
      <c r="D127" s="2">
        <f>7.05144896211812*(1/14151.6638359215)</f>
        <v>4.9827702550559903E-4</v>
      </c>
      <c r="E127" s="2">
        <f>7.09213735699584*(1/14151.6638359215)</f>
        <v>5.0115219236579814E-4</v>
      </c>
      <c r="F127" s="2">
        <f>7.12206518463318*(1/14151.6638359215)</f>
        <v>5.0326698451916838E-4</v>
      </c>
      <c r="G127" s="2">
        <f>7.14123244503013*(1/14151.6638359215)</f>
        <v>5.04621401965709E-4</v>
      </c>
      <c r="H127" s="2">
        <f>7.14963913818668*(1/14151.6638359215)</f>
        <v>5.0521544470541935E-4</v>
      </c>
      <c r="I127" s="2">
        <f>7.14728526410285*(1/14151.6638359215)</f>
        <v>5.0504911273830072E-4</v>
      </c>
      <c r="J127" s="2">
        <f>7.13417082277862*(1/14151.6638359215)</f>
        <v>5.0412240606435171E-4</v>
      </c>
      <c r="K127" s="2">
        <f>7.110295814214*(1/14151.6638359215)</f>
        <v>5.0243532468357318E-4</v>
      </c>
      <c r="L127" s="2">
        <f>7.07566023840899*(1/14151.6638359215)</f>
        <v>4.9998786859596514E-4</v>
      </c>
      <c r="M127" s="2">
        <f>7.03026409536359*(1/14151.6638359215)</f>
        <v>4.9678003780152737E-4</v>
      </c>
      <c r="N127" s="2">
        <f>6.90389384982113*(1/14151.6638359215)</f>
        <v>4.8785032840426967E-4</v>
      </c>
      <c r="O127" s="2">
        <f>6.22403664546888*(1/14151.6638359215)</f>
        <v>4.3980953177182334E-4</v>
      </c>
      <c r="P127" s="2">
        <f>5.0805424559951*(1/14151.6638359215)</f>
        <v>3.5900672280661728E-4</v>
      </c>
      <c r="Q127" s="2">
        <f>3.69079196198272*(1/14151.6638359215)</f>
        <v>2.6080268756909674E-4</v>
      </c>
      <c r="R127" s="2">
        <f>2.27216584401445*(1/14151.6638359215)</f>
        <v>1.6055821211969143E-4</v>
      </c>
      <c r="S127" s="2">
        <f>1.04204478267379*(1/14151.6638359215)</f>
        <v>7.3634082518886818E-5</v>
      </c>
      <c r="T127" s="2">
        <f>0.217809458543423*(1/14151.6638359215)</f>
        <v>1.5391084827110728E-5</v>
      </c>
      <c r="U127" s="2">
        <f>0.0168405522063023*(1/14151.6638359215)</f>
        <v>1.1900051048100459E-6</v>
      </c>
      <c r="V127" s="2">
        <f>0.656518744245374*(1/14151.6638359215)</f>
        <v>4.6391629412431148E-5</v>
      </c>
      <c r="W127" s="2">
        <f>2.35422471524359*(1/14151.6638359215)</f>
        <v>1.6635674381042083E-4</v>
      </c>
      <c r="X127" s="2">
        <f>5.32733914578458*(1/14151.6638359215)</f>
        <v>3.7644613435927377E-4</v>
      </c>
      <c r="Y127" s="2">
        <f>7.71588975280884*(1/14151.6638359215)</f>
        <v>5.4522845103368103E-4</v>
      </c>
      <c r="Z127" s="2">
        <f>7.13735552887198*(1/14151.6638359215)</f>
        <v>5.0434744717119866E-4</v>
      </c>
      <c r="AA127" s="2">
        <f>4.97003171598588*(1/14151.6638359215)</f>
        <v>3.5119769474528727E-4</v>
      </c>
      <c r="AB127" s="2">
        <f>2.63775031491696*(1/14151.6638359215)</f>
        <v>1.8639153286142203E-4</v>
      </c>
      <c r="AC127" s="2">
        <f>1.5643433264316*(1/14151.6638359215)</f>
        <v>1.1054130062507496E-4</v>
      </c>
      <c r="AD127" s="2">
        <f>3.17364275129692*(1/14151.6638359215)</f>
        <v>2.2425933714177043E-4</v>
      </c>
      <c r="AE127" s="2">
        <f>8.88948059027891*(1/14151.6638359215)</f>
        <v>6.2815798151695296E-4</v>
      </c>
      <c r="AF127" s="2">
        <f>20.135688844144*(1/14151.6638359215)</f>
        <v>1.4228495728560984E-3</v>
      </c>
      <c r="AG127" s="2">
        <f>38.3360995136586*(1/14151.6638359215)</f>
        <v>2.7089464502646808E-3</v>
      </c>
      <c r="AH127" s="2">
        <f>64.9145445995891*(1/14151.6638359215)</f>
        <v>4.5870609528481732E-3</v>
      </c>
      <c r="AI127" s="2">
        <f>100.992206758608*(1/14151.6638359215)</f>
        <v>7.1364192881869567E-3</v>
      </c>
      <c r="AJ127" s="2">
        <f>143.240466145793*(1/14151.6638359215)</f>
        <v>1.0121810962058211E-2</v>
      </c>
      <c r="AK127" s="2">
        <f>190.586230782366*(1/14151.6638359215)</f>
        <v>1.3467408001778314E-2</v>
      </c>
      <c r="AL127" s="2">
        <f>243.332974101817*(1/14151.6638359215)</f>
        <v>1.7194654771558324E-2</v>
      </c>
      <c r="AM127" s="2">
        <f>301.784169537635*(1/14151.6638359215)</f>
        <v>2.1324995635609235E-2</v>
      </c>
      <c r="AN127" s="2">
        <f>366.243290523309*(1/14151.6638359215)</f>
        <v>2.5879874958142028E-2</v>
      </c>
      <c r="AO127" s="2">
        <f>437.013810492329*(1/14151.6638359215)</f>
        <v>3.0880737103367778E-2</v>
      </c>
      <c r="AP127" s="2">
        <f>514.3992028782*(1/14151.6638359215)</f>
        <v>3.6349026435498588E-2</v>
      </c>
      <c r="AQ127" s="2">
        <f>598.702941114382*(1/14151.6638359215)</f>
        <v>4.2306187318743423E-2</v>
      </c>
      <c r="AR127" s="2">
        <f>690.228498634379*(1/14151.6638359215)</f>
        <v>4.8773664117314305E-2</v>
      </c>
      <c r="AS127" s="2">
        <f>789.279348871679*(1/14151.6638359215)</f>
        <v>5.5772901195422178E-2</v>
      </c>
      <c r="AT127" s="2">
        <f>897.521673630386*(1/14151.6638359215)</f>
        <v>6.3421636073080379E-2</v>
      </c>
      <c r="AU127" s="2">
        <f>1017.50044099566*(1/14151.6638359215)</f>
        <v>7.1899704006034598E-2</v>
      </c>
      <c r="AV127" s="2">
        <f>1147.55810431645*(1/14151.6638359215)</f>
        <v>8.1089977660688664E-2</v>
      </c>
      <c r="AW127" s="2">
        <f>1285.86346877294*(1/14151.6638359215)</f>
        <v>9.0863059190891937E-2</v>
      </c>
      <c r="AX127" s="2">
        <f>1430.58533954532*(1/14151.6638359215)</f>
        <v>0.10108955075049421</v>
      </c>
      <c r="AY127" s="2">
        <f>1579.89252181374*(1/14151.6638359215)</f>
        <v>0.11164005449334245</v>
      </c>
      <c r="AZ127" s="2">
        <f>1731.95382075837*(1/14151.6638359215)</f>
        <v>0.12238517257328507</v>
      </c>
      <c r="BA127" s="2">
        <f>1884.93804155943*(1/14151.6638359215)</f>
        <v>0.13319550714417394</v>
      </c>
      <c r="BB127" s="2">
        <f>2037.01398939702*(1/14151.6638359215)</f>
        <v>0.14394166035985251</v>
      </c>
      <c r="BC127" s="2">
        <f>2186.35046945135*(1/14151.6638359215)</f>
        <v>0.15449423437417198</v>
      </c>
      <c r="BD127" s="2">
        <f>2331.34859378653*(1/14151.6638359215)</f>
        <v>0.16474024685838093</v>
      </c>
      <c r="BE127" s="2">
        <f>2478.77651806339*(1/14151.6638359215)</f>
        <v>0.17515795646385082</v>
      </c>
      <c r="BF127" s="2">
        <f>2631.08264339445*(1/14151.6638359215)</f>
        <v>0.18592037472766357</v>
      </c>
      <c r="BG127" s="2">
        <f>2786.34295077107*(1/14151.6638359215)</f>
        <v>0.19689154456159638</v>
      </c>
      <c r="BH127" s="2">
        <f>2942.6334211845*(1/14151.6638359215)</f>
        <v>0.20793550887741868</v>
      </c>
      <c r="BI127" s="2">
        <f>3098.03003562608*(1/14151.6638359215)</f>
        <v>0.21891631058690625</v>
      </c>
      <c r="BJ127" s="2">
        <f>3250.60877508712*(1/14151.6638359215)</f>
        <v>0.22969799260183271</v>
      </c>
      <c r="BK127" s="2">
        <f>3398.44562055893*(1/14151.6638359215)</f>
        <v>0.24014459783397171</v>
      </c>
      <c r="BL127" s="2">
        <f>3539.61655303283*(1/14151.6638359215)</f>
        <v>0.25012016919509761</v>
      </c>
      <c r="BM127" s="2">
        <f>3672.19755350016*(1/14151.6638359215)</f>
        <v>0.25948874959698626</v>
      </c>
      <c r="BN127" s="2">
        <f>3794.26460295218*(1/14151.6638359215)</f>
        <v>0.26811438195140769</v>
      </c>
      <c r="BO127" s="2">
        <f>3905.24231059423*(1/14151.6638359215)</f>
        <v>0.27595640737885974</v>
      </c>
      <c r="BP127" s="2">
        <f>4009.16014240072*(1/14151.6638359215)</f>
        <v>0.28329956031206555</v>
      </c>
      <c r="BQ127" s="2">
        <f>4106.53811266145*(1/14151.6638359215)</f>
        <v>0.29018058655673606</v>
      </c>
      <c r="BR127" s="2">
        <f>4197.45773416059*(1/14151.6638359215)</f>
        <v>0.29660524605637428</v>
      </c>
      <c r="BS127" s="2">
        <f>4282.00051968224*(1/14151.6638359215)</f>
        <v>0.30257929875447848</v>
      </c>
      <c r="BT127" s="2">
        <f>4360.24798201058*(1/14151.6638359215)</f>
        <v>0.30810850459455236</v>
      </c>
      <c r="BU127" s="2">
        <f>4432.28163392976*(1/14151.6638359215)</f>
        <v>0.3131986235200977</v>
      </c>
      <c r="BV127" s="2">
        <f>4498.18298822392*(1/14151.6638359215)</f>
        <v>0.31785541547461554</v>
      </c>
      <c r="BW127" s="2">
        <f>4558.03355767722*(1/14151.6638359215)</f>
        <v>0.32208464040160828</v>
      </c>
      <c r="BX127" s="2">
        <f>4611.91485507379*(1/14151.6638359215)</f>
        <v>0.32589205824457607</v>
      </c>
      <c r="BY127" s="2">
        <f>4659.90751226526*(1/14151.6638359215)</f>
        <v>0.3292833666976252</v>
      </c>
      <c r="BZ127" s="2">
        <f>4701.83448593564*(1/14151.6638359215)</f>
        <v>0.33224605533667806</v>
      </c>
      <c r="CA127" s="2">
        <f>4737.54909665345*(1/14151.6638359215)</f>
        <v>0.33476975934292746</v>
      </c>
      <c r="CB127" s="2">
        <f>4767.09772909162*(1/14151.6638359215)</f>
        <v>0.33685775639972343</v>
      </c>
      <c r="CC127" s="2">
        <f>4790.52676792308*(1/14151.6638359215)</f>
        <v>0.33851332419041597</v>
      </c>
      <c r="CD127" s="2">
        <f>4807.88259782076*(1/14151.6638359215)</f>
        <v>0.33973974039835503</v>
      </c>
      <c r="CE127" s="2">
        <f>4819.21160345758*(1/14151.6638359215)</f>
        <v>0.34054028270689007</v>
      </c>
      <c r="CF127" s="2">
        <f>4824.56016950647*(1/14151.6638359215)</f>
        <v>0.340918228799371</v>
      </c>
      <c r="CG127" s="2">
        <f>4823.97468064035*(1/14151.6638359215)</f>
        <v>0.34087685635914711</v>
      </c>
      <c r="CH127" s="2">
        <f>4817.50152153217*(1/14151.6638359215)</f>
        <v>0.34041944306956989</v>
      </c>
      <c r="CI127" s="2">
        <f>4805.18707685483*(1/14151.6638359215)</f>
        <v>0.33954926661398716</v>
      </c>
      <c r="CJ127" s="2">
        <f>4786.80416097831*(1/14151.6638359215)</f>
        <v>0.3382502733585187</v>
      </c>
      <c r="CK127" s="2">
        <f>4760.96590362938*(1/14151.6638359215)</f>
        <v>0.33642446279316701</v>
      </c>
      <c r="CL127" s="2">
        <f>4727.9771011833*(1/14151.6638359215)</f>
        <v>0.33409337276526913</v>
      </c>
      <c r="CM127" s="2">
        <f>4688.43924997069*(1/14151.6638359215)</f>
        <v>0.33129950685161946</v>
      </c>
      <c r="CN127" s="2">
        <f>4642.95384632218*(1/14151.6638359215)</f>
        <v>0.32808536862901316</v>
      </c>
      <c r="CO127" s="2">
        <f>4592.12238656837*(1/14151.6638359215)</f>
        <v>0.32449346167424342</v>
      </c>
      <c r="CP127" s="2">
        <f>4536.54636703989*(1/14151.6638359215)</f>
        <v>0.32056628956410543</v>
      </c>
      <c r="CQ127" s="2">
        <f>4476.82728406737*(1/14151.6638359215)</f>
        <v>0.31634635587539428</v>
      </c>
      <c r="CR127" s="2">
        <f>4413.56663398143*(1/14151.6638359215)</f>
        <v>0.31187616418490455</v>
      </c>
      <c r="CS127" s="2">
        <f>4347.36591311269*(1/14151.6638359215)</f>
        <v>0.30719821806943076</v>
      </c>
      <c r="CT127" s="2">
        <f>4278.82661779177*(1/14151.6638359215)</f>
        <v>0.3023550211057674</v>
      </c>
      <c r="CU127" s="2">
        <f>4206.79250751894*(1/14151.6638359215)</f>
        <v>0.29726486979154632</v>
      </c>
      <c r="CV127" s="2">
        <f>4129.58483467001*(1/14151.6638359215)</f>
        <v>0.29180913866734093</v>
      </c>
      <c r="CW127" s="2">
        <f>4047.72386354834*(1/14151.6638359215)</f>
        <v>0.28602459120558726</v>
      </c>
      <c r="CX127" s="2">
        <f>3961.73762279042*(1/14151.6638359215)</f>
        <v>0.27994853953033061</v>
      </c>
      <c r="CY127" s="2">
        <f>3872.15414103275*(1/14151.6638359215)</f>
        <v>0.27361829576561664</v>
      </c>
      <c r="CZ127" s="2">
        <f>3779.50144691184*(1/14151.6638359215)</f>
        <v>0.26707117203549191</v>
      </c>
      <c r="DA127" s="2">
        <f>3684.30756906416*(1/14151.6638359215)</f>
        <v>0.26034448046399999</v>
      </c>
      <c r="DB127" s="2">
        <f>3587.10053612625*(1/14151.6638359215)</f>
        <v>0.25347553317518956</v>
      </c>
      <c r="DC127" s="2">
        <f>3488.4083767346*(1/14151.6638359215)</f>
        <v>0.24650164229310559</v>
      </c>
      <c r="DD127" s="2">
        <f>3388.75911952571*(1/14151.6638359215)</f>
        <v>0.23946011994179395</v>
      </c>
      <c r="DE127" s="2">
        <f>3288.43716172823*(1/14151.6638359215)</f>
        <v>0.2323710625022842</v>
      </c>
      <c r="DF127" s="2">
        <f>3185.40244048258*(1/14151.6638359215)</f>
        <v>0.22509031287169204</v>
      </c>
      <c r="DG127" s="2">
        <f>3079.43651689207*(1/14151.6638359215)</f>
        <v>0.21760243548715905</v>
      </c>
      <c r="DH127" s="2">
        <f>2970.99285126156*(1/14151.6638359215)</f>
        <v>0.20993947324555715</v>
      </c>
      <c r="DI127" s="2">
        <f>2860.524903896*(1/14151.6638359215)</f>
        <v>0.2021334690437645</v>
      </c>
      <c r="DJ127" s="2">
        <f>2748.48613510027*(1/14151.6638359215)</f>
        <v>0.19421646577865448</v>
      </c>
      <c r="DK127" s="2">
        <f>2635.33000517925*(1/14151.6638359215)</f>
        <v>0.18622050634710033</v>
      </c>
      <c r="DL127" s="2">
        <f>2521.50997443784*(1/14151.6638359215)</f>
        <v>0.1781776336459768</v>
      </c>
      <c r="DM127" s="2">
        <f>2407.47950318092*(1/14151.6638359215)</f>
        <v>0.17011989057215721</v>
      </c>
      <c r="DN127" s="2">
        <f>2293.69205171342*(1/14151.6638359215)</f>
        <v>0.16207932002251832</v>
      </c>
      <c r="DO127" s="2">
        <f>2180.60108034022*(1/14151.6638359215)</f>
        <v>0.15408796489393348</v>
      </c>
      <c r="DP127" s="2">
        <f>2066.62835848527*(1/14151.6638359215)</f>
        <v>0.14603430257009772</v>
      </c>
      <c r="DQ127" s="2">
        <f>1948.7110698999*(1/14151.6638359215)</f>
        <v>0.1377019050546863</v>
      </c>
      <c r="DR127" s="2">
        <f>1828.10054284834*(1/14151.6638359215)</f>
        <v>0.12917919504334391</v>
      </c>
      <c r="DS127" s="2">
        <f>1706.16164241297*(1/14151.6638359215)</f>
        <v>0.12056261809174551</v>
      </c>
      <c r="DT127" s="2">
        <f>1584.25923367614*(1/14151.6638359215)</f>
        <v>0.11194861975556385</v>
      </c>
      <c r="DU127" s="2">
        <f>1463.75818172029*(1/14151.6638359215)</f>
        <v>0.10343364559047809</v>
      </c>
      <c r="DV127" s="2">
        <f>1346.02335162777*(1/14151.6638359215)</f>
        <v>9.5114141152161019E-2</v>
      </c>
      <c r="DW127" s="2">
        <f>1232.41960848096*(1/14151.6638359215)</f>
        <v>8.7086551996287564E-2</v>
      </c>
      <c r="DX127" s="2">
        <f>1124.31181736224*(1/14151.6638359215)</f>
        <v>7.9447323678532619E-2</v>
      </c>
      <c r="DY127" s="2">
        <f>1023.06484335398*(1/14151.6638359215)</f>
        <v>7.2292901754570413E-2</v>
      </c>
      <c r="DZ127" s="2">
        <f>929.891543188489*(1/14151.6638359215)</f>
        <v>6.5708990403525805E-2</v>
      </c>
      <c r="EA127" s="2">
        <f>842.453002961707*(1/14151.6638359215)</f>
        <v>5.9530314790497557E-2</v>
      </c>
      <c r="EB127" s="2">
        <f>759.494621015975*(1/14151.6638359215)</f>
        <v>5.3668220911814765E-2</v>
      </c>
      <c r="EC127" s="2">
        <f>681.00041654221*(1/14151.6638359215)</f>
        <v>4.8121579514460396E-2</v>
      </c>
      <c r="ED127" s="2">
        <f>606.95440873133*(1/14151.6638359215)</f>
        <v>4.288926134541745E-2</v>
      </c>
      <c r="EE127" s="2">
        <f>537.340616774238*(1/14151.6638359215)</f>
        <v>3.7970137151667901E-2</v>
      </c>
      <c r="EF127" s="2">
        <f>472.143059861877*(1/14151.6638359215)</f>
        <v>3.3363077680196529E-2</v>
      </c>
      <c r="EG127" s="2">
        <f>411.345757185151*(1/14151.6638359215)</f>
        <v>2.9066953677985372E-2</v>
      </c>
      <c r="EH127" s="2">
        <f>354.932727934977*(1/14151.6638359215)</f>
        <v>2.508063589201737E-2</v>
      </c>
      <c r="EI127" s="2">
        <f>302.887991302272*(1/14151.6638359215)</f>
        <v>2.1402995069275479E-2</v>
      </c>
      <c r="EJ127" s="2">
        <f>255.195566477944*(1/14151.6638359215)</f>
        <v>1.8032901956742012E-2</v>
      </c>
      <c r="EK127" s="2">
        <f>212.40847580529*(1/14151.6638359215)</f>
        <v>1.5009434810494058E-2</v>
      </c>
      <c r="EL127" s="2">
        <f>175.900928777879*(1/14151.6638359215)</f>
        <v>1.2429699490980385E-2</v>
      </c>
      <c r="EM127" s="2">
        <f>145.088594739573*(1/14151.6638359215)</f>
        <v>1.0252405400649162E-2</v>
      </c>
      <c r="EN127" s="2">
        <f>119.258231748194*(1/14151.6638359215)</f>
        <v>8.427152674830931E-3</v>
      </c>
      <c r="EO127" s="2">
        <f>97.6965978615621*(1/14151.6638359215)</f>
        <v>6.9035414488561077E-3</v>
      </c>
      <c r="EP127" s="2">
        <f>79.6904511374997*(1/14151.6638359215)</f>
        <v>5.6311718580552743E-3</v>
      </c>
      <c r="EQ127" s="2">
        <f>64.5265496338249*(1/14151.6638359215)</f>
        <v>4.5596440377587014E-3</v>
      </c>
      <c r="ER127" s="2">
        <f>51.4916514083647*(1/14151.6638359215)</f>
        <v>3.638558123297293E-3</v>
      </c>
      <c r="ES127" s="2">
        <f>39.8725145189373*(1/14151.6638359215)</f>
        <v>2.8175142500013297E-3</v>
      </c>
      <c r="ET127" s="2">
        <f>28.955897023364*(1/14151.6638359215)</f>
        <v>2.0461125532013113E-3</v>
      </c>
      <c r="EU127" s="2">
        <f>18.0620344315945*(1/14151.6638359215)</f>
        <v>1.2763187877419203E-3</v>
      </c>
      <c r="EV127" s="2">
        <f>9.1336275263781*(1/14151.6638359215)</f>
        <v>6.4541015334140426E-4</v>
      </c>
      <c r="EW127" s="2">
        <f>3.28270592396318*(1/14151.6638359215)</f>
        <v>2.3196607565186865E-4</v>
      </c>
      <c r="EX127" s="2">
        <f>0.00794570958890978*(1/14151.6638359215)</f>
        <v>5.6146822600046511E-7</v>
      </c>
      <c r="EY127" s="2">
        <f>-1.19197703150348*(1/14151.6638359215)</f>
        <v>-8.4228755383367477E-5</v>
      </c>
      <c r="EZ127" s="2">
        <f>-0.818386214072777*(1/14151.6638359215)</f>
        <v>-5.7829681623403755E-5</v>
      </c>
      <c r="FA127" s="2">
        <f>0.627394247122232*(1/14151.6638359215)</f>
        <v>4.4333603058723209E-5</v>
      </c>
      <c r="FB127" s="2">
        <f>2.64404043732316*(1/14151.6638359215)</f>
        <v>1.8683601221587318E-4</v>
      </c>
      <c r="FC127" s="2">
        <f>4.7302284417704*(1/14151.6638359215)</f>
        <v>3.3425245940081974E-4</v>
      </c>
      <c r="FD127" s="2">
        <f>6.38463434570549*(1/14151.6638359215)</f>
        <v>4.5115785816641737E-4</v>
      </c>
      <c r="FE127" s="2">
        <f>7.10593423436965*(1/14151.6638359215)</f>
        <v>5.0212712206549812E-4</v>
      </c>
      <c r="FF127" s="2">
        <f>6.68691585490961*(1/14151.6638359215)</f>
        <v>4.7251799734926252E-4</v>
      </c>
      <c r="FG127" s="2">
        <f>6.2172896372739*(1/14151.6638359215)</f>
        <v>4.3933276746529326E-4</v>
      </c>
      <c r="FH127" s="2">
        <f>5.85898222678153*(1/14151.6638359215)</f>
        <v>4.1401366614641724E-4</v>
      </c>
      <c r="FI127" s="2">
        <f>5.61199362343242*(1/14151.6638359215)</f>
        <v>3.9656069339262892E-4</v>
      </c>
      <c r="FJ127" s="2">
        <f>5.47632382722657*(1/14151.6638359215)</f>
        <v>3.8697384920392813E-4</v>
      </c>
      <c r="FK127" s="2">
        <f>5.45197283816398*(1/14151.6638359215)</f>
        <v>3.8525313358031506E-4</v>
      </c>
      <c r="FL127" s="2">
        <f>5.53894065624465*(1/14151.6638359215)</f>
        <v>3.9139854652178968E-4</v>
      </c>
      <c r="FM127" s="2">
        <f>5.73722728146862*(1/14151.6638359215)</f>
        <v>4.0541008802835477E-4</v>
      </c>
      <c r="FN127" s="2">
        <f>6.04683271383582*(1/14151.6638359215)</f>
        <v>4.272877581000054E-4</v>
      </c>
      <c r="FO127" s="2">
        <f>6.46775695334628*(1/14151.6638359215)</f>
        <v>4.5703155673674362E-4</v>
      </c>
      <c r="FP127" s="2">
        <f t="shared" si="19"/>
        <v>4.9464148393856954E-4</v>
      </c>
      <c r="FQ127" s="2"/>
    </row>
    <row r="128" spans="2:173">
      <c r="B128" s="2">
        <v>10.483431952662722</v>
      </c>
      <c r="C128" s="2">
        <f t="shared" si="20"/>
        <v>4.9464148393856954E-4</v>
      </c>
      <c r="D128" s="2">
        <f>7.00988192196888*(1/14151.6638359215)</f>
        <v>4.9533977087383408E-4</v>
      </c>
      <c r="E128" s="2">
        <f>7.01769703672859*(1/14151.6638359215)</f>
        <v>4.9589201086839034E-4</v>
      </c>
      <c r="F128" s="2">
        <f>7.02344534427912*(1/14151.6638359215)</f>
        <v>4.9629820392223733E-4</v>
      </c>
      <c r="G128" s="2">
        <f>7.02712684462047*(1/14151.6638359215)</f>
        <v>4.9655835003537538E-4</v>
      </c>
      <c r="H128" s="2">
        <f>7.02874153775264*(1/14151.6638359215)</f>
        <v>4.9667244920780418E-4</v>
      </c>
      <c r="I128" s="2">
        <f>7.02828942367563*(1/14151.6638359215)</f>
        <v>4.9664050143952392E-4</v>
      </c>
      <c r="J128" s="2">
        <f>7.02577050238944*(1/14151.6638359215)</f>
        <v>4.9646250673053452E-4</v>
      </c>
      <c r="K128" s="2">
        <f>7.02118477389408*(1/14151.6638359215)</f>
        <v>4.9613846508083682E-4</v>
      </c>
      <c r="L128" s="2">
        <f>7.01453223818953*(1/14151.6638359215)</f>
        <v>4.9566837649042922E-4</v>
      </c>
      <c r="M128" s="2">
        <f>7.00581289527581*(1/14151.6638359215)</f>
        <v>4.9505224095931321E-4</v>
      </c>
      <c r="N128" s="2">
        <f>6.94505126613623*(1/14151.6638359215)</f>
        <v>4.9075863775872375E-4</v>
      </c>
      <c r="O128" s="2">
        <f>6.49592962727997*(1/14151.6638359215)</f>
        <v>4.5902232434261186E-4</v>
      </c>
      <c r="P128" s="2">
        <f>5.72239997112972*(1/14151.6638359215)</f>
        <v>4.0436234477280461E-4</v>
      </c>
      <c r="Q128" s="2">
        <f>4.77918607852619*(1/14151.6638359215)</f>
        <v>3.3771195627153541E-4</v>
      </c>
      <c r="R128" s="2">
        <f>3.82101173030992*(1/14151.6638359215)</f>
        <v>2.7000441606102576E-4</v>
      </c>
      <c r="S128" s="2">
        <f>3.00260070732198*(1/14151.6638359215)</f>
        <v>2.1217298136353465E-4</v>
      </c>
      <c r="T128" s="2">
        <f>2.47867679040291*(1/14151.6638359215)</f>
        <v>1.7515090940128372E-4</v>
      </c>
      <c r="U128" s="2">
        <f>2.4039637603934*(1/14151.6638359215)</f>
        <v>1.6987145739650502E-4</v>
      </c>
      <c r="V128" s="2">
        <f>2.93318539813417*(1/14151.6638359215)</f>
        <v>2.0726788257143284E-4</v>
      </c>
      <c r="W128" s="2">
        <f>4.22106548446591*(1/14151.6638359215)</f>
        <v>2.9827344214829925E-4</v>
      </c>
      <c r="X128" s="2">
        <f>6.42232780022983*(1/14151.6638359215)</f>
        <v>4.5382139334937318E-4</v>
      </c>
      <c r="Y128" s="2">
        <f>7.85076986066085*(1/14151.6638359215)</f>
        <v>5.5475949341963994E-4</v>
      </c>
      <c r="Z128" s="2">
        <f>6.40555922568129*(1/14151.6638359215)</f>
        <v>4.5263647440676969E-4</v>
      </c>
      <c r="AA128" s="2">
        <f>3.35267584401515*(1/14151.6638359215)</f>
        <v>2.3691036494980712E-4</v>
      </c>
      <c r="AB128" s="2">
        <f>-0.0013308658945595*(1/14151.6638359215)</f>
        <v>-9.4043068715448985E-8</v>
      </c>
      <c r="AC128" s="2">
        <f>-2.34991148560486*(1/14151.6638359215)</f>
        <v>-1.6605195776626806E-4</v>
      </c>
      <c r="AD128" s="2">
        <f>-2.3865165966724*(1/14151.6638359215)</f>
        <v>-1.6863858726029436E-4</v>
      </c>
      <c r="AE128" s="2">
        <f>1.195403219346*(1/14151.6638359215)</f>
        <v>8.4470860331749834E-5</v>
      </c>
      <c r="AF128" s="2">
        <f>9.7023973808931*(1/14151.6638359215)</f>
        <v>6.8560117689237909E-4</v>
      </c>
      <c r="AG128" s="2">
        <f>24.4410153064119*(1/14151.6638359215)</f>
        <v>1.7270771543041249E-3</v>
      </c>
      <c r="AH128" s="2">
        <f>46.7178064143454*(1/14151.6638359215)</f>
        <v>3.3012235844495186E-3</v>
      </c>
      <c r="AI128" s="2">
        <f>77.5167989453492*(1/14151.6638359215)</f>
        <v>5.4775749229278954E-3</v>
      </c>
      <c r="AJ128" s="2">
        <f>113.204764853223*(1/14151.6638359215)</f>
        <v>7.9993961251307207E-3</v>
      </c>
      <c r="AK128" s="2">
        <f>152.827556267348*(1/14151.6638359215)</f>
        <v>1.0799264174112321E-2</v>
      </c>
      <c r="AL128" s="2">
        <f>196.932195259733*(1/14151.6638359215)</f>
        <v>1.3915833328364923E-2</v>
      </c>
      <c r="AM128" s="2">
        <f>246.065703902386*(1/14151.6638359215)</f>
        <v>1.7387757846380695E-2</v>
      </c>
      <c r="AN128" s="2">
        <f>300.775104267314*(1/14151.6638359215)</f>
        <v>2.1253691986651741E-2</v>
      </c>
      <c r="AO128" s="2">
        <f>361.607418426525*(1/14151.6638359215)</f>
        <v>2.5552290007670224E-2</v>
      </c>
      <c r="AP128" s="2">
        <f>429.10966845204*(1/14151.6638359215)</f>
        <v>3.0322206167929237E-2</v>
      </c>
      <c r="AQ128" s="2">
        <f>503.828876415843*(1/14151.6638359215)</f>
        <v>3.5602094725919249E-2</v>
      </c>
      <c r="AR128" s="2">
        <f>586.312064389953*(1/14151.6638359215)</f>
        <v>4.1430609940133215E-2</v>
      </c>
      <c r="AS128" s="2">
        <f>677.106254446377*(1/14151.6638359215)</f>
        <v>4.7846406069063221E-2</v>
      </c>
      <c r="AT128" s="2">
        <f>777.812914756106*(1/14151.6638359215)</f>
        <v>5.4962647768792054E-2</v>
      </c>
      <c r="AU128" s="2">
        <f>890.370445134164*(1/14151.6638359215)</f>
        <v>6.2916308319458228E-2</v>
      </c>
      <c r="AV128" s="2">
        <f>1013.14333586621*(1/14151.6638359215)</f>
        <v>7.1591817585047818E-2</v>
      </c>
      <c r="AW128" s="2">
        <f>1144.3547092712*(1/14151.6638359215)</f>
        <v>8.086361593514238E-2</v>
      </c>
      <c r="AX128" s="2">
        <f>1282.22768766808*(1/14151.6638359215)</f>
        <v>9.0606143739322825E-2</v>
      </c>
      <c r="AY128" s="2">
        <f>1424.98539337578*(1/14151.6638359215)</f>
        <v>0.10069384136716887</v>
      </c>
      <c r="AZ128" s="2">
        <f>1570.85094871326*(1/14151.6638359215)</f>
        <v>0.1110011491882624</v>
      </c>
      <c r="BA128" s="2">
        <f>1718.04747599946*(1/14151.6638359215)</f>
        <v>0.12140250757218383</v>
      </c>
      <c r="BB128" s="2">
        <f>1864.79809755329*(1/14151.6638359215)</f>
        <v>0.13177235688851155</v>
      </c>
      <c r="BC128" s="2">
        <f>2009.3259356937*(1/14151.6638359215)</f>
        <v>0.14198513750682665</v>
      </c>
      <c r="BD128" s="2">
        <f>2150.09094299344*(1/14151.6638359215)</f>
        <v>0.15193202494930763</v>
      </c>
      <c r="BE128" s="2">
        <f>2294.0399782877*(1/14151.6638359215)</f>
        <v>0.16210390558209023</v>
      </c>
      <c r="BF128" s="2">
        <f>2443.59604807418*(1/14151.6638359215)</f>
        <v>0.17267199648083378</v>
      </c>
      <c r="BG128" s="2">
        <f>2596.70444440984*(1/14151.6638359215)</f>
        <v>0.18349110567610888</v>
      </c>
      <c r="BH128" s="2">
        <f>2751.31045935156*(1/14151.6638359215)</f>
        <v>0.19441604119848044</v>
      </c>
      <c r="BI128" s="2">
        <f>2905.3593849563*(1/14151.6638359215)</f>
        <v>0.20530161107851913</v>
      </c>
      <c r="BJ128" s="2">
        <f>3056.79651328099*(1/14151.6638359215)</f>
        <v>0.21600262334679346</v>
      </c>
      <c r="BK128" s="2">
        <f>3203.56713638257*(1/14151.6638359215)</f>
        <v>0.2263738860338726</v>
      </c>
      <c r="BL128" s="2">
        <f>3343.61654631797*(1/14151.6638359215)</f>
        <v>0.23627020717032507</v>
      </c>
      <c r="BM128" s="2">
        <f>3474.89003514415*(1/14151.6638359215)</f>
        <v>0.24554639478672147</v>
      </c>
      <c r="BN128" s="2">
        <f>3595.33289491799*(1/14151.6638359215)</f>
        <v>0.25405725691362679</v>
      </c>
      <c r="BO128" s="2">
        <f>3704.29996826859*(1/14151.6638359215)</f>
        <v>0.26175720475113878</v>
      </c>
      <c r="BP128" s="2">
        <f>3805.99992607241*(1/14151.6638359215)</f>
        <v>0.26894363590036324</v>
      </c>
      <c r="BQ128" s="2">
        <f>3901.02337285621*(1/14151.6638359215)</f>
        <v>0.2756582842898056</v>
      </c>
      <c r="BR128" s="2">
        <f>3989.50478392316*(1/14151.6638359215)</f>
        <v>0.2819106523571106</v>
      </c>
      <c r="BS128" s="2">
        <f>4071.57863457635*(1/14151.6638359215)</f>
        <v>0.28771024253991723</v>
      </c>
      <c r="BT128" s="2">
        <f>4147.37940011894*(1/14151.6638359215)</f>
        <v>0.29306655727586955</v>
      </c>
      <c r="BU128" s="2">
        <f>4217.04155585405*(1/14151.6638359215)</f>
        <v>0.29798909900260878</v>
      </c>
      <c r="BV128" s="2">
        <f>4280.69957708484*(1/14151.6638359215)</f>
        <v>0.30248737015777888</v>
      </c>
      <c r="BW128" s="2">
        <f>4338.48793911443*(1/14151.6638359215)</f>
        <v>0.30657087317902121</v>
      </c>
      <c r="BX128" s="2">
        <f>4390.54111724596*(1/14151.6638359215)</f>
        <v>0.31024911050397808</v>
      </c>
      <c r="BY128" s="2">
        <f>4436.99271459962*(1/14151.6638359215)</f>
        <v>0.31353152293916831</v>
      </c>
      <c r="BZ128" s="2">
        <f>4477.70086340644*(1/14151.6638359215)</f>
        <v>0.31640808567262507</v>
      </c>
      <c r="CA128" s="2">
        <f>4512.48177614252*(1/14151.6638359215)</f>
        <v>0.31886581171384115</v>
      </c>
      <c r="CB128" s="2">
        <f>4541.32696451337*(1/14151.6638359215)</f>
        <v>0.32090410125387608</v>
      </c>
      <c r="CC128" s="2">
        <f>4564.22794022451*(1/14151.6638359215)</f>
        <v>0.32252235448379035</v>
      </c>
      <c r="CD128" s="2">
        <f>4581.17621498144*(1/14151.6638359215)</f>
        <v>0.32371997159464272</v>
      </c>
      <c r="CE128" s="2">
        <f>4592.16330048967*(1/14151.6638359215)</f>
        <v>0.32449635277749284</v>
      </c>
      <c r="CF128" s="2">
        <f>4597.1807084547*(1/14151.6638359215)</f>
        <v>0.32485089822339963</v>
      </c>
      <c r="CG128" s="2">
        <f>4596.21995058205*(1/14151.6638359215)</f>
        <v>0.32478300812342342</v>
      </c>
      <c r="CH128" s="2">
        <f>4589.27253857723*(1/14151.6638359215)</f>
        <v>0.32429208266862392</v>
      </c>
      <c r="CI128" s="2">
        <f>4576.32998414573*(1/14151.6638359215)</f>
        <v>0.32337752205005921</v>
      </c>
      <c r="CJ128" s="2">
        <f>4557.09066097082*(1/14151.6638359215)</f>
        <v>0.32201801242645761</v>
      </c>
      <c r="CK128" s="2">
        <f>4530.05612073955*(1/14151.6638359215)</f>
        <v>0.32010766884108727</v>
      </c>
      <c r="CL128" s="2">
        <f>4495.61184454046*(1/14151.6638359215)</f>
        <v>0.31767373057075754</v>
      </c>
      <c r="CM128" s="2">
        <f>4454.46632571932*(1/14151.6638359215)</f>
        <v>0.31476626192974166</v>
      </c>
      <c r="CN128" s="2">
        <f>4407.32805762192*(1/14151.6638359215)</f>
        <v>0.31143532723231432</v>
      </c>
      <c r="CO128" s="2">
        <f>4354.90553359407*(1/14151.6638359215)</f>
        <v>0.30773099079275129</v>
      </c>
      <c r="CP128" s="2">
        <f>4297.90724698153*(1/14151.6638359215)</f>
        <v>0.30370331692532515</v>
      </c>
      <c r="CQ128" s="2">
        <f>4237.04169113011*(1/14151.6638359215)</f>
        <v>0.29940236994431196</v>
      </c>
      <c r="CR128" s="2">
        <f>4173.0173593856*(1/14151.6638359215)</f>
        <v>0.2948782141639863</v>
      </c>
      <c r="CS128" s="2">
        <f>4106.54274509378*(1/14151.6638359215)</f>
        <v>0.29018091389862199</v>
      </c>
      <c r="CT128" s="2">
        <f>4038.32634160045*(1/14151.6638359215)</f>
        <v>0.28536053346249451</v>
      </c>
      <c r="CU128" s="2">
        <f>3967.13231153083*(1/14151.6638359215)</f>
        <v>0.28032974479375106</v>
      </c>
      <c r="CV128" s="2">
        <f>3891.08759769213*(1/14151.6638359215)</f>
        <v>0.27495619192248555</v>
      </c>
      <c r="CW128" s="2">
        <f>3810.71620556122*(1/14151.6638359215)</f>
        <v>0.26927690268393667</v>
      </c>
      <c r="CX128" s="2">
        <f>3726.55066752693*(1/14151.6638359215)</f>
        <v>0.2633295074511125</v>
      </c>
      <c r="CY128" s="2">
        <f>3639.12351597806*(1/14151.6638359215)</f>
        <v>0.2571516365970189</v>
      </c>
      <c r="CZ128" s="2">
        <f>3548.96728330343*(1/14151.6638359215)</f>
        <v>0.25078092049466322</v>
      </c>
      <c r="DA128" s="2">
        <f>3456.61450189185*(1/14151.6638359215)</f>
        <v>0.24425498951705202</v>
      </c>
      <c r="DB128" s="2">
        <f>3362.59770413217*(1/14151.6638359215)</f>
        <v>0.23761147403719479</v>
      </c>
      <c r="DC128" s="2">
        <f>3267.44942241319*(1/14151.6638359215)</f>
        <v>0.23088800442809745</v>
      </c>
      <c r="DD128" s="2">
        <f>3171.70218912373*(1/14151.6638359215)</f>
        <v>0.22412221106276733</v>
      </c>
      <c r="DE128" s="2">
        <f>3075.66731720841*(1/14151.6638359215)</f>
        <v>0.21733609226933245</v>
      </c>
      <c r="DF128" s="2">
        <f>2977.51080821958*(1/14151.6638359215)</f>
        <v>0.21040005208869467</v>
      </c>
      <c r="DG128" s="2">
        <f>2876.98449795507*(1/14151.6638359215)</f>
        <v>0.20329655447667946</v>
      </c>
      <c r="DH128" s="2">
        <f>2774.44314698249*(1/14151.6638359215)</f>
        <v>0.19605066790380196</v>
      </c>
      <c r="DI128" s="2">
        <f>2670.24151586953*(1/14151.6638359215)</f>
        <v>0.1886874608405828</v>
      </c>
      <c r="DJ128" s="2">
        <f>2564.73436518382*(1/14151.6638359215)</f>
        <v>0.18123200175753856</v>
      </c>
      <c r="DK128" s="2">
        <f>2458.276455493*(1/14151.6638359215)</f>
        <v>0.17370935912518634</v>
      </c>
      <c r="DL128" s="2">
        <f>2351.22254736472*(1/14151.6638359215)</f>
        <v>0.16614460141404411</v>
      </c>
      <c r="DM128" s="2">
        <f>2243.92740136661*(1/14151.6638359215)</f>
        <v>0.15856279709462831</v>
      </c>
      <c r="DN128" s="2">
        <f>2136.74577806634*(1/14151.6638359215)</f>
        <v>0.15098901463745826</v>
      </c>
      <c r="DO128" s="2">
        <f>2030.03243803155*(1/14151.6638359215)</f>
        <v>0.14344832251305117</v>
      </c>
      <c r="DP128" s="2">
        <f>1922.27443770164*(1/14151.6638359215)</f>
        <v>0.13583381148598836</v>
      </c>
      <c r="DQ128" s="2">
        <f>1810.66774370096*(1/14151.6638359215)</f>
        <v>0.12794733995199206</v>
      </c>
      <c r="DR128" s="2">
        <f>1696.43434446871*(1/14151.6638359215)</f>
        <v>0.11987525736462246</v>
      </c>
      <c r="DS128" s="2">
        <f>1580.90138956929*(1/14151.6638359215)</f>
        <v>0.11171134418530003</v>
      </c>
      <c r="DT128" s="2">
        <f>1465.39602856712*(1/14151.6638359215)</f>
        <v>0.10354938087544667</v>
      </c>
      <c r="DU128" s="2">
        <f>1351.24541102664*(1/14151.6638359215)</f>
        <v>9.5483147896485654E-2</v>
      </c>
      <c r="DV128" s="2">
        <f>1239.77668651225*(1/14151.6638359215)</f>
        <v>8.760642570983744E-2</v>
      </c>
      <c r="DW128" s="2">
        <f>1132.31700458837*(1/14151.6638359215)</f>
        <v>8.0012994776923918E-2</v>
      </c>
      <c r="DX128" s="2">
        <f>1030.19351481941*(1/14151.6638359215)</f>
        <v>7.279663555916624E-2</v>
      </c>
      <c r="DY128" s="2">
        <f>934.733366769777*(1/14151.6638359215)</f>
        <v>6.6051128517985391E-2</v>
      </c>
      <c r="DZ128" s="2">
        <f>847.117597876667*(1/14151.6638359215)</f>
        <v>5.9859929383455857E-2</v>
      </c>
      <c r="EA128" s="2">
        <f>765.105121452033*(1/14151.6638359215)</f>
        <v>5.4064676092004729E-2</v>
      </c>
      <c r="EB128" s="2">
        <f>687.476960219172*(1/14151.6638359215)</f>
        <v>4.8579231968055456E-2</v>
      </c>
      <c r="EC128" s="2">
        <f>614.201789043659*(1/14151.6638359215)</f>
        <v>4.3401383481468533E-2</v>
      </c>
      <c r="ED128" s="2">
        <f>545.248282791074*(1/14151.6638359215)</f>
        <v>3.8528917102104807E-2</v>
      </c>
      <c r="EE128" s="2">
        <f>480.585116326979*(1/14151.6638359215)</f>
        <v>3.395961929982385E-2</v>
      </c>
      <c r="EF128" s="2">
        <f>420.180964516978*(1/14151.6638359215)</f>
        <v>2.9691276544488207E-2</v>
      </c>
      <c r="EG128" s="2">
        <f>364.004502226635*(1/14151.6638359215)</f>
        <v>2.5721675305957582E-2</v>
      </c>
      <c r="EH128" s="2">
        <f>312.024404321527*(1/14151.6638359215)</f>
        <v>2.204860205409262E-2</v>
      </c>
      <c r="EI128" s="2">
        <f>264.209345667232*(1/14151.6638359215)</f>
        <v>1.8669843258754017E-2</v>
      </c>
      <c r="EJ128" s="2">
        <f>220.528001129317*(1/14151.6638359215)</f>
        <v>1.5583185389801701E-2</v>
      </c>
      <c r="EK128" s="2">
        <f>181.54368842452*(1/14151.6638359215)</f>
        <v>1.2828434205997984E-2</v>
      </c>
      <c r="EL128" s="2">
        <f>148.692763735844*(1/14151.6638359215)</f>
        <v>1.0507087043603572E-2</v>
      </c>
      <c r="EM128" s="2">
        <f>121.38071735036*(1/14151.6638359215)</f>
        <v>8.5771340216728789E-3</v>
      </c>
      <c r="EN128" s="2">
        <f>98.8788286235481*(1/14151.6638359215)</f>
        <v>6.9870815029227625E-3</v>
      </c>
      <c r="EO128" s="2">
        <f>80.4583769108898*(1/14151.6638359215)</f>
        <v>5.6854358500701817E-3</v>
      </c>
      <c r="EP128" s="2">
        <f>65.3906415678651*(1/14151.6638359215)</f>
        <v>4.6207034258319863E-3</v>
      </c>
      <c r="EQ128" s="2">
        <f>52.9469019499522*(1/14151.6638359215)</f>
        <v>3.7413905929248995E-3</v>
      </c>
      <c r="ER128" s="2">
        <f>42.3984374126361*(1/14151.6638359215)</f>
        <v>2.9960037140661267E-3</v>
      </c>
      <c r="ES128" s="2">
        <f>33.0165273113948*(1/14151.6638359215)</f>
        <v>2.3330491519723763E-3</v>
      </c>
      <c r="ET128" s="2">
        <f>24.0724510017087*(1/14151.6638359215)</f>
        <v>1.701033269360528E-3</v>
      </c>
      <c r="EU128" s="2">
        <f>14.8697837347941*(1/14151.6638359215)</f>
        <v>1.050744556060594E-3</v>
      </c>
      <c r="EV128" s="2">
        <f>7.25936391815147*(1/14151.6638359215)</f>
        <v>5.1296893441779307E-4</v>
      </c>
      <c r="EW128" s="2">
        <f>2.34509975933479*(1/14151.6638359215)</f>
        <v>1.6571194642019184E-4</v>
      </c>
      <c r="EX128" s="2">
        <f>-0.315013251778258*(1/14151.6638359215)</f>
        <v>-2.2259803188558826E-5</v>
      </c>
      <c r="EY128" s="2">
        <f>-1.16297962530829*(1/14151.6638359215)</f>
        <v>-8.2179709664687733E-5</v>
      </c>
      <c r="EZ128" s="2">
        <f>-0.640803871375917*(1/14151.6638359215)</f>
        <v>-4.5281168264423407E-5</v>
      </c>
      <c r="FA128" s="2">
        <f>0.809509499898255*(1/14151.6638359215)</f>
        <v>5.7202425756006024E-5</v>
      </c>
      <c r="FB128" s="2">
        <f>2.74595597839399*(1/14151.6638359215)</f>
        <v>1.9403767714039856E-4</v>
      </c>
      <c r="FC128" s="2">
        <f>4.7265310539899*(1/14151.6638359215)</f>
        <v>3.3399119063247075E-4</v>
      </c>
      <c r="FD128" s="2">
        <f>6.30923021656569*(1/14151.6638359215)</f>
        <v>4.4582957097601648E-4</v>
      </c>
      <c r="FE128" s="2">
        <f>7.05204895600074*(1/14151.6638359215)</f>
        <v>4.9831942291480658E-4</v>
      </c>
      <c r="FF128" s="2">
        <f>6.77229351359524*(1/14151.6638359215)</f>
        <v>4.7855104474747121E-4</v>
      </c>
      <c r="FG128" s="2">
        <f>6.430733783988*(1/14151.6638359215)</f>
        <v>4.544153859608167E-4</v>
      </c>
      <c r="FH128" s="2">
        <f>6.17013636065808*(1/14151.6638359215)</f>
        <v>4.3600077221989109E-4</v>
      </c>
      <c r="FI128" s="2">
        <f>5.99050124360542*(1/14151.6638359215)</f>
        <v>4.233072035246902E-4</v>
      </c>
      <c r="FJ128" s="2">
        <f>5.89182843283001*(1/14151.6638359215)</f>
        <v>4.1633467987521329E-4</v>
      </c>
      <c r="FK128" s="2">
        <f>5.87411792833186*(1/14151.6638359215)</f>
        <v>4.1508320127146104E-4</v>
      </c>
      <c r="FL128" s="2">
        <f>5.93736973011097*(1/14151.6638359215)</f>
        <v>4.1955276771343353E-4</v>
      </c>
      <c r="FM128" s="2">
        <f>6.08158383816736*(1/14151.6638359215)</f>
        <v>4.2974337920113204E-4</v>
      </c>
      <c r="FN128" s="2">
        <f>6.30676025250098*(1/14151.6638359215)</f>
        <v>4.4565503573455316E-4</v>
      </c>
      <c r="FO128" s="2">
        <f>6.61289897311187*(1/14151.6638359215)</f>
        <v>4.6728773731369972E-4</v>
      </c>
      <c r="FP128" s="2">
        <f t="shared" si="19"/>
        <v>4.9464148393856954E-4</v>
      </c>
      <c r="FQ128" s="2"/>
    </row>
    <row r="129" spans="2:173">
      <c r="B129" s="2">
        <v>10.492899408284025</v>
      </c>
      <c r="C129" s="2">
        <f t="shared" si="20"/>
        <v>4.9464148393856954E-4</v>
      </c>
      <c r="D129" s="2">
        <f>6.99050831686862*(1/14151.6638359215)</f>
        <v>4.9397077247725809E-4</v>
      </c>
      <c r="E129" s="2">
        <f>6.98300182236603*(1/14151.6638359215)</f>
        <v>4.9344034053726694E-4</v>
      </c>
      <c r="F129" s="2">
        <f>6.97748051649222*(1/14151.6638359215)</f>
        <v>4.9305018811859544E-4</v>
      </c>
      <c r="G129" s="2">
        <f>6.9739443992472*(1/14151.6638359215)</f>
        <v>4.9280031522124445E-4</v>
      </c>
      <c r="H129" s="2">
        <f>6.97239347063097*(1/14151.6638359215)</f>
        <v>4.9269072184521376E-4</v>
      </c>
      <c r="I129" s="2">
        <f>6.97282773064351*(1/14151.6638359215)</f>
        <v>4.9272140799050195E-4</v>
      </c>
      <c r="J129" s="2">
        <f>6.97524717928485*(1/14151.6638359215)</f>
        <v>4.9289237365711131E-4</v>
      </c>
      <c r="K129" s="2">
        <f>6.97965181655496*(1/14151.6638359215)</f>
        <v>4.9320361884503978E-4</v>
      </c>
      <c r="L129" s="2">
        <f>6.98604164245386*(1/14151.6638359215)</f>
        <v>4.9365514355428843E-4</v>
      </c>
      <c r="M129" s="2">
        <f>6.99441665698154*(1/14151.6638359215)</f>
        <v>4.9424694778485683E-4</v>
      </c>
      <c r="N129" s="2">
        <f>6.97214703234777*(1/14151.6638359215)</f>
        <v>4.9267330775977069E-4</v>
      </c>
      <c r="O129" s="2">
        <f>6.69964529052861*(1/14151.6638359215)</f>
        <v>4.7341749833844582E-4</v>
      </c>
      <c r="P129" s="2">
        <f>6.21866675914981*(1/14151.6638359215)</f>
        <v>4.3943007912361677E-4</v>
      </c>
      <c r="Q129" s="2">
        <f>5.63023318774181*(1/14151.6638359215)</f>
        <v>3.9784955698639882E-4</v>
      </c>
      <c r="R129" s="2">
        <f>5.03536632583495*(1/14151.6638359215)</f>
        <v>3.5581443879790034E-4</v>
      </c>
      <c r="S129" s="2">
        <f>4.53508792295991*(1/14151.6638359215)</f>
        <v>3.2046323142925358E-4</v>
      </c>
      <c r="T129" s="2">
        <f>4.23041972864702*(1/14151.6638359215)</f>
        <v>2.9893444175156615E-4</v>
      </c>
      <c r="U129" s="2">
        <f>4.22238349242671*(1/14151.6638359215)</f>
        <v>2.9836657663595252E-4</v>
      </c>
      <c r="V129" s="2">
        <f>4.61200096382943*(1/14151.6638359215)</f>
        <v>3.2589814295352887E-4</v>
      </c>
      <c r="W129" s="2">
        <f>5.50029389238562*(1/14151.6638359215)</f>
        <v>3.8866764757541054E-4</v>
      </c>
      <c r="X129" s="2">
        <f>6.98828402762605*(1/14151.6638359215)</f>
        <v>4.9381359737273609E-4</v>
      </c>
      <c r="Y129" s="2">
        <f>7.54717469421461*(1/14151.6638359215)</f>
        <v>5.3330652718427637E-4</v>
      </c>
      <c r="Z129" s="2">
        <f>5.32703260871559*(1/14151.6638359215)</f>
        <v>3.7642447350917554E-4</v>
      </c>
      <c r="AA129" s="2">
        <f>1.4909124798566*(1/14151.6638359215)</f>
        <v>1.0535245163697161E-4</v>
      </c>
      <c r="AB129" s="2">
        <f>-2.7620096062091*(1/14151.6638359215)</f>
        <v>-1.9517207575255049E-4</v>
      </c>
      <c r="AC129" s="2">
        <f>-6.23255756332827*(1/14151.6638359215)</f>
        <v>-4.4041164597960724E-4</v>
      </c>
      <c r="AD129" s="2">
        <f>-7.72155530534762*(1/14151.6638359215)</f>
        <v>-5.4562879636441163E-4</v>
      </c>
      <c r="AE129" s="2">
        <f>-6.02982674611318*(1/14151.6638359215)</f>
        <v>-4.260860642271285E-4</v>
      </c>
      <c r="AF129" s="2">
        <f>0.0418042005278125*(1/14151.6638359215)</f>
        <v>2.9540131119918157E-6</v>
      </c>
      <c r="AG129" s="2">
        <f>11.6925136207287*(1/14151.6638359215)</f>
        <v>8.2622889833274015E-4</v>
      </c>
      <c r="AH129" s="2">
        <f>30.1214776006426*(1/14151.6638359215)</f>
        <v>2.1284760541148912E-3</v>
      </c>
      <c r="AI129" s="2">
        <f>56.1916191490925*(1/14151.6638359215)</f>
        <v>3.9706722686882936E-3</v>
      </c>
      <c r="AJ129" s="2">
        <f>86.0484696725452*(1/14151.6638359215)</f>
        <v>6.0804489613529647E-3</v>
      </c>
      <c r="AK129" s="2">
        <f>118.843733621613*(1/14151.6638359215)</f>
        <v>8.3978629650563897E-3</v>
      </c>
      <c r="AL129" s="2">
        <f>155.320664570401*(1/14151.6638359215)</f>
        <v>1.0975434858489707E-2</v>
      </c>
      <c r="AM129" s="2">
        <f>196.222516093017*(1/14151.6638359215)</f>
        <v>1.3865685220344252E-2</v>
      </c>
      <c r="AN129" s="2">
        <f>242.292541763564*(1/14151.6638359215)</f>
        <v>1.712113462931102E-2</v>
      </c>
      <c r="AO129" s="2">
        <f>294.27399515615*(1/14151.6638359215)</f>
        <v>2.0794303664081353E-2</v>
      </c>
      <c r="AP129" s="2">
        <f>352.910129844892*(1/14151.6638359215)</f>
        <v>2.4937712903347238E-2</v>
      </c>
      <c r="AQ129" s="2">
        <f>418.944199403873*(1/14151.6638359215)</f>
        <v>2.9603882925798245E-2</v>
      </c>
      <c r="AR129" s="2">
        <f>493.119457407211*(1/14151.6638359215)</f>
        <v>3.4845334310126437E-2</v>
      </c>
      <c r="AS129" s="2">
        <f>576.17915742901*(1/14151.6638359215)</f>
        <v>4.0714587635022885E-2</v>
      </c>
      <c r="AT129" s="2">
        <f>669.649349823464*(1/14151.6638359215)</f>
        <v>4.7319478302168073E-2</v>
      </c>
      <c r="AU129" s="2">
        <f>774.935727562427*(1/14151.6638359215)</f>
        <v>5.4759336891213421E-2</v>
      </c>
      <c r="AV129" s="2">
        <f>890.442989700462*(1/14151.6638359215)</f>
        <v>6.292143454116185E-2</v>
      </c>
      <c r="AW129" s="2">
        <f>1014.46332595703*(1/14151.6638359215)</f>
        <v>7.1685092136091727E-2</v>
      </c>
      <c r="AX129" s="2">
        <f>1145.28892605156*(1/14151.6638359215)</f>
        <v>8.0929630560079194E-2</v>
      </c>
      <c r="AY129" s="2">
        <f>1281.21197970349*(1/14151.6638359215)</f>
        <v>9.0534370697200967E-2</v>
      </c>
      <c r="AZ129" s="2">
        <f>1420.52467663227*(1/14151.6638359215)</f>
        <v>0.10037863343153468</v>
      </c>
      <c r="BA129" s="2">
        <f>1561.51920655736*(1/14151.6638359215)</f>
        <v>0.1103417396471586</v>
      </c>
      <c r="BB129" s="2">
        <f>1702.48775919815*(1/14151.6638359215)</f>
        <v>0.12030301022814613</v>
      </c>
      <c r="BC129" s="2">
        <f>1841.72252427409*(1/14151.6638359215)</f>
        <v>0.13014176605857486</v>
      </c>
      <c r="BD129" s="2">
        <f>1977.75370961796*(1/14151.6638359215)</f>
        <v>0.13975414711291981</v>
      </c>
      <c r="BE129" s="2">
        <f>2117.60367983426*(1/14151.6638359215)</f>
        <v>0.14963637522671344</v>
      </c>
      <c r="BF129" s="2">
        <f>2263.64426592981*(1/14151.6638359215)</f>
        <v>0.15995605125836501</v>
      </c>
      <c r="BG129" s="2">
        <f>2413.72965609831*(1/14151.6638359215)</f>
        <v>0.17056154555985731</v>
      </c>
      <c r="BH129" s="2">
        <f>2565.71403853334*(1/14151.6638359215)</f>
        <v>0.18130122848316452</v>
      </c>
      <c r="BI129" s="2">
        <f>2717.4516014286*(1/14151.6638359215)</f>
        <v>0.19202347038026929</v>
      </c>
      <c r="BJ129" s="2">
        <f>2866.79653297773*(1/14151.6638359215)</f>
        <v>0.20257664160315009</v>
      </c>
      <c r="BK129" s="2">
        <f>3011.6030213744*(1/14151.6638359215)</f>
        <v>0.21280911250378756</v>
      </c>
      <c r="BL129" s="2">
        <f>3149.72525481227*(1/14151.6638359215)</f>
        <v>0.22256925343416148</v>
      </c>
      <c r="BM129" s="2">
        <f>3279.01742148501*(1/14151.6638359215)</f>
        <v>0.23170543474625246</v>
      </c>
      <c r="BN129" s="2">
        <f>3397.33370958624*(1/14151.6638359215)</f>
        <v>0.24006602679203756</v>
      </c>
      <c r="BO129" s="2">
        <f>3503.98944113097*(1/14151.6638359215)</f>
        <v>0.24760264812372887</v>
      </c>
      <c r="BP129" s="2">
        <f>3603.34628036278*(1/14151.6638359215)</f>
        <v>0.25462350732331007</v>
      </c>
      <c r="BQ129" s="2">
        <f>3696.03356466053*(1/14151.6638359215)</f>
        <v>0.2611730753014922</v>
      </c>
      <c r="BR129" s="2">
        <f>3782.20860261168*(1/14151.6638359215)</f>
        <v>0.26726246796586639</v>
      </c>
      <c r="BS129" s="2">
        <f>3862.02870280363*(1/14151.6638359215)</f>
        <v>0.2729028012240195</v>
      </c>
      <c r="BT129" s="2">
        <f>3935.65117382381*(1/14151.6638359215)</f>
        <v>0.27810519098354036</v>
      </c>
      <c r="BU129" s="2">
        <f>4003.23332425966*(1/14151.6638359215)</f>
        <v>0.28288075315201872</v>
      </c>
      <c r="BV129" s="2">
        <f>4064.9324626986*(1/14151.6638359215)</f>
        <v>0.28724060363704279</v>
      </c>
      <c r="BW129" s="2">
        <f>4120.90589772807*(1/14151.6638359215)</f>
        <v>0.29119585834620226</v>
      </c>
      <c r="BX129" s="2">
        <f>4171.3109379355*(1/14151.6638359215)</f>
        <v>0.29475763318708603</v>
      </c>
      <c r="BY129" s="2">
        <f>4216.30409422862*(1/14151.6638359215)</f>
        <v>0.29793698770078725</v>
      </c>
      <c r="BZ129" s="2">
        <f>4255.77694608173*(1/14151.6638359215)</f>
        <v>0.30072626056020296</v>
      </c>
      <c r="CA129" s="2">
        <f>4289.53679108676*(1/14151.6638359215)</f>
        <v>0.30311183482174925</v>
      </c>
      <c r="CB129" s="2">
        <f>4317.54113707933*(1/14151.6638359215)</f>
        <v>0.30509070785867698</v>
      </c>
      <c r="CC129" s="2">
        <f>4339.7474918951*(1/14151.6638359215)</f>
        <v>0.30665987704423969</v>
      </c>
      <c r="CD129" s="2">
        <f>4356.1133633697*(1/14151.6638359215)</f>
        <v>0.30781633975168882</v>
      </c>
      <c r="CE129" s="2">
        <f>4366.59625933877*(1/14151.6638359215)</f>
        <v>0.30855709335427661</v>
      </c>
      <c r="CF129" s="2">
        <f>4371.15368763794*(1/14151.6638359215)</f>
        <v>0.3088791352252544</v>
      </c>
      <c r="CG129" s="2">
        <f>4369.74315610285*(1/14151.6638359215)</f>
        <v>0.30877946273787454</v>
      </c>
      <c r="CH129" s="2">
        <f>4362.32217256915*(1/14151.6638359215)</f>
        <v>0.30825507326538987</v>
      </c>
      <c r="CI129" s="2">
        <f>4348.84824487247*(1/14151.6638359215)</f>
        <v>0.30730296418105174</v>
      </c>
      <c r="CJ129" s="2">
        <f>4328.96582026217*(1/14151.6638359215)</f>
        <v>0.30589801103626096</v>
      </c>
      <c r="CK129" s="2">
        <f>4301.06750023796*(1/14151.6638359215)</f>
        <v>0.30392663011966553</v>
      </c>
      <c r="CL129" s="2">
        <f>4265.59878929137*(1/14151.6638359215)</f>
        <v>0.30142030214594984</v>
      </c>
      <c r="CM129" s="2">
        <f>4223.35308107596*(1/14151.6638359215)</f>
        <v>0.29843509074570612</v>
      </c>
      <c r="CN129" s="2">
        <f>4175.12376924526*(1/14151.6638359215)</f>
        <v>0.29502705954952413</v>
      </c>
      <c r="CO129" s="2">
        <f>4121.70424745283*(1/14151.6638359215)</f>
        <v>0.2912522721879961</v>
      </c>
      <c r="CP129" s="2">
        <f>4063.88790935221*(1/14151.6638359215)</f>
        <v>0.2871667922917126</v>
      </c>
      <c r="CQ129" s="2">
        <f>4002.46814859697*(1/14151.6638359215)</f>
        <v>0.28282668349126633</v>
      </c>
      <c r="CR129" s="2">
        <f>3938.23835884064*(1/14151.6638359215)</f>
        <v>0.2782880094172473</v>
      </c>
      <c r="CS129" s="2">
        <f>3871.99193373679*(1/14151.6638359215)</f>
        <v>0.27360683370024819</v>
      </c>
      <c r="CT129" s="2">
        <f>3804.52226693894*(1/14151.6638359215)</f>
        <v>0.26883921997085825</v>
      </c>
      <c r="CU129" s="2">
        <f>3734.54040104286*(1/14151.6638359215)</f>
        <v>0.26389408654291158</v>
      </c>
      <c r="CV129" s="2">
        <f>3660.02740316514*(1/14151.6638359215)</f>
        <v>0.25862876942249058</v>
      </c>
      <c r="CW129" s="2">
        <f>3581.50317647879*(1/14151.6638359215)</f>
        <v>0.25308000656345275</v>
      </c>
      <c r="CX129" s="2">
        <f>3499.49670690991*(1/14151.6638359215)</f>
        <v>0.24728517773486502</v>
      </c>
      <c r="CY129" s="2">
        <f>3414.53698038463*(1/14151.6638359215)</f>
        <v>0.24128166270579654</v>
      </c>
      <c r="CZ129" s="2">
        <f>3327.15298282904*(1/14151.6638359215)</f>
        <v>0.23510684124531347</v>
      </c>
      <c r="DA129" s="2">
        <f>3237.87370016927*(1/14151.6638359215)</f>
        <v>0.22879809312248495</v>
      </c>
      <c r="DB129" s="2">
        <f>3147.22811833144*(1/14151.6638359215)</f>
        <v>0.22239279810637935</v>
      </c>
      <c r="DC129" s="2">
        <f>3055.74522324166*(1/14151.6638359215)</f>
        <v>0.21592833596606431</v>
      </c>
      <c r="DD129" s="2">
        <f>2963.95400082605*(1/14151.6638359215)</f>
        <v>0.20944208647060825</v>
      </c>
      <c r="DE129" s="2">
        <f>2872.1821885752*(1/14151.6638359215)</f>
        <v>0.20295720855696647</v>
      </c>
      <c r="DF129" s="2">
        <f>2778.77678920851*(1/14151.6638359215)</f>
        <v>0.19635689636402157</v>
      </c>
      <c r="DG129" s="2">
        <f>2683.47024636255*(1/14151.6638359215)</f>
        <v>0.18962224353796722</v>
      </c>
      <c r="DH129" s="2">
        <f>2586.53748679544*(1/14151.6638359215)</f>
        <v>0.18277267724731924</v>
      </c>
      <c r="DI129" s="2">
        <f>2488.25343726535*(1/14151.6638359215)</f>
        <v>0.17582762466059701</v>
      </c>
      <c r="DJ129" s="2">
        <f>2388.89302453042*(1/14151.6638359215)</f>
        <v>0.16880651294631779</v>
      </c>
      <c r="DK129" s="2">
        <f>2288.73117534878*(1/14151.6638359215)</f>
        <v>0.16172876927299815</v>
      </c>
      <c r="DL129" s="2">
        <f>2188.04281647858*(1/14151.6638359215)</f>
        <v>0.15461382080915601</v>
      </c>
      <c r="DM129" s="2">
        <f>2087.10287467793*(1/14151.6638359215)</f>
        <v>0.14748109472330651</v>
      </c>
      <c r="DN129" s="2">
        <f>1986.18627670501*(1/14151.6638359215)</f>
        <v>0.14035001818396978</v>
      </c>
      <c r="DO129" s="2">
        <f>1885.56794931796*(1/14151.6638359215)</f>
        <v>0.13324001835966304</v>
      </c>
      <c r="DP129" s="2">
        <f>1783.79933047102*(1/14151.6638359215)</f>
        <v>0.12604873541040174</v>
      </c>
      <c r="DQ129" s="2">
        <f>1678.30267112208*(1/14151.6638359215)</f>
        <v>0.11859401767741296</v>
      </c>
      <c r="DR129" s="2">
        <f>1570.26611877227*(1/14151.6638359215)</f>
        <v>0.11095982330971053</v>
      </c>
      <c r="DS129" s="2">
        <f>1460.97552775393*(1/14151.6638359215)</f>
        <v>0.10323701472087696</v>
      </c>
      <c r="DT129" s="2">
        <f>1351.71675239936*(1/14151.6638359215)</f>
        <v>9.551645432449192E-2</v>
      </c>
      <c r="DU129" s="2">
        <f>1243.77564704093*(1/14151.6638359215)</f>
        <v>8.7889004534140017E-2</v>
      </c>
      <c r="DV129" s="2">
        <f>1138.43806601093*(1/14151.6638359215)</f>
        <v>8.0445527763400235E-2</v>
      </c>
      <c r="DW129" s="2">
        <f>1036.98986364171*(1/14151.6638359215)</f>
        <v>7.3276886425855753E-2</v>
      </c>
      <c r="DX129" s="2">
        <f>940.716894265571*(1/14151.6638359215)</f>
        <v>6.647394293508635E-2</v>
      </c>
      <c r="DY129" s="2">
        <f>850.905012214834*(1/14151.6638359215)</f>
        <v>6.0127559704673157E-2</v>
      </c>
      <c r="DZ129" s="2">
        <f>768.700607895406*(1/14151.6638359215)</f>
        <v>5.4318744199123449E-2</v>
      </c>
      <c r="EA129" s="2">
        <f>691.97347229223*(1/14151.6638359215)</f>
        <v>4.8896969311536184E-2</v>
      </c>
      <c r="EB129" s="2">
        <f>619.543742159875*(1/14151.6638359215)</f>
        <v>4.3778862283830731E-2</v>
      </c>
      <c r="EC129" s="2">
        <f>551.361501083412*(1/14151.6638359215)</f>
        <v>3.8960895868928022E-2</v>
      </c>
      <c r="ED129" s="2">
        <f>487.376832647916*(1/14151.6638359215)</f>
        <v>3.4439542819749293E-2</v>
      </c>
      <c r="EE129" s="2">
        <f>427.539820438449*(1/14151.6638359215)</f>
        <v>3.0211275889214854E-2</v>
      </c>
      <c r="EF129" s="2">
        <f>371.800548040106*(1/14151.6638359215)</f>
        <v>2.627256783024735E-2</v>
      </c>
      <c r="EG129" s="2">
        <f>320.10909903795*(1/14151.6638359215)</f>
        <v>2.2619891395767158E-2</v>
      </c>
      <c r="EH129" s="2">
        <f>272.415557017054*(1/14151.6638359215)</f>
        <v>1.9249719338695372E-2</v>
      </c>
      <c r="EI129" s="2">
        <f>228.670005562492*(1/14151.6638359215)</f>
        <v>1.6158524411953142E-2</v>
      </c>
      <c r="EJ129" s="2">
        <f>188.822528259329*(1/14151.6638359215)</f>
        <v>1.3342779368460997E-2</v>
      </c>
      <c r="EK129" s="2">
        <f>153.439667462534*(1/14151.6638359215)</f>
        <v>1.0842517829815495E-2</v>
      </c>
      <c r="EL129" s="2">
        <f>124.010742499891*(1/14151.6638359215)</f>
        <v>8.7629796706385592E-3</v>
      </c>
      <c r="EM129" s="2">
        <f>99.9386960013286*(1/14151.6638359215)</f>
        <v>7.0619749847118229E-3</v>
      </c>
      <c r="EN129" s="2">
        <f>80.4879431142775*(1/14151.6638359215)</f>
        <v>5.6875250887441992E-3</v>
      </c>
      <c r="EO129" s="2">
        <f>64.9228989861679*(1/14151.6638359215)</f>
        <v>4.5876512994445628E-3</v>
      </c>
      <c r="EP129" s="2">
        <f>52.5079787644302*(1/14151.6638359215)</f>
        <v>3.7103749335218074E-3</v>
      </c>
      <c r="EQ129" s="2">
        <f>42.5075975964928*(1/14151.6638359215)</f>
        <v>3.0037173076846815E-3</v>
      </c>
      <c r="ER129" s="2">
        <f>34.1861706297898*(1/14151.6638359215)</f>
        <v>2.4156997386423386E-3</v>
      </c>
      <c r="ES129" s="2">
        <f>26.8081130117495*(1/14151.6638359215)</f>
        <v>1.8943435431035213E-3</v>
      </c>
      <c r="ET129" s="2">
        <f>19.6378398898022*(1/14151.6638359215)</f>
        <v>1.3876700377771138E-3</v>
      </c>
      <c r="EU129" s="2">
        <f>11.9707774711176*(1/14151.6638359215)</f>
        <v>8.4589187603028671E-4</v>
      </c>
      <c r="EV129" s="2">
        <f>5.56358420870208*(1/14151.6638359215)</f>
        <v>3.9313993557279846E-4</v>
      </c>
      <c r="EW129" s="2">
        <f>1.50370503367239*(1/14151.6638359215)</f>
        <v>1.0625641275165824E-4</v>
      </c>
      <c r="EX129" s="2">
        <f>-0.596566289007523*(1/14151.6638359215)</f>
        <v>-4.2155204923200959E-5</v>
      </c>
      <c r="EY129" s="2">
        <f>-1.12493599437232*(1/14151.6638359215)</f>
        <v>-7.9491429941747814E-5</v>
      </c>
      <c r="EZ129" s="2">
        <f>-0.469110317456636*(1/14151.6638359215)</f>
        <v>-3.3148774793949127E-5</v>
      </c>
      <c r="FA129" s="2">
        <f>0.983204506704865*(1/14151.6638359215)</f>
        <v>6.9476248030226237E-5</v>
      </c>
      <c r="FB129" s="2">
        <f>2.8443022430779*(1/14151.6638359215)</f>
        <v>2.0098712604083634E-4</v>
      </c>
      <c r="FC129" s="2">
        <f>4.72647665662706*(1/14151.6638359215)</f>
        <v>3.339873467478597E-4</v>
      </c>
      <c r="FD129" s="2">
        <f>6.24202151231803*(1/14151.6638359215)</f>
        <v>4.4108039766135209E-4</v>
      </c>
      <c r="FE129" s="2">
        <f>7.00323057511613*(1/14151.6638359215)</f>
        <v>4.9486976629134352E-4</v>
      </c>
      <c r="FF129" s="2">
        <f>6.8498531966049*(1/14151.6638359215)</f>
        <v>4.8403164999000025E-4</v>
      </c>
      <c r="FG129" s="2">
        <f>6.62463299151218*(1/14151.6638359215)</f>
        <v>4.681168990671414E-4</v>
      </c>
      <c r="FH129" s="2">
        <f>6.45279831651555*(1/14151.6638359215)</f>
        <v>4.5597453354822215E-4</v>
      </c>
      <c r="FI129" s="2">
        <f>6.33434917161496*(1/14151.6638359215)</f>
        <v>4.4760455343323895E-4</v>
      </c>
      <c r="FJ129" s="2">
        <f>6.26928555681041*(1/14151.6638359215)</f>
        <v>4.4300695872219182E-4</v>
      </c>
      <c r="FK129" s="2">
        <f>6.2576074721019*(1/14151.6638359215)</f>
        <v>4.4218174941508071E-4</v>
      </c>
      <c r="FL129" s="2">
        <f>6.29931491748943*(1/14151.6638359215)</f>
        <v>4.4512892551190565E-4</v>
      </c>
      <c r="FM129" s="2">
        <f>6.39440789297302*(1/14151.6638359215)</f>
        <v>4.5184848701266807E-4</v>
      </c>
      <c r="FN129" s="2">
        <f>6.54288639855264*(1/14151.6638359215)</f>
        <v>4.6234043391736585E-4</v>
      </c>
      <c r="FO129" s="2">
        <f>6.7447504342283*(1/14151.6638359215)</f>
        <v>4.7660476622599969E-4</v>
      </c>
      <c r="FP129" s="2">
        <f t="shared" si="19"/>
        <v>4.9464148393856954E-4</v>
      </c>
      <c r="FQ129" s="2"/>
    </row>
    <row r="130" spans="2:173">
      <c r="B130" s="2">
        <v>10.502366863905326</v>
      </c>
      <c r="C130" s="2">
        <f t="shared" si="20"/>
        <v>4.9464148393856954E-4</v>
      </c>
      <c r="D130" s="2">
        <f>7.00710662032393*(1/14151.6638359215)</f>
        <v>4.9514365954182911E-4</v>
      </c>
      <c r="E130" s="2">
        <f>7.01272688868468*(1/14151.6638359215)</f>
        <v>4.9554080495355687E-4</v>
      </c>
      <c r="F130" s="2">
        <f>7.01686080508226*(1/14151.6638359215)</f>
        <v>4.9583292017375358E-4</v>
      </c>
      <c r="G130" s="2">
        <f>7.01950836951667*(1/14151.6638359215)</f>
        <v>4.9602000520241924E-4</v>
      </c>
      <c r="H130" s="2">
        <f>7.0206695819879*(1/14151.6638359215)</f>
        <v>4.9610206003955308E-4</v>
      </c>
      <c r="I130" s="2">
        <f>7.02034444249595*(1/14151.6638359215)</f>
        <v>4.9607908468515523E-4</v>
      </c>
      <c r="J130" s="2">
        <f>7.01853295104084*(1/14151.6638359215)</f>
        <v>4.9595107913922697E-4</v>
      </c>
      <c r="K130" s="2">
        <f>7.01523510762254*(1/14151.6638359215)</f>
        <v>4.9571804340176626E-4</v>
      </c>
      <c r="L130" s="2">
        <f>7.01045091224107*(1/14151.6638359215)</f>
        <v>4.9537997747277449E-4</v>
      </c>
      <c r="M130" s="2">
        <f>7.00418036489643*(1/14151.6638359215)</f>
        <v>4.9493688135225167E-4</v>
      </c>
      <c r="N130" s="2">
        <f>6.97778813702169*(1/14151.6638359215)</f>
        <v>4.9307192552933653E-4</v>
      </c>
      <c r="O130" s="2">
        <f>6.80586489981302*(1/14151.6638359215)</f>
        <v>4.809233019327052E-4</v>
      </c>
      <c r="P130" s="2">
        <f>6.51225767614558*(1/14151.6638359215)</f>
        <v>4.6017611438842719E-4</v>
      </c>
      <c r="Q130" s="2">
        <f>6.15466133057723*(1/14151.6638359215)</f>
        <v>4.3490725909943603E-4</v>
      </c>
      <c r="R130" s="2">
        <f>5.79077072766582*(1/14151.6638359215)</f>
        <v>4.0919363226866453E-4</v>
      </c>
      <c r="S130" s="2">
        <f>5.47828073196939*(1/14151.6638359215)</f>
        <v>3.8711213009905886E-4</v>
      </c>
      <c r="T130" s="2">
        <f>5.27488620804574*(1/14151.6638359215)</f>
        <v>3.7273964879354842E-4</v>
      </c>
      <c r="U130" s="2">
        <f>5.23828202045279*(1/14151.6638359215)</f>
        <v>3.7015308455507086E-4</v>
      </c>
      <c r="V130" s="2">
        <f>5.42616303374843*(1/14151.6638359215)</f>
        <v>3.8342933358656198E-4</v>
      </c>
      <c r="W130" s="2">
        <f>5.89622411249054*(1/14151.6638359215)</f>
        <v>4.1664529209095656E-4</v>
      </c>
      <c r="X130" s="2">
        <f>6.7061601212372*(1/14151.6638359215)</f>
        <v>4.7387785627120378E-4</v>
      </c>
      <c r="Y130" s="2">
        <f>6.46079603443259*(1/14151.6638359215)</f>
        <v>4.5653967684230887E-4</v>
      </c>
      <c r="Z130" s="2">
        <f>3.52003165924327*(1/14151.6638359215)</f>
        <v>2.4873624049126232E-4</v>
      </c>
      <c r="AA130" s="2">
        <f>-1.04132979239098*(1/14151.6638359215)</f>
        <v>-7.3583559111102404E-5</v>
      </c>
      <c r="AB130" s="2">
        <f>-6.11610165103459*(1/14151.6638359215)</f>
        <v>-4.3218251379812642E-4</v>
      </c>
      <c r="AC130" s="2">
        <f>-10.597097247252*(1/14151.6638359215)</f>
        <v>-7.4882341540315135E-4</v>
      </c>
      <c r="AD130" s="2">
        <f>-13.3771299116079*(1/14151.6638359215)</f>
        <v>-9.4526905575953685E-4</v>
      </c>
      <c r="AE130" s="2">
        <f>-13.3490129746654*(1/14151.6638359215)</f>
        <v>-9.4328222670053024E-4</v>
      </c>
      <c r="AF130" s="2">
        <f>-9.40555976698982*(1/14151.6638359215)</f>
        <v>-6.6462572005953583E-4</v>
      </c>
      <c r="AG130" s="2">
        <f>-0.439583619145438*(1/14151.6638359215)</f>
        <v>-3.1062327669883775E-5</v>
      </c>
      <c r="AH130" s="2">
        <f>14.6561021383033*(1/14151.6638359215)</f>
        <v>1.0356451586350838E-3</v>
      </c>
      <c r="AI130" s="2">
        <f>36.6458888952609*(1/14151.6638359215)</f>
        <v>2.5895109804856859E-3</v>
      </c>
      <c r="AJ130" s="2">
        <f>61.5532322478625*(1/14151.6638359215)</f>
        <v>4.3495403057568745E-3</v>
      </c>
      <c r="AK130" s="2">
        <f>88.6169616491886*(1/14151.6638359215)</f>
        <v>6.2619464874688509E-3</v>
      </c>
      <c r="AL130" s="2">
        <f>118.717144118219*(1/14151.6638359215)</f>
        <v>8.3889177622264097E-3</v>
      </c>
      <c r="AM130" s="2">
        <f>152.733846673935*(1/14151.6638359215)</f>
        <v>1.0792642366634452E-2</v>
      </c>
      <c r="AN130" s="2">
        <f>191.547136335316*(1/14151.6638359215)</f>
        <v>1.3535308537297742E-2</v>
      </c>
      <c r="AO130" s="2">
        <f>236.037080121342*(1/14151.6638359215)</f>
        <v>1.667910451082109E-2</v>
      </c>
      <c r="AP130" s="2">
        <f>287.083745051003*(1/14151.6638359215)</f>
        <v>2.0286218523810014E-2</v>
      </c>
      <c r="AQ130" s="2">
        <f>345.567198143261*(1/14151.6638359215)</f>
        <v>2.4418838812868045E-2</v>
      </c>
      <c r="AR130" s="2">
        <f>412.367506417106*(1/14151.6638359215)</f>
        <v>2.9139153614600701E-2</v>
      </c>
      <c r="AS130" s="2">
        <f>488.364736891516*(1/14151.6638359215)</f>
        <v>3.4509351165612649E-2</v>
      </c>
      <c r="AT130" s="2">
        <f>574.998125758311*(1/14151.6638359215)</f>
        <v>4.0631132312426738E-2</v>
      </c>
      <c r="AU130" s="2">
        <f>673.237274807862*(1/14151.6638359215)</f>
        <v>4.7573012093388489E-2</v>
      </c>
      <c r="AV130" s="2">
        <f>781.547938015481*(1/14151.6638359215)</f>
        <v>5.5226575975586674E-2</v>
      </c>
      <c r="AW130" s="2">
        <f>898.307671627892*(1/14151.6638359215)</f>
        <v>6.3477177103917398E-2</v>
      </c>
      <c r="AX130" s="2">
        <f>1021.89403189181*(1/14151.6638359215)</f>
        <v>7.2210168623276116E-2</v>
      </c>
      <c r="AY130" s="2">
        <f>1150.68457505393*(1/14151.6638359215)</f>
        <v>8.1310903678556895E-2</v>
      </c>
      <c r="AZ130" s="2">
        <f>1283.05685736098*(1/14151.6638359215)</f>
        <v>9.0664735414656111E-2</v>
      </c>
      <c r="BA130" s="2">
        <f>1417.38843505968*(1/14151.6638359215)</f>
        <v>0.10015701697646956</v>
      </c>
      <c r="BB130" s="2">
        <f>1552.05686439669*(1/14151.6638359215)</f>
        <v>0.10967310150888884</v>
      </c>
      <c r="BC130" s="2">
        <f>1685.43970161874*(1/14151.6638359215)</f>
        <v>0.11909834215681049</v>
      </c>
      <c r="BD130" s="2">
        <f>1816.14967182545*(1/14151.6638359215)</f>
        <v>0.12833470981804096</v>
      </c>
      <c r="BE130" s="2">
        <f>1951.15893064736*(1/14151.6638359215)</f>
        <v>0.13787487840791465</v>
      </c>
      <c r="BF130" s="2">
        <f>2092.75819168686*(1/14151.6638359215)</f>
        <v>0.14788071678008369</v>
      </c>
      <c r="BG130" s="2">
        <f>2238.76006083513*(1/14151.6638359215)</f>
        <v>0.15819765695341298</v>
      </c>
      <c r="BH130" s="2">
        <f>2386.97714398324*(1/14151.6638359215)</f>
        <v>0.16867113094675976</v>
      </c>
      <c r="BI130" s="2">
        <f>2535.22204702237*(1/14151.6638359215)</f>
        <v>0.17914657077898902</v>
      </c>
      <c r="BJ130" s="2">
        <f>2681.30737584364*(1/14151.6638359215)</f>
        <v>0.1894694084689614</v>
      </c>
      <c r="BK130" s="2">
        <f>2823.0457363382*(1/14151.6638359215)</f>
        <v>0.19948507603553986</v>
      </c>
      <c r="BL130" s="2">
        <f>2958.24973439717*(1/14151.6638359215)</f>
        <v>0.20903900549758506</v>
      </c>
      <c r="BM130" s="2">
        <f>3084.73197591173*(1/14151.6638359215)</f>
        <v>0.21797662887396199</v>
      </c>
      <c r="BN130" s="2">
        <f>3200.30506677295*(1/14151.6638359215)</f>
        <v>0.22614337818352784</v>
      </c>
      <c r="BO130" s="2">
        <f>3304.28259225005*(1/14151.6638359215)</f>
        <v>0.23349074925470686</v>
      </c>
      <c r="BP130" s="2">
        <f>3401.14625161917*(1/14151.6638359215)</f>
        <v>0.24033543271328711</v>
      </c>
      <c r="BQ130" s="2">
        <f>3491.52432344413*(1/14151.6638359215)</f>
        <v>0.24672182465085923</v>
      </c>
      <c r="BR130" s="2">
        <f>3575.55934139499*(1/14151.6638359215)</f>
        <v>0.25265999693400459</v>
      </c>
      <c r="BS130" s="2">
        <f>3653.39383914176*(1/14151.6638359215)</f>
        <v>0.25816002142930111</v>
      </c>
      <c r="BT130" s="2">
        <f>3725.17035035449*(1/14151.6638359215)</f>
        <v>0.26323197000332943</v>
      </c>
      <c r="BU130" s="2">
        <f>3791.03140870324*(1/14151.6638359215)</f>
        <v>0.26788591452267091</v>
      </c>
      <c r="BV130" s="2">
        <f>3851.11954785803*(1/14151.6638359215)</f>
        <v>0.27213192685390414</v>
      </c>
      <c r="BW130" s="2">
        <f>3905.57730148893*(1/14151.6638359215)</f>
        <v>0.2759800788636112</v>
      </c>
      <c r="BX130" s="2">
        <f>3954.54720326596*(1/14151.6638359215)</f>
        <v>0.27944044241837063</v>
      </c>
      <c r="BY130" s="2">
        <f>3998.17114268222*(1/14151.6638359215)</f>
        <v>0.2825230438652428</v>
      </c>
      <c r="BZ130" s="2">
        <f>4036.37119402319*(1/14151.6638359215)</f>
        <v>0.28522237673407524</v>
      </c>
      <c r="CA130" s="2">
        <f>4068.98062353802*(1/14151.6638359215)</f>
        <v>0.28752665910630459</v>
      </c>
      <c r="CB130" s="2">
        <f>4095.94943461438*(1/14151.6638359215)</f>
        <v>0.28943235806785744</v>
      </c>
      <c r="CC130" s="2">
        <f>4117.22763063997*(1/14151.6638359215)</f>
        <v>0.29093594070466222</v>
      </c>
      <c r="CD130" s="2">
        <f>4132.76521500245*(1/14151.6638359215)</f>
        <v>0.29203387410264475</v>
      </c>
      <c r="CE130" s="2">
        <f>4142.51219108951*(1/14151.6638359215)</f>
        <v>0.29272262534773297</v>
      </c>
      <c r="CF130" s="2">
        <f>4146.41856228882*(1/14151.6638359215)</f>
        <v>0.29299866152585313</v>
      </c>
      <c r="CG130" s="2">
        <f>4144.43433198807*(1/14151.6638359215)</f>
        <v>0.29285844972293329</v>
      </c>
      <c r="CH130" s="2">
        <f>4136.50950357494*(1/14151.6638359215)</f>
        <v>0.29229845702490059</v>
      </c>
      <c r="CI130" s="2">
        <f>4122.59408043711*(1/14151.6638359215)</f>
        <v>0.29131515051768209</v>
      </c>
      <c r="CJ130" s="2">
        <f>4102.30385590726*(1/14151.6638359215)</f>
        <v>0.28988138097898331</v>
      </c>
      <c r="CK130" s="2">
        <f>4073.92185452463*(1/14151.6638359215)</f>
        <v>0.28787582165311887</v>
      </c>
      <c r="CL130" s="2">
        <f>4037.92836674147*(1/14151.6638359215)</f>
        <v>0.28533241133752074</v>
      </c>
      <c r="CM130" s="2">
        <f>3995.17547989627*(1/14151.6638359215)</f>
        <v>0.28231136113869681</v>
      </c>
      <c r="CN130" s="2">
        <f>3946.51528132754*(1/14151.6638359215)</f>
        <v>0.27887288216315653</v>
      </c>
      <c r="CO130" s="2">
        <f>3892.7998583738*(1/14151.6638359215)</f>
        <v>0.27507718551740995</v>
      </c>
      <c r="CP130" s="2">
        <f>3834.88129837354*(1/14151.6638359215)</f>
        <v>0.27098448230796518</v>
      </c>
      <c r="CQ130" s="2">
        <f>3773.6116886653*(1/14151.6638359215)</f>
        <v>0.26665498364133361</v>
      </c>
      <c r="CR130" s="2">
        <f>3709.84311658757*(1/14151.6638359215)</f>
        <v>0.26214890062402335</v>
      </c>
      <c r="CS130" s="2">
        <f>3644.42766947887*(1/14151.6638359215)</f>
        <v>0.2575264443625444</v>
      </c>
      <c r="CT130" s="2">
        <f>3578.2174346777*(1/14151.6638359215)</f>
        <v>0.2528478259634056</v>
      </c>
      <c r="CU130" s="2">
        <f>3509.90339252002*(1/14151.6638359215)</f>
        <v>0.2480205460795889</v>
      </c>
      <c r="CV130" s="2">
        <f>3437.37954722267*(1/14151.6638359215)</f>
        <v>0.24289578858547284</v>
      </c>
      <c r="CW130" s="2">
        <f>3361.15123067594*(1/14151.6638359215)</f>
        <v>0.2375092617833566</v>
      </c>
      <c r="CX130" s="2">
        <f>3281.7331600481*(1/14151.6638359215)</f>
        <v>0.23189733716808622</v>
      </c>
      <c r="CY130" s="2">
        <f>3199.64005250739*(1/14151.6638359215)</f>
        <v>0.22609638623450543</v>
      </c>
      <c r="CZ130" s="2">
        <f>3115.38662522208*(1/14151.6638359215)</f>
        <v>0.22014278047746028</v>
      </c>
      <c r="DA130" s="2">
        <f>3029.48759536042*(1/14151.6638359215)</f>
        <v>0.21407289139179528</v>
      </c>
      <c r="DB130" s="2">
        <f>2942.45768009069*(1/14151.6638359215)</f>
        <v>0.20792309047235707</v>
      </c>
      <c r="DC130" s="2">
        <f>2854.81159658114*(1/14151.6638359215)</f>
        <v>0.20172974921399028</v>
      </c>
      <c r="DD130" s="2">
        <f>2767.06406200002*(1/14151.6638359215)</f>
        <v>0.19552923911153941</v>
      </c>
      <c r="DE130" s="2">
        <f>2679.54603769856*(1/14151.6638359215)</f>
        <v>0.18934494690984716</v>
      </c>
      <c r="DF130" s="2">
        <f>2590.75919660488*(1/14151.6638359215)</f>
        <v>0.18307099621944772</v>
      </c>
      <c r="DG130" s="2">
        <f>2500.4294739919*(1/14151.6638359215)</f>
        <v>0.17668802078558435</v>
      </c>
      <c r="DH130" s="2">
        <f>2408.77385431766*(1/14151.6638359215)</f>
        <v>0.17021135339601645</v>
      </c>
      <c r="DI130" s="2">
        <f>2316.00932204024*(1/14151.6638359215)</f>
        <v>0.16365632683850639</v>
      </c>
      <c r="DJ130" s="2">
        <f>2222.35286161769*(1/14151.6638359215)</f>
        <v>0.15703827390081437</v>
      </c>
      <c r="DK130" s="2">
        <f>2128.02145750808*(1/14151.6638359215)</f>
        <v>0.15037252737070203</v>
      </c>
      <c r="DL130" s="2">
        <f>2033.23209416946*(1/14151.6638359215)</f>
        <v>0.14367442003592959</v>
      </c>
      <c r="DM130" s="2">
        <f>1938.20175605988*(1/14151.6638359215)</f>
        <v>0.13695928468425719</v>
      </c>
      <c r="DN130" s="2">
        <f>1843.14742763743*(1/14151.6638359215)</f>
        <v>0.13024245410344795</v>
      </c>
      <c r="DO130" s="2">
        <f>1748.28609336015*(1/14151.6638359215)</f>
        <v>0.12353926108126131</v>
      </c>
      <c r="DP130" s="2">
        <f>1652.23095916791*(1/14151.6638359215)</f>
        <v>0.11675171049315158</v>
      </c>
      <c r="DQ130" s="2">
        <f>1552.59055894608*(1/14151.6638359215)</f>
        <v>0.10971081400372887</v>
      </c>
      <c r="DR130" s="2">
        <f>1450.51534134753*(1/14151.6638359215)</f>
        <v>0.10249786584568614</v>
      </c>
      <c r="DS130" s="2">
        <f>1347.24716849115*(1/14151.6638359215)</f>
        <v>9.5200619807785491E-2</v>
      </c>
      <c r="DT130" s="2">
        <f>1244.02790249578*(1/14151.6638359215)</f>
        <v>8.7906829678785534E-2</v>
      </c>
      <c r="DU130" s="2">
        <f>1142.09940548036*(1/14151.6638359215)</f>
        <v>8.0704249247451912E-2</v>
      </c>
      <c r="DV130" s="2">
        <f>1042.70353956372*(1/14151.6638359215)</f>
        <v>7.3680632302542487E-2</v>
      </c>
      <c r="DW130" s="2">
        <f>947.082166864753*(1/14151.6638359215)</f>
        <v>6.692373263281963E-2</v>
      </c>
      <c r="DX130" s="2">
        <f>856.477149502333*(1/14151.6638359215)</f>
        <v>6.0521304027044295E-2</v>
      </c>
      <c r="DY130" s="2">
        <f>772.130349595322*(1/14151.6638359215)</f>
        <v>5.4561100273976648E-2</v>
      </c>
      <c r="DZ130" s="2">
        <f>695.151563724388*(1/14151.6638359215)</f>
        <v>4.9121543006121197E-2</v>
      </c>
      <c r="EA130" s="2">
        <f>623.534887783541*(1/14151.6638359215)</f>
        <v>4.4060888882960024E-2</v>
      </c>
      <c r="EB130" s="2">
        <f>556.142305192598*(1/14151.6638359215)</f>
        <v>3.9298722160211928E-2</v>
      </c>
      <c r="EC130" s="2">
        <f>492.901152437434*(1/14151.6638359215)</f>
        <v>3.4829908210954774E-2</v>
      </c>
      <c r="ED130" s="2">
        <f>433.738766003925*(1/14151.6638359215)</f>
        <v>3.0649312408266492E-2</v>
      </c>
      <c r="EE130" s="2">
        <f>378.582482377936*(1/14151.6638359215)</f>
        <v>2.6751800125224233E-2</v>
      </c>
      <c r="EF130" s="2">
        <f>327.359638045361*(1/14151.6638359215)</f>
        <v>2.3132236734907198E-2</v>
      </c>
      <c r="EG130" s="2">
        <f>279.997569492067*(1/14151.6638359215)</f>
        <v>1.9785487610392682E-2</v>
      </c>
      <c r="EH130" s="2">
        <f>236.423613203927*(1/14151.6638359215)</f>
        <v>1.6706418124758406E-2</v>
      </c>
      <c r="EI130" s="2">
        <f>196.565105666816*(1/14151.6638359215)</f>
        <v>1.3889893651082228E-2</v>
      </c>
      <c r="EJ130" s="2">
        <f>160.349383366604*(1/14151.6638359215)</f>
        <v>1.1330779562441655E-2</v>
      </c>
      <c r="EK130" s="2">
        <f>128.338135923853*(1/14151.6638359215)</f>
        <v>9.0687665713263567E-3</v>
      </c>
      <c r="EL130" s="2">
        <f>102.064240081938*(1/14151.6638359215)</f>
        <v>7.212172453027463E-3</v>
      </c>
      <c r="EM130" s="2">
        <f>80.9368294227605*(1/14151.6638359215)</f>
        <v>5.7192447729938756E-3</v>
      </c>
      <c r="EN130" s="2">
        <f>64.2232304815165*(1/14151.6638359215)</f>
        <v>4.5382105755294418E-3</v>
      </c>
      <c r="EO130" s="2">
        <f>51.1907697934024*(1/14151.6638359215)</f>
        <v>3.617296904938038E-3</v>
      </c>
      <c r="EP130" s="2">
        <f>41.1067738936148*(1/14151.6638359215)</f>
        <v>2.9047308055235536E-3</v>
      </c>
      <c r="EQ130" s="2">
        <f>33.2385693173487*(1/14151.6638359215)</f>
        <v>2.3487393215897668E-3</v>
      </c>
      <c r="ER130" s="2">
        <f>26.8534825998035*(1/14151.6638359215)</f>
        <v>1.8975494974407656E-3</v>
      </c>
      <c r="ES130" s="2">
        <f>21.218840276174*(1/14151.6638359215)</f>
        <v>1.4993883773803133E-3</v>
      </c>
      <c r="ET130" s="2">
        <f>15.6019688816566*(1/14151.6638359215)</f>
        <v>1.1024830057122864E-3</v>
      </c>
      <c r="EU130" s="2">
        <f>9.29981691911693*(1/14151.6638359215)</f>
        <v>6.5715360588985917E-4</v>
      </c>
      <c r="EV130" s="2">
        <f>3.97314211654026*(1/14151.6638359215)</f>
        <v>2.8075441606061476E-4</v>
      </c>
      <c r="EW130" s="2">
        <f>0.683678713654703*(1/14151.6638359215)</f>
        <v>4.8310836208482093E-5</v>
      </c>
      <c r="EX130" s="2">
        <f>-0.908155366656187*(1/14151.6638359215)</f>
        <v>-6.4173045458513158E-5</v>
      </c>
      <c r="EY130" s="2">
        <f>-1.14194220150764*(1/14151.6638359215)</f>
        <v>-8.0693140732259432E-5</v>
      </c>
      <c r="EZ130" s="2">
        <f>-0.357263868014893*(1/14151.6638359215)</f>
        <v>-2.5245361404645705E-5</v>
      </c>
      <c r="FA130" s="2">
        <f>1.10629755670682*(1/14151.6638359215)</f>
        <v>7.8174380732439324E-5</v>
      </c>
      <c r="FB130" s="2">
        <f>2.90915999554262*(1/14151.6638359215)</f>
        <v>2.0557017388713201E-4</v>
      </c>
      <c r="FC130" s="2">
        <f>4.71174137137655*(1/14151.6638359215)</f>
        <v>3.3294610626749251E-4</v>
      </c>
      <c r="FD130" s="2">
        <f>6.17445960709369*(1/14151.6638359215)</f>
        <v>4.3630626608165423E-4</v>
      </c>
      <c r="FE130" s="2">
        <f>6.95773262557879*(1/14151.6638359215)</f>
        <v>4.916547415377275E-4</v>
      </c>
      <c r="FF130" s="2">
        <f>6.92120094036792*(1/14151.6638359215)</f>
        <v>4.8907330054008731E-4</v>
      </c>
      <c r="FG130" s="2">
        <f>6.80300235091977*(1/14151.6638359215)</f>
        <v>4.8072102544236174E-4</v>
      </c>
      <c r="FH130" s="2">
        <f>6.71282120489638*(1/14151.6638359215)</f>
        <v>4.7434854888632027E-4</v>
      </c>
      <c r="FI130" s="2">
        <f>6.65065750229774*(1/14151.6638359215)</f>
        <v>4.6995587087196209E-4</v>
      </c>
      <c r="FJ130" s="2">
        <f>6.61651124312383*(1/14151.6638359215)</f>
        <v>4.6754299139928584E-4</v>
      </c>
      <c r="FK130" s="2">
        <f>6.61038242737467*(1/14151.6638359215)</f>
        <v>4.6710991046829294E-4</v>
      </c>
      <c r="FL130" s="2">
        <f>6.63227105505025*(1/14151.6638359215)</f>
        <v>4.6865662807898256E-4</v>
      </c>
      <c r="FM130" s="2">
        <f>6.68217712615058*(1/14151.6638359215)</f>
        <v>4.7218314423135558E-4</v>
      </c>
      <c r="FN130" s="2">
        <f>6.76010064067564*(1/14151.6638359215)</f>
        <v>4.7768945892541048E-4</v>
      </c>
      <c r="FO130" s="2">
        <f>6.86604159862545*(1/14151.6638359215)</f>
        <v>4.8517557216114866E-4</v>
      </c>
      <c r="FP130" s="2">
        <f t="shared" si="19"/>
        <v>4.9464148393856954E-4</v>
      </c>
      <c r="FQ130" s="2"/>
    </row>
    <row r="131" spans="2:173">
      <c r="B131" s="2">
        <v>10.511834319526628</v>
      </c>
      <c r="C131" s="2">
        <f t="shared" si="20"/>
        <v>4.9464148393856954E-4</v>
      </c>
      <c r="D131" s="2">
        <f>7.02897595552094*(1/14151.6638359215)</f>
        <v>4.9668901388677175E-4</v>
      </c>
      <c r="E131" s="2">
        <f>7.0518915804754*(1/14151.6638359215)</f>
        <v>4.9830830227717946E-4</v>
      </c>
      <c r="F131" s="2">
        <f>7.0687468748634*(1/14151.6638359215)</f>
        <v>4.9949934910979406E-4</v>
      </c>
      <c r="G131" s="2">
        <f>7.07954183868493*(1/14151.6638359215)</f>
        <v>5.002621543846147E-4</v>
      </c>
      <c r="H131" s="2">
        <f>7.08427647193998*(1/14151.6638359215)</f>
        <v>5.0059671810164083E-4</v>
      </c>
      <c r="I131" s="2">
        <f>7.08295077462857*(1/14151.6638359215)</f>
        <v>5.0050304026087375E-4</v>
      </c>
      <c r="J131" s="2">
        <f>7.07556474675068*(1/14151.6638359215)</f>
        <v>4.9998112086231217E-4</v>
      </c>
      <c r="K131" s="2">
        <f>7.06211838830632*(1/14151.6638359215)</f>
        <v>4.9903095990595683E-4</v>
      </c>
      <c r="L131" s="2">
        <f>7.04261169929549*(1/14151.6638359215)</f>
        <v>4.9765255739180742E-4</v>
      </c>
      <c r="M131" s="2">
        <f>7.0170446797182*(1/14151.6638359215)</f>
        <v>4.9584591331986502E-4</v>
      </c>
      <c r="N131" s="2">
        <f>6.97707752485983*(1/14151.6638359215)</f>
        <v>4.9302171149301539E-4</v>
      </c>
      <c r="O131" s="2">
        <f>6.86658622768417*(1/14151.6638359215)</f>
        <v>4.8521405732197749E-4</v>
      </c>
      <c r="P131" s="2">
        <f>6.69624296459469*(1/14151.6638359215)</f>
        <v>4.7317707954576052E-4</v>
      </c>
      <c r="Q131" s="2">
        <f>6.49186772055813*(1/14151.6638359215)</f>
        <v>4.5873529754711031E-4</v>
      </c>
      <c r="R131" s="2">
        <f>6.27928048054116*(1/14151.6638359215)</f>
        <v>4.4371323070876761E-4</v>
      </c>
      <c r="S131" s="2">
        <f>6.0843012295106*(1/14151.6638359215)</f>
        <v>4.2993539841348379E-4</v>
      </c>
      <c r="T131" s="2">
        <f>5.93274995243312*(1/14151.6638359215)</f>
        <v>4.1922632004399952E-4</v>
      </c>
      <c r="U131" s="2">
        <f>5.85044663427546*(1/14151.6638359215)</f>
        <v>4.134105149830605E-4</v>
      </c>
      <c r="V131" s="2">
        <f>5.86321126000433*(1/14151.6638359215)</f>
        <v>4.1431250261341027E-4</v>
      </c>
      <c r="W131" s="2">
        <f>5.99686381458647*(1/14151.6638359215)</f>
        <v>4.2375680231779457E-4</v>
      </c>
      <c r="X131" s="2">
        <f>6.27722428298865*(1/14151.6638359215)</f>
        <v>4.435679334789613E-4</v>
      </c>
      <c r="Y131" s="2">
        <f>5.43931978089758*(1/14151.6638359215)</f>
        <v>3.8435902971994197E-4</v>
      </c>
      <c r="Z131" s="2">
        <f>2.0330787515282*(1/14151.6638359215)</f>
        <v>1.4366358437426901E-4</v>
      </c>
      <c r="AA131" s="2">
        <f>-2.95670728117726*(1/14151.6638359215)</f>
        <v>-2.0893001101907047E-4</v>
      </c>
      <c r="AB131" s="2">
        <f>-8.51633145959451*(1/14151.6638359215)</f>
        <v>-6.0179011869807887E-4</v>
      </c>
      <c r="AC131" s="2">
        <f>-13.6320869260993*(1/14151.6638359215)</f>
        <v>-9.6328510090076152E-4</v>
      </c>
      <c r="AD131" s="2">
        <f>-17.2902668230676*(1/14151.6638359215)</f>
        <v>-1.2217833198651393E-3</v>
      </c>
      <c r="AE131" s="2">
        <f>-18.4771642928738*(1/14151.6638359215)</f>
        <v>-1.3056531378291209E-3</v>
      </c>
      <c r="AF131" s="2">
        <f>-16.1790724778944*(1/14151.6638359215)</f>
        <v>-1.1432629170307651E-3</v>
      </c>
      <c r="AG131" s="2">
        <f>-9.38228452050504*(1/14151.6638359215)</f>
        <v>-6.6298101970806904E-4</v>
      </c>
      <c r="AH131" s="2">
        <f>2.92690643691858*(1/14151.6638359215)</f>
        <v>2.068241919009654E-4</v>
      </c>
      <c r="AI131" s="2">
        <f>21.4211686019056*(1/14151.6638359215)</f>
        <v>1.5136855178492683E-3</v>
      </c>
      <c r="AJ131" s="2">
        <f>42.108486078147*(1/14151.6638359215)</f>
        <v>2.9755148628716043E-3</v>
      </c>
      <c r="AK131" s="2">
        <f>64.3104932218389*(1/14151.6638359215)</f>
        <v>4.544376828581673E-3</v>
      </c>
      <c r="AL131" s="2">
        <f>88.9959073583875*(1/14151.6638359215)</f>
        <v>6.2887239543160363E-3</v>
      </c>
      <c r="AM131" s="2">
        <f>117.1334458132*(1/14151.6638359215)</f>
        <v>8.2770087794113243E-3</v>
      </c>
      <c r="AN131" s="2">
        <f>149.691825911681*(1/14151.6638359215)</f>
        <v>1.0577683843203987E-2</v>
      </c>
      <c r="AO131" s="2">
        <f>187.639764979239*(1/14151.6638359215)</f>
        <v>1.3259201685030746E-2</v>
      </c>
      <c r="AP131" s="2">
        <f>231.945980341289*(1/14151.6638359215)</f>
        <v>1.6390014844228782E-2</v>
      </c>
      <c r="AQ131" s="2">
        <f>283.579189323221*(1/14151.6638359215)</f>
        <v>2.0038575860133512E-2</v>
      </c>
      <c r="AR131" s="2">
        <f>343.508109250448*(1/14151.6638359215)</f>
        <v>2.4273337272081981E-2</v>
      </c>
      <c r="AS131" s="2">
        <f>412.701457448377*(1/14151.6638359215)</f>
        <v>2.9162751619410805E-2</v>
      </c>
      <c r="AT131" s="2">
        <f>492.485779003004*(1/14151.6638359215)</f>
        <v>3.4800556649241185E-2</v>
      </c>
      <c r="AU131" s="2">
        <f>583.441457792182*(1/14151.6638359215)</f>
        <v>4.1227764067658171E-2</v>
      </c>
      <c r="AV131" s="2">
        <f>684.128250694487*(1/14151.6638359215)</f>
        <v>4.834260187540268E-2</v>
      </c>
      <c r="AW131" s="2">
        <f>793.040379958095*(1/14151.6638359215)</f>
        <v>5.6038667195097015E-2</v>
      </c>
      <c r="AX131" s="2">
        <f>908.672067831164*(1/14151.6638359215)</f>
        <v>6.4209557149362217E-2</v>
      </c>
      <c r="AY131" s="2">
        <f>1029.51753656185*(1/14151.6638359215)</f>
        <v>7.2748868860819146E-2</v>
      </c>
      <c r="AZ131" s="2">
        <f>1154.07100839832*(1/14151.6638359215)</f>
        <v>8.1550199452089481E-2</v>
      </c>
      <c r="BA131" s="2">
        <f>1280.82670558874*(1/14151.6638359215)</f>
        <v>9.0507146045794809E-2</v>
      </c>
      <c r="BB131" s="2">
        <f>1408.27885038124*(1/14151.6638359215)</f>
        <v>9.9513305764554194E-2</v>
      </c>
      <c r="BC131" s="2">
        <f>1534.92166502398*(1/14151.6638359215)</f>
        <v>0.10846227573098878</v>
      </c>
      <c r="BD131" s="2">
        <f>1659.47729661182*(1/14151.6638359215)</f>
        <v>0.11726375893691948</v>
      </c>
      <c r="BE131" s="2">
        <f>1788.73790977053*(1/14151.6638359215)</f>
        <v>0.12639771058086716</v>
      </c>
      <c r="BF131" s="2">
        <f>1924.86949695318*(1/14151.6638359215)</f>
        <v>0.13601718633728699</v>
      </c>
      <c r="BG131" s="2">
        <f>2065.68294365366*(1/14151.6638359215)</f>
        <v>0.14596749665649128</v>
      </c>
      <c r="BH131" s="2">
        <f>2208.98913536581*(1/14151.6638359215)</f>
        <v>0.15609395198878884</v>
      </c>
      <c r="BI131" s="2">
        <f>2352.59895758352*(1/14151.6638359215)</f>
        <v>0.16624186278449204</v>
      </c>
      <c r="BJ131" s="2">
        <f>2494.32329580068*(1/14151.6638359215)</f>
        <v>0.17625653949391315</v>
      </c>
      <c r="BK131" s="2">
        <f>2631.97303551116*(1/14151.6638359215)</f>
        <v>0.1859832925673631</v>
      </c>
      <c r="BL131" s="2">
        <f>2763.35906220884*(1/14151.6638359215)</f>
        <v>0.19526743245515352</v>
      </c>
      <c r="BM131" s="2">
        <f>2886.29226138762*(1/14151.6638359215)</f>
        <v>0.20395426960759741</v>
      </c>
      <c r="BN131" s="2">
        <f>2998.58351854133*(1/14151.6638359215)</f>
        <v>0.21188911447500294</v>
      </c>
      <c r="BO131" s="2">
        <f>3099.5828993861*(1/14151.6638359215)</f>
        <v>0.21902604070613635</v>
      </c>
      <c r="BP131" s="2">
        <f>3193.88964133808*(1/14151.6638359215)</f>
        <v>0.22569004453249908</v>
      </c>
      <c r="BQ131" s="2">
        <f>3282.0899646973*(1/14151.6638359215)</f>
        <v>0.23192255007967996</v>
      </c>
      <c r="BR131" s="2">
        <f>3364.26929440203*(1/14151.6638359215)</f>
        <v>0.23772959373599778</v>
      </c>
      <c r="BS131" s="2">
        <f>3440.51305539048*(1/14151.6638359215)</f>
        <v>0.24311721188976701</v>
      </c>
      <c r="BT131" s="2">
        <f>3510.90667260094*(1/14151.6638359215)</f>
        <v>0.24809144092930779</v>
      </c>
      <c r="BU131" s="2">
        <f>3575.53557097164*(1/14151.6638359215)</f>
        <v>0.25265831724293608</v>
      </c>
      <c r="BV131" s="2">
        <f>3634.48517544085*(1/14151.6638359215)</f>
        <v>0.25682387721897065</v>
      </c>
      <c r="BW131" s="2">
        <f>3687.84091094681*(1/14151.6638359215)</f>
        <v>0.26059415724572804</v>
      </c>
      <c r="BX131" s="2">
        <f>3735.68820242779*(1/14151.6638359215)</f>
        <v>0.26397519371152706</v>
      </c>
      <c r="BY131" s="2">
        <f>3778.1120772505*(1/14151.6638359215)</f>
        <v>0.26697299491105986</v>
      </c>
      <c r="BZ131" s="2">
        <f>3815.06286065329*(1/14151.6638359215)</f>
        <v>0.26958405067320967</v>
      </c>
      <c r="CA131" s="2">
        <f>3846.43947259191*(1/14151.6638359215)</f>
        <v>0.27180121837182158</v>
      </c>
      <c r="CB131" s="2">
        <f>3872.21363020003*(1/14151.6638359215)</f>
        <v>0.27362249945275691</v>
      </c>
      <c r="CC131" s="2">
        <f>3892.35705061132*(1/14151.6638359215)</f>
        <v>0.27504589536187674</v>
      </c>
      <c r="CD131" s="2">
        <f>3906.84145095947*(1/14151.6638359215)</f>
        <v>0.27606940754504378</v>
      </c>
      <c r="CE131" s="2">
        <f>3915.63854837814*(1/14151.6638359215)</f>
        <v>0.27669103744811852</v>
      </c>
      <c r="CF131" s="2">
        <f>3918.720060001*(1/14151.6638359215)</f>
        <v>0.27690878651696216</v>
      </c>
      <c r="CG131" s="2">
        <f>3916.05770296173*(1/14151.6638359215)</f>
        <v>0.27672065619743658</v>
      </c>
      <c r="CH131" s="2">
        <f>3907.623194394*(1/14151.6638359215)</f>
        <v>0.27612464793540309</v>
      </c>
      <c r="CI131" s="2">
        <f>3893.38825143148*(1/14151.6638359215)</f>
        <v>0.27511876317672285</v>
      </c>
      <c r="CJ131" s="2">
        <f>3872.96771898969*(1/14151.6638359215)</f>
        <v>0.2736757856810339</v>
      </c>
      <c r="CK131" s="2">
        <f>3844.53353712144*(1/14151.6638359215)</f>
        <v>0.27166653912190669</v>
      </c>
      <c r="CL131" s="2">
        <f>3808.57316110291*(1/14151.6638359215)</f>
        <v>0.26912546858522174</v>
      </c>
      <c r="CM131" s="2">
        <f>3765.96885800932*(1/14151.6638359215)</f>
        <v>0.26611491777030999</v>
      </c>
      <c r="CN131" s="2">
        <f>3717.60289491593*(1/14151.6638359215)</f>
        <v>0.26269723037650539</v>
      </c>
      <c r="CO131" s="2">
        <f>3664.35753889794*(1/14151.6638359215)</f>
        <v>0.25893475010313738</v>
      </c>
      <c r="CP131" s="2">
        <f>3607.11505703059*(1/14151.6638359215)</f>
        <v>0.25488982064953841</v>
      </c>
      <c r="CQ131" s="2">
        <f>3546.75771638913*(1/14151.6638359215)</f>
        <v>0.25062478571504165</v>
      </c>
      <c r="CR131" s="2">
        <f>3484.16778404878*(1/14151.6638359215)</f>
        <v>0.24620198899897802</v>
      </c>
      <c r="CS131" s="2">
        <f>3420.22752708477*(1/14151.6638359215)</f>
        <v>0.24168377420067924</v>
      </c>
      <c r="CT131" s="2">
        <f>3355.81921257234*(1/14151.6638359215)</f>
        <v>0.23713248501947773</v>
      </c>
      <c r="CU131" s="2">
        <f>3289.6458395805*(1/14151.6638359215)</f>
        <v>0.23245647138892001</v>
      </c>
      <c r="CV131" s="2">
        <f>3219.57512411143*(1/14151.6638359215)</f>
        <v>0.22750505957745457</v>
      </c>
      <c r="CW131" s="2">
        <f>3146.0891741191*(1/14151.6638359215)</f>
        <v>0.22231231681276289</v>
      </c>
      <c r="CX131" s="2">
        <f>3069.67952881291*(1/14151.6638359215)</f>
        <v>0.21691297676398097</v>
      </c>
      <c r="CY131" s="2">
        <f>2990.83772740227*(1/14151.6638359215)</f>
        <v>0.21134177310024541</v>
      </c>
      <c r="CZ131" s="2">
        <f>2910.05530909659*(1/14151.6638359215)</f>
        <v>0.20563343949069285</v>
      </c>
      <c r="DA131" s="2">
        <f>2827.82381310527*(1/14151.6638359215)</f>
        <v>0.19982270960445928</v>
      </c>
      <c r="DB131" s="2">
        <f>2744.63477863774*(1/14151.6638359215)</f>
        <v>0.19394431711068272</v>
      </c>
      <c r="DC131" s="2">
        <f>2660.97974490341*(1/14151.6638359215)</f>
        <v>0.18803299567849985</v>
      </c>
      <c r="DD131" s="2">
        <f>2577.35025111168*(1/14151.6638359215)</f>
        <v>0.18212347897704659</v>
      </c>
      <c r="DE131" s="2">
        <f>2494.0672924293*(1/14151.6638359215)</f>
        <v>0.17623844950998274</v>
      </c>
      <c r="DF131" s="2">
        <f>2409.74506251132*(1/14151.6638359215)</f>
        <v>0.17027998194774863</v>
      </c>
      <c r="DG131" s="2">
        <f>2324.11622090565*(1/14151.6638359215)</f>
        <v>0.16422918519349589</v>
      </c>
      <c r="DH131" s="2">
        <f>2237.36730363359*(1/14151.6638359215)</f>
        <v>0.15809924045499357</v>
      </c>
      <c r="DI131" s="2">
        <f>2149.68484671653*(1/14151.6638359215)</f>
        <v>0.15190332894001726</v>
      </c>
      <c r="DJ131" s="2">
        <f>2061.25538617581*(1/14151.6638359215)</f>
        <v>0.14565463185633884</v>
      </c>
      <c r="DK131" s="2">
        <f>1972.26545803275*(1/14151.6638359215)</f>
        <v>0.13936633041172886</v>
      </c>
      <c r="DL131" s="2">
        <f>1882.9015983087*(1/14151.6638359215)</f>
        <v>0.13305160581395997</v>
      </c>
      <c r="DM131" s="2">
        <f>1793.350343025*(1/14151.6638359215)</f>
        <v>0.1267236392708041</v>
      </c>
      <c r="DN131" s="2">
        <f>1703.79822820302*(1/14151.6638359215)</f>
        <v>0.12039561199003534</v>
      </c>
      <c r="DO131" s="2">
        <f>1614.43178986409*(1/14151.6638359215)</f>
        <v>0.11408070517942491</v>
      </c>
      <c r="DP131" s="2">
        <f>1523.92914966451*(1/14151.6638359215)</f>
        <v>0.1076855108581851</v>
      </c>
      <c r="DQ131" s="2">
        <f>1430.04431220319*(1/14151.6638359215)</f>
        <v>0.10105132009801385</v>
      </c>
      <c r="DR131" s="2">
        <f>1333.87956561979*(1/14151.6638359215)</f>
        <v>9.4256023961929628E-2</v>
      </c>
      <c r="DS131" s="2">
        <f>1236.62339862962*(1/14151.6638359215)</f>
        <v>8.7383604710187496E-2</v>
      </c>
      <c r="DT131" s="2">
        <f>1139.46429994797*(1/14151.6638359215)</f>
        <v>8.0518044603041031E-2</v>
      </c>
      <c r="DU131" s="2">
        <f>1043.5907582902*(1/14151.6638359215)</f>
        <v>7.3743325900748793E-2</v>
      </c>
      <c r="DV131" s="2">
        <f>950.191262371597*(1/14151.6638359215)</f>
        <v>6.7143430863564196E-2</v>
      </c>
      <c r="DW131" s="2">
        <f>860.454300907479*(1/14151.6638359215)</f>
        <v>6.0802341751742837E-2</v>
      </c>
      <c r="DX131" s="2">
        <f>775.568362613157*(1/14151.6638359215)</f>
        <v>5.4804040825539795E-2</v>
      </c>
      <c r="DY131" s="2">
        <f>696.721936203929*(1/14151.6638359215)</f>
        <v>4.9232510345209257E-2</v>
      </c>
      <c r="DZ131" s="2">
        <f>624.9807075931*(1/14151.6638359215)</f>
        <v>4.4163054948118313E-2</v>
      </c>
      <c r="EA131" s="2">
        <f>558.495196903743*(1/14151.6638359215)</f>
        <v>3.9464984709861581E-2</v>
      </c>
      <c r="EB131" s="2">
        <f>496.178319456026*(1/14151.6638359215)</f>
        <v>3.5061482890553469E-2</v>
      </c>
      <c r="EC131" s="2">
        <f>437.927145287424*(1/14151.6638359215)</f>
        <v>3.0945276143136139E-2</v>
      </c>
      <c r="ED131" s="2">
        <f>383.638744435416*(1/14151.6638359215)</f>
        <v>2.7109091120551973E-2</v>
      </c>
      <c r="EE131" s="2">
        <f>333.210186937467*(1/14151.6638359215)</f>
        <v>2.3545654475742403E-2</v>
      </c>
      <c r="EF131" s="2">
        <f>286.538542831072*(1/14151.6638359215)</f>
        <v>2.0247692861650974E-2</v>
      </c>
      <c r="EG131" s="2">
        <f>243.520882153699*(1/14151.6638359215)</f>
        <v>1.7207932931219312E-2</v>
      </c>
      <c r="EH131" s="2">
        <f>204.054274942824*(1/14151.6638359215)</f>
        <v>1.441910133738962E-2</v>
      </c>
      <c r="EI131" s="2">
        <f>168.035791235922*(1/14151.6638359215)</f>
        <v>1.1873924733104019E-2</v>
      </c>
      <c r="EJ131" s="2">
        <f>135.362501070465*(1/14151.6638359215)</f>
        <v>9.5651297713044304E-3</v>
      </c>
      <c r="EK131" s="2">
        <f>106.580466327816*(1/14151.6638359215)</f>
        <v>7.5313028604650925E-3</v>
      </c>
      <c r="EL131" s="2">
        <f>83.2583748484334*(1/14151.6638359215)</f>
        <v>5.8832922979061104E-3</v>
      </c>
      <c r="EM131" s="2">
        <f>64.8233000418093*(1/14151.6638359215)</f>
        <v>4.5806133323536705E-3</v>
      </c>
      <c r="EN131" s="2">
        <f>50.558231291179*(1/14151.6638359215)</f>
        <v>3.5725997930254575E-3</v>
      </c>
      <c r="EO131" s="2">
        <f>39.7461579797779*(1/14151.6638359215)</f>
        <v>2.8085855091391655E-3</v>
      </c>
      <c r="EP131" s="2">
        <f>31.6700694908416*(1/14151.6638359215)</f>
        <v>2.2379043099125008E-3</v>
      </c>
      <c r="EQ131" s="2">
        <f>25.6129552076044*(1/14151.6638359215)</f>
        <v>1.809890024563079E-3</v>
      </c>
      <c r="ER131" s="2">
        <f>20.857804513304*(1/14151.6638359215)</f>
        <v>1.4738764823087548E-3</v>
      </c>
      <c r="ES131" s="2">
        <f>16.6876067911747*(1/14151.6638359215)</f>
        <v>1.1791975123671436E-3</v>
      </c>
      <c r="ET131" s="2">
        <f>12.3853514244518*(1/14151.6638359215)</f>
        <v>8.7518694395593069E-4</v>
      </c>
      <c r="EU131" s="2">
        <f>7.26200877737264*(1/14151.6638359215)</f>
        <v>5.1315582828778857E-4</v>
      </c>
      <c r="EV131" s="2">
        <f>2.87205040962856*(1/14151.6638359215)</f>
        <v>2.0294789665214964E-4</v>
      </c>
      <c r="EW131" s="2">
        <f>0.237478162876814*(1/14151.6638359215)</f>
        <v>1.6780935841198943E-5</v>
      </c>
      <c r="EX131" s="2">
        <f>-0.936955458741628*(1/14151.6638359215)</f>
        <v>-6.6208148356614578E-5</v>
      </c>
      <c r="EY131" s="2">
        <f>-0.946497951084798*(1/14151.6638359215)</f>
        <v>-6.6882450152771437E-5</v>
      </c>
      <c r="EZ131" s="2">
        <f>-0.0863968100107317*(1/14151.6638359215)</f>
        <v>-6.1050637587524272E-6</v>
      </c>
      <c r="FA131" s="2">
        <f>1.34810046862254*(1/14151.6638359215)</f>
        <v>9.5260916613962025E-5</v>
      </c>
      <c r="FB131" s="2">
        <f>3.06174638895732*(1/14151.6638359215)</f>
        <v>2.1635239675391507E-4</v>
      </c>
      <c r="FC131" s="2">
        <f>4.75929345513488*(1/14151.6638359215)</f>
        <v>3.3630628244957694E-4</v>
      </c>
      <c r="FD131" s="2">
        <f>6.14549417129749*(1/14151.6638359215)</f>
        <v>4.3425947948948863E-4</v>
      </c>
      <c r="FE131" s="2">
        <f>6.92510104158712*(1/14151.6638359215)</f>
        <v>4.8934889366216957E-4</v>
      </c>
      <c r="FF131" s="2">
        <f>6.97607939547452*(1/14151.6638359215)</f>
        <v>4.9295118060725652E-4</v>
      </c>
      <c r="FG131" s="2">
        <f>6.94019848868629*(1/14151.6638359215)</f>
        <v>4.9041572561028628E-4</v>
      </c>
      <c r="FH131" s="2">
        <f>6.91282268572934*(1/14151.6638359215)</f>
        <v>4.8848126735333839E-4</v>
      </c>
      <c r="FI131" s="2">
        <f>6.89395198660368*(1/14151.6638359215)</f>
        <v>4.8714780583641339E-4</v>
      </c>
      <c r="FJ131" s="2">
        <f>6.88358639130931*(1/14151.6638359215)</f>
        <v>4.8641534105951139E-4</v>
      </c>
      <c r="FK131" s="2">
        <f>6.88172589984621*(1/14151.6638359215)</f>
        <v>4.8628387302263103E-4</v>
      </c>
      <c r="FL131" s="2">
        <f>6.8883705122144*(1/14151.6638359215)</f>
        <v>4.8675340172577361E-4</v>
      </c>
      <c r="FM131" s="2">
        <f>6.90352022841388*(1/14151.6638359215)</f>
        <v>4.8782392716893919E-4</v>
      </c>
      <c r="FN131" s="2">
        <f>6.92717504844464*(1/14151.6638359215)</f>
        <v>4.8949544935212707E-4</v>
      </c>
      <c r="FO131" s="2">
        <f>6.95933497230668*(1/14151.6638359215)</f>
        <v>4.9176796827533713E-4</v>
      </c>
      <c r="FP131" s="2">
        <f t="shared" si="19"/>
        <v>4.9464148393856954E-4</v>
      </c>
      <c r="FQ131" s="2"/>
    </row>
    <row r="132" spans="2:173">
      <c r="B132" s="2">
        <v>10.521301775147929</v>
      </c>
      <c r="C132" s="2">
        <f t="shared" si="20"/>
        <v>4.9464148393856954E-4</v>
      </c>
      <c r="D132" s="2">
        <f>7.04155669649915*(1/14151.6638359215)</f>
        <v>4.9757800765627301E-4</v>
      </c>
      <c r="E132" s="2">
        <f>7.07442179634489*(1/14151.6638359215)</f>
        <v>4.9990035647877104E-4</v>
      </c>
      <c r="F132" s="2">
        <f>7.09859529953721*(1/14151.6638359215)</f>
        <v>5.0160853040606289E-4</v>
      </c>
      <c r="G132" s="2">
        <f>7.11407720607611*(1/14151.6638359215)</f>
        <v>5.0270252943814854E-4</v>
      </c>
      <c r="H132" s="2">
        <f>7.12086751596159*(1/14151.6638359215)</f>
        <v>5.0318235357502811E-4</v>
      </c>
      <c r="I132" s="2">
        <f>7.11896622919366*(1/14151.6638359215)</f>
        <v>5.0304800281670214E-4</v>
      </c>
      <c r="J132" s="2">
        <f>7.10837334577231*(1/14151.6638359215)</f>
        <v>5.0229947716316998E-4</v>
      </c>
      <c r="K132" s="2">
        <f>7.08908886569753*(1/14151.6638359215)</f>
        <v>5.0093677661443097E-4</v>
      </c>
      <c r="L132" s="2">
        <f>7.06111278896934*(1/14151.6638359215)</f>
        <v>4.9895990117048653E-4</v>
      </c>
      <c r="M132" s="2">
        <f>7.02444511558773*(1/14151.6638359215)</f>
        <v>4.963688508313359E-4</v>
      </c>
      <c r="N132" s="2">
        <f>6.97772553519365*(1/14151.6638359215)</f>
        <v>4.9306750189203371E-4</v>
      </c>
      <c r="O132" s="2">
        <f>6.91179962861592*(1/14151.6638359215)</f>
        <v>4.8840897499780468E-4</v>
      </c>
      <c r="P132" s="2">
        <f>6.82840814070554*(1/14151.6638359215)</f>
        <v>4.825162765223996E-4</v>
      </c>
      <c r="Q132" s="2">
        <f>6.73176258410855*(1/14151.6638359215)</f>
        <v>4.7568700487508468E-4</v>
      </c>
      <c r="R132" s="2">
        <f>6.62607447147095*(1/14151.6638359215)</f>
        <v>4.682187584651234E-4</v>
      </c>
      <c r="S132" s="2">
        <f>6.51555531543881*(1/14151.6638359215)</f>
        <v>4.6040913570178396E-4</v>
      </c>
      <c r="T132" s="2">
        <f>6.40441662865814*(1/14151.6638359215)</f>
        <v>4.5255573499433047E-4</v>
      </c>
      <c r="U132" s="2">
        <f>6.29686992377498*(1/14151.6638359215)</f>
        <v>4.4495615475202905E-4</v>
      </c>
      <c r="V132" s="2">
        <f>6.19712671343534*(1/14151.6638359215)</f>
        <v>4.3790799338414384E-4</v>
      </c>
      <c r="W132" s="2">
        <f>6.10939851028527*(1/14151.6638359215)</f>
        <v>4.3170884929994173E-4</v>
      </c>
      <c r="X132" s="2">
        <f>6.03789682697077*(1/14151.6638359215)</f>
        <v>4.2665632090868605E-4</v>
      </c>
      <c r="Y132" s="2">
        <f>4.8525569698054*(1/14151.6638359215)</f>
        <v>3.4289656863442739E-4</v>
      </c>
      <c r="Z132" s="2">
        <f>1.28426921894448*(1/14151.6638359215)</f>
        <v>9.0750404605046471E-5</v>
      </c>
      <c r="AA132" s="2">
        <f>-3.77987639401974*(1/14151.6638359215)</f>
        <v>-2.670976669488991E-4</v>
      </c>
      <c r="AB132" s="2">
        <f>-9.42727573771036*(1/14151.6638359215)</f>
        <v>-6.6616023719987504E-4</v>
      </c>
      <c r="AC132" s="2">
        <f>-14.7453246807505*(1/14151.6638359215)</f>
        <v>-1.0419498973203488E-3</v>
      </c>
      <c r="AD132" s="2">
        <f>-18.8214190917638*(1/14151.6638359215)</f>
        <v>-1.3299792384828244E-3</v>
      </c>
      <c r="AE132" s="2">
        <f>-20.7429548393717*(1/14151.6638359215)</f>
        <v>-1.4657608518596499E-3</v>
      </c>
      <c r="AF132" s="2">
        <f>-19.5973277921983*(1/14151.6638359215)</f>
        <v>-1.3848073286233625E-3</v>
      </c>
      <c r="AG132" s="2">
        <f>-14.4719338188665*(1/14151.6638359215)</f>
        <v>-1.0226312599464135E-3</v>
      </c>
      <c r="AH132" s="2">
        <f>-4.45416878799962*(1/14151.6638359215)</f>
        <v>-3.147452370012846E-4</v>
      </c>
      <c r="AI132" s="2">
        <f>11.0367352123989*(1/14151.6638359215)</f>
        <v>7.7988958332829363E-4</v>
      </c>
      <c r="AJ132" s="2">
        <f>28.0863710397068*(1/14151.6638359215)</f>
        <v>1.9846691785042623E-3</v>
      </c>
      <c r="AK132" s="2">
        <f>46.1009503841764*(1/14151.6638359215)</f>
        <v>3.257634644143912E-3</v>
      </c>
      <c r="AL132" s="2">
        <f>66.1012973814375*(1/14151.6638359215)</f>
        <v>4.6709205467169897E-3</v>
      </c>
      <c r="AM132" s="2">
        <f>89.1082361671199*(1/14151.6638359215)</f>
        <v>6.2966614526932425E-3</v>
      </c>
      <c r="AN132" s="2">
        <f>116.142590876853*(1/14151.6638359215)</f>
        <v>8.2069919285423908E-3</v>
      </c>
      <c r="AO132" s="2">
        <f>148.225185646268*(1/14151.6638359215)</f>
        <v>1.0474046540734279E-2</v>
      </c>
      <c r="AP132" s="2">
        <f>186.376844611001*(1/14151.6638359215)</f>
        <v>1.3169959855739103E-2</v>
      </c>
      <c r="AQ132" s="2">
        <f>231.618391906668*(1/14151.6638359215)</f>
        <v>1.6366866440025631E-2</v>
      </c>
      <c r="AR132" s="2">
        <f>284.970651668906*(1/14151.6638359215)</f>
        <v>2.0136900860064123E-2</v>
      </c>
      <c r="AS132" s="2">
        <f>347.454448033345*(1/14151.6638359215)</f>
        <v>2.4552197682324337E-2</v>
      </c>
      <c r="AT132" s="2">
        <f>420.257298722751*(1/14151.6638359215)</f>
        <v>2.9696670553748038E-2</v>
      </c>
      <c r="AU132" s="2">
        <f>503.593269912807*(1/14151.6638359215)</f>
        <v>3.5585446047306776E-2</v>
      </c>
      <c r="AV132" s="2">
        <f>596.14758558691*(1/14151.6638359215)</f>
        <v>4.2125618054443516E-2</v>
      </c>
      <c r="AW132" s="2">
        <f>696.562167990806*(1/14151.6638359215)</f>
        <v>4.9221220632919921E-2</v>
      </c>
      <c r="AX132" s="2">
        <f>803.478939370221*(1/14151.6638359215)</f>
        <v>5.6776287840496299E-2</v>
      </c>
      <c r="AY132" s="2">
        <f>915.539821970885*(1/14151.6638359215)</f>
        <v>6.4694853734933194E-2</v>
      </c>
      <c r="AZ132" s="2">
        <f>1031.38673803852*(1/14151.6638359215)</f>
        <v>7.2880952373990601E-2</v>
      </c>
      <c r="BA132" s="2">
        <f>1149.66160981889*(1/14151.6638359215)</f>
        <v>8.1238617815431499E-2</v>
      </c>
      <c r="BB132" s="2">
        <f>1269.00635955767*(1/14151.6638359215)</f>
        <v>8.967188411701256E-2</v>
      </c>
      <c r="BC132" s="2">
        <f>1388.06290950061*(1/14151.6638359215)</f>
        <v>9.8084785336495728E-2</v>
      </c>
      <c r="BD132" s="2">
        <f>1505.69006662281*(1/14151.6638359215)</f>
        <v>0.1063966812722672</v>
      </c>
      <c r="BE132" s="2">
        <f>1628.38998567838*(1/14151.6638359215)</f>
        <v>0.11506703413523714</v>
      </c>
      <c r="BF132" s="2">
        <f>1758.16302690641*(1/14151.6638359215)</f>
        <v>0.12423719551927341</v>
      </c>
      <c r="BG132" s="2">
        <f>1892.84864496204*(1/14151.6638359215)</f>
        <v>0.13375449465930486</v>
      </c>
      <c r="BH132" s="2">
        <f>2030.28629450031*(1/14151.6638359215)</f>
        <v>0.14346626079025329</v>
      </c>
      <c r="BI132" s="2">
        <f>2168.31543017636*(1/14151.6638359215)</f>
        <v>0.15321982314704752</v>
      </c>
      <c r="BJ132" s="2">
        <f>2304.7755066453*(1/14151.6638359215)</f>
        <v>0.16286251096461424</v>
      </c>
      <c r="BK132" s="2">
        <f>2437.50597856224*(1/14151.6638359215)</f>
        <v>0.17224165347788023</v>
      </c>
      <c r="BL132" s="2">
        <f>2564.34630058228*(1/14151.6638359215)</f>
        <v>0.18120457992177144</v>
      </c>
      <c r="BM132" s="2">
        <f>2683.13592736055*(1/14151.6638359215)</f>
        <v>0.18959861953121604</v>
      </c>
      <c r="BN132" s="2">
        <f>2791.71431355212*(1/14151.6638359215)</f>
        <v>0.19727110154113797</v>
      </c>
      <c r="BO132" s="2">
        <f>2889.49953761332*(1/14151.6638359215)</f>
        <v>0.20418090558926619</v>
      </c>
      <c r="BP132" s="2">
        <f>2981.21415404749*(1/14151.6638359215)</f>
        <v>0.21066174187095968</v>
      </c>
      <c r="BQ132" s="2">
        <f>3067.36830600353*(1/14151.6638359215)</f>
        <v>0.21674965866681747</v>
      </c>
      <c r="BR132" s="2">
        <f>3147.95428927609*(1/14151.6638359215)</f>
        <v>0.22244411157404431</v>
      </c>
      <c r="BS132" s="2">
        <f>3222.96439965982*(1/14151.6638359215)</f>
        <v>0.2277445561898449</v>
      </c>
      <c r="BT132" s="2">
        <f>3292.39093294938*(1/14151.6638359215)</f>
        <v>0.23265044811142468</v>
      </c>
      <c r="BU132" s="2">
        <f>3356.22618493944*(1/14151.6638359215)</f>
        <v>0.23716124293598978</v>
      </c>
      <c r="BV132" s="2">
        <f>3414.46245142466*(1/14151.6638359215)</f>
        <v>0.24127639626074568</v>
      </c>
      <c r="BW132" s="2">
        <f>3467.09202819969*(1/14151.6638359215)</f>
        <v>0.24499536368289707</v>
      </c>
      <c r="BX132" s="2">
        <f>3514.1072110592*(1/14151.6638359215)</f>
        <v>0.2483176007996501</v>
      </c>
      <c r="BY132" s="2">
        <f>3555.50022717901*(1/14151.6638359215)</f>
        <v>0.25124255835939235</v>
      </c>
      <c r="BZ132" s="2">
        <f>3591.24855238135*(1/14151.6638359215)</f>
        <v>0.25376864473459293</v>
      </c>
      <c r="CA132" s="2">
        <f>3621.35084037467*(1/14151.6638359215)</f>
        <v>0.25589576479215898</v>
      </c>
      <c r="CB132" s="2">
        <f>3645.82492503774*(1/14151.6638359215)</f>
        <v>0.25762517872869883</v>
      </c>
      <c r="CC132" s="2">
        <f>3664.68864024931*(1/14151.6638359215)</f>
        <v>0.25895814674081963</v>
      </c>
      <c r="CD132" s="2">
        <f>3677.95981988813*(1/14151.6638359215)</f>
        <v>0.25989592902512837</v>
      </c>
      <c r="CE132" s="2">
        <f>3685.65629783297*(1/14151.6638359215)</f>
        <v>0.26043978577823351</v>
      </c>
      <c r="CF132" s="2">
        <f>3687.79590796259*(1/14151.6638359215)</f>
        <v>0.26059097719674285</v>
      </c>
      <c r="CG132" s="2">
        <f>3684.39648415573*(1/14151.6638359215)</f>
        <v>0.26035076347726266</v>
      </c>
      <c r="CH132" s="2">
        <f>3675.47586029115*(1/14151.6638359215)</f>
        <v>0.25972040481640074</v>
      </c>
      <c r="CI132" s="2">
        <f>3661.05187024762*(1/14151.6638359215)</f>
        <v>0.25870116141076543</v>
      </c>
      <c r="CJ132" s="2">
        <f>3640.76205669118*(1/14151.6638359215)</f>
        <v>0.2572674209127091</v>
      </c>
      <c r="CK132" s="2">
        <f>3612.66860243863*(1/14151.6638359215)</f>
        <v>0.25528225121264603</v>
      </c>
      <c r="CL132" s="2">
        <f>3577.24240714804*(1/14151.6638359215)</f>
        <v>0.25277892752566961</v>
      </c>
      <c r="CM132" s="2">
        <f>3535.37089460287*(1/14151.6638359215)</f>
        <v>0.24982015793994169</v>
      </c>
      <c r="CN132" s="2">
        <f>3487.94148858661*(1/14151.6638359215)</f>
        <v>0.24646865054362629</v>
      </c>
      <c r="CO132" s="2">
        <f>3435.84161288271*(1/14151.6638359215)</f>
        <v>0.24278711342488454</v>
      </c>
      <c r="CP132" s="2">
        <f>3379.95869127464*(1/14151.6638359215)</f>
        <v>0.23883825467187905</v>
      </c>
      <c r="CQ132" s="2">
        <f>3321.1801475459*(1/14151.6638359215)</f>
        <v>0.23468478237277449</v>
      </c>
      <c r="CR132" s="2">
        <f>3260.39340547994*(1/14151.6638359215)</f>
        <v>0.23038940461573199</v>
      </c>
      <c r="CS132" s="2">
        <f>3198.48588886024*(1/14151.6638359215)</f>
        <v>0.2260148294889148</v>
      </c>
      <c r="CT132" s="2">
        <f>3136.34502147026*(1/14151.6638359215)</f>
        <v>0.22162376508048487</v>
      </c>
      <c r="CU132" s="2">
        <f>3072.71196519155*(1/14151.6638359215)</f>
        <v>0.21712725802544952</v>
      </c>
      <c r="CV132" s="2">
        <f>3005.47981954235*(1/14151.6638359215)</f>
        <v>0.21237642826940747</v>
      </c>
      <c r="CW132" s="2">
        <f>2935.1012904742*(1/14151.6638359215)</f>
        <v>0.20740326540430984</v>
      </c>
      <c r="CX132" s="2">
        <f>2862.03834589086*(1/14151.6638359215)</f>
        <v>0.20224041350007771</v>
      </c>
      <c r="CY132" s="2">
        <f>2786.75295369613*(1/14151.6638359215)</f>
        <v>0.19692051662663509</v>
      </c>
      <c r="CZ132" s="2">
        <f>2709.70708179379*(1/14151.6638359215)</f>
        <v>0.19147621885390445</v>
      </c>
      <c r="DA132" s="2">
        <f>2631.36269808761*(1/14151.6638359215)</f>
        <v>0.18594016425180768</v>
      </c>
      <c r="DB132" s="2">
        <f>2552.1817704814*(1/14151.6638359215)</f>
        <v>0.18034499689026934</v>
      </c>
      <c r="DC132" s="2">
        <f>2472.62626687895*(1/14151.6638359215)</f>
        <v>0.17472336083921275</v>
      </c>
      <c r="DD132" s="2">
        <f>2393.15815518403*(1/14151.6638359215)</f>
        <v>0.16910790016855973</v>
      </c>
      <c r="DE132" s="2">
        <f>2314.07768960005*(1/14151.6638359215)</f>
        <v>0.16351983176184359</v>
      </c>
      <c r="DF132" s="2">
        <f>2234.06938916662*(1/14151.6638359215)</f>
        <v>0.15786619969701579</v>
      </c>
      <c r="DG132" s="2">
        <f>2152.88362335692*(1/14151.6638359215)</f>
        <v>0.15212936431490162</v>
      </c>
      <c r="DH132" s="2">
        <f>2070.70169382509*(1/14151.6638359215)</f>
        <v>0.14632213694682172</v>
      </c>
      <c r="DI132" s="2">
        <f>1987.70490222531*(1/14151.6638359215)</f>
        <v>0.14045732892409951</v>
      </c>
      <c r="DJ132" s="2">
        <f>1904.07455021174*(1/14151.6638359215)</f>
        <v>0.13454775157805707</v>
      </c>
      <c r="DK132" s="2">
        <f>1819.99193943852*(1/14151.6638359215)</f>
        <v>0.12860621624001495</v>
      </c>
      <c r="DL132" s="2">
        <f>1735.63837155981*(1/14151.6638359215)</f>
        <v>0.12264553424129525</v>
      </c>
      <c r="DM132" s="2">
        <f>1651.19514822975*(1/14151.6638359215)</f>
        <v>0.11667851691321855</v>
      </c>
      <c r="DN132" s="2">
        <f>1566.84357110254*(1/14151.6638359215)</f>
        <v>0.1107179755871097</v>
      </c>
      <c r="DO132" s="2">
        <f>1482.76494183231*(1/14151.6638359215)</f>
        <v>0.10477672159428865</v>
      </c>
      <c r="DP132" s="2">
        <f>1397.70739570389*(1/14151.6638359215)</f>
        <v>9.8766294331840795E-2</v>
      </c>
      <c r="DQ132" s="2">
        <f>1309.53622143888*(1/14151.6638359215)</f>
        <v>9.2535848549119254E-2</v>
      </c>
      <c r="DR132" s="2">
        <f>1219.2940210854*(1/14151.6638359215)</f>
        <v>8.6159057706729672E-2</v>
      </c>
      <c r="DS132" s="2">
        <f>1128.10524542536*(1/14151.6638359215)</f>
        <v>7.9715378948012033E-2</v>
      </c>
      <c r="DT132" s="2">
        <f>1037.09434524063*(1/14151.6638359215)</f>
        <v>7.3284269416303477E-2</v>
      </c>
      <c r="DU132" s="2">
        <f>947.385771313169*(1/14151.6638359215)</f>
        <v>6.6945186254947456E-2</v>
      </c>
      <c r="DV132" s="2">
        <f>860.10397442486*(1/14151.6638359215)</f>
        <v>6.0777586607282032E-2</v>
      </c>
      <c r="DW132" s="2">
        <f>776.373405357611*(1/14151.6638359215)</f>
        <v>5.4860927616647043E-2</v>
      </c>
      <c r="DX132" s="2">
        <f>697.318514893326*(1/14151.6638359215)</f>
        <v>4.9274666426382042E-2</v>
      </c>
      <c r="DY132" s="2">
        <f>624.0637538139*(1/14151.6638359215)</f>
        <v>4.4098260179825946E-2</v>
      </c>
      <c r="DZ132" s="2">
        <f>557.621981576335*(1/14151.6638359215)</f>
        <v>3.9403280634812E-2</v>
      </c>
      <c r="EA132" s="2">
        <f>496.333315178314*(1/14151.6638359215)</f>
        <v>3.5072435363993001E-2</v>
      </c>
      <c r="EB132" s="2">
        <f>439.171833745069*(1/14151.6638359215)</f>
        <v>3.1033229649669099E-2</v>
      </c>
      <c r="EC132" s="2">
        <f>385.997381457358*(1/14151.6638359215)</f>
        <v>2.7275759651495667E-2</v>
      </c>
      <c r="ED132" s="2">
        <f>336.669802495938*(1/14151.6638359215)</f>
        <v>2.3790121529127985E-2</v>
      </c>
      <c r="EE132" s="2">
        <f>291.048941041557*(1/14151.6638359215)</f>
        <v>2.0566411442220711E-2</v>
      </c>
      <c r="EF132" s="2">
        <f>248.99464127499*(1/14151.6638359215)</f>
        <v>1.7594725550430408E-2</v>
      </c>
      <c r="EG132" s="2">
        <f>210.366747376986*(1/14151.6638359215)</f>
        <v>1.4865160013411791E-2</v>
      </c>
      <c r="EH132" s="2">
        <f>175.025103528301*(1/14151.6638359215)</f>
        <v>1.2367810990820082E-2</v>
      </c>
      <c r="EI132" s="2">
        <f>142.829553909694*(1/14151.6638359215)</f>
        <v>1.0092774642310709E-2</v>
      </c>
      <c r="EJ132" s="2">
        <f>113.639942701914*(1/14151.6638359215)</f>
        <v>8.0301471275383944E-3</v>
      </c>
      <c r="EK132" s="2">
        <f>87.9766255958207*(1/14151.6638359215)</f>
        <v>6.2166983766606711E-3</v>
      </c>
      <c r="EL132" s="2">
        <f>67.4366765181258*(1/14151.6638359215)</f>
        <v>4.7652825349730043E-3</v>
      </c>
      <c r="EM132" s="2">
        <f>51.4760946403181*(1/14151.6638359215)</f>
        <v>3.6374588343213131E-3</v>
      </c>
      <c r="EN132" s="2">
        <f>39.4054701324566*(1/14151.6638359215)</f>
        <v>2.7845114602307592E-3</v>
      </c>
      <c r="EO132" s="2">
        <f>30.5353931646*(1/14151.6638359215)</f>
        <v>2.157724598226485E-3</v>
      </c>
      <c r="EP132" s="2">
        <f>24.1764539068071*(1/14151.6638359215)</f>
        <v>1.7083824338336416E-3</v>
      </c>
      <c r="EQ132" s="2">
        <f>19.6392425291361*(1/14151.6638359215)</f>
        <v>1.3877691525773354E-3</v>
      </c>
      <c r="ER132" s="2">
        <f>16.2343492016473*(1/14151.6638359215)</f>
        <v>1.1471689399828219E-3</v>
      </c>
      <c r="ES132" s="2">
        <f>13.2723640943985*(1/14151.6638359215)</f>
        <v>9.3786598157518037E-4</v>
      </c>
      <c r="ET132" s="2">
        <f>10.0638773774486*(1/14151.6638359215)</f>
        <v>7.1114446287956793E-4</v>
      </c>
      <c r="EU132" s="2">
        <f>5.94555721917704*(1/14151.6638359215)</f>
        <v>4.2013132081934371E-4</v>
      </c>
      <c r="EV132" s="2">
        <f>2.35402784216633*(1/14151.6638359215)</f>
        <v>1.6634283215455174E-4</v>
      </c>
      <c r="EW132" s="2">
        <f>0.257989130172083*(1/14151.6638359215)</f>
        <v>1.8230303741191419E-5</v>
      </c>
      <c r="EX132" s="2">
        <f>-0.596056765685216*(1/14151.6638359215)</f>
        <v>-4.2119200441451361E-5</v>
      </c>
      <c r="EY132" s="2">
        <f>-0.461607694284259*(1/14151.6638359215)</f>
        <v>-3.2618616414032493E-5</v>
      </c>
      <c r="EZ132" s="2">
        <f>0.407838495496261*(1/14151.6638359215)</f>
        <v>2.8819119802792022E-5</v>
      </c>
      <c r="FA132" s="2">
        <f>1.75878395477766*(1/14151.6638359215)</f>
        <v>1.2428107218836681E-4</v>
      </c>
      <c r="FB132" s="2">
        <f>3.33773083468153*(1/14151.6638359215)</f>
        <v>2.3585430472205607E-4</v>
      </c>
      <c r="FC132" s="2">
        <f>4.89118128632858*(1/14151.6638359215)</f>
        <v>3.4562588138316145E-4</v>
      </c>
      <c r="FD132" s="2">
        <f>6.16563746084037*(1/14151.6638359215)</f>
        <v>4.3568286615104494E-4</v>
      </c>
      <c r="FE132" s="2">
        <f>6.90760150933822*(1/14151.6638359215)</f>
        <v>4.8811232300505144E-4</v>
      </c>
      <c r="FF132" s="2">
        <f>7.01229514614055*(1/14151.6638359215)</f>
        <v>4.9551029670031287E-4</v>
      </c>
      <c r="FG132" s="2">
        <f>7.03073786535139*(1/14151.6638359215)</f>
        <v>4.9681351584292895E-4</v>
      </c>
      <c r="FH132" s="2">
        <f>7.04480897704558*(1/14151.6638359215)</f>
        <v>4.9780782378136882E-4</v>
      </c>
      <c r="FI132" s="2">
        <f>7.05450848122313*(1/14151.6638359215)</f>
        <v>4.9849322051563334E-4</v>
      </c>
      <c r="FJ132" s="2">
        <f>7.05983637788404*(1/14151.6638359215)</f>
        <v>4.9886970604572252E-4</v>
      </c>
      <c r="FK132" s="2">
        <f>7.0607926670283*(1/14151.6638359215)</f>
        <v>4.9893728037163549E-4</v>
      </c>
      <c r="FL132" s="2">
        <f>7.05737734865593*(1/14151.6638359215)</f>
        <v>4.9869594349337377E-4</v>
      </c>
      <c r="FM132" s="2">
        <f>7.04959042276691*(1/14151.6638359215)</f>
        <v>4.9814569541093605E-4</v>
      </c>
      <c r="FN132" s="2">
        <f>7.03743188936125*(1/14151.6638359215)</f>
        <v>4.9728653612432288E-4</v>
      </c>
      <c r="FO132" s="2">
        <f>7.02090174843894*(1/14151.6638359215)</f>
        <v>4.9611846563353361E-4</v>
      </c>
      <c r="FP132" s="2">
        <f t="shared" si="19"/>
        <v>4.9464148393856954E-4</v>
      </c>
      <c r="FQ132" s="2"/>
    </row>
    <row r="133" spans="2:173">
      <c r="B133" s="2">
        <v>10.530769230769231</v>
      </c>
      <c r="C133" s="2">
        <f t="shared" si="20"/>
        <v>4.9464148393856954E-4</v>
      </c>
      <c r="D133" s="2">
        <f>7.04645262931074*(1/14151.6638359215)</f>
        <v>4.979239692950142E-4</v>
      </c>
      <c r="E133" s="2">
        <f>7.08318967602055*(1/14151.6638359215)</f>
        <v>5.0051992176645152E-4</v>
      </c>
      <c r="F133" s="2">
        <f>7.11021114012942*(1/14151.6638359215)</f>
        <v>5.0242934135288062E-4</v>
      </c>
      <c r="G133" s="2">
        <f>7.12751702163734*(1/14151.6638359215)</f>
        <v>5.0365222805430108E-4</v>
      </c>
      <c r="H133" s="2">
        <f>7.13510732054432*(1/14151.6638359215)</f>
        <v>5.0418858187071332E-4</v>
      </c>
      <c r="I133" s="2">
        <f>7.13298203685037*(1/14151.6638359215)</f>
        <v>5.0403840280211821E-4</v>
      </c>
      <c r="J133" s="2">
        <f>7.12114117055548*(1/14151.6638359215)</f>
        <v>5.03201690848515E-4</v>
      </c>
      <c r="K133" s="2">
        <f>7.09958472165964*(1/14151.6638359215)</f>
        <v>5.0167844600990292E-4</v>
      </c>
      <c r="L133" s="2">
        <f>7.06831269016286*(1/14151.6638359215)</f>
        <v>4.9946866828628285E-4</v>
      </c>
      <c r="M133" s="2">
        <f>7.02732507606514*(1/14151.6638359215)</f>
        <v>4.9657235767765456E-4</v>
      </c>
      <c r="N133" s="2">
        <f>6.979463862438*(1/14151.6638359215)</f>
        <v>4.9319033743027894E-4</v>
      </c>
      <c r="O133" s="2">
        <f>6.94385461437096*(1/14151.6638359215)</f>
        <v>4.9067407867230508E-4</v>
      </c>
      <c r="P133" s="2">
        <f>6.91686053871201*(1/14151.6638359215)</f>
        <v>4.8876659443780601E-4</v>
      </c>
      <c r="Q133" s="2">
        <f>6.88968287305683*(1/14151.6638359215)</f>
        <v>4.8684613717071108E-4</v>
      </c>
      <c r="R133" s="2">
        <f>6.85352285500106*(1/14151.6638359215)</f>
        <v>4.8429095931494661E-4</v>
      </c>
      <c r="S133" s="2">
        <f>6.79958172214038*(1/14151.6638359215)</f>
        <v>4.8047931331444174E-4</v>
      </c>
      <c r="T133" s="2">
        <f>6.71906071207043*(1/14151.6638359215)</f>
        <v>4.7478945161312275E-4</v>
      </c>
      <c r="U133" s="2">
        <f>6.6031610623869*(1/14151.6638359215)</f>
        <v>4.6659962665491968E-4</v>
      </c>
      <c r="V133" s="2">
        <f>6.44308401068542*(1/14151.6638359215)</f>
        <v>4.5528809088375807E-4</v>
      </c>
      <c r="W133" s="2">
        <f>6.23003079456168*(1/14151.6638359215)</f>
        <v>4.4023309674356785E-4</v>
      </c>
      <c r="X133" s="2">
        <f>5.95520265161126*(1/14151.6638359215)</f>
        <v>4.2081289667827114E-4</v>
      </c>
      <c r="Y133" s="2">
        <f>4.62562927057065*(1/14151.6638359215)</f>
        <v>3.2686116093496421E-4</v>
      </c>
      <c r="Z133" s="2">
        <f>1.14360726134544*(1/14151.6638359215)</f>
        <v>8.0810798970690288E-5</v>
      </c>
      <c r="AA133" s="2">
        <f>-3.70653478207371*(1/14151.6638359215)</f>
        <v>-2.6191512355355176E-4</v>
      </c>
      <c r="AB133" s="2">
        <f>-9.11825986183703*(1/14151.6638359215)</f>
        <v>-6.443242269995093E-4</v>
      </c>
      <c r="AC133" s="2">
        <f>-14.2850309800947*(1/14151.6638359215)</f>
        <v>-1.0094241317289258E-3</v>
      </c>
      <c r="AD133" s="2">
        <f>-18.4003111389977*(1/14151.6638359215)</f>
        <v>-1.3002224581036019E-3</v>
      </c>
      <c r="AE133" s="2">
        <f>-20.6575633406944*(1/14151.6638359215)</f>
        <v>-1.4597268264851531E-3</v>
      </c>
      <c r="AF133" s="2">
        <f>-20.250250587336*(1/14151.6638359215)</f>
        <v>-1.4309448572353957E-3</v>
      </c>
      <c r="AG133" s="2">
        <f>-16.3718358810728*(1/14151.6638359215)</f>
        <v>-1.1568841707160812E-3</v>
      </c>
      <c r="AH133" s="2">
        <f>-8.21578222405488*(1/14151.6638359215)</f>
        <v>-5.8055238728894681E-4</v>
      </c>
      <c r="AI133" s="2">
        <f>4.70789098655092*(1/14151.6638359215)</f>
        <v>3.3267402625836618E-4</v>
      </c>
      <c r="AJ133" s="2">
        <f>18.6388725172899*(1/14151.6638359215)</f>
        <v>1.3170799372705854E-3</v>
      </c>
      <c r="AK133" s="2">
        <f>33.0682680226725*(1/14151.6638359215)</f>
        <v>2.3367053094304389E-3</v>
      </c>
      <c r="AL133" s="2">
        <f>49.0378467766849*(1/14151.6638359215)</f>
        <v>3.4651647569673744E-3</v>
      </c>
      <c r="AM133" s="2">
        <f>67.5893780533136*(1/14151.6638359215)</f>
        <v>4.7760728941108601E-3</v>
      </c>
      <c r="AN133" s="2">
        <f>89.764631126545*(1/14151.6638359215)</f>
        <v>6.3430443350903608E-3</v>
      </c>
      <c r="AO133" s="2">
        <f>116.605375270365*(1/14151.6638359215)</f>
        <v>8.2396936941353041E-3</v>
      </c>
      <c r="AP133" s="2">
        <f>149.153379758767*(1/14151.6638359215)</f>
        <v>1.0539635585475644E-2</v>
      </c>
      <c r="AQ133" s="2">
        <f>188.450413865726*(1/14151.6638359215)</f>
        <v>1.3316484623340043E-2</v>
      </c>
      <c r="AR133" s="2">
        <f>235.538246865233*(1/14151.6638359215)</f>
        <v>1.6643855421958283E-2</v>
      </c>
      <c r="AS133" s="2">
        <f>291.458648031275*(1/14151.6638359215)</f>
        <v>2.0595362595559875E-2</v>
      </c>
      <c r="AT133" s="2">
        <f>357.240617322168*(1/14151.6638359215)</f>
        <v>2.5243718439338262E-2</v>
      </c>
      <c r="AU133" s="2">
        <f>432.757037810614*(1/14151.6638359215)</f>
        <v>3.0579940481071682E-2</v>
      </c>
      <c r="AV133" s="2">
        <f>516.842568727866*(1/14151.6638359215)</f>
        <v>3.6521682165453394E-2</v>
      </c>
      <c r="AW133" s="2">
        <f>608.310070315653*(1/14151.6638359215)</f>
        <v>4.2985056553672886E-2</v>
      </c>
      <c r="AX133" s="2">
        <f>705.972402815691*(1/14151.6638359215)</f>
        <v>4.9886176706918708E-2</v>
      </c>
      <c r="AY133" s="2">
        <f>808.642426469692*(1/14151.6638359215)</f>
        <v>5.7141155686379154E-2</v>
      </c>
      <c r="AZ133" s="2">
        <f>915.133001519373*(1/14151.6638359215)</f>
        <v>6.4666106553242841E-2</v>
      </c>
      <c r="BA133" s="2">
        <f>1024.25698820647*(1/14151.6638359215)</f>
        <v>7.2377142368699743E-2</v>
      </c>
      <c r="BB133" s="2">
        <f>1134.82724677265*(1/14151.6638359215)</f>
        <v>8.0190376193934973E-2</v>
      </c>
      <c r="BC133" s="2">
        <f>1245.65663745966*(1/14151.6638359215)</f>
        <v>8.8021921090139288E-2</v>
      </c>
      <c r="BD133" s="2">
        <f>1355.76081773397*(1/14151.6638359215)</f>
        <v>9.5802220392814205E-2</v>
      </c>
      <c r="BE133" s="2">
        <f>1471.26273967266*(1/14151.6638359215)</f>
        <v>0.10396394068788713</v>
      </c>
      <c r="BF133" s="2">
        <f>1593.96564962088*(1/14151.6638359215)</f>
        <v>0.11263450489651115</v>
      </c>
      <c r="BG133" s="2">
        <f>1721.76362237795*(1/14151.6638359215)</f>
        <v>0.12166510188063945</v>
      </c>
      <c r="BH133" s="2">
        <f>1852.55073274312*(1/14151.6638359215)</f>
        <v>0.13090692050222019</v>
      </c>
      <c r="BI133" s="2">
        <f>1984.22105551572*(1/14151.6638359215)</f>
        <v>0.14021114962320722</v>
      </c>
      <c r="BJ133" s="2">
        <f>2114.66866549505*(1/14151.6638359215)</f>
        <v>0.14942897810555231</v>
      </c>
      <c r="BK133" s="2">
        <f>2241.78763748041*(1/14151.6638359215)</f>
        <v>0.15841159481120715</v>
      </c>
      <c r="BL133" s="2">
        <f>2363.47204627111*(1/14151.6638359215)</f>
        <v>0.16701018860212419</v>
      </c>
      <c r="BM133" s="2">
        <f>2477.61596666645*(1/14151.6638359215)</f>
        <v>0.17507594834025517</v>
      </c>
      <c r="BN133" s="2">
        <f>2582.11347346571*(1/14151.6638359215)</f>
        <v>0.18246006288755043</v>
      </c>
      <c r="BO133" s="2">
        <f>2676.47561968818*(1/14151.6638359215)</f>
        <v>0.18912798174970913</v>
      </c>
      <c r="BP133" s="2">
        <f>2765.54660111888*(1/14151.6638359215)</f>
        <v>0.19542201066838716</v>
      </c>
      <c r="BQ133" s="2">
        <f>2849.7337057782*(1/14151.6638359215)</f>
        <v>0.20137092986512684</v>
      </c>
      <c r="BR133" s="2">
        <f>2928.90845595281*(1/14151.6638359215)</f>
        <v>0.20696566071038891</v>
      </c>
      <c r="BS133" s="2">
        <f>3002.94237392937*(1/14151.6638359215)</f>
        <v>0.21219712457463349</v>
      </c>
      <c r="BT133" s="2">
        <f>3071.70698199457*(1/14151.6638359215)</f>
        <v>0.21705624282832273</v>
      </c>
      <c r="BU133" s="2">
        <f>3135.07380243508*(1/14151.6638359215)</f>
        <v>0.22153393684191738</v>
      </c>
      <c r="BV133" s="2">
        <f>3192.91435753757*(1/14151.6638359215)</f>
        <v>0.2256211279858783</v>
      </c>
      <c r="BW133" s="2">
        <f>3245.10016958873*(1/14151.6638359215)</f>
        <v>0.22930873763066759</v>
      </c>
      <c r="BX133" s="2">
        <f>3291.50276087522*(1/14151.6638359215)</f>
        <v>0.23258768714674533</v>
      </c>
      <c r="BY133" s="2">
        <f>3331.99397905157*(1/14151.6638359215)</f>
        <v>0.23544892089606395</v>
      </c>
      <c r="BZ133" s="2">
        <f>3366.57808045043*(1/14151.6638359215)</f>
        <v>0.2378927396441517</v>
      </c>
      <c r="CA133" s="2">
        <f>3395.37979154389*(1/14151.6638359215)</f>
        <v>0.23992795694632868</v>
      </c>
      <c r="CB133" s="2">
        <f>3418.48152287576*(1/14151.6638359215)</f>
        <v>0.24156039618454958</v>
      </c>
      <c r="CC133" s="2">
        <f>3435.96568498982*(1/14151.6638359215)</f>
        <v>0.24279588074076688</v>
      </c>
      <c r="CD133" s="2">
        <f>3447.91468842987*(1/14151.6638359215)</f>
        <v>0.24364023399693449</v>
      </c>
      <c r="CE133" s="2">
        <f>3454.41094373971*(1/14151.6638359215)</f>
        <v>0.24409927933500639</v>
      </c>
      <c r="CF133" s="2">
        <f>3455.53686146312*(1/14151.6638359215)</f>
        <v>0.244178840136935</v>
      </c>
      <c r="CG133" s="2">
        <f>3451.37485214391*(1/14151.6638359215)</f>
        <v>0.24388473978467498</v>
      </c>
      <c r="CH133" s="2">
        <f>3442.00732632587*(1/14151.6638359215)</f>
        <v>0.24322280166017951</v>
      </c>
      <c r="CI133" s="2">
        <f>3427.51669455279*(1/14151.6638359215)</f>
        <v>0.24219884914540182</v>
      </c>
      <c r="CJ133" s="2">
        <f>3407.58176233857*(1/14151.6638359215)</f>
        <v>0.2407901856521652</v>
      </c>
      <c r="CK133" s="2">
        <f>3380.15941928917*(1/14151.6638359215)</f>
        <v>0.23885243872944692</v>
      </c>
      <c r="CL133" s="2">
        <f>3345.68519453559*(1/14151.6638359215)</f>
        <v>0.23641638420234087</v>
      </c>
      <c r="CM133" s="2">
        <f>3305.03112326557*(1/14151.6638359215)</f>
        <v>0.23354364275360556</v>
      </c>
      <c r="CN133" s="2">
        <f>3259.06924066685*(1/14151.6638359215)</f>
        <v>0.23029583506599968</v>
      </c>
      <c r="CO133" s="2">
        <f>3208.67158192718*(1/14151.6638359215)</f>
        <v>0.22673458182228254</v>
      </c>
      <c r="CP133" s="2">
        <f>3154.71018223426*(1/14151.6638359215)</f>
        <v>0.22292150370520994</v>
      </c>
      <c r="CQ133" s="2">
        <f>3098.05707677587*(1/14151.6638359215)</f>
        <v>0.21891822139754333</v>
      </c>
      <c r="CR133" s="2">
        <f>3039.58430073974*(1/14151.6638359215)</f>
        <v>0.21478635558204059</v>
      </c>
      <c r="CS133" s="2">
        <f>2980.16388931359*(1/14151.6638359215)</f>
        <v>0.21058752694145902</v>
      </c>
      <c r="CT133" s="2">
        <f>2920.66787768517*(1/14151.6638359215)</f>
        <v>0.20638335615855785</v>
      </c>
      <c r="CU133" s="2">
        <f>2859.89658410045*(1/14151.6638359215)</f>
        <v>0.20208907003861323</v>
      </c>
      <c r="CV133" s="2">
        <f>2795.81052629363*(1/14151.6638359215)</f>
        <v>0.19756055250527918</v>
      </c>
      <c r="CW133" s="2">
        <f>2728.8282682725*(1/14151.6638359215)</f>
        <v>0.19282738057597518</v>
      </c>
      <c r="CX133" s="2">
        <f>2659.37729225317*(1/14151.6638359215)</f>
        <v>0.18791976145609185</v>
      </c>
      <c r="CY133" s="2">
        <f>2587.88508045177*(1/14151.6638359215)</f>
        <v>0.18286790235102116</v>
      </c>
      <c r="CZ133" s="2">
        <f>2514.77911508441*(1/14151.6638359215)</f>
        <v>0.17770201046615361</v>
      </c>
      <c r="DA133" s="2">
        <f>2440.48687836719*(1/14151.6638359215)</f>
        <v>0.17245229300687917</v>
      </c>
      <c r="DB133" s="2">
        <f>2365.43585251626*(1/14151.6638359215)</f>
        <v>0.16714895717859118</v>
      </c>
      <c r="DC133" s="2">
        <f>2290.05351974773*(1/14151.6638359215)</f>
        <v>0.16182221018668022</v>
      </c>
      <c r="DD133" s="2">
        <f>2214.76736227771*(1/14151.6638359215)</f>
        <v>0.15650225923653685</v>
      </c>
      <c r="DE133" s="2">
        <f>2139.84840840427*(1/14151.6638359215)</f>
        <v>0.15120825601952489</v>
      </c>
      <c r="DF133" s="2">
        <f>2064.01721881006*(1/14151.6638359215)</f>
        <v>0.14584979142670962</v>
      </c>
      <c r="DG133" s="2">
        <f>1987.05054783449*(1/14151.6638359215)</f>
        <v>0.14041109023454282</v>
      </c>
      <c r="DH133" s="2">
        <f>1909.14469294324*(1/14151.6638359215)</f>
        <v>0.13490602342441271</v>
      </c>
      <c r="DI133" s="2">
        <f>1830.49595160204*(1/14151.6638359215)</f>
        <v>0.12934846197771099</v>
      </c>
      <c r="DJ133" s="2">
        <f>1751.30062127659*(1/14151.6638359215)</f>
        <v>0.12375227687582732</v>
      </c>
      <c r="DK133" s="2">
        <f>1671.75499943259*(1/14151.6638359215)</f>
        <v>0.11813133910015126</v>
      </c>
      <c r="DL133" s="2">
        <f>1592.05538353575*(1/14151.6638359215)</f>
        <v>0.11249951963207312</v>
      </c>
      <c r="DM133" s="2">
        <f>1512.39807105176*(1/14151.6638359215)</f>
        <v>0.10687068945298182</v>
      </c>
      <c r="DN133" s="2">
        <f>1432.97935944635*(1/14151.6638359215)</f>
        <v>0.10125871954426906</v>
      </c>
      <c r="DO133" s="2">
        <f>1353.99554618523*(1/14151.6638359215)</f>
        <v>9.5677480887325167E-2</v>
      </c>
      <c r="DP133" s="2">
        <f>1274.26883396464*(1/14151.6638359215)</f>
        <v>9.0043746709848604E-2</v>
      </c>
      <c r="DQ133" s="2">
        <f>1191.74831301686*(1/14151.6638359215)</f>
        <v>8.4212593433135224E-2</v>
      </c>
      <c r="DR133" s="2">
        <f>1107.40768374808*(1/14151.6638359215)</f>
        <v>7.8252825716303487E-2</v>
      </c>
      <c r="DS133" s="2">
        <f>1022.29883644823*(1/14151.6638359215)</f>
        <v>7.223877335563221E-2</v>
      </c>
      <c r="DT133" s="2">
        <f>937.473661407228*(1/14151.6638359215)</f>
        <v>6.6244766147399339E-2</v>
      </c>
      <c r="DU133" s="2">
        <f>853.984048915026*(1/14151.6638359215)</f>
        <v>6.0345133887885205E-2</v>
      </c>
      <c r="DV133" s="2">
        <f>772.881889261536*(1/14151.6638359215)</f>
        <v>5.4614206373367336E-2</v>
      </c>
      <c r="DW133" s="2">
        <f>695.219072736687*(1/14151.6638359215)</f>
        <v>4.9126313400124459E-2</v>
      </c>
      <c r="DX133" s="2">
        <f>622.047489630405*(1/14151.6638359215)</f>
        <v>4.3955784764435075E-2</v>
      </c>
      <c r="DY133" s="2">
        <f>554.419030232606*(1/14151.6638359215)</f>
        <v>3.9176950262576983E-2</v>
      </c>
      <c r="DZ133" s="2">
        <f>493.28667360895*(1/14151.6638359215)</f>
        <v>3.4857150320150264E-2</v>
      </c>
      <c r="EA133" s="2">
        <f>437.204906932006*(1/14151.6638359215)</f>
        <v>3.089424056429595E-2</v>
      </c>
      <c r="EB133" s="2">
        <f>385.217099956596*(1/14151.6638359215)</f>
        <v>2.7220622565863273E-2</v>
      </c>
      <c r="EC133" s="2">
        <f>337.141135230337*(1/14151.6638359215)</f>
        <v>2.3823427346723977E-2</v>
      </c>
      <c r="ED133" s="2">
        <f>292.794895300846*(1/14151.6638359215)</f>
        <v>2.0689785928749798E-2</v>
      </c>
      <c r="EE133" s="2">
        <f>251.996262715735*(1/14151.6638359215)</f>
        <v>1.7806829333812113E-2</v>
      </c>
      <c r="EF133" s="2">
        <f>214.563120022636*(1/14151.6638359215)</f>
        <v>1.5161688583783726E-2</v>
      </c>
      <c r="EG133" s="2">
        <f>180.31334976916*(1/14151.6638359215)</f>
        <v>1.2741494700535948E-2</v>
      </c>
      <c r="EH133" s="2">
        <f>149.064834502923*(1/14151.6638359215)</f>
        <v>1.0533378705940444E-2</v>
      </c>
      <c r="EI133" s="2">
        <f>120.635456771544*(1/14151.6638359215)</f>
        <v>8.5244716218690984E-3</v>
      </c>
      <c r="EJ133" s="2">
        <f>94.843099122635*(1/14151.6638359215)</f>
        <v>6.7019044701932887E-3</v>
      </c>
      <c r="EK133" s="2">
        <f>72.1743511756511*(1/14151.6638359215)</f>
        <v>5.1000611668325004E-3</v>
      </c>
      <c r="EL133" s="2">
        <f>54.246718743701*(1/14151.6638359215)</f>
        <v>3.8332396368832115E-3</v>
      </c>
      <c r="EM133" s="2">
        <f>40.5538738123788*(1/14151.6638359215)</f>
        <v>2.8656611888589348E-3</v>
      </c>
      <c r="EN133" s="2">
        <f>30.4436756303345*(1/14151.6638359215)</f>
        <v>2.1512435557618746E-3</v>
      </c>
      <c r="EO133" s="2">
        <f>23.2639834462179*(1/14151.6638359215)</f>
        <v>1.6439044705942199E-3</v>
      </c>
      <c r="EP133" s="2">
        <f>18.3626565086791*(1/14151.6638359215)</f>
        <v>1.2975616663581803E-3</v>
      </c>
      <c r="EQ133" s="2">
        <f>15.0875540663674*(1/14151.6638359215)</f>
        <v>1.0661328760559099E-3</v>
      </c>
      <c r="ER133" s="2">
        <f>12.786535367934*(1/14151.6638359215)</f>
        <v>9.0353583268969672E-4</v>
      </c>
      <c r="ES133" s="2">
        <f>10.807459662028*(1/14151.6638359215)</f>
        <v>7.6368826926168022E-4</v>
      </c>
      <c r="ET133" s="2">
        <f>8.49818619729939*(1/14151.6638359215)</f>
        <v>6.0050791877406281E-4</v>
      </c>
      <c r="EU133" s="2">
        <f>5.23055189065535*(1/14151.6638359215)</f>
        <v>3.6960684985877897E-4</v>
      </c>
      <c r="EV133" s="2">
        <f>2.31501267511043*(1/14151.6638359215)</f>
        <v>1.6358590070760296E-4</v>
      </c>
      <c r="EW133" s="2">
        <f>0.656227589603748*(1/14151.6638359215)</f>
        <v>4.6371055531861221E-5</v>
      </c>
      <c r="EX133" s="2">
        <f>0.0398090575378263*(1/14151.6638359215)</f>
        <v>2.8130301849580428E-6</v>
      </c>
      <c r="EY133" s="2">
        <f>0.251369502315872*(1/14151.6638359215)</f>
        <v>1.7762540520346089E-5</v>
      </c>
      <c r="EZ133" s="2">
        <f>1.07652134734109*(1/14151.6638359215)</f>
        <v>7.607030239147786E-5</v>
      </c>
      <c r="FA133" s="2">
        <f>2.30087701601669*(1/14151.6638359215)</f>
        <v>1.6258703165180621E-4</v>
      </c>
      <c r="FB133" s="2">
        <f>3.71004893174614*(1/14151.6638359215)</f>
        <v>2.6216344415480217E-4</v>
      </c>
      <c r="FC133" s="2">
        <f>5.08964951793209*(1/14151.6638359215)</f>
        <v>3.5965025575387916E-4</v>
      </c>
      <c r="FD133" s="2">
        <f>6.22529119797799*(1/14151.6638359215)</f>
        <v>4.3989818230250689E-4</v>
      </c>
      <c r="FE133" s="2">
        <f>6.90258639528705*(1/14151.6638359215)</f>
        <v>4.8775793965413826E-4</v>
      </c>
      <c r="FF133" s="2">
        <f>7.03292227607546*(1/14151.6638359215)</f>
        <v>4.9696787300894114E-4</v>
      </c>
      <c r="FG133" s="2">
        <f>7.08230569018867*(1/14151.6638359215)</f>
        <v>5.0045745661449984E-4</v>
      </c>
      <c r="FH133" s="2">
        <f>7.11998340614169*(1/14151.6638359215)</f>
        <v>5.0311987966170232E-4</v>
      </c>
      <c r="FI133" s="2">
        <f>7.14595542393456*(1/14151.6638359215)</f>
        <v>5.0495514215055149E-4</v>
      </c>
      <c r="FJ133" s="2">
        <f>7.16022174356726*(1/14151.6638359215)</f>
        <v>5.0596324408104596E-4</v>
      </c>
      <c r="FK133" s="2">
        <f>7.1627823650398*(1/14151.6638359215)</f>
        <v>5.0614418545318627E-4</v>
      </c>
      <c r="FL133" s="2">
        <f>7.15363728835217*(1/14151.6638359215)</f>
        <v>5.0549796626697175E-4</v>
      </c>
      <c r="FM133" s="2">
        <f>7.13278651350437*(1/14151.6638359215)</f>
        <v>5.0402458652240253E-4</v>
      </c>
      <c r="FN133" s="2">
        <f>7.10023004049641*(1/14151.6638359215)</f>
        <v>5.0172404621947914E-4</v>
      </c>
      <c r="FO133" s="2">
        <f>7.05596786932829*(1/14151.6638359215)</f>
        <v>4.985963453582018E-4</v>
      </c>
      <c r="FP133" s="2">
        <f t="shared" si="19"/>
        <v>4.9464148393856954E-4</v>
      </c>
      <c r="FQ133" s="2"/>
    </row>
    <row r="134" spans="2:173">
      <c r="B134" s="2">
        <v>10.540236686390532</v>
      </c>
      <c r="C134" s="2">
        <f t="shared" si="20"/>
        <v>4.9464148393856954E-4</v>
      </c>
      <c r="D134" s="2">
        <f>7.04526754000787*(1/14151.6638359215)</f>
        <v>4.9784022724767547E-4</v>
      </c>
      <c r="E134" s="2">
        <f>7.08106735922979*(1/14151.6638359215)</f>
        <v>5.0036995234834165E-4</v>
      </c>
      <c r="F134" s="2">
        <f>7.10739945766575*(1/14151.6638359215)</f>
        <v>5.0223065924056729E-4</v>
      </c>
      <c r="G134" s="2">
        <f>7.12426383531574*(1/14151.6638359215)</f>
        <v>5.0342234792435177E-4</v>
      </c>
      <c r="H134" s="2">
        <f>7.13166049217977*(1/14151.6638359215)</f>
        <v>5.0394501839969583E-4</v>
      </c>
      <c r="I134" s="2">
        <f>7.12958942825784*(1/14151.6638359215)</f>
        <v>5.0379867066659937E-4</v>
      </c>
      <c r="J134" s="2">
        <f>7.11805064354995*(1/14151.6638359215)</f>
        <v>5.0298330472506249E-4</v>
      </c>
      <c r="K134" s="2">
        <f>7.0970441380561*(1/14151.6638359215)</f>
        <v>5.0149892057508509E-4</v>
      </c>
      <c r="L134" s="2">
        <f>7.06656991177628*(1/14151.6638359215)</f>
        <v>4.9934551821666652E-4</v>
      </c>
      <c r="M134" s="2">
        <f>7.02662796471051*(1/14151.6638359215)</f>
        <v>4.9652309764980818E-4</v>
      </c>
      <c r="N134" s="2">
        <f>6.98202420100774*(1/14151.6638359215)</f>
        <v>4.9337125881163916E-4</v>
      </c>
      <c r="O134" s="2">
        <f>6.96510069671197*(1/14151.6638359215)</f>
        <v>4.9217539205759621E-4</v>
      </c>
      <c r="P134" s="2">
        <f>6.969707492848*(1/14151.6638359215)</f>
        <v>4.9250092241144312E-4</v>
      </c>
      <c r="Q134" s="2">
        <f>6.98096553923131*(1/14151.6638359215)</f>
        <v>4.9329645052134164E-4</v>
      </c>
      <c r="R134" s="2">
        <f>6.98399578567737*(1/14151.6638359215)</f>
        <v>4.935105770354529E-4</v>
      </c>
      <c r="S134" s="2">
        <f>6.96391918200165*(1/14151.6638359215)</f>
        <v>4.9209190260193791E-4</v>
      </c>
      <c r="T134" s="2">
        <f>6.90585667801962*(1/14151.6638359215)</f>
        <v>4.8798902786895788E-4</v>
      </c>
      <c r="U134" s="2">
        <f>6.79492922354676*(1/14151.6638359215)</f>
        <v>4.8015055348467453E-4</v>
      </c>
      <c r="V134" s="2">
        <f>6.61625776839855*(1/14151.6638359215)</f>
        <v>4.6752508009724963E-4</v>
      </c>
      <c r="W134" s="2">
        <f>6.35496326239045*(1/14151.6638359215)</f>
        <v>4.4906120835484363E-4</v>
      </c>
      <c r="X134" s="2">
        <f>5.99616665533785*(1/14151.6638359215)</f>
        <v>4.2370753890561192E-4</v>
      </c>
      <c r="Y134" s="2">
        <f>4.68365835260795*(1/14151.6638359215)</f>
        <v>3.3096167397075323E-4</v>
      </c>
      <c r="Z134" s="2">
        <f>1.48109707858446*(1/14151.6638359215)</f>
        <v>1.0465886525829963E-4</v>
      </c>
      <c r="AA134" s="2">
        <f>-2.93238009649439*(1/14151.6638359215)</f>
        <v>-2.0721097748598727E-4</v>
      </c>
      <c r="AB134" s="2">
        <f>-7.85860920842928*(1/14151.6638359215)</f>
        <v>-5.5531344579296666E-4</v>
      </c>
      <c r="AC134" s="2">
        <f>-12.5994262930209*(1/14151.6638359215)</f>
        <v>-8.9031413119349825E-4</v>
      </c>
      <c r="AD134" s="2">
        <f>-16.4566673860704*(1/14151.6638359215)</f>
        <v>-1.1628786252184747E-3</v>
      </c>
      <c r="AE134" s="2">
        <f>-18.732168523377*(1/14151.6638359215)</f>
        <v>-1.3236725193986516E-3</v>
      </c>
      <c r="AF134" s="2">
        <f>-18.7277657407421*(1/14151.6638359215)</f>
        <v>-1.3233614052649396E-3</v>
      </c>
      <c r="AG134" s="2">
        <f>-15.7452950739665*(1/14151.6638359215)</f>
        <v>-1.1126108743482056E-3</v>
      </c>
      <c r="AH134" s="2">
        <f>-9.08659255885068*(1/14151.6638359215)</f>
        <v>-6.4208651817929498E-4</v>
      </c>
      <c r="AI134" s="2">
        <f>1.64993818417138*(1/14151.6638359215)</f>
        <v>1.165896959750629E-4</v>
      </c>
      <c r="AJ134" s="2">
        <f>12.9179758956439*(1/14151.6638359215)</f>
        <v>9.1282382378628159E-4</v>
      </c>
      <c r="AK134" s="2">
        <f>24.2923810237976*(1/14151.6638359215)</f>
        <v>1.716574199716056E-3</v>
      </c>
      <c r="AL134" s="2">
        <f>36.8100881334444*(1/14151.6638359215)</f>
        <v>2.6011138026052097E-3</v>
      </c>
      <c r="AM134" s="2">
        <f>51.5080317893968*(1/14151.6638359215)</f>
        <v>3.6397156112946069E-3</v>
      </c>
      <c r="AN134" s="2">
        <f>69.4231465564669*(1/14151.6638359215)</f>
        <v>4.9056526046250834E-3</v>
      </c>
      <c r="AO134" s="2">
        <f>91.5923669994669*(1/14151.6638359215)</f>
        <v>6.4721977614374824E-3</v>
      </c>
      <c r="AP134" s="2">
        <f>119.052627683215*(1/14151.6638359215)</f>
        <v>8.4126240605730696E-3</v>
      </c>
      <c r="AQ134" s="2">
        <f>152.840863172513*(1/14151.6638359215)</f>
        <v>1.0800204480871956E-2</v>
      </c>
      <c r="AR134" s="2">
        <f>193.994008032177*(1/14151.6638359215)</f>
        <v>1.3708212001175259E-2</v>
      </c>
      <c r="AS134" s="2">
        <f>243.548996827021*(1/14151.6638359215)</f>
        <v>1.7209919600323947E-2</v>
      </c>
      <c r="AT134" s="2">
        <f>302.363667205867*(1/14151.6638359215)</f>
        <v>2.1365944719402549E-2</v>
      </c>
      <c r="AU134" s="2">
        <f>369.997088126474*(1/14151.6638359215)</f>
        <v>2.6145129817689829E-2</v>
      </c>
      <c r="AV134" s="2">
        <f>445.449826152464*(1/14151.6638359215)</f>
        <v>3.1476851861176089E-2</v>
      </c>
      <c r="AW134" s="2">
        <f>527.721121522261*(1/14151.6638359215)</f>
        <v>3.729039409364248E-2</v>
      </c>
      <c r="AX134" s="2">
        <f>615.810214474279*(1/14151.6638359215)</f>
        <v>4.3515039758869445E-2</v>
      </c>
      <c r="AY134" s="2">
        <f>708.71634524693*(1/14151.6638359215)</f>
        <v>5.0080072100637293E-2</v>
      </c>
      <c r="AZ134" s="2">
        <f>805.438754078627*(1/14151.6638359215)</f>
        <v>5.6914774362726378E-2</v>
      </c>
      <c r="BA134" s="2">
        <f>904.976681207802*(1/14151.6638359215)</f>
        <v>6.3948429788918432E-2</v>
      </c>
      <c r="BB134" s="2">
        <f>1006.32936687283*(1/14151.6638359215)</f>
        <v>7.1110321622991107E-2</v>
      </c>
      <c r="BC134" s="2">
        <f>1108.49605131214*(1/14151.6638359215)</f>
        <v>7.8329733108725957E-2</v>
      </c>
      <c r="BD134" s="2">
        <f>1210.66238582082*(1/14151.6638359215)</f>
        <v>8.5549119867288484E-2</v>
      </c>
      <c r="BE134" s="2">
        <f>1318.5037530551*(1/14151.6638359215)</f>
        <v>9.3169521855678283E-2</v>
      </c>
      <c r="BF134" s="2">
        <f>1433.60423317086*(1/14151.6638359215)</f>
        <v>0.10130287503946418</v>
      </c>
      <c r="BG134" s="2">
        <f>1553.93433351907*(1/14151.6638359215)</f>
        <v>0.10980576923928069</v>
      </c>
      <c r="BH134" s="2">
        <f>1677.4645614506*(1/14151.6638359215)</f>
        <v>0.11853479427575522</v>
      </c>
      <c r="BI134" s="2">
        <f>1802.16542431642*(1/14151.6638359215)</f>
        <v>0.12734653996952228</v>
      </c>
      <c r="BJ134" s="2">
        <f>1926.00742946746*(1/14151.6638359215)</f>
        <v>0.13609759614121347</v>
      </c>
      <c r="BK134" s="2">
        <f>2046.96108425465*(1/14151.6638359215)</f>
        <v>0.14464455261146048</v>
      </c>
      <c r="BL134" s="2">
        <f>2162.99689602892*(1/14151.6638359215)</f>
        <v>0.152843999200895</v>
      </c>
      <c r="BM134" s="2">
        <f>2272.08537214124*(1/14151.6638359215)</f>
        <v>0.16055252573015141</v>
      </c>
      <c r="BN134" s="2">
        <f>2372.19701994247*(1/14151.6638359215)</f>
        <v>0.16762672201985654</v>
      </c>
      <c r="BO134" s="2">
        <f>2462.95425836713*(1/14151.6638359215)</f>
        <v>0.17403990703307659</v>
      </c>
      <c r="BP134" s="2">
        <f>2549.3137939237*(1/14151.6638359215)</f>
        <v>0.18014233686449765</v>
      </c>
      <c r="BQ134" s="2">
        <f>2631.56052243668*(1/14151.6638359215)</f>
        <v>0.18595414312746239</v>
      </c>
      <c r="BR134" s="2">
        <f>2709.42592436779*(1/14151.6638359215)</f>
        <v>0.19145635140727343</v>
      </c>
      <c r="BS134" s="2">
        <f>2782.64148017872*(1/14151.6638359215)</f>
        <v>0.19662998728923139</v>
      </c>
      <c r="BT134" s="2">
        <f>2850.9386703312*(1/14151.6638359215)</f>
        <v>0.20145607635863957</v>
      </c>
      <c r="BU134" s="2">
        <f>2914.04897528694*(1/14151.6638359215)</f>
        <v>0.2059156442008</v>
      </c>
      <c r="BV134" s="2">
        <f>2971.70387550765*(1/14151.6638359215)</f>
        <v>0.2099897164010146</v>
      </c>
      <c r="BW134" s="2">
        <f>3023.63485145505*(1/14151.6638359215)</f>
        <v>0.21365931854458603</v>
      </c>
      <c r="BX134" s="2">
        <f>3069.57338359084*(1/14151.6638359215)</f>
        <v>0.21690547621681558</v>
      </c>
      <c r="BY134" s="2">
        <f>3109.25171945199*(1/14151.6638359215)</f>
        <v>0.21970926920689732</v>
      </c>
      <c r="BZ134" s="2">
        <f>3142.70125610358*(1/14151.6638359215)</f>
        <v>0.2220729161278116</v>
      </c>
      <c r="CA134" s="2">
        <f>3170.19139075714*(1/14151.6638359215)</f>
        <v>0.22401545341334134</v>
      </c>
      <c r="CB134" s="2">
        <f>3191.88162746231*(1/14151.6638359215)</f>
        <v>0.22554815210917334</v>
      </c>
      <c r="CC134" s="2">
        <f>3207.93147026875*(1/14151.6638359215)</f>
        <v>0.22668228326099599</v>
      </c>
      <c r="CD134" s="2">
        <f>3218.5004232261*(1/14151.6638359215)</f>
        <v>0.22742911791449602</v>
      </c>
      <c r="CE134" s="2">
        <f>3223.74799038401*(1/14151.6638359215)</f>
        <v>0.22779992711536115</v>
      </c>
      <c r="CF134" s="2">
        <f>3223.83367579212*(1/14151.6638359215)</f>
        <v>0.22780598190927823</v>
      </c>
      <c r="CG134" s="2">
        <f>3218.91698350009*(1/14151.6638359215)</f>
        <v>0.22745855334193549</v>
      </c>
      <c r="CH134" s="2">
        <f>3209.15741755757*(1/14151.6638359215)</f>
        <v>0.22676891245902059</v>
      </c>
      <c r="CI134" s="2">
        <f>3194.7144820142*(1/14151.6638359215)</f>
        <v>0.22574833030622032</v>
      </c>
      <c r="CJ134" s="2">
        <f>3175.32172925866*(1/14151.6638359215)</f>
        <v>0.22437797887755548</v>
      </c>
      <c r="CK134" s="2">
        <f>3148.83835648597*(1/14151.6638359215)</f>
        <v>0.22250658247641525</v>
      </c>
      <c r="CL134" s="2">
        <f>3115.65061292426*(1/14151.6638359215)</f>
        <v>0.22016143465870994</v>
      </c>
      <c r="CM134" s="2">
        <f>3076.59907758606*(1/14151.6638359215)</f>
        <v>0.21740193331731472</v>
      </c>
      <c r="CN134" s="2">
        <f>3032.52432948392*(1/14151.6638359215)</f>
        <v>0.21428747634510598</v>
      </c>
      <c r="CO134" s="2">
        <f>2984.26694763039*(1/14151.6638359215)</f>
        <v>0.21087746163496021</v>
      </c>
      <c r="CP134" s="2">
        <f>2932.66751103799*(1/14151.6638359215)</f>
        <v>0.20723128707975183</v>
      </c>
      <c r="CQ134" s="2">
        <f>2878.56659871929*(1/14151.6638359215)</f>
        <v>0.20340835057235865</v>
      </c>
      <c r="CR134" s="2">
        <f>2822.80478968682*(1/14151.6638359215)</f>
        <v>0.19946805000565579</v>
      </c>
      <c r="CS134" s="2">
        <f>2766.22266295313*(1/14151.6638359215)</f>
        <v>0.19546978327251968</v>
      </c>
      <c r="CT134" s="2">
        <f>2709.66079753075*(1/14151.6638359215)</f>
        <v>0.19147294826582545</v>
      </c>
      <c r="CU134" s="2">
        <f>2651.99451105445*(1/14151.6638359215)</f>
        <v>0.1873980714778449</v>
      </c>
      <c r="CV134" s="2">
        <f>2591.28413714341*(1/14151.6638359215)</f>
        <v>0.18310809012901316</v>
      </c>
      <c r="CW134" s="2">
        <f>2527.91079604523*(1/14151.6638359215)</f>
        <v>0.17862993534573476</v>
      </c>
      <c r="CX134" s="2">
        <f>2462.26404887103*(1/14151.6638359215)</f>
        <v>0.17399113471173669</v>
      </c>
      <c r="CY134" s="2">
        <f>2394.73345673195*(1/14151.6638359215)</f>
        <v>0.16921921581074742</v>
      </c>
      <c r="CZ134" s="2">
        <f>2325.70858073914*(1/14151.6638359215)</f>
        <v>0.1643417062264961</v>
      </c>
      <c r="DA134" s="2">
        <f>2255.57898200372*(1/14151.6638359215)</f>
        <v>0.15938613354270972</v>
      </c>
      <c r="DB134" s="2">
        <f>2184.73422163686*(1/14151.6638359215)</f>
        <v>0.1543800253431189</v>
      </c>
      <c r="DC134" s="2">
        <f>2113.56386074969*(1/14151.6638359215)</f>
        <v>0.14935090921145125</v>
      </c>
      <c r="DD134" s="2">
        <f>2042.45746045334*(1/14151.6638359215)</f>
        <v>0.14432631273143462</v>
      </c>
      <c r="DE134" s="2">
        <f>1971.65062803536*(1/14151.6638359215)</f>
        <v>0.13932288463711759</v>
      </c>
      <c r="DF134" s="2">
        <f>1899.87359368091*(1/14151.6638359215)</f>
        <v>0.13425089909628976</v>
      </c>
      <c r="DG134" s="2">
        <f>1826.9358608271*(1/14151.6638359215)</f>
        <v>0.12909689503715782</v>
      </c>
      <c r="DH134" s="2">
        <f>1753.06396903911*(1/14151.6638359215)</f>
        <v>0.1238768804406777</v>
      </c>
      <c r="DI134" s="2">
        <f>1678.48445788216*(1/14151.6638359215)</f>
        <v>0.11860686328780816</v>
      </c>
      <c r="DJ134" s="2">
        <f>1603.42386692144*(1/14151.6638359215)</f>
        <v>0.1133028515595058</v>
      </c>
      <c r="DK134" s="2">
        <f>1528.10873572215*(1/14151.6638359215)</f>
        <v>0.10798085323672796</v>
      </c>
      <c r="DL134" s="2">
        <f>1452.76560384948*(1/14151.6638359215)</f>
        <v>0.10265687630043126</v>
      </c>
      <c r="DM134" s="2">
        <f>1377.62101086862*(1/14151.6638359215)</f>
        <v>9.7346928731572357E-2</v>
      </c>
      <c r="DN134" s="2">
        <f>1302.9014963448*(1/14151.6638359215)</f>
        <v>9.2067018511110668E-2</v>
      </c>
      <c r="DO134" s="2">
        <f>1228.83359984321*(1/14151.6638359215)</f>
        <v>8.6833153620002837E-2</v>
      </c>
      <c r="DP134" s="2">
        <f>1154.31660112532*(1/14151.6638359215)</f>
        <v>8.1567553787936301E-2</v>
      </c>
      <c r="DQ134" s="2">
        <f>1077.3626133008*(1/14151.6638359215)</f>
        <v>7.6129748826148994E-2</v>
      </c>
      <c r="DR134" s="2">
        <f>998.869529611509*(1/14151.6638359215)</f>
        <v>7.0583186626865399E-2</v>
      </c>
      <c r="DS134" s="2">
        <f>919.810299268105*(1/14151.6638359215)</f>
        <v>6.4996618767422173E-2</v>
      </c>
      <c r="DT134" s="2">
        <f>841.157871481216*(1/14151.6638359215)</f>
        <v>5.9438796825153899E-2</v>
      </c>
      <c r="DU134" s="2">
        <f>763.885195461518*(1/14151.6638359215)</f>
        <v>5.3978472377398508E-2</v>
      </c>
      <c r="DV134" s="2">
        <f>688.965220419644*(1/14151.6638359215)</f>
        <v>4.8684397001490909E-2</v>
      </c>
      <c r="DW134" s="2">
        <f>617.370895566239*(1/14151.6638359215)</f>
        <v>4.3625322274766877E-2</v>
      </c>
      <c r="DX134" s="2">
        <f>550.075170111951*(1/14151.6638359215)</f>
        <v>3.8869999774562361E-2</v>
      </c>
      <c r="DY134" s="2">
        <f>488.050993267416*(1/14151.6638359215)</f>
        <v>3.4487181078212498E-2</v>
      </c>
      <c r="DZ134" s="2">
        <f>432.186071625799*(1/14151.6638359215)</f>
        <v>3.0539594258080876E-2</v>
      </c>
      <c r="EA134" s="2">
        <f>381.265636489569*(1/14151.6638359215)</f>
        <v>2.6941400029711945E-2</v>
      </c>
      <c r="EB134" s="2">
        <f>334.40836998747*(1/14151.6638359215)</f>
        <v>2.3630321767440052E-2</v>
      </c>
      <c r="EC134" s="2">
        <f>291.387680889458*(1/14151.6638359215)</f>
        <v>2.059034783951141E-2</v>
      </c>
      <c r="ED134" s="2">
        <f>251.976977965494*(1/14151.6638359215)</f>
        <v>1.7805466614172601E-2</v>
      </c>
      <c r="EE134" s="2">
        <f>215.949669985526*(1/14151.6638359215)</f>
        <v>1.5259666459669278E-2</v>
      </c>
      <c r="EF134" s="2">
        <f>183.079165719528*(1/14151.6638359215)</f>
        <v>1.2936935744248946E-2</v>
      </c>
      <c r="EG134" s="2">
        <f>153.13887393745*(1/14151.6638359215)</f>
        <v>1.08212628361574E-2</v>
      </c>
      <c r="EH134" s="2">
        <f>125.902203409249*(1/14151.6638359215)</f>
        <v>8.8966361036409355E-3</v>
      </c>
      <c r="EI134" s="2">
        <f>101.142562904884*(1/14151.6638359215)</f>
        <v>7.1470439149459919E-3</v>
      </c>
      <c r="EJ134" s="2">
        <f>78.6333611943079*(1/14151.6638359215)</f>
        <v>5.5564746383185695E-3</v>
      </c>
      <c r="EK134" s="2">
        <f>58.8213805150894*(1/14151.6638359215)</f>
        <v>4.156499277899869E-3</v>
      </c>
      <c r="EL134" s="2">
        <f>43.3360751778442*(1/14151.6638359215)</f>
        <v>3.0622600762917522E-3</v>
      </c>
      <c r="EM134" s="2">
        <f>31.7152981520828*(1/14151.6638359215)</f>
        <v>2.2411003059286299E-3</v>
      </c>
      <c r="EN134" s="2">
        <f>23.3515764097975*(1/14151.6638359215)</f>
        <v>1.6500940582353041E-3</v>
      </c>
      <c r="EO134" s="2">
        <f>17.6374369229807*(1/14151.6638359215)</f>
        <v>1.2463154246365846E-3</v>
      </c>
      <c r="EP134" s="2">
        <f>13.9654066636248*(1/14151.6638359215)</f>
        <v>9.8683849655727975E-4</v>
      </c>
      <c r="EQ134" s="2">
        <f>11.7280126037218*(1/14151.6638359215)</f>
        <v>8.2873736542217111E-4</v>
      </c>
      <c r="ER134" s="2">
        <f>10.3177817152648*(1/14151.6638359215)</f>
        <v>7.2908612265611724E-4</v>
      </c>
      <c r="ES134" s="2">
        <f>9.12724097024561*(1/14151.6638359215)</f>
        <v>6.4495885968388544E-4</v>
      </c>
      <c r="ET134" s="2">
        <f>7.54891734065669*(1/14151.6638359215)</f>
        <v>5.3342966793028929E-4</v>
      </c>
      <c r="EU134" s="2">
        <f>4.99708243793278*(1/14151.6638359215)</f>
        <v>3.5310918178034788E-4</v>
      </c>
      <c r="EV134" s="2">
        <f>2.65094316941777*(1/14151.6638359215)</f>
        <v>1.8732378045108864E-4</v>
      </c>
      <c r="EW134" s="2">
        <f>1.34320951523512*(1/14151.6638359215)</f>
        <v>9.4915306836615207E-5</v>
      </c>
      <c r="EX134" s="2">
        <f>0.895910355952367*(1/14151.6638359215)</f>
        <v>6.3307775420601558E-5</v>
      </c>
      <c r="EY134" s="2">
        <f>1.13107457213758*(1/14151.6638359215)</f>
        <v>7.9925200686759303E-5</v>
      </c>
      <c r="EZ134" s="2">
        <f>1.87073104435884*(1/14151.6638359215)</f>
        <v>1.3219159711880095E-4</v>
      </c>
      <c r="FA134" s="2">
        <f>2.93690865318423*(1/14151.6638359215)</f>
        <v>2.0753097920043904E-4</v>
      </c>
      <c r="FB134" s="2">
        <f>4.15163627918203*(1/14151.6638359215)</f>
        <v>2.933673614154001E-4</v>
      </c>
      <c r="FC134" s="2">
        <f>5.33694280291987*(1/14151.6638359215)</f>
        <v>3.7712475824736475E-4</v>
      </c>
      <c r="FD134" s="2">
        <f>6.31485710496602*(1/14151.6638359215)</f>
        <v>4.4622718418005873E-4</v>
      </c>
      <c r="FE134" s="2">
        <f>6.90740806588855*(1/14151.6638359215)</f>
        <v>4.8809865369719383E-4</v>
      </c>
      <c r="FF134" s="2">
        <f>7.04103486898867*(1/14151.6638359215)</f>
        <v>4.9754113372282394E-4</v>
      </c>
      <c r="FG134" s="2">
        <f>7.10258717247169*(1/14151.6638359215)</f>
        <v>5.0189060839920651E-4</v>
      </c>
      <c r="FH134" s="2">
        <f>7.14954930031428*(1/14151.6638359215)</f>
        <v>5.0520909648563096E-4</v>
      </c>
      <c r="FI134" s="2">
        <f>7.18192125251646*(1/14151.6638359215)</f>
        <v>5.0749659798209881E-4</v>
      </c>
      <c r="FJ134" s="2">
        <f>7.19970302907822*(1/14151.6638359215)</f>
        <v>5.0875311288860929E-4</v>
      </c>
      <c r="FK134" s="2">
        <f>7.20289462999956*(1/14151.6638359215)</f>
        <v>5.0897864120516231E-4</v>
      </c>
      <c r="FL134" s="2">
        <f>7.19149605528048*(1/14151.6638359215)</f>
        <v>5.0817318293175796E-4</v>
      </c>
      <c r="FM134" s="2">
        <f>7.16550730492099*(1/14151.6638359215)</f>
        <v>5.063367380683969E-4</v>
      </c>
      <c r="FN134" s="2">
        <f>7.12492837892107*(1/14151.6638359215)</f>
        <v>5.0346930661507782E-4</v>
      </c>
      <c r="FO134" s="2">
        <f>7.06975927728075*(1/14151.6638359215)</f>
        <v>4.9957088857180269E-4</v>
      </c>
      <c r="FP134" s="2">
        <f t="shared" si="19"/>
        <v>4.9464148393856954E-4</v>
      </c>
      <c r="FQ134" s="2"/>
    </row>
    <row r="135" spans="2:173">
      <c r="B135" s="2">
        <v>10.549704142011835</v>
      </c>
      <c r="C135" s="2">
        <f t="shared" si="20"/>
        <v>4.9464148393856954E-4</v>
      </c>
      <c r="D135" s="2">
        <f>7.03960521464271*(1/14151.6638359215)</f>
        <v>4.974401099589375E-4</v>
      </c>
      <c r="E135" s="2">
        <f>7.07092698570002*(1/14151.6638359215)</f>
        <v>4.9965340243256207E-4</v>
      </c>
      <c r="F135" s="2">
        <f>7.09396531317192*(1/14151.6638359215)</f>
        <v>5.012813613594426E-4</v>
      </c>
      <c r="G135" s="2">
        <f>7.10872019705842*(1/14151.6638359215)</f>
        <v>5.0232398673957963E-4</v>
      </c>
      <c r="H135" s="2">
        <f>7.11519163735952*(1/14151.6638359215)</f>
        <v>5.0278127857297339E-4</v>
      </c>
      <c r="I135" s="2">
        <f>7.11337963407521*(1/14151.6638359215)</f>
        <v>5.0265323685962299E-4</v>
      </c>
      <c r="J135" s="2">
        <f>7.1032841872055*(1/14151.6638359215)</f>
        <v>5.0193986159952921E-4</v>
      </c>
      <c r="K135" s="2">
        <f>7.08490529675039*(1/14151.6638359215)</f>
        <v>5.0064115279269204E-4</v>
      </c>
      <c r="L135" s="2">
        <f>7.05824296270987*(1/14151.6638359215)</f>
        <v>4.9875711043911083E-4</v>
      </c>
      <c r="M135" s="2">
        <f>7.02329718508394*(1/14151.6638359215)</f>
        <v>4.9628773453878547E-4</v>
      </c>
      <c r="N135" s="2">
        <f>6.9851382453177*(1/14151.6638359215)</f>
        <v>4.9359130674000041E-4</v>
      </c>
      <c r="O135" s="2">
        <f>6.97788738740162*(1/14151.6638359215)</f>
        <v>4.930789388657951E-4</v>
      </c>
      <c r="P135" s="2">
        <f>6.99505633734738*(1/14151.6638359215)</f>
        <v>4.9429214956277191E-4</v>
      </c>
      <c r="Q135" s="2">
        <f>7.02094753446031*(1/14151.6638359215)</f>
        <v>4.9612170101432697E-4</v>
      </c>
      <c r="R135" s="2">
        <f>7.03986341804573*(1/14151.6638359215)</f>
        <v>4.9745835540385575E-4</v>
      </c>
      <c r="S135" s="2">
        <f>7.03610642740895*(1/14151.6638359215)</f>
        <v>4.9719287491475288E-4</v>
      </c>
      <c r="T135" s="2">
        <f>6.9939790018553*(1/14151.6638359215)</f>
        <v>4.9421602173041446E-4</v>
      </c>
      <c r="U135" s="2">
        <f>6.89778358069008*(1/14151.6638359215)</f>
        <v>4.8741855803423437E-4</v>
      </c>
      <c r="V135" s="2">
        <f>6.73182260321864*(1/14151.6638359215)</f>
        <v>4.7569124600961034E-4</v>
      </c>
      <c r="W135" s="2">
        <f>6.48039850874627*(1/14151.6638359215)</f>
        <v>4.5792484783993548E-4</v>
      </c>
      <c r="X135" s="2">
        <f>6.12781373657823*(1/14151.6638359215)</f>
        <v>4.3301012570860092E-4</v>
      </c>
      <c r="Y135" s="2">
        <f>4.95176588533189*(1/14151.6638359215)</f>
        <v>3.4990697509099301E-4</v>
      </c>
      <c r="Z135" s="2">
        <f>2.16674287051479*(1/14151.6638359215)</f>
        <v>1.5310870125496452E-4</v>
      </c>
      <c r="AA135" s="2">
        <f>-1.65310998843726*(1/14151.6638359215)</f>
        <v>-1.1681382539918255E-4</v>
      </c>
      <c r="AB135" s="2">
        <f>-5.91764915394225*(1/14151.6638359215)</f>
        <v>-4.1815925127625933E-4</v>
      </c>
      <c r="AC135" s="2">
        <f>-10.0367310884182*(1/14151.6638359215)</f>
        <v>-7.0922622278107904E-4</v>
      </c>
      <c r="AD135" s="2">
        <f>-13.4202122542836*(1/14151.6638359215)</f>
        <v>-9.4831338631848794E-4</v>
      </c>
      <c r="AE135" s="2">
        <f>-15.4779491139551*(1/14151.6638359215)</f>
        <v>-1.0937193882932027E-3</v>
      </c>
      <c r="AF135" s="2">
        <f>-15.6197981298514*(1/14151.6638359215)</f>
        <v>-1.1037428751100842E-3</v>
      </c>
      <c r="AG135" s="2">
        <f>-13.2556157643905*(1/14151.6638359215)</f>
        <v>-9.366824931739447E-4</v>
      </c>
      <c r="AH135" s="2">
        <f>-7.79525847999043*(1/14151.6638359215)</f>
        <v>-5.5083688888959775E-4</v>
      </c>
      <c r="AI135" s="2">
        <f>1.07817906507076*(1/14151.6638359215)</f>
        <v>7.6187441814014323E-5</v>
      </c>
      <c r="AJ135" s="2">
        <f>10.0756665595178*(1/14151.6638359215)</f>
        <v>7.1197752266715796E-4</v>
      </c>
      <c r="AK135" s="2">
        <f>18.8532242740243*(1/14151.6638359215)</f>
        <v>1.33222669027572E-3</v>
      </c>
      <c r="AL135" s="2">
        <f>28.4225540410338*(1/14151.6638359215)</f>
        <v>2.0084249011687351E-3</v>
      </c>
      <c r="AM135" s="2">
        <f>39.7953576929897*(1/14151.6638359215)</f>
        <v>2.8120621118752276E-3</v>
      </c>
      <c r="AN135" s="2">
        <f>53.9833370623357*(1/14151.6638359215)</f>
        <v>3.8146282789242444E-3</v>
      </c>
      <c r="AO135" s="2">
        <f>71.9981939815152*(1/14151.6638359215)</f>
        <v>5.0876133588448093E-3</v>
      </c>
      <c r="AP135" s="2">
        <f>94.8516302829766*(1/14151.6638359215)</f>
        <v>6.7025073081663014E-3</v>
      </c>
      <c r="AQ135" s="2">
        <f>123.555347799155*(1/14151.6638359215)</f>
        <v>8.7308000834171572E-3</v>
      </c>
      <c r="AR135" s="2">
        <f>159.121048362498*(1/14151.6638359215)</f>
        <v>1.12439816411267E-2</v>
      </c>
      <c r="AS135" s="2">
        <f>202.560433805449*(1/14151.6638359215)</f>
        <v>1.4313541937823955E-2</v>
      </c>
      <c r="AT135" s="2">
        <f>254.554380778477*(1/14151.6638359215)</f>
        <v>1.7987593807332794E-2</v>
      </c>
      <c r="AU135" s="2">
        <f>314.377747501277*(1/14151.6638359215)</f>
        <v>2.2214896505899511E-2</v>
      </c>
      <c r="AV135" s="2">
        <f>381.205983895834*(1/14151.6638359215)</f>
        <v>2.6937184794356823E-2</v>
      </c>
      <c r="AW135" s="2">
        <f>454.232356200275*(1/14151.6638359215)</f>
        <v>3.2097452389116703E-2</v>
      </c>
      <c r="AX135" s="2">
        <f>532.650130652718*(1/14151.6638359215)</f>
        <v>3.7638693006590479E-2</v>
      </c>
      <c r="AY135" s="2">
        <f>615.652573491281*(1/14151.6638359215)</f>
        <v>4.3503900363189497E-2</v>
      </c>
      <c r="AZ135" s="2">
        <f>702.432950954082*(1/14151.6638359215)</f>
        <v>4.9636068175325079E-2</v>
      </c>
      <c r="BA135" s="2">
        <f>792.184529279256*(1/14151.6638359215)</f>
        <v>5.5978190159409774E-2</v>
      </c>
      <c r="BB135" s="2">
        <f>884.100574704886*(1/14151.6638359215)</f>
        <v>6.2473260031852419E-2</v>
      </c>
      <c r="BC135" s="2">
        <f>977.374353469107*(1/14151.6638359215)</f>
        <v>6.9064271509065578E-2</v>
      </c>
      <c r="BD135" s="2">
        <f>1071.36760675893*(1/14151.6638359215)</f>
        <v>7.5706123264421568E-2</v>
      </c>
      <c r="BE135" s="2">
        <f>1171.26060712747*(1/14151.6638359215)</f>
        <v>8.2764869255474521E-2</v>
      </c>
      <c r="BF135" s="2">
        <f>1278.4056456307*(1/14151.6638359215)</f>
        <v>9.0336066518602084E-2</v>
      </c>
      <c r="BG135" s="2">
        <f>1390.86723600312*(1/14151.6638359215)</f>
        <v>9.8282947654017142E-2</v>
      </c>
      <c r="BH135" s="2">
        <f>1506.70989197916*(1/14151.6638359215)</f>
        <v>0.10646874526192764</v>
      </c>
      <c r="BI135" s="2">
        <f>1623.99812729333*(1/14151.6638359215)</f>
        <v>0.11475669194254726</v>
      </c>
      <c r="BJ135" s="2">
        <f>1740.79645568011*(1/14151.6638359215)</f>
        <v>0.12301002029608743</v>
      </c>
      <c r="BK135" s="2">
        <f>1855.16939087396*(1/14151.6638359215)</f>
        <v>0.13109196292275827</v>
      </c>
      <c r="BL135" s="2">
        <f>1965.18144660939*(1/14151.6638359215)</f>
        <v>0.13886575242277335</v>
      </c>
      <c r="BM135" s="2">
        <f>2068.89713662087*(1/14151.6638359215)</f>
        <v>0.14619462139634351</v>
      </c>
      <c r="BN135" s="2">
        <f>2164.38097464286*(1/14151.6638359215)</f>
        <v>0.15294180244367883</v>
      </c>
      <c r="BO135" s="2">
        <f>2251.37856640669*(1/14151.6638359215)</f>
        <v>0.15908931928498493</v>
      </c>
      <c r="BP135" s="2">
        <f>2334.94254383347*(1/14151.6638359215)</f>
        <v>0.1649942063990123</v>
      </c>
      <c r="BQ135" s="2">
        <f>2415.22311439441*(1/14151.6638359215)</f>
        <v>0.17066707790668351</v>
      </c>
      <c r="BR135" s="2">
        <f>2491.8008244567*(1/14151.6638359215)</f>
        <v>0.17607829392694474</v>
      </c>
      <c r="BS135" s="2">
        <f>2564.25622038752*(1/14151.6638359215)</f>
        <v>0.1811982145787415</v>
      </c>
      <c r="BT135" s="2">
        <f>2632.16984855406*(1/14151.6638359215)</f>
        <v>0.18599719998102002</v>
      </c>
      <c r="BU135" s="2">
        <f>2695.1222553235*(1/14151.6638359215)</f>
        <v>0.19044561025272577</v>
      </c>
      <c r="BV135" s="2">
        <f>2752.69398706304*(1/14151.6638359215)</f>
        <v>0.19451380551280567</v>
      </c>
      <c r="BW135" s="2">
        <f>2804.46559013985*(1/14151.6638359215)</f>
        <v>0.19817214588020451</v>
      </c>
      <c r="BX135" s="2">
        <f>2850.01761092112*(1/14151.6638359215)</f>
        <v>0.20139099147386852</v>
      </c>
      <c r="BY135" s="2">
        <f>2888.93183496417*(1/14151.6638359215)</f>
        <v>0.20414078997772167</v>
      </c>
      <c r="BZ135" s="2">
        <f>2921.26789058393*(1/14151.6638359215)</f>
        <v>0.20642575491150428</v>
      </c>
      <c r="CA135" s="2">
        <f>2947.45070267204*(1/14151.6638359215)</f>
        <v>0.20827591277221105</v>
      </c>
      <c r="CB135" s="2">
        <f>2967.72344254568*(1/14151.6638359215)</f>
        <v>0.20970844679143932</v>
      </c>
      <c r="CC135" s="2">
        <f>2982.32928152204*(1/14151.6638359215)</f>
        <v>0.21074054020078714</v>
      </c>
      <c r="CD135" s="2">
        <f>2991.51139091829*(1/14151.6638359215)</f>
        <v>0.21138937623185103</v>
      </c>
      <c r="CE135" s="2">
        <f>2995.5129420516*(1/14151.6638359215)</f>
        <v>0.21167213811622768</v>
      </c>
      <c r="CF135" s="2">
        <f>2994.57710623917*(1/14151.6638359215)</f>
        <v>0.21160600908551577</v>
      </c>
      <c r="CG135" s="2">
        <f>2988.94705479816*(1/14151.6638359215)</f>
        <v>0.21120817237131126</v>
      </c>
      <c r="CH135" s="2">
        <f>2978.86595904575*(1/14151.6638359215)</f>
        <v>0.21049581120521144</v>
      </c>
      <c r="CI135" s="2">
        <f>2964.57699029913*(1/14151.6638359215)</f>
        <v>0.2094861088188143</v>
      </c>
      <c r="CJ135" s="2">
        <f>2945.87685077832*(1/14151.6638359215)</f>
        <v>0.20816469956703834</v>
      </c>
      <c r="CK135" s="2">
        <f>2920.53778284203*(1/14151.6638359215)</f>
        <v>0.20637416325766308</v>
      </c>
      <c r="CL135" s="2">
        <f>2888.88775197281*(1/14151.6638359215)</f>
        <v>0.20413767493825555</v>
      </c>
      <c r="CM135" s="2">
        <f>2851.72429115304*(1/14151.6638359215)</f>
        <v>0.20151159073708647</v>
      </c>
      <c r="CN135" s="2">
        <f>2809.84493336513*(1/14151.6638359215)</f>
        <v>0.19855226678242843</v>
      </c>
      <c r="CO135" s="2">
        <f>2764.04721159146*(1/14151.6638359215)</f>
        <v>0.19531605920255216</v>
      </c>
      <c r="CP135" s="2">
        <f>2715.12865881443*(1/14151.6638359215)</f>
        <v>0.19185932412572967</v>
      </c>
      <c r="CQ135" s="2">
        <f>2663.88680801645*(1/14151.6638359215)</f>
        <v>0.18823841768023372</v>
      </c>
      <c r="CR135" s="2">
        <f>2611.11919217991*(1/14151.6638359215)</f>
        <v>0.18450969599433567</v>
      </c>
      <c r="CS135" s="2">
        <f>2557.62334428721*(1/14151.6638359215)</f>
        <v>0.18072951519630751</v>
      </c>
      <c r="CT135" s="2">
        <f>2504.19679732074*(1/14151.6638359215)</f>
        <v>0.1769542314144206</v>
      </c>
      <c r="CU135" s="2">
        <f>2449.80056080087*(1/14151.6638359215)</f>
        <v>0.17311042639258317</v>
      </c>
      <c r="CV135" s="2">
        <f>2392.61754486994*(1/14151.6638359215)</f>
        <v>0.16906969898456059</v>
      </c>
      <c r="CW135" s="2">
        <f>2332.98956232368*(1/14151.6638359215)</f>
        <v>0.16485620273156842</v>
      </c>
      <c r="CX135" s="2">
        <f>2271.26629671568*(1/14151.6638359215)</f>
        <v>0.16049464734672905</v>
      </c>
      <c r="CY135" s="2">
        <f>2207.79743159951*(1/14151.6638359215)</f>
        <v>0.15600974254316347</v>
      </c>
      <c r="CZ135" s="2">
        <f>2142.93265052876*(1/14151.6638359215)</f>
        <v>0.15142619803399399</v>
      </c>
      <c r="DA135" s="2">
        <f>2077.02163705699*(1/14151.6638359215)</f>
        <v>0.14676872353234094</v>
      </c>
      <c r="DB135" s="2">
        <f>2010.41407473783*(1/14151.6638359215)</f>
        <v>0.14206202875132951</v>
      </c>
      <c r="DC135" s="2">
        <f>1943.45964712482*(1/14151.6638359215)</f>
        <v>0.13733082340407854</v>
      </c>
      <c r="DD135" s="2">
        <f>1876.50803777157*(1/14151.6638359215)</f>
        <v>0.13259981720371181</v>
      </c>
      <c r="DE135" s="2">
        <f>1809.7555276868*(1/14151.6638359215)</f>
        <v>0.12788287996871825</v>
      </c>
      <c r="DF135" s="2">
        <f>1741.92355601848*(1/14151.6638359215)</f>
        <v>0.1230896646652187</v>
      </c>
      <c r="DG135" s="2">
        <f>1672.85842882354*(1/14151.6638359215)</f>
        <v>0.11820931080748853</v>
      </c>
      <c r="DH135" s="2">
        <f>1602.82719016382*(1/14151.6638359215)</f>
        <v>0.11326068854853139</v>
      </c>
      <c r="DI135" s="2">
        <f>1532.09688410117*(1/14151.6638359215)</f>
        <v>0.10826266804135162</v>
      </c>
      <c r="DJ135" s="2">
        <f>1460.93455469742*(1/14151.6638359215)</f>
        <v>0.10323411943895217</v>
      </c>
      <c r="DK135" s="2">
        <f>1389.60724601442*(1/14151.6638359215)</f>
        <v>9.8193912894337376E-2</v>
      </c>
      <c r="DL135" s="2">
        <f>1318.38200211401*(1/14151.6638359215)</f>
        <v>9.3160918560510897E-2</v>
      </c>
      <c r="DM135" s="2">
        <f>1247.52586705801*(1/14151.6638359215)</f>
        <v>8.8154006590474954E-2</v>
      </c>
      <c r="DN135" s="2">
        <f>1177.30588490829*(1/14151.6638359215)</f>
        <v>8.3192047137235325E-2</v>
      </c>
      <c r="DO135" s="2">
        <f>1107.98909972668*(1/14151.6638359215)</f>
        <v>7.829391035379496E-2</v>
      </c>
      <c r="DP135" s="2">
        <f>1038.55383386455*(1/14151.6638359215)</f>
        <v>7.3387401361835941E-2</v>
      </c>
      <c r="DQ135" s="2">
        <f>967.061148654427*(1/14151.6638359215)</f>
        <v>6.8335508804251918E-2</v>
      </c>
      <c r="DR135" s="2">
        <f>894.328534679417*(1/14151.6638359215)</f>
        <v>6.319599907463333E-2</v>
      </c>
      <c r="DS135" s="2">
        <f>821.245761454858*(1/14151.6638359215)</f>
        <v>5.8031746017755924E-2</v>
      </c>
      <c r="DT135" s="2">
        <f>748.702598496072*(1/14151.6638359215)</f>
        <v>5.2905623478394302E-2</v>
      </c>
      <c r="DU135" s="2">
        <f>677.588815318421*(1/14151.6638359215)</f>
        <v>4.7880505301325871E-2</v>
      </c>
      <c r="DV135" s="2">
        <f>608.794181437226*(1/14151.6638359215)</f>
        <v>4.3019265331325177E-2</v>
      </c>
      <c r="DW135" s="2">
        <f>543.208466367821*(1/14151.6638359215)</f>
        <v>3.8384777413167648E-2</v>
      </c>
      <c r="DX135" s="2">
        <f>481.721439625542*(1/14151.6638359215)</f>
        <v>3.4039915391628879E-2</v>
      </c>
      <c r="DY135" s="2">
        <f>425.222870725714*(1/14151.6638359215)</f>
        <v>3.0047553111483674E-2</v>
      </c>
      <c r="DZ135" s="2">
        <f>374.531463561752*(1/14151.6638359215)</f>
        <v>2.6465542702552757E-2</v>
      </c>
      <c r="EA135" s="2">
        <f>328.671168175766*(1/14151.6638359215)</f>
        <v>2.3224913479183436E-2</v>
      </c>
      <c r="EB135" s="2">
        <f>286.839895734568*(1/14151.6638359215)</f>
        <v>2.0268987382704471E-2</v>
      </c>
      <c r="EC135" s="2">
        <f>248.766292717834*(1/14151.6638359215)</f>
        <v>1.7578589740549426E-2</v>
      </c>
      <c r="ED135" s="2">
        <f>214.179005605243*(1/14151.6638359215)</f>
        <v>1.5134545880152086E-2</v>
      </c>
      <c r="EE135" s="2">
        <f>182.806680876466*(1/14151.6638359215)</f>
        <v>1.2917681128945667E-2</v>
      </c>
      <c r="EF135" s="2">
        <f>154.377965011192*(1/14151.6638359215)</f>
        <v>1.0908820814364655E-2</v>
      </c>
      <c r="EG135" s="2">
        <f>128.621504489093*(1/14151.6638359215)</f>
        <v>9.0887902638423362E-3</v>
      </c>
      <c r="EH135" s="2">
        <f>105.265945789847*(1/14151.6638359215)</f>
        <v>7.4384148048124198E-3</v>
      </c>
      <c r="EI135" s="2">
        <f>84.0399353931309*(1/14151.6638359215)</f>
        <v>5.9385197647085402E-3</v>
      </c>
      <c r="EJ135" s="2">
        <f>64.6721197786186*(1/14151.6638359215)</f>
        <v>4.5699304709641165E-3</v>
      </c>
      <c r="EK135" s="2">
        <f>47.5654510619216*(1/14151.6638359215)</f>
        <v>3.3611207567823299E-3</v>
      </c>
      <c r="EL135" s="2">
        <f>34.3523194732432*(1/14151.6638359215)</f>
        <v>2.4274403258538338E-3</v>
      </c>
      <c r="EM135" s="2">
        <f>24.6190282535236*(1/14151.6638359215)</f>
        <v>1.7396560954926405E-3</v>
      </c>
      <c r="EN135" s="2">
        <f>17.8079010958323*(1/14151.6638359215)</f>
        <v>1.258360946267681E-3</v>
      </c>
      <c r="EO135" s="2">
        <f>13.3612616932388*(1/14151.6638359215)</f>
        <v>9.4414775874788635E-4</v>
      </c>
      <c r="EP135" s="2">
        <f>10.7214337388127*(1/14151.6638359215)</f>
        <v>7.576094135021942E-4</v>
      </c>
      <c r="EQ135" s="2">
        <f>9.3307409256234*(1/14151.6638359215)</f>
        <v>6.5933879109952875E-4</v>
      </c>
      <c r="ER135" s="2">
        <f>8.63150694674085*(1/14151.6638359215)</f>
        <v>6.0992877210885215E-4</v>
      </c>
      <c r="ES135" s="2">
        <f>8.06605549523425*(1/14151.6638359215)</f>
        <v>5.6997223709907472E-4</v>
      </c>
      <c r="ET135" s="2">
        <f>7.07671026417316*(1/14151.6638359215)</f>
        <v>5.0006206663913118E-4</v>
      </c>
      <c r="EU135" s="2">
        <f>5.12523850713462*(1/14151.6638359215)</f>
        <v>3.6216508295830961E-4</v>
      </c>
      <c r="EV135" s="2">
        <f>3.25775758604514*(1/14151.6638359215)</f>
        <v>2.3020314952478576E-4</v>
      </c>
      <c r="EW135" s="2">
        <f>2.22995088112931*(1/14151.6638359215)</f>
        <v>1.575751732788461E-4</v>
      </c>
      <c r="EX135" s="2">
        <f>1.89751547458302*(1/14151.6638359215)</f>
        <v>1.3408426716344916E-4</v>
      </c>
      <c r="EY135" s="2">
        <f>2.1161484486026*(1/14151.6638359215)</f>
        <v>1.4953354412158455E-4</v>
      </c>
      <c r="EZ135" s="2">
        <f>2.74154688538437*(1/14151.6638359215)</f>
        <v>1.9372611709624117E-4</v>
      </c>
      <c r="FA135" s="2">
        <f>3.62940786712467*(1/14151.6638359215)</f>
        <v>2.5646509903040935E-4</v>
      </c>
      <c r="FB135" s="2">
        <f>4.63542847602001*(1/14151.6638359215)</f>
        <v>3.2755360286709138E-4</v>
      </c>
      <c r="FC135" s="2">
        <f>5.61530579426632*(1/14151.6638359215)</f>
        <v>3.9679474154924861E-4</v>
      </c>
      <c r="FD135" s="2">
        <f>6.4247369040601*(1/14151.6638359215)</f>
        <v>4.5399162801988273E-4</v>
      </c>
      <c r="FE135" s="2">
        <f>6.91941888759769*(1/14151.6638359215)</f>
        <v>4.889473752219839E-4</v>
      </c>
      <c r="FF135" s="2">
        <f>7.03970700858961*(1/14151.6638359215)</f>
        <v>4.9744730303164474E-4</v>
      </c>
      <c r="FG135" s="2">
        <f>7.09926752147405*(1/14151.6638359215)</f>
        <v>5.0165603167125921E-4</v>
      </c>
      <c r="FH135" s="2">
        <f>7.14470998685994*(1/14151.6638359215)</f>
        <v>5.0486713574444551E-4</v>
      </c>
      <c r="FI135" s="2">
        <f>7.17603440474731*(1/14151.6638359215)</f>
        <v>5.0708061525120559E-4</v>
      </c>
      <c r="FJ135" s="2">
        <f>7.19324077513614*(1/14151.6638359215)</f>
        <v>5.0829647019153803E-4</v>
      </c>
      <c r="FK135" s="2">
        <f>7.19632909802645*(1/14151.6638359215)</f>
        <v>5.0851470056544436E-4</v>
      </c>
      <c r="FL135" s="2">
        <f>7.18529937341822*(1/14151.6638359215)</f>
        <v>5.0773530637292317E-4</v>
      </c>
      <c r="FM135" s="2">
        <f>7.16015160131146*(1/14151.6638359215)</f>
        <v>5.059582876139751E-4</v>
      </c>
      <c r="FN135" s="2">
        <f>7.12088578170617*(1/14151.6638359215)</f>
        <v>5.0318364428860016E-4</v>
      </c>
      <c r="FO135" s="2">
        <f>7.06750191460235*(1/14151.6638359215)</f>
        <v>4.9941137639679834E-4</v>
      </c>
      <c r="FP135" s="2">
        <f t="shared" si="19"/>
        <v>4.9464148393856954E-4</v>
      </c>
      <c r="FQ135" s="2"/>
    </row>
    <row r="136" spans="2:173">
      <c r="B136" s="2">
        <v>10.559171597633137</v>
      </c>
      <c r="C136" s="2">
        <f t="shared" si="20"/>
        <v>4.9464148393856954E-4</v>
      </c>
      <c r="D136" s="2">
        <f>7.03106943926741*(1/14151.6638359215)</f>
        <v>4.9683694587347965E-4</v>
      </c>
      <c r="E136" s="2">
        <f>7.05564069515864*(1/14151.6638359215)</f>
        <v>4.985732262272329E-4</v>
      </c>
      <c r="F136" s="2">
        <f>7.07371376767367*(1/14151.6638359215)</f>
        <v>4.9985032499982776E-4</v>
      </c>
      <c r="G136" s="2">
        <f>7.08528865681251*(1/14151.6638359215)</f>
        <v>5.0066824219126488E-4</v>
      </c>
      <c r="H136" s="2">
        <f>7.09036536257516*(1/14151.6638359215)</f>
        <v>5.0102697780154439E-4</v>
      </c>
      <c r="I136" s="2">
        <f>7.08894388496162*(1/14151.6638359215)</f>
        <v>5.0092653183066627E-4</v>
      </c>
      <c r="J136" s="2">
        <f>7.08102422397189*(1/14151.6638359215)</f>
        <v>5.0036690427863052E-4</v>
      </c>
      <c r="K136" s="2">
        <f>7.06660637960596*(1/14151.6638359215)</f>
        <v>4.9934809514543639E-4</v>
      </c>
      <c r="L136" s="2">
        <f>7.04569035186384*(1/14151.6638359215)</f>
        <v>4.9787010443108452E-4</v>
      </c>
      <c r="M136" s="2">
        <f>7.01827614074554*(1/14151.6638359215)</f>
        <v>4.9593293213557579E-4</v>
      </c>
      <c r="N136" s="2">
        <f>6.98853768978276*(1/14151.6638359215)</f>
        <v>4.9383152191925241E-4</v>
      </c>
      <c r="O136" s="2">
        <f>6.9845641982026*(1/14151.6638359215)</f>
        <v>4.9355074280901985E-4</v>
      </c>
      <c r="P136" s="2">
        <f>7.00101440644406*(1/14151.6638359215)</f>
        <v>4.9471316501125621E-4</v>
      </c>
      <c r="Q136" s="2">
        <f>7.02496581057218*(1/14151.6638359215)</f>
        <v>4.9640564473701985E-4</v>
      </c>
      <c r="R136" s="2">
        <f>7.04349590665203*(1/14151.6638359215)</f>
        <v>4.9771503819737151E-4</v>
      </c>
      <c r="S136" s="2">
        <f>7.04368219074865*(1/14151.6638359215)</f>
        <v>4.9772820160336954E-4</v>
      </c>
      <c r="T136" s="2">
        <f>7.01260215892709*(1/14151.6638359215)</f>
        <v>4.9553199116607327E-4</v>
      </c>
      <c r="U136" s="2">
        <f>6.93733330725242*(1/14151.6638359215)</f>
        <v>4.9021326309654301E-4</v>
      </c>
      <c r="V136" s="2">
        <f>6.80495313178968*(1/14151.6638359215)</f>
        <v>4.8085887360583765E-4</v>
      </c>
      <c r="W136" s="2">
        <f>6.60253912860393*(1/14151.6638359215)</f>
        <v>4.6655567890501685E-4</v>
      </c>
      <c r="X136" s="2">
        <f>6.31716879376015*(1/14151.6638359215)</f>
        <v>4.4639053520513484E-4</v>
      </c>
      <c r="Y136" s="2">
        <f>5.35507353815709*(1/14151.6638359215)</f>
        <v>3.7840593164488418E-4</v>
      </c>
      <c r="Z136" s="2">
        <f>3.07054883698987*(1/14151.6638359215)</f>
        <v>2.169744047477883E-4</v>
      </c>
      <c r="AA136" s="2">
        <f>-0.0644221090574079*(1/14151.6638359215)</f>
        <v>-4.5522639460869436E-6</v>
      </c>
      <c r="AB136" s="2">
        <f>-3.56470507483055*(1/14151.6638359215)</f>
        <v>-2.5189300114536185E-4</v>
      </c>
      <c r="AC136" s="2">
        <f>-6.94516583517539*(1/14151.6638359215)</f>
        <v>-4.907667335586586E-4</v>
      </c>
      <c r="AD136" s="2">
        <f>-9.72067016493817*(1/14151.6638359215)</f>
        <v>-6.8689238789462802E-4</v>
      </c>
      <c r="AE136" s="2">
        <f>-11.4060838389636*(1/14151.6638359215)</f>
        <v>-8.0598889086181302E-4</v>
      </c>
      <c r="AF136" s="2">
        <f>-11.5162726320981*(1/14151.6638359215)</f>
        <v>-8.1377516916887724E-4</v>
      </c>
      <c r="AG136" s="2">
        <f>-9.56610231918748*(1/14151.6638359215)</f>
        <v>-6.7597014952444103E-4</v>
      </c>
      <c r="AH136" s="2">
        <f>-5.07043867507758*(1/14151.6638359215)</f>
        <v>-3.5829275863712693E-4</v>
      </c>
      <c r="AI136" s="2">
        <f>2.20791588905874*(1/14151.6638359215)</f>
        <v>1.5601811311079445E-4</v>
      </c>
      <c r="AJ136" s="2">
        <f>9.26392989365891*(1/14151.6638359215)</f>
        <v>6.5461771852890253E-4</v>
      </c>
      <c r="AK136" s="2">
        <f>15.8307326598228*(1/14151.6638359215)</f>
        <v>1.1186481563842184E-3</v>
      </c>
      <c r="AL136" s="2">
        <f>22.8797770887668*(1/14151.6638359215)</f>
        <v>1.6167552701958994E-3</v>
      </c>
      <c r="AM136" s="2">
        <f>31.3825160817074*(1/14151.6638359215)</f>
        <v>2.2175849034831102E-3</v>
      </c>
      <c r="AN136" s="2">
        <f>42.310402539861*(1/14151.6638359215)</f>
        <v>2.9897828997650098E-3</v>
      </c>
      <c r="AO136" s="2">
        <f>56.6348893644441*(1/14151.6638359215)</f>
        <v>4.0019951025607623E-3</v>
      </c>
      <c r="AP136" s="2">
        <f>75.327429456677*(1/14151.6638359215)</f>
        <v>5.3228673553898037E-3</v>
      </c>
      <c r="AQ136" s="2">
        <f>99.3594757177695*(1/14151.6638359215)</f>
        <v>7.0210455017708246E-3</v>
      </c>
      <c r="AR136" s="2">
        <f>129.702481048941*(1/14151.6638359215)</f>
        <v>9.1651753852231965E-3</v>
      </c>
      <c r="AS136" s="2">
        <f>167.327898351408*(1/14151.6638359215)</f>
        <v>1.1823902849266084E-2</v>
      </c>
      <c r="AT136" s="2">
        <f>212.740690444604*(1/14151.6638359215)</f>
        <v>1.5032910116519256E-2</v>
      </c>
      <c r="AU136" s="2">
        <f>264.963342575888*(1/14151.6638359215)</f>
        <v>1.872312299443726E-2</v>
      </c>
      <c r="AV136" s="2">
        <f>323.347667993079*(1/14151.6638359215)</f>
        <v>2.284873861773893E-2</v>
      </c>
      <c r="AW136" s="2">
        <f>387.280808939309*(1/14151.6638359215)</f>
        <v>2.7366450576381349E-2</v>
      </c>
      <c r="AX136" s="2">
        <f>456.149907657706*(1/14151.6638359215)</f>
        <v>3.2232952460321311E-2</v>
      </c>
      <c r="AY136" s="2">
        <f>529.342106391393*(1/14151.6638359215)</f>
        <v>3.7404937859515257E-2</v>
      </c>
      <c r="AZ136" s="2">
        <f>606.244547383495*(1/14151.6638359215)</f>
        <v>4.2839100363919774E-2</v>
      </c>
      <c r="BA136" s="2">
        <f>686.244372877153*(1/14151.6638359215)</f>
        <v>4.8492133563492572E-2</v>
      </c>
      <c r="BB136" s="2">
        <f>768.728725115462*(1/14151.6638359215)</f>
        <v>5.4320731048188117E-2</v>
      </c>
      <c r="BC136" s="2">
        <f>853.084746341562*(1/14151.6638359215)</f>
        <v>6.0281586407964056E-2</v>
      </c>
      <c r="BD136" s="2">
        <f>938.849316423832*(1/14151.6638359215)</f>
        <v>6.6341974152942268E-2</v>
      </c>
      <c r="BE136" s="2">
        <f>1030.68088319151*(1/14151.6638359215)</f>
        <v>7.2831074504137713E-2</v>
      </c>
      <c r="BF136" s="2">
        <f>1129.69675507467*(1/14151.6638359215)</f>
        <v>7.9827839904388784E-2</v>
      </c>
      <c r="BG136" s="2">
        <f>1234.06878744776*(1/14151.6638359215)</f>
        <v>8.7203088043633026E-2</v>
      </c>
      <c r="BH136" s="2">
        <f>1341.96883568513*(1/14151.6638359215)</f>
        <v>9.4827636611801019E-2</v>
      </c>
      <c r="BI136" s="2">
        <f>1451.56875516124*(1/14151.6638359215)</f>
        <v>0.10257230329883113</v>
      </c>
      <c r="BJ136" s="2">
        <f>1561.04040125049*(1/14151.6638359215)</f>
        <v>0.11030790579465749</v>
      </c>
      <c r="BK136" s="2">
        <f>1668.55562932729*(1/14151.6638359215)</f>
        <v>0.11790526178921494</v>
      </c>
      <c r="BL136" s="2">
        <f>1772.28629476607*(1/14151.6638359215)</f>
        <v>0.12523518897243971</v>
      </c>
      <c r="BM136" s="2">
        <f>1870.40425294125*(1/14151.6638359215)</f>
        <v>0.13216850503426736</v>
      </c>
      <c r="BN136" s="2">
        <f>1961.08135922721*(1/14151.6638359215)</f>
        <v>0.13857602766463059</v>
      </c>
      <c r="BO136" s="2">
        <f>2044.19165656329*(1/14151.6638359215)</f>
        <v>0.14444885635104407</v>
      </c>
      <c r="BP136" s="2">
        <f>2124.85966221962*(1/14151.6638359215)</f>
        <v>0.15014910521164579</v>
      </c>
      <c r="BQ136" s="2">
        <f>2203.09584006673*(1/14151.6638359215)</f>
        <v>0.15567751365564242</v>
      </c>
      <c r="BR136" s="2">
        <f>2278.32728615514*(1/14151.6638359215)</f>
        <v>0.16099359853164463</v>
      </c>
      <c r="BS136" s="2">
        <f>2349.98109653534*(1/14151.6638359215)</f>
        <v>0.16605687668826105</v>
      </c>
      <c r="BT136" s="2">
        <f>2417.48436725784*(1/14151.6638359215)</f>
        <v>0.17082686497410168</v>
      </c>
      <c r="BU136" s="2">
        <f>2480.26419437315*(1/14151.6638359215)</f>
        <v>0.17526308023777654</v>
      </c>
      <c r="BV136" s="2">
        <f>2537.74767393178*(1/14151.6638359215)</f>
        <v>0.17932503932789554</v>
      </c>
      <c r="BW136" s="2">
        <f>2589.36190198425*(1/14151.6638359215)</f>
        <v>0.18297225909306947</v>
      </c>
      <c r="BX136" s="2">
        <f>2634.53397458105*(1/14151.6638359215)</f>
        <v>0.1861642563819069</v>
      </c>
      <c r="BY136" s="2">
        <f>2672.69271217189*(1/14151.6638359215)</f>
        <v>0.18886066989435768</v>
      </c>
      <c r="BZ136" s="2">
        <f>2703.92779513449*(1/14151.6638359215)</f>
        <v>0.19106783672115268</v>
      </c>
      <c r="CA136" s="2">
        <f>2728.82279194613*(1/14151.6638359215)</f>
        <v>0.19282699360194633</v>
      </c>
      <c r="CB136" s="2">
        <f>2747.70517187407*(1/14151.6638359215)</f>
        <v>0.19416128052021031</v>
      </c>
      <c r="CC136" s="2">
        <f>2760.90240418555*(1/14151.6638359215)</f>
        <v>0.19509383745941497</v>
      </c>
      <c r="CD136" s="2">
        <f>2768.74195814783*(1/14151.6638359215)</f>
        <v>0.19564780440303192</v>
      </c>
      <c r="CE136" s="2">
        <f>2771.55130302814*(1/14151.6638359215)</f>
        <v>0.19584632133453075</v>
      </c>
      <c r="CF136" s="2">
        <f>2769.65790809375*(1/14151.6638359215)</f>
        <v>0.19571252823738383</v>
      </c>
      <c r="CG136" s="2">
        <f>2763.38924261189*(1/14151.6638359215)</f>
        <v>0.19526956509506072</v>
      </c>
      <c r="CH136" s="2">
        <f>2753.07277584982*(1/14151.6638359215)</f>
        <v>0.19454057189103313</v>
      </c>
      <c r="CI136" s="2">
        <f>2739.03597707479*(1/14151.6638359215)</f>
        <v>0.19354868860877197</v>
      </c>
      <c r="CJ136" s="2">
        <f>2721.14202022432*(1/14151.6638359215)</f>
        <v>0.19228424669876495</v>
      </c>
      <c r="CK136" s="2">
        <f>2697.09006717026*(1/14151.6638359215)</f>
        <v>0.19058466187729625</v>
      </c>
      <c r="CL136" s="2">
        <f>2667.14570133993*(1/14151.6638359215)</f>
        <v>0.18846870108445141</v>
      </c>
      <c r="CM136" s="2">
        <f>2632.05629755514*(1/14151.6638359215)</f>
        <v>0.18598917611893309</v>
      </c>
      <c r="CN136" s="2">
        <f>2592.56923063769*(1/14151.6638359215)</f>
        <v>0.18319889877944323</v>
      </c>
      <c r="CO136" s="2">
        <f>2549.43187540941*(1/14151.6638359215)</f>
        <v>0.18015068086468586</v>
      </c>
      <c r="CP136" s="2">
        <f>2503.3916066921*(1/14151.6638359215)</f>
        <v>0.1768973341733629</v>
      </c>
      <c r="CQ136" s="2">
        <f>2455.19579930757*(1/14151.6638359215)</f>
        <v>0.17349167050417696</v>
      </c>
      <c r="CR136" s="2">
        <f>2405.59182807764*(1/14151.6638359215)</f>
        <v>0.16998650165583146</v>
      </c>
      <c r="CS136" s="2">
        <f>2355.32706782412*(1/14151.6638359215)</f>
        <v>0.16643463942702896</v>
      </c>
      <c r="CT136" s="2">
        <f>2305.14889336882*(1/14151.6638359215)</f>
        <v>0.1628888956164721</v>
      </c>
      <c r="CU136" s="2">
        <f>2254.10954808696*(1/14151.6638359215)</f>
        <v>0.15928229883226175</v>
      </c>
      <c r="CV136" s="2">
        <f>2200.52764225136*(1/14151.6638359215)</f>
        <v>0.15549603691586489</v>
      </c>
      <c r="CW136" s="2">
        <f>2144.70525563908*(1/14151.6638359215)</f>
        <v>0.15155145575145196</v>
      </c>
      <c r="CX136" s="2">
        <f>2086.9517167583*(1/14151.6638359215)</f>
        <v>0.14747041344078154</v>
      </c>
      <c r="CY136" s="2">
        <f>2027.57635411719*(1/14151.6638359215)</f>
        <v>0.14327476808561163</v>
      </c>
      <c r="CZ136" s="2">
        <f>1966.88849622394*(1/14151.6638359215)</f>
        <v>0.13898637778770159</v>
      </c>
      <c r="DA136" s="2">
        <f>1905.1974715867*(1/14151.6638359215)</f>
        <v>0.13462710064880801</v>
      </c>
      <c r="DB136" s="2">
        <f>1842.81260871369*(1/14151.6638359215)</f>
        <v>0.13021879477069231</v>
      </c>
      <c r="DC136" s="2">
        <f>1780.04323611307*(1/14151.6638359215)</f>
        <v>0.12578331825511177</v>
      </c>
      <c r="DD136" s="2">
        <f>1717.19868229301*(1/14151.6638359215)</f>
        <v>0.12134252920382439</v>
      </c>
      <c r="DE136" s="2">
        <f>1654.43428655199*(1/14151.6638359215)</f>
        <v>0.11690740436841784</v>
      </c>
      <c r="DF136" s="2">
        <f>1590.45214806202*(1/14151.6638359215)</f>
        <v>0.11238623009295472</v>
      </c>
      <c r="DG136" s="2">
        <f>1525.13711831255*(1/14151.6638359215)</f>
        <v>0.10777086963027335</v>
      </c>
      <c r="DH136" s="2">
        <f>1458.80202436843*(1/14151.6638359215)</f>
        <v>0.10308342830088421</v>
      </c>
      <c r="DI136" s="2">
        <f>1391.7596932945*(1/14151.6638359215)</f>
        <v>9.8346011425297128E-2</v>
      </c>
      <c r="DJ136" s="2">
        <f>1324.32295215561*(1/14151.6638359215)</f>
        <v>9.3580724324022591E-2</v>
      </c>
      <c r="DK136" s="2">
        <f>1256.80462801658*(1/14151.6638359215)</f>
        <v>8.8809672317569005E-2</v>
      </c>
      <c r="DL136" s="2">
        <f>1189.51754794227*(1/14151.6638359215)</f>
        <v>8.4054960726447581E-2</v>
      </c>
      <c r="DM136" s="2">
        <f>1122.7745389975*(1/14151.6638359215)</f>
        <v>7.9338694871166682E-2</v>
      </c>
      <c r="DN136" s="2">
        <f>1056.88842824714*(1/14151.6638359215)</f>
        <v>7.4682980072238239E-2</v>
      </c>
      <c r="DO136" s="2">
        <f>992.172042756017*(1/14151.6638359215)</f>
        <v>7.0109921650171159E-2</v>
      </c>
      <c r="DP136" s="2">
        <f>927.683668860899*(1/14151.6638359215)</f>
        <v>6.5552975227275948E-2</v>
      </c>
      <c r="DQ136" s="2">
        <f>861.525945441426*(1/14151.6638359215)</f>
        <v>6.0878067443532295E-2</v>
      </c>
      <c r="DR136" s="2">
        <f>794.433674955486*(1/14151.6638359215)</f>
        <v>5.6137121695821829E-2</v>
      </c>
      <c r="DS136" s="2">
        <f>727.211350578341*(1/14151.6638359215)</f>
        <v>5.1386985941005991E-2</v>
      </c>
      <c r="DT136" s="2">
        <f>660.663465485243*(1/14151.6638359215)</f>
        <v>4.6684508135945504E-2</v>
      </c>
      <c r="DU136" s="2">
        <f>595.594512851477*(1/14151.6638359215)</f>
        <v>4.2086536237503434E-2</v>
      </c>
      <c r="DV136" s="2">
        <f>532.808985852295*(1/14151.6638359215)</f>
        <v>3.7649918202540503E-2</v>
      </c>
      <c r="DW136" s="2">
        <f>473.111377662958*(1/14151.6638359215)</f>
        <v>3.3431501987918076E-2</v>
      </c>
      <c r="DX136" s="2">
        <f>417.306181458729*(1/14151.6638359215)</f>
        <v>2.948813555049767E-2</v>
      </c>
      <c r="DY136" s="2">
        <f>366.197890414862*(1/14151.6638359215)</f>
        <v>2.5876666847140146E-2</v>
      </c>
      <c r="DZ136" s="2">
        <f>320.534137351657*(1/14151.6638359215)</f>
        <v>2.2649925907513271E-2</v>
      </c>
      <c r="EA136" s="2">
        <f>279.577166315341*(1/14151.6638359215)</f>
        <v>1.9755780631651506E-2</v>
      </c>
      <c r="EB136" s="2">
        <f>242.605929094749*(1/14151.6638359215)</f>
        <v>1.7143279539960289E-2</v>
      </c>
      <c r="EC136" s="2">
        <f>209.306244998557*(1/14151.6638359215)</f>
        <v>1.4790221660528005E-2</v>
      </c>
      <c r="ED136" s="2">
        <f>179.363933335442*(1/14151.6638359215)</f>
        <v>1.2674406021443098E-2</v>
      </c>
      <c r="EE136" s="2">
        <f>152.464813414075*(1/14151.6638359215)</f>
        <v>1.0773631650793597E-2</v>
      </c>
      <c r="EF136" s="2">
        <f>128.294704543143*(1/14151.6638359215)</f>
        <v>9.0656975766686566E-3</v>
      </c>
      <c r="EG136" s="2">
        <f>106.539426031318*(1/14151.6638359215)</f>
        <v>7.5284028271563721E-3</v>
      </c>
      <c r="EH136" s="2">
        <f>86.8847971872765*(1/14151.6638359215)</f>
        <v>6.139546430345158E-3</v>
      </c>
      <c r="EI136" s="2">
        <f>69.016637319695*(1/14151.6638359215)</f>
        <v>4.8769274143234276E-3</v>
      </c>
      <c r="EJ136" s="2">
        <f>52.620765737247*(1/14151.6638359215)</f>
        <v>3.7183448071793847E-3</v>
      </c>
      <c r="EK136" s="2">
        <f>38.0543002639291*(1/14151.6638359215)</f>
        <v>2.6890336503991126E-3</v>
      </c>
      <c r="EL136" s="2">
        <f>26.9430252825822*(1/14151.6638359215)</f>
        <v>1.9038768582244083E-3</v>
      </c>
      <c r="EM136" s="2">
        <f>18.9237247107919*(1/14151.6638359215)</f>
        <v>1.3372084675130121E-3</v>
      </c>
      <c r="EN136" s="2">
        <f>13.491378313423*(1/14151.6638359215)</f>
        <v>9.5334219847545551E-4</v>
      </c>
      <c r="EO136" s="2">
        <f>10.1409658553407*(1/14151.6638359215)</f>
        <v>7.1659177132229839E-4</v>
      </c>
      <c r="EP136" s="2">
        <f>8.36746710140987*(1/14151.6638359215)</f>
        <v>5.912709062640771E-4</v>
      </c>
      <c r="EQ136" s="2">
        <f>7.66586181649546*(1/14151.6638359215)</f>
        <v>5.4169332351133327E-4</v>
      </c>
      <c r="ER136" s="2">
        <f>7.53112976546266*(1/14151.6638359215)</f>
        <v>5.321727432746259E-4</v>
      </c>
      <c r="ES136" s="2">
        <f>7.45825071317623*(1/14151.6638359215)</f>
        <v>5.2702288576448361E-4</v>
      </c>
      <c r="ET136" s="2">
        <f>6.94220442450116*(1/14151.6638359215)</f>
        <v>4.9055747119145096E-4</v>
      </c>
      <c r="EU136" s="2">
        <f>5.49510974438608*(1/14151.6638359215)</f>
        <v>3.8830131976691777E-4</v>
      </c>
      <c r="EV136" s="2">
        <f>4.03139418594949*(1/14151.6638359215)</f>
        <v>2.8487068606848246E-4</v>
      </c>
      <c r="EW136" s="2">
        <f>3.2274676613497*(1/14151.6638359215)</f>
        <v>2.2806277048196576E-4</v>
      </c>
      <c r="EX136" s="2">
        <f>2.96989275845474*(1/14151.6638359215)</f>
        <v>2.0986173731149491E-4</v>
      </c>
      <c r="EY136" s="2">
        <f>3.14523206513299*(1/14151.6638359215)</f>
        <v>2.2225175086122199E-4</v>
      </c>
      <c r="EZ136" s="2">
        <f>3.64004816925284*(1/14151.6638359215)</f>
        <v>2.5721697543529975E-4</v>
      </c>
      <c r="FA136" s="2">
        <f>4.34090365868267*(1/14151.6638359215)</f>
        <v>3.0674157533788028E-4</v>
      </c>
      <c r="FB136" s="2">
        <f>5.134361121291*(1/14151.6638359215)</f>
        <v>3.6280971487312545E-4</v>
      </c>
      <c r="FC136" s="2">
        <f>5.90698314494591*(1/14151.6638359215)</f>
        <v>4.174055583451662E-4</v>
      </c>
      <c r="FD136" s="2">
        <f>6.54533231751593*(1/14151.6638359215)</f>
        <v>4.6251327005816518E-4</v>
      </c>
      <c r="FE136" s="2">
        <f>6.93597122686942*(1/14151.6638359215)</f>
        <v>4.9011701431627298E-4</v>
      </c>
      <c r="FF136" s="2">
        <f>7.03201277858772*(1/14151.6638359215)</f>
        <v>4.9690360512508766E-4</v>
      </c>
      <c r="FG136" s="2">
        <f>7.08003194646932*(1/14151.6638359215)</f>
        <v>5.0029678690486615E-4</v>
      </c>
      <c r="FH136" s="2">
        <f>7.11666879307527*(1/14151.6638359215)</f>
        <v>5.0288565892943717E-4</v>
      </c>
      <c r="FI136" s="2">
        <f>7.14192331840559*(1/14151.6638359215)</f>
        <v>5.0467022119880204E-4</v>
      </c>
      <c r="FJ136" s="2">
        <f>7.15579552246027*(1/14151.6638359215)</f>
        <v>5.0565047371295998E-4</v>
      </c>
      <c r="FK136" s="2">
        <f>7.15828540523932*(1/14151.6638359215)</f>
        <v>5.0582641647191166E-4</v>
      </c>
      <c r="FL136" s="2">
        <f>7.14939296674273*(1/14151.6638359215)</f>
        <v>5.0519804947565664E-4</v>
      </c>
      <c r="FM136" s="2">
        <f>7.1291182069705*(1/14151.6638359215)</f>
        <v>5.0376537272419459E-4</v>
      </c>
      <c r="FN136" s="2">
        <f>7.09746112592263*(1/14151.6638359215)</f>
        <v>5.0152838621752573E-4</v>
      </c>
      <c r="FO136" s="2">
        <f>7.05442172359914*(1/14151.6638359215)</f>
        <v>4.9848708995565148E-4</v>
      </c>
      <c r="FP136" s="2">
        <f t="shared" si="19"/>
        <v>4.9464148393856954E-4</v>
      </c>
      <c r="FQ136" s="2"/>
    </row>
    <row r="137" spans="2:173">
      <c r="B137" s="2">
        <v>10.568639053254438</v>
      </c>
      <c r="C137" s="2">
        <f t="shared" si="20"/>
        <v>4.9464148393856954E-4</v>
      </c>
      <c r="D137" s="2">
        <f>7.02126399993416*(1/14151.6638359215)</f>
        <v>4.9614406343598423E-4</v>
      </c>
      <c r="E137" s="2">
        <f>7.03808062733306*(1/14151.6638359215)</f>
        <v>4.9733237794047478E-4</v>
      </c>
      <c r="F137" s="2">
        <f>7.05044988219672*(1/14151.6638359215)</f>
        <v>4.9820642745204257E-4</v>
      </c>
      <c r="G137" s="2">
        <f>7.05837176452513*(1/14151.6638359215)</f>
        <v>4.9876621197068708E-4</v>
      </c>
      <c r="H137" s="2">
        <f>7.0618462743183*(1/14151.6638359215)</f>
        <v>4.9901173149640896E-4</v>
      </c>
      <c r="I137" s="2">
        <f>7.06087341157621*(1/14151.6638359215)</f>
        <v>4.9894298602920668E-4</v>
      </c>
      <c r="J137" s="2">
        <f>7.05545317629888*(1/14151.6638359215)</f>
        <v>4.9855997556908177E-4</v>
      </c>
      <c r="K137" s="2">
        <f>7.04558556848629*(1/14151.6638359215)</f>
        <v>4.9786270011603271E-4</v>
      </c>
      <c r="L137" s="2">
        <f>7.03127058813846*(1/14151.6638359215)</f>
        <v>4.968511596700609E-4</v>
      </c>
      <c r="M137" s="2">
        <f>7.01250823525538*(1/14151.6638359215)</f>
        <v>4.955253542311658E-4</v>
      </c>
      <c r="N137" s="2">
        <f>6.99195422881775*(1/14151.6638359215)</f>
        <v>4.9407294505328121E-4</v>
      </c>
      <c r="O137" s="2">
        <f>6.98748064087759*(1/14151.6638359215)</f>
        <v>4.9375682759938825E-4</v>
      </c>
      <c r="P137" s="2">
        <f>6.99568903437192*(1/14151.6638359215)</f>
        <v>4.943368578763579E-4</v>
      </c>
      <c r="Q137" s="2">
        <f>7.00835731939526*(1/14151.6638359215)</f>
        <v>4.9523203777677234E-4</v>
      </c>
      <c r="R137" s="2">
        <f>7.01726340604214*(1/14151.6638359215)</f>
        <v>4.9586136919321506E-4</v>
      </c>
      <c r="S137" s="2">
        <f>7.01418520440709*(1/14151.6638359215)</f>
        <v>4.9564385401826879E-4</v>
      </c>
      <c r="T137" s="2">
        <f>6.99090062458463*(1/14151.6638359215)</f>
        <v>4.9399849414451626E-4</v>
      </c>
      <c r="U137" s="2">
        <f>6.93918757666929*(1/14151.6638359215)</f>
        <v>4.9034429146454052E-4</v>
      </c>
      <c r="V137" s="2">
        <f>6.85082397075561*(1/14151.6638359215)</f>
        <v>4.841002478709255E-4</v>
      </c>
      <c r="W137" s="2">
        <f>6.71758771693811*(1/14151.6638359215)</f>
        <v>4.7468536525625344E-4</v>
      </c>
      <c r="X137" s="2">
        <f>6.53125672531126*(1/14151.6638359215)</f>
        <v>4.6151864551310343E-4</v>
      </c>
      <c r="Y137" s="2">
        <f>5.81870298049808*(1/14151.6638359215)</f>
        <v>4.1116741098162112E-4</v>
      </c>
      <c r="Z137" s="2">
        <f>4.06251917786283*(1/14151.6638359215)</f>
        <v>2.8707007352385253E-4</v>
      </c>
      <c r="AA137" s="2">
        <f>1.63798589048953*(1/14151.6638359215)</f>
        <v>1.1574511022031149E-4</v>
      </c>
      <c r="AB137" s="2">
        <f>-1.06910234754954*(1/14151.6638359215)</f>
        <v>-7.5546053096301835E-5</v>
      </c>
      <c r="AC137" s="2">
        <f>-3.6729510021821*(1/14151.6638359215)</f>
        <v>-2.5954199059328715E-4</v>
      </c>
      <c r="AD137" s="2">
        <f>-5.78776553933617*(1/14151.6638359215)</f>
        <v>-4.089812764379655E-4</v>
      </c>
      <c r="AE137" s="2">
        <f>-7.02775142493863*(1/14151.6638359215)</f>
        <v>-4.9660248479757726E-4</v>
      </c>
      <c r="AF137" s="2">
        <f>-7.00711412491765*(1/14151.6638359215)</f>
        <v>-4.9514418983945393E-4</v>
      </c>
      <c r="AG137" s="2">
        <f>-5.34005910520094*(1/14151.6638359215)</f>
        <v>-3.7734496573089466E-4</v>
      </c>
      <c r="AH137" s="2">
        <f>-1.64079183171621*(1/14151.6638359215)</f>
        <v>-1.1594338663919855E-4</v>
      </c>
      <c r="AI137" s="2">
        <f>4.25445091594498*(1/14151.6638359215)</f>
        <v>3.0063255920097589E-4</v>
      </c>
      <c r="AJ137" s="2">
        <f>9.63475128281523*(1/14151.6638359215)</f>
        <v>6.8082109598725175E-4</v>
      </c>
      <c r="AK137" s="2">
        <f>14.3048410676645*(1/14151.6638359215)</f>
        <v>1.0108239733164228E-3</v>
      </c>
      <c r="AL137" s="2">
        <f>19.1862898659599*(1/14151.6638359215)</f>
        <v>1.3557621272248491E-3</v>
      </c>
      <c r="AM137" s="2">
        <f>25.2006672731685*(1/14151.6638359215)</f>
        <v>1.7807564937488874E-3</v>
      </c>
      <c r="AN137" s="2">
        <f>33.2695428847575*(1/14151.6638359215)</f>
        <v>2.3509280089249037E-3</v>
      </c>
      <c r="AO137" s="2">
        <f>44.3144862961939*(1/14151.6638359215)</f>
        <v>3.1313976087892505E-3</v>
      </c>
      <c r="AP137" s="2">
        <f>59.2570671029481*(1/14151.6638359215)</f>
        <v>4.1872862293785198E-3</v>
      </c>
      <c r="AQ137" s="2">
        <f>79.0188549004817*(1/14151.6638359215)</f>
        <v>5.5837148067286822E-3</v>
      </c>
      <c r="AR137" s="2">
        <f>104.521419284264*(1/14151.6638359215)</f>
        <v>7.3858042768762521E-3</v>
      </c>
      <c r="AS137" s="2">
        <f>136.686329849763*(1/14151.6638359215)</f>
        <v>9.6586755758576535E-3</v>
      </c>
      <c r="AT137" s="2">
        <f>175.850528608874*(1/14151.6638359215)</f>
        <v>1.2426138060353616E-2</v>
      </c>
      <c r="AU137" s="2">
        <f>220.818199991193*(1/14151.6638359215)</f>
        <v>1.5603691732041076E-2</v>
      </c>
      <c r="AV137" s="2">
        <f>271.111504479325*(1/14151.6638359215)</f>
        <v>1.9157570984067351E-2</v>
      </c>
      <c r="AW137" s="2">
        <f>326.303514329008*(1/14151.6638359215)</f>
        <v>2.3057607791724402E-2</v>
      </c>
      <c r="AX137" s="2">
        <f>385.967301795971*(1/14151.6638359215)</f>
        <v>2.7273634130303547E-2</v>
      </c>
      <c r="AY137" s="2">
        <f>449.675939135944*(1/14151.6638359215)</f>
        <v>3.1775481975096179E-2</v>
      </c>
      <c r="AZ137" s="2">
        <f>517.002498604658*(1/14151.6638359215)</f>
        <v>3.6532983301393748E-2</v>
      </c>
      <c r="BA137" s="2">
        <f>587.520052457856*(1/14151.6638359215)</f>
        <v>4.1515970084488589E-2</v>
      </c>
      <c r="BB137" s="2">
        <f>660.80167295124*(1/14151.6638359215)</f>
        <v>4.6694274299670095E-2</v>
      </c>
      <c r="BC137" s="2">
        <f>736.420432340554*(1/14151.6638359215)</f>
        <v>5.2037727922230659E-2</v>
      </c>
      <c r="BD137" s="2">
        <f>814.080350691078*(1/14151.6638359215)</f>
        <v>5.7525416101580851E-2</v>
      </c>
      <c r="BE137" s="2">
        <f>897.912162548982*(1/14151.6638359215)</f>
        <v>6.3449229218531217E-2</v>
      </c>
      <c r="BF137" s="2">
        <f>988.804429577112*(1/14151.6638359215)</f>
        <v>6.9871955767293353E-2</v>
      </c>
      <c r="BG137" s="2">
        <f>1085.0454454707*(1/14151.6638359215)</f>
        <v>7.6672641326916188E-2</v>
      </c>
      <c r="BH137" s="2">
        <f>1184.92350392492*(1/14151.6638359215)</f>
        <v>8.3730331476444556E-2</v>
      </c>
      <c r="BI137" s="2">
        <f>1286.72689863502*(1/14151.6638359215)</f>
        <v>9.0924071794928521E-2</v>
      </c>
      <c r="BJ137" s="2">
        <f>1388.74392329619*(1/14151.6638359215)</f>
        <v>9.8132907861414057E-2</v>
      </c>
      <c r="BK137" s="2">
        <f>1489.26287160366*(1/14151.6638359215)</f>
        <v>0.10523588525494997</v>
      </c>
      <c r="BL137" s="2">
        <f>1586.57203725263*(1/14151.6638359215)</f>
        <v>0.11211204955458291</v>
      </c>
      <c r="BM137" s="2">
        <f>1678.95971393835*(1/14151.6638359215)</f>
        <v>0.11864044633936309</v>
      </c>
      <c r="BN137" s="2">
        <f>1764.71419535598*(1/14151.6638359215)</f>
        <v>0.12470012118833439</v>
      </c>
      <c r="BO137" s="2">
        <f>1843.83664159343*(1/14151.6638359215)</f>
        <v>0.13029115607686895</v>
      </c>
      <c r="BP137" s="2">
        <f>1921.49196045366*(1/14151.6638359215)</f>
        <v>0.13577851924211853</v>
      </c>
      <c r="BQ137" s="2">
        <f>1997.55305786907*(1/14151.6638359215)</f>
        <v>0.14115322982719772</v>
      </c>
      <c r="BR137" s="2">
        <f>2071.29943939876*(1/14151.6638359215)</f>
        <v>0.14636437548361855</v>
      </c>
      <c r="BS137" s="2">
        <f>2142.0106106018*(1/14151.6638359215)</f>
        <v>0.15136104386289084</v>
      </c>
      <c r="BT137" s="2">
        <f>2208.9660770373*(1/14151.6638359215)</f>
        <v>0.15609232261652722</v>
      </c>
      <c r="BU137" s="2">
        <f>2271.44534426434*(1/14151.6638359215)</f>
        <v>0.16050729939603831</v>
      </c>
      <c r="BV137" s="2">
        <f>2328.72791784202*(1/14151.6638359215)</f>
        <v>0.164555061852936</v>
      </c>
      <c r="BW137" s="2">
        <f>2380.09330332943*(1/14151.6638359215)</f>
        <v>0.16818469763873159</v>
      </c>
      <c r="BX137" s="2">
        <f>2424.82100628567*(1/14151.6638359215)</f>
        <v>0.17134529440493707</v>
      </c>
      <c r="BY137" s="2">
        <f>2462.19273765903*(1/14151.6638359215)</f>
        <v>0.17398609564263312</v>
      </c>
      <c r="BZ137" s="2">
        <f>2492.33078099838*(1/14151.6638359215)</f>
        <v>0.1761157422826875</v>
      </c>
      <c r="CA137" s="2">
        <f>2515.97272323705*(1/14151.6638359215)</f>
        <v>0.17778635448156263</v>
      </c>
      <c r="CB137" s="2">
        <f>2533.52501919576*(1/14151.6638359215)</f>
        <v>0.17902665358435479</v>
      </c>
      <c r="CC137" s="2">
        <f>2545.39412369523*(1/14151.6638359215)</f>
        <v>0.17986536093616048</v>
      </c>
      <c r="CD137" s="2">
        <f>2551.98649155619*(1/14151.6638359215)</f>
        <v>0.1803311978820768</v>
      </c>
      <c r="CE137" s="2">
        <f>2553.70857759936*(1/14151.6638359215)</f>
        <v>0.18045288576720017</v>
      </c>
      <c r="CF137" s="2">
        <f>2550.96683664545*(1/14151.6638359215)</f>
        <v>0.18025914593662626</v>
      </c>
      <c r="CG137" s="2">
        <f>2544.16772351518*(1/14151.6638359215)</f>
        <v>0.17977869973545157</v>
      </c>
      <c r="CH137" s="2">
        <f>2533.71769302928*(1/14151.6638359215)</f>
        <v>0.17904026850877314</v>
      </c>
      <c r="CI137" s="2">
        <f>2520.02320000847*(1/14151.6638359215)</f>
        <v>0.17807257360168749</v>
      </c>
      <c r="CJ137" s="2">
        <f>2503.01213092353*(1/14151.6638359215)</f>
        <v>0.17687051925089373</v>
      </c>
      <c r="CK137" s="2">
        <f>2480.32757828363*(1/14151.6638359215)</f>
        <v>0.17526755913942474</v>
      </c>
      <c r="CL137" s="2">
        <f>2452.17355068437*(1/14151.6638359215)</f>
        <v>0.17327810914077543</v>
      </c>
      <c r="CM137" s="2">
        <f>2419.24463038104*(1/14151.6638359215)</f>
        <v>0.17095125056887056</v>
      </c>
      <c r="CN137" s="2">
        <f>2382.23539962894*(1/14151.6638359215)</f>
        <v>0.16833606473763571</v>
      </c>
      <c r="CO137" s="2">
        <f>2341.84044068336*(1/14151.6638359215)</f>
        <v>0.16548163296099586</v>
      </c>
      <c r="CP137" s="2">
        <f>2298.7543357996*(1/14151.6638359215)</f>
        <v>0.16243703655287642</v>
      </c>
      <c r="CQ137" s="2">
        <f>2253.67166723296*(1/14151.6638359215)</f>
        <v>0.15925135682720307</v>
      </c>
      <c r="CR137" s="2">
        <f>2207.28701723874*(1/14151.6638359215)</f>
        <v>0.15597367509790133</v>
      </c>
      <c r="CS137" s="2">
        <f>2160.29496807223*(1/14151.6638359215)</f>
        <v>0.15265307267889608</v>
      </c>
      <c r="CT137" s="2">
        <f>2113.39010198873*(1/14151.6638359215)</f>
        <v>0.14933863088411289</v>
      </c>
      <c r="CU137" s="2">
        <f>2065.71628766001*(1/14151.6638359215)</f>
        <v>0.14596985284631719</v>
      </c>
      <c r="CV137" s="2">
        <f>2015.73132206589*(1/14151.6638359215)</f>
        <v>0.14243776176687523</v>
      </c>
      <c r="CW137" s="2">
        <f>1963.69856452271*(1/14151.6638359215)</f>
        <v>0.13876096742336461</v>
      </c>
      <c r="CX137" s="2">
        <f>1909.88798997014*(1/14151.6638359215)</f>
        <v>0.13495854707361171</v>
      </c>
      <c r="CY137" s="2">
        <f>1854.56957334783*(1/14151.6638359215)</f>
        <v>0.13104957797544151</v>
      </c>
      <c r="CZ137" s="2">
        <f>1798.01328959544*(1/14151.6638359215)</f>
        <v>0.12705313738667964</v>
      </c>
      <c r="DA137" s="2">
        <f>1740.48911365262*(1/14151.6638359215)</f>
        <v>0.12298830256515109</v>
      </c>
      <c r="DB137" s="2">
        <f>1682.26702045906*(1/14151.6638359215)</f>
        <v>0.11887415076868363</v>
      </c>
      <c r="DC137" s="2">
        <f>1623.61698495441*(1/14151.6638359215)</f>
        <v>0.11472975925510222</v>
      </c>
      <c r="DD137" s="2">
        <f>1564.80898207832*(1/14151.6638359215)</f>
        <v>0.11057420528223182</v>
      </c>
      <c r="DE137" s="2">
        <f>1505.9580838244*(1/14151.6638359215)</f>
        <v>0.10641562019031228</v>
      </c>
      <c r="DF137" s="2">
        <f>1445.74441205083*(1/14151.6638359215)</f>
        <v>0.10216073733895963</v>
      </c>
      <c r="DG137" s="2">
        <f>1384.09079578292*(1/14151.6638359215)</f>
        <v>9.7804103590254168E-2</v>
      </c>
      <c r="DH137" s="2">
        <f>1321.35613970405*(1/14151.6638359215)</f>
        <v>9.3371080250650162E-2</v>
      </c>
      <c r="DI137" s="2">
        <f>1257.89934849765*(1/14151.6638359215)</f>
        <v>8.8887028626605344E-2</v>
      </c>
      <c r="DJ137" s="2">
        <f>1194.07932684712*(1/14151.6638359215)</f>
        <v>8.437731002457538E-2</v>
      </c>
      <c r="DK137" s="2">
        <f>1130.25497943586*(1/14151.6638359215)</f>
        <v>7.9867285751015885E-2</v>
      </c>
      <c r="DL137" s="2">
        <f>1066.78521094728*(1/14151.6638359215)</f>
        <v>7.5382317112383218E-2</v>
      </c>
      <c r="DM137" s="2">
        <f>1004.02892606477*(1/14151.6638359215)</f>
        <v>7.0947765415132313E-2</v>
      </c>
      <c r="DN137" s="2">
        <f>942.345029471759*(1/14151.6638359215)</f>
        <v>6.6588991965720837E-2</v>
      </c>
      <c r="DO137" s="2">
        <f>882.092425851641*(1/14151.6638359215)</f>
        <v>6.2331358070604047E-2</v>
      </c>
      <c r="DP137" s="2">
        <f>822.409242792964*(1/14151.6638359215)</f>
        <v>5.8113961179986726E-2</v>
      </c>
      <c r="DQ137" s="2">
        <f>761.439030025512*(1/14151.6638359215)</f>
        <v>5.3805618820080614E-2</v>
      </c>
      <c r="DR137" s="2">
        <f>699.833926443437*(1/14151.6638359215)</f>
        <v>4.9452413126648199E-2</v>
      </c>
      <c r="DS137" s="2">
        <f>638.313194208438*(1/14151.6638359215)</f>
        <v>4.5105169371547155E-2</v>
      </c>
      <c r="DT137" s="2">
        <f>577.596095482205*(1/14151.6638359215)</f>
        <v>4.0814712826634514E-2</v>
      </c>
      <c r="DU137" s="2">
        <f>518.40189242646*(1/14151.6638359215)</f>
        <v>3.6631868763769553E-2</v>
      </c>
      <c r="DV137" s="2">
        <f>461.449847202892*(1/14151.6638359215)</f>
        <v>3.2607462454809236E-2</v>
      </c>
      <c r="DW137" s="2">
        <f>407.459221973201*(1/14151.6638359215)</f>
        <v>2.8792319171611309E-2</v>
      </c>
      <c r="DX137" s="2">
        <f>357.149278899088*(1/14151.6638359215)</f>
        <v>2.5237264186033562E-2</v>
      </c>
      <c r="DY137" s="2">
        <f>311.239280142245*(1/14151.6638359215)</f>
        <v>2.1993122769933173E-2</v>
      </c>
      <c r="DZ137" s="2">
        <f>270.405380930381*(1/14151.6638359215)</f>
        <v>1.9107674126911119E-2</v>
      </c>
      <c r="EA137" s="2">
        <f>234.139295233056*(1/14151.6638359215)</f>
        <v>1.6545001206058525E-2</v>
      </c>
      <c r="EB137" s="2">
        <f>201.80072196489*(1/14151.6638359215)</f>
        <v>1.4259858367512554E-2</v>
      </c>
      <c r="EC137" s="2">
        <f>173.036812014737*(1/14151.6638359215)</f>
        <v>1.22273122101384E-2</v>
      </c>
      <c r="ED137" s="2">
        <f>147.494716271452*(1/14151.6638359215)</f>
        <v>1.0422429332801329E-2</v>
      </c>
      <c r="EE137" s="2">
        <f>124.821585623888*(1/14151.6638359215)</f>
        <v>8.8202763343664548E-3</v>
      </c>
      <c r="EF137" s="2">
        <f>104.664570960907*(1/14151.6638359215)</f>
        <v>7.3959198136995365E-3</v>
      </c>
      <c r="EG137" s="2">
        <f>86.6708231713602*(1/14151.6638359215)</f>
        <v>6.1244263696655669E-3</v>
      </c>
      <c r="EH137" s="2">
        <f>70.4874931441036*(1/14151.6638359215)</f>
        <v>4.9808626011298785E-3</v>
      </c>
      <c r="EI137" s="2">
        <f>55.7617317679919*(1/14151.6638359215)</f>
        <v>3.9402951069577126E-3</v>
      </c>
      <c r="EJ137" s="2">
        <f>42.1406899318781*(1/14151.6638359215)</f>
        <v>2.9777904860141887E-3</v>
      </c>
      <c r="EK137" s="2">
        <f>29.9356655688973*(1/14151.6638359215)</f>
        <v>2.1153460056697292E-3</v>
      </c>
      <c r="EL137" s="2">
        <f>20.7557662585485*(1/14151.6638359215)</f>
        <v>1.466666146058646E-3</v>
      </c>
      <c r="EM137" s="2">
        <f>14.2880481179806*(1/14151.6638359215)</f>
        <v>1.0096373319519443E-3</v>
      </c>
      <c r="EN137" s="2">
        <f>10.0807366875559*(1/14151.6638359215)</f>
        <v>7.1233579347523292E-4</v>
      </c>
      <c r="EO137" s="2">
        <f>7.68205750763642*(1/14151.6638359215)</f>
        <v>5.4283776075410111E-4</v>
      </c>
      <c r="EP137" s="2">
        <f>6.64023611858436*(1/14151.6638359215)</f>
        <v>4.6921946391415074E-4</v>
      </c>
      <c r="EQ137" s="2">
        <f>6.50349806076189*(1/14151.6638359215)</f>
        <v>4.5955713308098154E-4</v>
      </c>
      <c r="ER137" s="2">
        <f>6.82006887453116*(1/14151.6638359215)</f>
        <v>4.8192699838019187E-4</v>
      </c>
      <c r="ES137" s="2">
        <f>7.13817410025421*(1/14151.6638359215)</f>
        <v>5.0440528993737227E-4</v>
      </c>
      <c r="ET137" s="2">
        <f>7.00603927829322*(1/14151.6638359215)</f>
        <v>4.9506823787812332E-4</v>
      </c>
      <c r="EU137" s="2">
        <f>5.9867857958123*(1/14151.6638359215)</f>
        <v>4.2304465858042085E-4</v>
      </c>
      <c r="EV137" s="2">
        <f>4.86779123008753*(1/14151.6638359215)</f>
        <v>3.4397306822195008E-4</v>
      </c>
      <c r="EW137" s="2">
        <f>4.24677582995933*(1/14151.6638359215)</f>
        <v>3.0009021406936194E-4</v>
      </c>
      <c r="EX137" s="2">
        <f>4.03831055259209*(1/14151.6638359215)</f>
        <v>2.8535941776270518E-4</v>
      </c>
      <c r="EY137" s="2">
        <f>4.15696635515046*(1/14151.6638359215)</f>
        <v>2.9374400094204719E-4</v>
      </c>
      <c r="EZ137" s="2">
        <f>4.51731419479908*(1/14151.6638359215)</f>
        <v>3.1920728524745446E-4</v>
      </c>
      <c r="FA137" s="2">
        <f>5.0339250287026*(1/14151.6638359215)</f>
        <v>3.5571259231899436E-4</v>
      </c>
      <c r="FB137" s="2">
        <f>5.62136981402578*(1/14151.6638359215)</f>
        <v>3.9722324379674179E-4</v>
      </c>
      <c r="FC137" s="2">
        <f>6.19421950793304*(1/14151.6638359215)</f>
        <v>4.3770256132074785E-4</v>
      </c>
      <c r="FD137" s="2">
        <f>6.66704506758913*(1/14151.6638359215)</f>
        <v>4.7111386653108685E-4</v>
      </c>
      <c r="FE137" s="2">
        <f>6.95441745015869*(1/14151.6638359215)</f>
        <v>4.9142048106782534E-4</v>
      </c>
      <c r="FF137" s="2">
        <f>7.02102626269243*(1/14151.6638359215)</f>
        <v>4.9612726419283608E-4</v>
      </c>
      <c r="FG137" s="2">
        <f>7.05256565673109*(1/14151.6638359215)</f>
        <v>4.9835593457423703E-4</v>
      </c>
      <c r="FH137" s="2">
        <f>7.07662904625687*(1/14151.6638359215)</f>
        <v>5.0005632753189746E-4</v>
      </c>
      <c r="FI137" s="2">
        <f>7.09321643126979*(1/14151.6638359215)</f>
        <v>5.01228443065819E-4</v>
      </c>
      <c r="FJ137" s="2">
        <f>7.10232781176985*(1/14151.6638359215)</f>
        <v>5.0187228117600175E-4</v>
      </c>
      <c r="FK137" s="2">
        <f>7.10396318775704*(1/14151.6638359215)</f>
        <v>5.0198784186244474E-4</v>
      </c>
      <c r="FL137" s="2">
        <f>7.09812255923136*(1/14151.6638359215)</f>
        <v>5.0157512512514818E-4</v>
      </c>
      <c r="FM137" s="2">
        <f>7.08480592619282*(1/14151.6638359215)</f>
        <v>5.0063413096411251E-4</v>
      </c>
      <c r="FN137" s="2">
        <f>7.06401328864141*(1/14151.6638359215)</f>
        <v>4.9916485937933741E-4</v>
      </c>
      <c r="FO137" s="2">
        <f>7.03574464657714*(1/14151.6638359215)</f>
        <v>4.971673103708233E-4</v>
      </c>
      <c r="FP137" s="2">
        <f t="shared" si="19"/>
        <v>4.9464148393856954E-4</v>
      </c>
      <c r="FQ137" s="2"/>
    </row>
    <row r="138" spans="2:173">
      <c r="B138" s="2">
        <v>10.57810650887574</v>
      </c>
      <c r="C138" s="2">
        <f t="shared" si="20"/>
        <v>4.9464148393856954E-4</v>
      </c>
      <c r="D138" s="2">
        <f>7.0117926826951*(1/14151.6638359215)</f>
        <v>4.9547479109112976E-4</v>
      </c>
      <c r="E138" s="2">
        <f>7.0211189219507*(1/14151.6638359215)</f>
        <v>4.9613381178040912E-4</v>
      </c>
      <c r="F138" s="2">
        <f>7.0279787177668*(1/14151.6638359215)</f>
        <v>4.9661854600640783E-4</v>
      </c>
      <c r="G138" s="2">
        <f>7.03237207014341*(1/14151.6638359215)</f>
        <v>4.9692899376912666E-4</v>
      </c>
      <c r="H138" s="2">
        <f>7.03429897908051*(1/14151.6638359215)</f>
        <v>4.9706515506856399E-4</v>
      </c>
      <c r="I138" s="2">
        <f>7.03375944457812*(1/14151.6638359215)</f>
        <v>4.9702702990472142E-4</v>
      </c>
      <c r="J138" s="2">
        <f>7.03075346663624*(1/14151.6638359215)</f>
        <v>4.9681461827759887E-4</v>
      </c>
      <c r="K138" s="2">
        <f>7.02528104525485*(1/14151.6638359215)</f>
        <v>4.9642792018719491E-4</v>
      </c>
      <c r="L138" s="2">
        <f>7.01734218043397*(1/14151.6638359215)</f>
        <v>4.9586693563351085E-4</v>
      </c>
      <c r="M138" s="2">
        <f>7.00693687217359*(1/14151.6638359215)</f>
        <v>4.9513166461654626E-4</v>
      </c>
      <c r="N138" s="2">
        <f>6.99511955683754*(1/14151.6638359215)</f>
        <v>4.9429661684597575E-4</v>
      </c>
      <c r="O138" s="2">
        <f>6.98898622718928*(1/14151.6638359215)</f>
        <v>4.9386321694901863E-4</v>
      </c>
      <c r="P138" s="2">
        <f>6.98718755536485*(1/14151.6638359215)</f>
        <v>4.9373611727753929E-4</v>
      </c>
      <c r="Q138" s="2">
        <f>6.98645901275787*(1/14151.6638359215)</f>
        <v>4.9368463622093519E-4</v>
      </c>
      <c r="R138" s="2">
        <f>6.98353607076193*(1/14151.6638359215)</f>
        <v>4.934780921686012E-4</v>
      </c>
      <c r="S138" s="2">
        <f>6.97515420077062*(1/14151.6638359215)</f>
        <v>4.928858035099324E-4</v>
      </c>
      <c r="T138" s="2">
        <f>6.95804887417753*(1/14151.6638359215)</f>
        <v>4.9167708863432377E-4</v>
      </c>
      <c r="U138" s="2">
        <f>6.92895556237626*(1/14151.6638359215)</f>
        <v>4.8962126593117127E-4</v>
      </c>
      <c r="V138" s="2">
        <f>6.88460973676041*(1/14151.6638359215)</f>
        <v>4.8648765378987057E-4</v>
      </c>
      <c r="W138" s="2">
        <f>6.82174686872357*(1/14151.6638359215)</f>
        <v>4.8204557059981665E-4</v>
      </c>
      <c r="X138" s="2">
        <f>6.73710242965931*(1/14151.6638359215)</f>
        <v>4.7606433475040334E-4</v>
      </c>
      <c r="Y138" s="2">
        <f>6.26777588176948*(1/14151.6638359215)</f>
        <v>4.4290028045040452E-4</v>
      </c>
      <c r="Z138" s="2">
        <f>5.01265809298709*(1/14151.6638359215)</f>
        <v>3.5420980537025922E-4</v>
      </c>
      <c r="AA138" s="2">
        <f>3.25841635904838*(1/14151.6638359215)</f>
        <v>2.3024970044705737E-4</v>
      </c>
      <c r="AB138" s="2">
        <f>1.29983365144609*(1/14151.6638359215)</f>
        <v>9.1850235174940472E-5</v>
      </c>
      <c r="AC138" s="2">
        <f>-0.568307058327075*(1/14151.6638359215)</f>
        <v>-4.0158320951952505E-5</v>
      </c>
      <c r="AD138" s="2">
        <f>-2.05122279877859*(1/14151.6638359215)</f>
        <v>-1.4494569843949537E-4</v>
      </c>
      <c r="AE138" s="2">
        <f>-2.85413059841514*(1/14151.6638359215)</f>
        <v>-2.0168162779350606E-4</v>
      </c>
      <c r="AF138" s="2">
        <f>-2.68224748574432*(1/14151.6638359215)</f>
        <v>-1.8953583951986683E-4</v>
      </c>
      <c r="AG138" s="2">
        <f>-1.24079048927338*(1/14151.6638359215)</f>
        <v>-8.7678064124435494E-5</v>
      </c>
      <c r="AH138" s="2">
        <f>1.76502336249038*(1/14151.6638359215)</f>
        <v>1.2472196788692648E-4</v>
      </c>
      <c r="AI138" s="2">
        <f>6.43308640553952*(1/14151.6638359215)</f>
        <v>4.5458162942015805E-4</v>
      </c>
      <c r="AJ138" s="2">
        <f>10.3401161117347*(1/14151.6638359215)</f>
        <v>7.3066433965793764E-4</v>
      </c>
      <c r="AK138" s="2">
        <f>13.3554843840204*(1/14151.6638359215)</f>
        <v>9.4373951634717755E-4</v>
      </c>
      <c r="AL138" s="2">
        <f>16.3466249619282*(1/14151.6638359215)</f>
        <v>1.1551026897936325E-3</v>
      </c>
      <c r="AM138" s="2">
        <f>20.1809715849899*(1/14151.6638359215)</f>
        <v>1.426049390303073E-3</v>
      </c>
      <c r="AN138" s="2">
        <f>25.725957992737*(1/14151.6638359215)</f>
        <v>1.8178751481812477E-3</v>
      </c>
      <c r="AO138" s="2">
        <f>33.8490179247011*(1/14151.6638359215)</f>
        <v>2.391875493733913E-3</v>
      </c>
      <c r="AP138" s="2">
        <f>45.4175851204164*(1/14151.6638359215)</f>
        <v>3.2093459572670089E-3</v>
      </c>
      <c r="AQ138" s="2">
        <f>61.2990933194105*(1/14151.6638359215)</f>
        <v>4.3315820690860091E-3</v>
      </c>
      <c r="AR138" s="2">
        <f>82.3609762612166*(1/14151.6638359215)</f>
        <v>5.8198793594967831E-3</v>
      </c>
      <c r="AS138" s="2">
        <f>109.470667685366*(1/14151.6638359215)</f>
        <v>7.735533358805064E-3</v>
      </c>
      <c r="AT138" s="2">
        <f>142.811827675901*(1/14151.6638359215)</f>
        <v>1.0091522052226706E-2</v>
      </c>
      <c r="AU138" s="2">
        <f>181.006646388065*(1/14151.6638359215)</f>
        <v>1.2790485167448056E-2</v>
      </c>
      <c r="AV138" s="2">
        <f>223.734119389685*(1/14151.6638359215)</f>
        <v>1.5809739546086124E-2</v>
      </c>
      <c r="AW138" s="2">
        <f>270.737506958994*(1/14151.6638359215)</f>
        <v>1.9131143171432229E-2</v>
      </c>
      <c r="AX138" s="2">
        <f>321.760069374221*(1/14151.6638359215)</f>
        <v>2.2736554026777395E-2</v>
      </c>
      <c r="AY138" s="2">
        <f>376.545066913593*(1/14151.6638359215)</f>
        <v>2.6607830095412517E-2</v>
      </c>
      <c r="AZ138" s="2">
        <f>434.835759855338*(1/14151.6638359215)</f>
        <v>3.0726829360628548E-2</v>
      </c>
      <c r="BA138" s="2">
        <f>496.375408477696*(1/14151.6638359215)</f>
        <v>3.5075409805717307E-2</v>
      </c>
      <c r="BB138" s="2">
        <f>560.907273058871*(1/14151.6638359215)</f>
        <v>3.9635429413968061E-2</v>
      </c>
      <c r="BC138" s="2">
        <f>628.174613877101*(1/14151.6638359215)</f>
        <v>4.4388746168672458E-2</v>
      </c>
      <c r="BD138" s="2">
        <f>698.033545436203*(1/14151.6638359215)</f>
        <v>4.9325192679066335E-2</v>
      </c>
      <c r="BE138" s="2">
        <f>774.102026501626*(1/14151.6638359215)</f>
        <v>5.4700425015516883E-2</v>
      </c>
      <c r="BF138" s="2">
        <f>857.05553721231*(1/14151.6638359215)</f>
        <v>6.0562174677780703E-2</v>
      </c>
      <c r="BG138" s="2">
        <f>945.303667689625*(1/14151.6638359215)</f>
        <v>6.6798058422652642E-2</v>
      </c>
      <c r="BH138" s="2">
        <f>1037.25600805489*(1/14151.6638359215)</f>
        <v>7.3295693006923943E-2</v>
      </c>
      <c r="BI138" s="2">
        <f>1131.32214842947*(1/14151.6638359215)</f>
        <v>7.9942695187389098E-2</v>
      </c>
      <c r="BJ138" s="2">
        <f>1225.91167893473*(1/14151.6638359215)</f>
        <v>8.6626681720842577E-2</v>
      </c>
      <c r="BK138" s="2">
        <f>1319.43418969201*(1/14151.6638359215)</f>
        <v>9.3235269364077125E-2</v>
      </c>
      <c r="BL138" s="2">
        <f>1410.29927082267*(1/14151.6638359215)</f>
        <v>9.9656074873886863E-2</v>
      </c>
      <c r="BM138" s="2">
        <f>1496.91651244807*(1/14151.6638359215)</f>
        <v>0.10577671500706594</v>
      </c>
      <c r="BN138" s="2">
        <f>1577.69550468954*(1/14151.6638359215)</f>
        <v>0.11148480652040636</v>
      </c>
      <c r="BO138" s="2">
        <f>1652.75663425357*(1/14151.6638359215)</f>
        <v>0.11678885630807163</v>
      </c>
      <c r="BP138" s="2">
        <f>1727.26624990706*(1/14151.6638359215)</f>
        <v>0.12205393443014804</v>
      </c>
      <c r="BQ138" s="2">
        <f>1800.96912621681*(1/14151.6638359215)</f>
        <v>0.12726200587420455</v>
      </c>
      <c r="BR138" s="2">
        <f>1873.01141412319*(1/14151.6638359215)</f>
        <v>0.13235273504511047</v>
      </c>
      <c r="BS138" s="2">
        <f>1942.53926456652*(1/14151.6638359215)</f>
        <v>0.13726578634773157</v>
      </c>
      <c r="BT138" s="2">
        <f>2008.69882848717*(1/14151.6638359215)</f>
        <v>0.14194082418693713</v>
      </c>
      <c r="BU138" s="2">
        <f>2070.63625682548*(1/14151.6638359215)</f>
        <v>0.14631751296759435</v>
      </c>
      <c r="BV138" s="2">
        <f>2127.49770052183*(1/14151.6638359215)</f>
        <v>0.15033551709457321</v>
      </c>
      <c r="BW138" s="2">
        <f>2178.42931051655*(1/14151.6638359215)</f>
        <v>0.15393450097274017</v>
      </c>
      <c r="BX138" s="2">
        <f>2222.57723774999*(1/14151.6638359215)</f>
        <v>0.15705412900696314</v>
      </c>
      <c r="BY138" s="2">
        <f>2259.09029800942*(1/14151.6638359215)</f>
        <v>0.15963425390837213</v>
      </c>
      <c r="BZ138" s="2">
        <f>2288.12665941865*(1/14151.6638359215)</f>
        <v>0.1616860523220347</v>
      </c>
      <c r="CA138" s="2">
        <f>2310.56556120234*(1/14151.6638359215)</f>
        <v>0.16327165399006846</v>
      </c>
      <c r="CB138" s="2">
        <f>2326.88118825896*(1/14151.6638359215)</f>
        <v>0.16442456627273627</v>
      </c>
      <c r="CC138" s="2">
        <f>2337.54772548696*(1/14151.6638359215)</f>
        <v>0.16517829653029972</v>
      </c>
      <c r="CD138" s="2">
        <f>2343.03935778479*(1/14151.6638359215)</f>
        <v>0.16556635212302021</v>
      </c>
      <c r="CE138" s="2">
        <f>2343.83027005091*(1/14151.6638359215)</f>
        <v>0.16562224041116003</v>
      </c>
      <c r="CF138" s="2">
        <f>2340.39464718378*(1/14151.6638359215)</f>
        <v>0.16537946875498141</v>
      </c>
      <c r="CG138" s="2">
        <f>2333.20667408184*(1/14151.6638359215)</f>
        <v>0.16487154451474512</v>
      </c>
      <c r="CH138" s="2">
        <f>2322.74053564355*(1/14151.6638359215)</f>
        <v>0.16413197505071336</v>
      </c>
      <c r="CI138" s="2">
        <f>2309.47041676738*(1/14151.6638359215)</f>
        <v>0.16319426772314907</v>
      </c>
      <c r="CJ138" s="2">
        <f>2293.38207620277*(1/14151.6638359215)</f>
        <v>0.16205741620157937</v>
      </c>
      <c r="CK138" s="2">
        <f>2272.08268499509*(1/14151.6638359215)</f>
        <v>0.16055233584815726</v>
      </c>
      <c r="CL138" s="2">
        <f>2245.72038966485*(1/14151.6638359215)</f>
        <v>0.15868949515070344</v>
      </c>
      <c r="CM138" s="2">
        <f>2214.93882321941*(1/14151.6638359215)</f>
        <v>0.156514375192914</v>
      </c>
      <c r="CN138" s="2">
        <f>2180.38161866612*(1/14151.6638359215)</f>
        <v>0.15407245705848427</v>
      </c>
      <c r="CO138" s="2">
        <f>2142.69240901236*(1/14151.6638359215)</f>
        <v>0.15140922183111172</v>
      </c>
      <c r="CP138" s="2">
        <f>2102.51482726548*(1/14151.6638359215)</f>
        <v>0.14857015059449175</v>
      </c>
      <c r="CQ138" s="2">
        <f>2060.49250643286*(1/14151.6638359215)</f>
        <v>0.14560072443232178</v>
      </c>
      <c r="CR138" s="2">
        <f>2017.26907952185*(1/14151.6638359215)</f>
        <v>0.14254642442829715</v>
      </c>
      <c r="CS138" s="2">
        <f>1973.48817953983*(1/14151.6638359215)</f>
        <v>0.13945273166611538</v>
      </c>
      <c r="CT138" s="2">
        <f>1929.79343949415*(1/14151.6638359215)</f>
        <v>0.13636512722947181</v>
      </c>
      <c r="CU138" s="2">
        <f>1885.4155942673*(1/14151.6638359215)</f>
        <v>0.13322925248418532</v>
      </c>
      <c r="CV138" s="2">
        <f>1838.9454770917*(1/14151.6638359215)</f>
        <v>0.12994553138153703</v>
      </c>
      <c r="CW138" s="2">
        <f>1790.61017750581*(1/14151.6638359215)</f>
        <v>0.12653001076528275</v>
      </c>
      <c r="CX138" s="2">
        <f>1740.64279732238*(1/14151.6638359215)</f>
        <v>0.1229991623249321</v>
      </c>
      <c r="CY138" s="2">
        <f>1689.27643835418*(1/14151.6638359215)</f>
        <v>0.11936945774999616</v>
      </c>
      <c r="CZ138" s="2">
        <f>1636.74420241397*(1/14151.6638359215)</f>
        <v>0.11565736872998522</v>
      </c>
      <c r="DA138" s="2">
        <f>1583.27919131448*(1/14151.6638359215)</f>
        <v>0.11187936695440753</v>
      </c>
      <c r="DB138" s="2">
        <f>1529.11450686851*(1/14151.6638359215)</f>
        <v>0.10805192411277625</v>
      </c>
      <c r="DC138" s="2">
        <f>1474.48325088879*(1/14151.6638359215)</f>
        <v>0.1041915118945996</v>
      </c>
      <c r="DD138" s="2">
        <f>1419.6185251881*(1/14151.6638359215)</f>
        <v>0.10031460198938934</v>
      </c>
      <c r="DE138" s="2">
        <f>1364.59809869746*(1/14151.6638359215)</f>
        <v>9.6426689788494599E-2</v>
      </c>
      <c r="DF138" s="2">
        <f>1308.0853902242*(1/14151.6638359215)</f>
        <v>9.2433328362694439E-2</v>
      </c>
      <c r="DG138" s="2">
        <f>1250.03832772339*(1/14151.6638359215)</f>
        <v>8.8331544772169368E-2</v>
      </c>
      <c r="DH138" s="2">
        <f>1190.85720422176*(1/14151.6638359215)</f>
        <v>8.4149624950741075E-2</v>
      </c>
      <c r="DI138" s="2">
        <f>1130.94231274607*(1/14151.6638359215)</f>
        <v>7.9915854832233416E-2</v>
      </c>
      <c r="DJ138" s="2">
        <f>1070.69394632305*(1/14151.6638359215)</f>
        <v>7.5658520350468092E-2</v>
      </c>
      <c r="DK138" s="2">
        <f>1010.51239797944*(1/14151.6638359215)</f>
        <v>7.1405907439267516E-2</v>
      </c>
      <c r="DL138" s="2">
        <f>950.797960741987*(1/14151.6638359215)</f>
        <v>6.7186302032454612E-2</v>
      </c>
      <c r="DM138" s="2">
        <f>891.950927637415*(1/14151.6638359215)</f>
        <v>6.3027990063850667E-2</v>
      </c>
      <c r="DN138" s="2">
        <f>834.37159169249*(1/14151.6638359215)</f>
        <v>5.8959257467279931E-2</v>
      </c>
      <c r="DO138" s="2">
        <f>778.460245933939*(1/14151.6638359215)</f>
        <v>5.5008390176563907E-2</v>
      </c>
      <c r="DP138" s="2">
        <f>723.433692339323*(1/14151.6638359215)</f>
        <v>5.1120045015697328E-2</v>
      </c>
      <c r="DQ138" s="2">
        <f>667.482428770376*(1/14151.6638359215)</f>
        <v>4.7166357009985622E-2</v>
      </c>
      <c r="DR138" s="2">
        <f>611.178265146964*(1/14151.6638359215)</f>
        <v>4.3187732003327831E-2</v>
      </c>
      <c r="DS138" s="2">
        <f>555.157419915007*(1/14151.6638359215)</f>
        <v>3.9229127143752381E-2</v>
      </c>
      <c r="DT138" s="2">
        <f>500.056111520412*(1/14151.6638359215)</f>
        <v>3.5335499579286771E-2</v>
      </c>
      <c r="DU138" s="2">
        <f>446.51055840912*(1/14151.6638359215)</f>
        <v>3.1551806457960921E-2</v>
      </c>
      <c r="DV138" s="2">
        <f>395.156979027037*(1/14151.6638359215)</f>
        <v>2.7923004927802253E-2</v>
      </c>
      <c r="DW138" s="2">
        <f>346.631591820084*(1/14151.6638359215)</f>
        <v>2.4494052136839268E-2</v>
      </c>
      <c r="DX138" s="2">
        <f>301.570615234177*(1/14151.6638359215)</f>
        <v>2.1309905233100102E-2</v>
      </c>
      <c r="DY138" s="2">
        <f>260.610267715229*(1/14151.6638359215)</f>
        <v>1.8415521364612678E-2</v>
      </c>
      <c r="DZ138" s="2">
        <f>224.356482232779*(1/14151.6638359215)</f>
        <v>1.585371761469416E-2</v>
      </c>
      <c r="EA138" s="2">
        <f>192.513219253661*(1/14151.6638359215)</f>
        <v>1.360357492134601E-2</v>
      </c>
      <c r="EB138" s="2">
        <f>164.518526241854*(1/14151.6638359215)</f>
        <v>1.1625383993665309E-2</v>
      </c>
      <c r="EC138" s="2">
        <f>139.987268049472*(1/14151.6638359215)</f>
        <v>9.891930000071018E-3</v>
      </c>
      <c r="ED138" s="2">
        <f>118.534309528627*(1/14151.6638359215)</f>
        <v>8.3759981089819701E-3</v>
      </c>
      <c r="EE138" s="2">
        <f>99.7745155314302*(1/14151.6638359215)</f>
        <v>7.0503734888169266E-3</v>
      </c>
      <c r="EF138" s="2">
        <f>83.3227509100012*(1/14151.6638359215)</f>
        <v>5.8878413079952565E-3</v>
      </c>
      <c r="EG138" s="2">
        <f>68.7938805164498*(1/14151.6638359215)</f>
        <v>4.8611867349356254E-3</v>
      </c>
      <c r="EH138" s="2">
        <f>55.8027692028895*(1/14151.6638359215)</f>
        <v>3.9431949380569669E-3</v>
      </c>
      <c r="EI138" s="2">
        <f>43.9642818214335*(1/14151.6638359215)</f>
        <v>3.106651085778192E-3</v>
      </c>
      <c r="EJ138" s="2">
        <f>32.8932832241931*(1/14151.6638359215)</f>
        <v>2.3243403465180758E-3</v>
      </c>
      <c r="EK138" s="2">
        <f>22.8572844246089*(1/14151.6638359215)</f>
        <v>1.6151658695134998E-3</v>
      </c>
      <c r="EL138" s="2">
        <f>15.4381160538273*(1/14151.6638359215)</f>
        <v>1.0909046620115699E-3</v>
      </c>
      <c r="EM138" s="2">
        <f>10.3706590691814*(1/14151.6638359215)</f>
        <v>7.3282259877155312E-4</v>
      </c>
      <c r="EN138" s="2">
        <f>7.25470484321582*(1/14151.6638359215)</f>
        <v>5.1263970988351445E-4</v>
      </c>
      <c r="EO138" s="2">
        <f>5.69004474847505*(1/14151.6638359215)</f>
        <v>4.020760254375091E-4</v>
      </c>
      <c r="EP138" s="2">
        <f>5.27647015750362*(1/14151.6638359215)</f>
        <v>3.7285157552359547E-4</v>
      </c>
      <c r="EQ138" s="2">
        <f>5.61377244284616*(1/14151.6638359215)</f>
        <v>3.9668639023183902E-4</v>
      </c>
      <c r="ER138" s="2">
        <f>6.30174297704701*(1/14151.6638359215)</f>
        <v>4.4530049965228459E-4</v>
      </c>
      <c r="ES138" s="2">
        <f>6.94017313265072*(1/14151.6638359215)</f>
        <v>4.9041393387499186E-4</v>
      </c>
      <c r="ET138" s="2">
        <f>7.12885428220182*(1/14151.6638359215)</f>
        <v>5.0374672299001921E-4</v>
      </c>
      <c r="EU138" s="2">
        <f>6.48035630753856*(1/14151.6638359215)</f>
        <v>4.5792186577307755E-4</v>
      </c>
      <c r="EV138" s="2">
        <f>5.66288697941619*(1/14151.6638359215)</f>
        <v>4.0015697412497544E-4</v>
      </c>
      <c r="EW138" s="2">
        <f>5.19889136102154*(1/14151.6638359215)</f>
        <v>3.6736961966444344E-4</v>
      </c>
      <c r="EX138" s="2">
        <f>5.02803720201996*(1/14151.6638359215)</f>
        <v>3.5529654041506947E-4</v>
      </c>
      <c r="EY138" s="2">
        <f>5.08999225207699*(1/14151.6638359215)</f>
        <v>3.5967447440045483E-4</v>
      </c>
      <c r="EZ138" s="2">
        <f>5.32442426085817*(1/14151.6638359215)</f>
        <v>3.7624015964420098E-4</v>
      </c>
      <c r="FA138" s="2">
        <f>5.67100097802906*(1/14151.6638359215)</f>
        <v>4.0073033416991046E-4</v>
      </c>
      <c r="FB138" s="2">
        <f>6.06939015325526*(1/14151.6638359215)</f>
        <v>4.2888173600118913E-4</v>
      </c>
      <c r="FC138" s="2">
        <f>6.45925953620216*(1/14151.6638359215)</f>
        <v>4.564311031616276E-4</v>
      </c>
      <c r="FD138" s="2">
        <f>6.78027687653538*(1/14151.6638359215)</f>
        <v>4.7911517367483283E-4</v>
      </c>
      <c r="FE138" s="2">
        <f>6.97210992392045*(1/14151.6638359215)</f>
        <v>4.9267068556440555E-4</v>
      </c>
      <c r="FF138" s="2">
        <f>7.00982154461317*(1/14151.6638359215)</f>
        <v>4.9533550442457347E-4</v>
      </c>
      <c r="FG138" s="2">
        <f>7.02455386153294*(1/14151.6638359215)</f>
        <v>4.9637653515358039E-4</v>
      </c>
      <c r="FH138" s="2">
        <f>7.03579407370135*(1/14151.6638359215)</f>
        <v>4.9717080304311845E-4</v>
      </c>
      <c r="FI138" s="2">
        <f>7.04354218111841*(1/14151.6638359215)</f>
        <v>4.9771830809318841E-4</v>
      </c>
      <c r="FJ138" s="2">
        <f>7.04779818378412*(1/14151.6638359215)</f>
        <v>4.9801905030379037E-4</v>
      </c>
      <c r="FK138" s="2">
        <f>7.04856208169848*(1/14151.6638359215)</f>
        <v>4.9807302967492422E-4</v>
      </c>
      <c r="FL138" s="2">
        <f>7.04583387486149*(1/14151.6638359215)</f>
        <v>4.9788024620658986E-4</v>
      </c>
      <c r="FM138" s="2">
        <f>7.03961356327314*(1/14151.6638359215)</f>
        <v>4.9744069989878675E-4</v>
      </c>
      <c r="FN138" s="2">
        <f>7.02990114693344*(1/14151.6638359215)</f>
        <v>4.9675439075151553E-4</v>
      </c>
      <c r="FO138" s="2">
        <f>7.0166966258424*(1/14151.6638359215)</f>
        <v>4.9582131876477697E-4</v>
      </c>
      <c r="FP138" s="2">
        <f t="shared" si="19"/>
        <v>4.9464148393856954E-4</v>
      </c>
      <c r="FQ138" s="2"/>
    </row>
    <row r="139" spans="2:173">
      <c r="B139" s="2">
        <v>10.587573964497041</v>
      </c>
      <c r="C139" s="2">
        <f t="shared" si="20"/>
        <v>4.9464148393856954E-4</v>
      </c>
      <c r="D139" s="2">
        <f>7.00425927360241*(1/14151.6638359215)</f>
        <v>4.9494245728359766E-4</v>
      </c>
      <c r="E139" s="2">
        <f>7.00762771873895*(1/14151.6638359215)</f>
        <v>4.9518048195515538E-4</v>
      </c>
      <c r="F139" s="2">
        <f>7.01010533540963*(1/14151.6638359215)</f>
        <v>4.9535555795324334E-4</v>
      </c>
      <c r="G139" s="2">
        <f>7.01169212361445*(1/14151.6638359215)</f>
        <v>4.9546768527786167E-4</v>
      </c>
      <c r="H139" s="2">
        <f>7.0123880833534*(1/14151.6638359215)</f>
        <v>4.9551686392900959E-4</v>
      </c>
      <c r="I139" s="2">
        <f>7.0121932146265*(1/14151.6638359215)</f>
        <v>4.9550309390668863E-4</v>
      </c>
      <c r="J139" s="2">
        <f>7.01110751743373*(1/14151.6638359215)</f>
        <v>4.9542637521089717E-4</v>
      </c>
      <c r="K139" s="2">
        <f>7.00913099177509*(1/14151.6638359215)</f>
        <v>4.9528670784163551E-4</v>
      </c>
      <c r="L139" s="2">
        <f>7.0062636376506*(1/14151.6638359215)</f>
        <v>4.9508409179890465E-4</v>
      </c>
      <c r="M139" s="2">
        <f>7.00250545506024*(1/14151.6638359215)</f>
        <v>4.9481852708270361E-4</v>
      </c>
      <c r="N139" s="2">
        <f>6.99776536825698*(1/14151.6638359215)</f>
        <v>4.9448357800122326E-4</v>
      </c>
      <c r="O139" s="2">
        <f>6.99143046890033*(1/14151.6638359215)</f>
        <v>4.9403593457002693E-4</v>
      </c>
      <c r="P139" s="2">
        <f>6.98361730365675*(1/14151.6638359215)</f>
        <v>4.9348383233426387E-4</v>
      </c>
      <c r="Q139" s="2">
        <f>6.97460784248836*(1/14151.6638359215)</f>
        <v>4.9284719615686108E-4</v>
      </c>
      <c r="R139" s="2">
        <f>6.96468405535727*(1/14151.6638359215)</f>
        <v>4.921459509007449E-4</v>
      </c>
      <c r="S139" s="2">
        <f>6.95412791222558*(1/14151.6638359215)</f>
        <v>4.9140002142884103E-4</v>
      </c>
      <c r="T139" s="2">
        <f>6.9432213830554*(1/14151.6638359215)</f>
        <v>4.9062933260407581E-4</v>
      </c>
      <c r="U139" s="2">
        <f>6.93224643780885*(1/14151.6638359215)</f>
        <v>4.8985380928937602E-4</v>
      </c>
      <c r="V139" s="2">
        <f>6.92148504644803*(1/14151.6638359215)</f>
        <v>4.8909337634766745E-4</v>
      </c>
      <c r="W139" s="2">
        <f>6.91121917893505*(1/14151.6638359215)</f>
        <v>4.8836795864187646E-4</v>
      </c>
      <c r="X139" s="2">
        <f>6.90173080523201*(1/14151.6638359215)</f>
        <v>4.8769748103492857E-4</v>
      </c>
      <c r="Y139" s="2">
        <f>6.62741391138593*(1/14151.6638359215)</f>
        <v>4.6831340740043656E-4</v>
      </c>
      <c r="Z139" s="2">
        <f>5.79096978221604*(1/14151.6638359215)</f>
        <v>4.0920769807410815E-4</v>
      </c>
      <c r="AA139" s="2">
        <f>4.60117164546396*(1/14151.6638359215)</f>
        <v>3.2513291008119476E-4</v>
      </c>
      <c r="AB139" s="2">
        <f>3.27277754570159*(1/14151.6638359215)</f>
        <v>2.312645059723806E-4</v>
      </c>
      <c r="AC139" s="2">
        <f>2.02054552750084*(1/14151.6638359215)</f>
        <v>1.4277794829835078E-4</v>
      </c>
      <c r="AD139" s="2">
        <f>1.05923363543349*(1/14151.6638359215)</f>
        <v>7.4848699609781036E-5</v>
      </c>
      <c r="AE139" s="2">
        <f>0.603599914071831*(1/14151.6638359215)</f>
        <v>4.2652222457383363E-5</v>
      </c>
      <c r="AF139" s="2">
        <f>0.868402407987563*(1/14151.6638359215)</f>
        <v>6.1363979391827894E-5</v>
      </c>
      <c r="AG139" s="2">
        <f>2.0683991617526*(1/14151.6638359215)</f>
        <v>1.4615943296379991E-4</v>
      </c>
      <c r="AH139" s="2">
        <f>4.41834821993885*(1/14151.6638359215)</f>
        <v>3.1221404572398428E-4</v>
      </c>
      <c r="AI139" s="2">
        <f>7.95912461765238*(1/14151.6638359215)</f>
        <v>5.62416173103939E-4</v>
      </c>
      <c r="AJ139" s="2">
        <f>10.5320097651652*(1/14151.6638359215)</f>
        <v>7.4422413415668851E-4</v>
      </c>
      <c r="AK139" s="2">
        <f>12.0625974953613*(1/14151.6638359215)</f>
        <v>8.5238016075131235E-4</v>
      </c>
      <c r="AL139" s="2">
        <f>13.3653149659869*(1/14151.6638359215)</f>
        <v>9.4443417544030472E-4</v>
      </c>
      <c r="AM139" s="2">
        <f>15.2545893347881*(1/14151.6638359215)</f>
        <v>1.0779361007761518E-3</v>
      </c>
      <c r="AN139" s="2">
        <f>18.5448477595112*(1/14151.6638359215)</f>
        <v>1.3104358593113538E-3</v>
      </c>
      <c r="AO139" s="2">
        <f>24.0505173979023*(1/14151.6638359215)</f>
        <v>1.6994833735983969E-3</v>
      </c>
      <c r="AP139" s="2">
        <f>32.5860254077094*(1/14151.6638359215)</f>
        <v>2.3026285661899011E-3</v>
      </c>
      <c r="AQ139" s="2">
        <f>44.9657989466757*(1/14151.6638359215)</f>
        <v>3.177421359638148E-3</v>
      </c>
      <c r="AR139" s="2">
        <f>62.0042651725486*(1/14151.6638359215)</f>
        <v>4.3814116764957153E-3</v>
      </c>
      <c r="AS139" s="2">
        <f>84.5158512430743*(1/14151.6638359215)</f>
        <v>5.9721494393150951E-3</v>
      </c>
      <c r="AT139" s="2">
        <f>112.552520050298*(1/14151.6638359215)</f>
        <v>7.9533065055292871E-3</v>
      </c>
      <c r="AU139" s="2">
        <f>144.593008407377*(1/14151.6638359215)</f>
        <v>1.021738574939529E-2</v>
      </c>
      <c r="AV139" s="2">
        <f>180.452138759268*(1/14151.6638359215)</f>
        <v>1.2751301956538997E-2</v>
      </c>
      <c r="AW139" s="2">
        <f>220.019821418893*(1/14151.6638359215)</f>
        <v>1.5547275851791472E-2</v>
      </c>
      <c r="AX139" s="2">
        <f>263.185966699164*(1/14151.6638359215)</f>
        <v>1.859752815998306E-2</v>
      </c>
      <c r="AY139" s="2">
        <f>309.840484912996*(1/14151.6638359215)</f>
        <v>2.1894279605944329E-2</v>
      </c>
      <c r="AZ139" s="2">
        <f>359.873286373303*(1/14151.6638359215)</f>
        <v>2.5429750914505771E-2</v>
      </c>
      <c r="BA139" s="2">
        <f>413.174281393008*(1/14151.6638359215)</f>
        <v>2.9196162810498513E-2</v>
      </c>
      <c r="BB139" s="2">
        <f>469.633380285006*(1/14151.6638359215)</f>
        <v>3.3185736018751702E-2</v>
      </c>
      <c r="BC139" s="2">
        <f>529.140493362221*(1/14151.6638359215)</f>
        <v>3.7390691264096547E-2</v>
      </c>
      <c r="BD139" s="2">
        <f>591.681736534739*(1/14151.6638359215)</f>
        <v>4.1810047454127579E-2</v>
      </c>
      <c r="BE139" s="2">
        <f>660.39805635118*(1/14151.6638359215)</f>
        <v>4.6665753511956391E-2</v>
      </c>
      <c r="BF139" s="2">
        <f>735.776946054562*(1/14151.6638359215)</f>
        <v>5.1992257206316769E-2</v>
      </c>
      <c r="BG139" s="2">
        <f>816.349911722208*(1/14151.6638359215)</f>
        <v>5.7685790249627604E-2</v>
      </c>
      <c r="BH139" s="2">
        <f>900.648459431392*(1/14151.6638359215)</f>
        <v>6.3642584354304324E-2</v>
      </c>
      <c r="BI139" s="2">
        <f>987.204095259435*(1/14151.6638359215)</f>
        <v>6.9758871232765696E-2</v>
      </c>
      <c r="BJ139" s="2">
        <f>1074.54832528364*(1/14151.6638359215)</f>
        <v>7.5930882597429208E-2</v>
      </c>
      <c r="BK139" s="2">
        <f>1161.21265558132*(1/14151.6638359215)</f>
        <v>8.2054850160713025E-2</v>
      </c>
      <c r="BL139" s="2">
        <f>1245.72859222978*(1/14151.6638359215)</f>
        <v>8.8027005635034794E-2</v>
      </c>
      <c r="BM139" s="2">
        <f>1326.62764130633*(1/14151.6638359215)</f>
        <v>9.3743580732812484E-2</v>
      </c>
      <c r="BN139" s="2">
        <f>1402.44130888826*(1/14151.6638359215)</f>
        <v>9.9100807166462676E-2</v>
      </c>
      <c r="BO139" s="2">
        <f>1473.39474730016*(1/14151.6638359215)</f>
        <v>0.10411459489026355</v>
      </c>
      <c r="BP139" s="2">
        <f>1544.60934195127*(1/14151.6638359215)</f>
        <v>0.10914683671545052</v>
      </c>
      <c r="BQ139" s="2">
        <f>1615.71840352531*(1/14151.6638359215)</f>
        <v>0.11417162124951655</v>
      </c>
      <c r="BR139" s="2">
        <f>1685.75734026402*(1/14151.6638359215)</f>
        <v>0.11912078747836158</v>
      </c>
      <c r="BS139" s="2">
        <f>1753.76156040906*(1/14151.6638359215)</f>
        <v>0.12392617438787981</v>
      </c>
      <c r="BT139" s="2">
        <f>1818.76647220215*(1/14151.6638359215)</f>
        <v>0.12851962096396979</v>
      </c>
      <c r="BU139" s="2">
        <f>1879.80748388499*(1/14151.6638359215)</f>
        <v>0.1328329661925286</v>
      </c>
      <c r="BV139" s="2">
        <f>1935.92000369928*(1/14151.6638359215)</f>
        <v>0.13679804905945328</v>
      </c>
      <c r="BW139" s="2">
        <f>1986.13943988672*(1/14151.6638359215)</f>
        <v>0.14034670855064094</v>
      </c>
      <c r="BX139" s="2">
        <f>2029.50120068901*(1/14151.6638359215)</f>
        <v>0.14341078365198864</v>
      </c>
      <c r="BY139" s="2">
        <f>2065.04377980686*(1/14151.6638359215)</f>
        <v>0.14592233137739685</v>
      </c>
      <c r="BZ139" s="2">
        <f>2092.96524163834*(1/14151.6638359215)</f>
        <v>0.14789534756511932</v>
      </c>
      <c r="CA139" s="2">
        <f>2114.26637049959*(1/14151.6638359215)</f>
        <v>0.14940055070647579</v>
      </c>
      <c r="CB139" s="2">
        <f>2129.47188281191*(1/14151.6638359215)</f>
        <v>0.15047501887422041</v>
      </c>
      <c r="CC139" s="2">
        <f>2139.10649499663*(1/14151.6638359215)</f>
        <v>0.15115583014110934</v>
      </c>
      <c r="CD139" s="2">
        <f>2143.69492347504*(1/14151.6638359215)</f>
        <v>0.15148006257989602</v>
      </c>
      <c r="CE139" s="2">
        <f>2143.76188466848*(1/14151.6638359215)</f>
        <v>0.15148479426333736</v>
      </c>
      <c r="CF139" s="2">
        <f>2139.83209499826*(1/14151.6638359215)</f>
        <v>0.15120710326418821</v>
      </c>
      <c r="CG139" s="2">
        <f>2132.43027088568*(1/14151.6638359215)</f>
        <v>0.15068406765520265</v>
      </c>
      <c r="CH139" s="2">
        <f>2122.08112875207*(1/14151.6638359215)</f>
        <v>0.14995276550913694</v>
      </c>
      <c r="CI139" s="2">
        <f>2109.30938501874*(1/14151.6638359215)</f>
        <v>0.14905027489874589</v>
      </c>
      <c r="CJ139" s="2">
        <f>2094.14674938883*(1/14151.6638359215)</f>
        <v>0.14797883652897464</v>
      </c>
      <c r="CK139" s="2">
        <f>2074.18775611756*(1/14151.6638359215)</f>
        <v>0.14656847280760024</v>
      </c>
      <c r="CL139" s="2">
        <f>2049.53530794006*(1/14151.6638359215)</f>
        <v>0.1448264551577092</v>
      </c>
      <c r="CM139" s="2">
        <f>2020.78840965886*(1/14151.6638359215)</f>
        <v>0.14279511109707435</v>
      </c>
      <c r="CN139" s="2">
        <f>1988.54606607649*(1/14151.6638359215)</f>
        <v>0.14051676814346853</v>
      </c>
      <c r="CO139" s="2">
        <f>1953.40728199545*(1/14151.6638359215)</f>
        <v>0.13803375381466246</v>
      </c>
      <c r="CP139" s="2">
        <f>1915.97106221828*(1/14151.6638359215)</f>
        <v>0.13538839562842964</v>
      </c>
      <c r="CQ139" s="2">
        <f>1876.8364115475*(1/14151.6638359215)</f>
        <v>0.13262302110254218</v>
      </c>
      <c r="CR139" s="2">
        <f>1836.60233478565*(1/14151.6638359215)</f>
        <v>0.12977995775477363</v>
      </c>
      <c r="CS139" s="2">
        <f>1795.86783673523*(1/14151.6638359215)</f>
        <v>0.1269015331028947</v>
      </c>
      <c r="CT139" s="2">
        <f>1755.23192219877*(1/14151.6638359215)</f>
        <v>0.12403007466467821</v>
      </c>
      <c r="CU139" s="2">
        <f>1714.00228265608*(1/14151.6638359215)</f>
        <v>0.12111666179529985</v>
      </c>
      <c r="CV139" s="2">
        <f>1670.88700010696*(1/14151.6638359215)</f>
        <v>0.11807000360379592</v>
      </c>
      <c r="CW139" s="2">
        <f>1626.08078311961*(1/14151.6638359215)</f>
        <v>0.11490385879518217</v>
      </c>
      <c r="CX139" s="2">
        <f>1579.78381978623*(1/14151.6638359215)</f>
        <v>0.11163237327445751</v>
      </c>
      <c r="CY139" s="2">
        <f>1532.19629819904*(1/14151.6638359215)</f>
        <v>0.10826969294662231</v>
      </c>
      <c r="CZ139" s="2">
        <f>1483.51840645023*(1/14151.6638359215)</f>
        <v>0.10482996371667483</v>
      </c>
      <c r="DA139" s="2">
        <f>1433.950332632*(1/14151.6638359215)</f>
        <v>0.10132733148961398</v>
      </c>
      <c r="DB139" s="2">
        <f>1383.69226483659*(1/14151.6638359215)</f>
        <v>9.7775942170441582E-2</v>
      </c>
      <c r="DC139" s="2">
        <f>1332.94439115618*(1/14151.6638359215)</f>
        <v>9.4189941664155147E-2</v>
      </c>
      <c r="DD139" s="2">
        <f>1281.90689968298*(1/14151.6638359215)</f>
        <v>9.0583475875754327E-2</v>
      </c>
      <c r="DE139" s="2">
        <f>1230.62551036458*(1/14151.6638359215)</f>
        <v>8.695977551705647E-2</v>
      </c>
      <c r="DF139" s="2">
        <f>1177.76012482138*(1/14151.6638359215)</f>
        <v>8.3224145123617477E-2</v>
      </c>
      <c r="DG139" s="2">
        <f>1123.29858062272*(1/14151.6638359215)</f>
        <v>7.9375725260758728E-2</v>
      </c>
      <c r="DH139" s="2">
        <f>1067.67288597263*(1/14151.6638359215)</f>
        <v>7.544504295406812E-2</v>
      </c>
      <c r="DI139" s="2">
        <f>1011.3150490752*(1/14151.6638359215)</f>
        <v>7.1462625229137752E-2</v>
      </c>
      <c r="DJ139" s="2">
        <f>954.657078134479*(1/14151.6638359215)</f>
        <v>6.7458999111556797E-2</v>
      </c>
      <c r="DK139" s="2">
        <f>898.130981354512*(1/14151.6638359215)</f>
        <v>6.3464691626914219E-2</v>
      </c>
      <c r="DL139" s="2">
        <f>842.168766939357*(1/14151.6638359215)</f>
        <v>5.9510229800799841E-2</v>
      </c>
      <c r="DM139" s="2">
        <f>787.202443093057*(1/14151.6638359215)</f>
        <v>5.5626140658802441E-2</v>
      </c>
      <c r="DN139" s="2">
        <f>733.66401801969*(1/14151.6638359215)</f>
        <v>5.1842951226513272E-2</v>
      </c>
      <c r="DO139" s="2">
        <f>681.985499923298*(1/14151.6638359215)</f>
        <v>4.8191188529521048E-2</v>
      </c>
      <c r="DP139" s="2">
        <f>631.460154178555*(1/14151.6638359215)</f>
        <v>4.4620912530136905E-2</v>
      </c>
      <c r="DQ139" s="2">
        <f>580.338168039708*(1/14151.6638359215)</f>
        <v>4.1008476089336013E-2</v>
      </c>
      <c r="DR139" s="2">
        <f>529.115667069762*(1/14151.6638359215)</f>
        <v>3.7388936962076173E-2</v>
      </c>
      <c r="DS139" s="2">
        <f>478.350155267906*(1/14151.6638359215)</f>
        <v>3.3801690091994595E-2</v>
      </c>
      <c r="DT139" s="2">
        <f>428.59913663332*(1/14151.6638359215)</f>
        <v>3.0286130422727875E-2</v>
      </c>
      <c r="DU139" s="2">
        <f>380.420115165209*(1/14151.6638359215)</f>
        <v>2.6881652897914356E-2</v>
      </c>
      <c r="DV139" s="2">
        <f>334.370594862752*(1/14151.6638359215)</f>
        <v>2.3627652461190557E-2</v>
      </c>
      <c r="DW139" s="2">
        <f>291.008079725138*(1/14151.6638359215)</f>
        <v>2.0563524056193685E-2</v>
      </c>
      <c r="DX139" s="2">
        <f>250.890073751555*(1/14151.6638359215)</f>
        <v>1.7728662626560903E-2</v>
      </c>
      <c r="DY139" s="2">
        <f>214.574080941184*(1/14151.6638359215)</f>
        <v>1.5162463115928856E-2</v>
      </c>
      <c r="DZ139" s="2">
        <f>182.598729193705*(1/14151.6638359215)</f>
        <v>1.2902986624810178E-2</v>
      </c>
      <c r="EA139" s="2">
        <f>154.854602701905*(1/14151.6638359215)</f>
        <v>1.0942501496455417E-2</v>
      </c>
      <c r="EB139" s="2">
        <f>130.853593822507*(1/14151.6638359215)</f>
        <v>9.2465165467228144E-3</v>
      </c>
      <c r="EC139" s="2">
        <f>110.186887385862*(1/14151.6638359215)</f>
        <v>7.7861436410164037E-3</v>
      </c>
      <c r="ED139" s="2">
        <f>92.4456682223193*(1/14151.6638359215)</f>
        <v>6.532494644740097E-3</v>
      </c>
      <c r="EE139" s="2">
        <f>77.2211211622283*(1/14151.6638359215)</f>
        <v>5.4566814232978123E-3</v>
      </c>
      <c r="EF139" s="2">
        <f>64.1044310359452*(1/14151.6638359215)</f>
        <v>4.5298158420939462E-3</v>
      </c>
      <c r="EG139" s="2">
        <f>52.6867826738175*(1/14151.6638359215)</f>
        <v>3.7230097665322862E-3</v>
      </c>
      <c r="EH139" s="2">
        <f>42.5593609061962*(1/14151.6638359215)</f>
        <v>3.0073750620168618E-3</v>
      </c>
      <c r="EI139" s="2">
        <f>33.313350563432*(1/14151.6638359215)</f>
        <v>2.3540235939516841E-3</v>
      </c>
      <c r="EJ139" s="2">
        <f>24.5399364758739*(1/14151.6638359215)</f>
        <v>1.7340672277406425E-3</v>
      </c>
      <c r="EK139" s="2">
        <f>16.4668942788466*(1/14151.6638359215)</f>
        <v>1.1636012888497462E-3</v>
      </c>
      <c r="EL139" s="2">
        <f>10.6376483211039*(1/14151.6638359215)</f>
        <v>7.516888787382094E-4</v>
      </c>
      <c r="EM139" s="2">
        <f>6.83021815848578*(1/14151.6638359215)</f>
        <v>4.8264417793393859E-4</v>
      </c>
      <c r="EN139" s="2">
        <f>4.69201140538788*(1/14151.6638359215)</f>
        <v>3.3155192631682199E-4</v>
      </c>
      <c r="EO139" s="2">
        <f>3.87043567620581*(1/14151.6638359215)</f>
        <v>2.7349686376674609E-4</v>
      </c>
      <c r="EP139" s="2">
        <f>4.01289858533519*(1/14151.6638359215)</f>
        <v>2.8356373016359785E-4</v>
      </c>
      <c r="EQ139" s="2">
        <f>4.7668077471718*(1/14151.6638359215)</f>
        <v>3.3683726538727556E-4</v>
      </c>
      <c r="ER139" s="2">
        <f>5.77957077611092*(1/14151.6638359215)</f>
        <v>4.0840220931764225E-4</v>
      </c>
      <c r="ES139" s="2">
        <f>6.69859528654827*(1/14151.6638359215)</f>
        <v>4.7334330183459197E-4</v>
      </c>
      <c r="ET139" s="2">
        <f>7.17128889287945*(1/14151.6638359215)</f>
        <v>5.067452828180104E-4</v>
      </c>
      <c r="EU139" s="2">
        <f>6.85591092569009*(1/14151.6638359215)</f>
        <v>4.8445970771914259E-4</v>
      </c>
      <c r="EV139" s="2">
        <f>6.31261969489238*(1/14151.6638359215)</f>
        <v>4.4606908191734384E-4</v>
      </c>
      <c r="EW139" s="2">
        <f>5.99483022859962*(1/14151.6638359215)</f>
        <v>4.2361310289061572E-4</v>
      </c>
      <c r="EX139" s="2">
        <f>5.86434105176319*(1/14151.6638359215)</f>
        <v>4.1439233716657371E-4</v>
      </c>
      <c r="EY139" s="2">
        <f>5.88295068933455*(1/14151.6638359215)</f>
        <v>4.1570735127283891E-4</v>
      </c>
      <c r="EZ139" s="2">
        <f>6.0124576662652*(1/14151.6638359215)</f>
        <v>4.2485871173703532E-4</v>
      </c>
      <c r="FA139" s="2">
        <f>6.21466050750662*(1/14151.6638359215)</f>
        <v>4.3914698508678549E-4</v>
      </c>
      <c r="FB139" s="2">
        <f>6.45135773801033*(1/14151.6638359215)</f>
        <v>4.5587273784971472E-4</v>
      </c>
      <c r="FC139" s="2">
        <f>6.68434788272774*(1/14151.6638359215)</f>
        <v>4.7233653655344063E-4</v>
      </c>
      <c r="FD139" s="2">
        <f>6.87542946661035*(1/14151.6638359215)</f>
        <v>4.8583894772558735E-4</v>
      </c>
      <c r="FE139" s="2">
        <f>6.98640101460967*(1/14151.6638359215)</f>
        <v>4.9368053789377924E-4</v>
      </c>
      <c r="FF139" s="2">
        <f>7.00147270805938*(1/14151.6638359215)</f>
        <v>4.9474555000998384E-4</v>
      </c>
      <c r="FG139" s="2">
        <f>7.00368177014845*(1/14151.6638359215)</f>
        <v>4.9490164911710529E-4</v>
      </c>
      <c r="FH139" s="2">
        <f>7.00536720270529*(1/14151.6638359215)</f>
        <v>4.9502074695439004E-4</v>
      </c>
      <c r="FI139" s="2">
        <f>7.00652900572992*(1/14151.6638359215)</f>
        <v>4.951028435218397E-4</v>
      </c>
      <c r="FJ139" s="2">
        <f>7.00716717922231*(1/14151.6638359215)</f>
        <v>4.9514793881945201E-4</v>
      </c>
      <c r="FK139" s="2">
        <f>7.00728172318249*(1/14151.6638359215)</f>
        <v>4.9515603284722902E-4</v>
      </c>
      <c r="FL139" s="2">
        <f>7.00687263761044*(1/14151.6638359215)</f>
        <v>4.9512712560516954E-4</v>
      </c>
      <c r="FM139" s="2">
        <f>7.00593992250617*(1/14151.6638359215)</f>
        <v>4.9506121709327411E-4</v>
      </c>
      <c r="FN139" s="2">
        <f>7.00448357786967*(1/14151.6638359215)</f>
        <v>4.9495830731154209E-4</v>
      </c>
      <c r="FO139" s="2">
        <f>7.00250360370095*(1/14151.6638359215)</f>
        <v>4.9481839625997411E-4</v>
      </c>
      <c r="FP139" s="2">
        <f t="shared" si="19"/>
        <v>4.9464148393856954E-4</v>
      </c>
      <c r="FQ139" s="2"/>
    </row>
    <row r="140" spans="2:173">
      <c r="B140" s="2">
        <v>10.597041420118344</v>
      </c>
      <c r="C140" s="2">
        <f t="shared" si="20"/>
        <v>4.9464148393856954E-4</v>
      </c>
      <c r="D140" s="2">
        <f>7.00026755870825*(1/14151.6638359215)</f>
        <v>4.9466039045806807E-4</v>
      </c>
      <c r="E140" s="2">
        <f>7.00047915742523*(1/14151.6638359215)</f>
        <v>4.9467534267283464E-4</v>
      </c>
      <c r="F140" s="2">
        <f>7.00063479615094*(1/14151.6638359215)</f>
        <v>4.9468634058286946E-4</v>
      </c>
      <c r="G140" s="2">
        <f>7.00073447488539*(1/14151.6638359215)</f>
        <v>4.9469338418817307E-4</v>
      </c>
      <c r="H140" s="2">
        <f>7.00077819362856*(1/14151.6638359215)</f>
        <v>4.9469647348874418E-4</v>
      </c>
      <c r="I140" s="2">
        <f>7.00076595238047*(1/14151.6638359215)</f>
        <v>4.9469560848458408E-4</v>
      </c>
      <c r="J140" s="2">
        <f>7.00069775114112*(1/14151.6638359215)</f>
        <v>4.9469078917569289E-4</v>
      </c>
      <c r="K140" s="2">
        <f>7.00057358991049*(1/14151.6638359215)</f>
        <v>4.9468201556206919E-4</v>
      </c>
      <c r="L140" s="2">
        <f>7.0003934686886*(1/14151.6638359215)</f>
        <v>4.9466928764371418E-4</v>
      </c>
      <c r="M140" s="2">
        <f>7.00015738747544*(1/14151.6638359215)</f>
        <v>4.9465260542062742E-4</v>
      </c>
      <c r="N140" s="2">
        <f>6.99962335749091*(1/14151.6638359215)</f>
        <v>4.9461486922291087E-4</v>
      </c>
      <c r="O140" s="2">
        <f>6.99716287777343*(1/14151.6638359215)</f>
        <v>4.9444100417453157E-4</v>
      </c>
      <c r="P140" s="2">
        <f>6.99308561348151*(1/14151.6638359215)</f>
        <v>4.9415289216599373E-4</v>
      </c>
      <c r="Q140" s="2">
        <f>6.98814076041507*(1/14151.6638359215)</f>
        <v>4.9380347367190206E-4</v>
      </c>
      <c r="R140" s="2">
        <f>6.98307751437404*(1/14151.6638359215)</f>
        <v>4.9344568916686183E-4</v>
      </c>
      <c r="S140" s="2">
        <f>6.97864507115834*(1/14151.6638359215)</f>
        <v>4.9313247912547797E-4</v>
      </c>
      <c r="T140" s="2">
        <f>6.97559262656789*(1/14151.6638359215)</f>
        <v>4.9291678402235499E-4</v>
      </c>
      <c r="U140" s="2">
        <f>6.97466937640261*(1/14151.6638359215)</f>
        <v>4.9285154433209783E-4</v>
      </c>
      <c r="V140" s="2">
        <f>6.97662451646243*(1/14151.6638359215)</f>
        <v>4.9298970052931163E-4</v>
      </c>
      <c r="W140" s="2">
        <f>6.98220724254727*(1/14151.6638359215)</f>
        <v>4.9338419308860135E-4</v>
      </c>
      <c r="X140" s="2">
        <f>6.99216675045704*(1/14151.6638359215)</f>
        <v>4.9408796248457082E-4</v>
      </c>
      <c r="Y140" s="2">
        <f>6.82273873876195*(1/14151.6638359215)</f>
        <v>4.8211565918091073E-4</v>
      </c>
      <c r="Z140" s="2">
        <f>6.26745844540285*(1/14151.6638359215)</f>
        <v>4.4287784942248373E-4</v>
      </c>
      <c r="AA140" s="2">
        <f>5.47055409858068*(1/14151.6638359215)</f>
        <v>3.8656614246973878E-4</v>
      </c>
      <c r="AB140" s="2">
        <f>4.58040395876167*(1/14151.6638359215)</f>
        <v>3.2366540159999582E-4</v>
      </c>
      <c r="AC140" s="2">
        <f>3.7453862864121*(1/14151.6638359215)</f>
        <v>2.6466049009057848E-4</v>
      </c>
      <c r="AD140" s="2">
        <f>3.11387934199813*(1/14151.6638359215)</f>
        <v>2.2003627121880165E-4</v>
      </c>
      <c r="AE140" s="2">
        <f>2.83426138598628*(1/14151.6638359215)</f>
        <v>2.0027760826200577E-4</v>
      </c>
      <c r="AF140" s="2">
        <f>3.05491067884265*(1/14151.6638359215)</f>
        <v>2.1586936449750162E-4</v>
      </c>
      <c r="AG140" s="2">
        <f>3.92420548103352*(1/14151.6638359215)</f>
        <v>2.7729640320261264E-4</v>
      </c>
      <c r="AH140" s="2">
        <f>5.59052405302513*(1/14151.6638359215)</f>
        <v>3.9504358765465956E-4</v>
      </c>
      <c r="AI140" s="2">
        <f>8.0478678120932*(1/14151.6638359215)</f>
        <v>5.6868703958788994E-4</v>
      </c>
      <c r="AJ140" s="2">
        <f>9.36241762785465*(1/14151.6638359215)</f>
        <v>6.6157716409923528E-4</v>
      </c>
      <c r="AK140" s="2">
        <f>9.50611528815865*(1/14151.6638359215)</f>
        <v>6.7173128180370251E-4</v>
      </c>
      <c r="AL140" s="2">
        <f>9.24689246745205*(1/14151.6638359215)</f>
        <v>6.5341380170298041E-4</v>
      </c>
      <c r="AM140" s="2">
        <f>9.3526808401817*(1/14151.6638359215)</f>
        <v>6.6088913279875768E-4</v>
      </c>
      <c r="AN140" s="2">
        <f>10.5914120807944*(1/14151.6638359215)</f>
        <v>7.484216840927193E-4</v>
      </c>
      <c r="AO140" s="2">
        <f>13.7310178637371*(1/14151.6638359215)</f>
        <v>9.7027586458656081E-4</v>
      </c>
      <c r="AP140" s="2">
        <f>19.539429863458*(1/14151.6638359215)</f>
        <v>1.3807160832820667E-3</v>
      </c>
      <c r="AQ140" s="2">
        <f>28.7845797544018*(1/14151.6638359215)</f>
        <v>2.0340067491807731E-3</v>
      </c>
      <c r="AR140" s="2">
        <f>42.2343992110163*(1/14151.6638359215)</f>
        <v>2.9844122712844364E-3</v>
      </c>
      <c r="AS140" s="2">
        <f>60.6568199077483*(1/14151.6638359215)</f>
        <v>4.2861970585947413E-3</v>
      </c>
      <c r="AT140" s="2">
        <f>84.0005381366883*(1/14151.6638359215)</f>
        <v>5.9357358336528439E-3</v>
      </c>
      <c r="AU140" s="2">
        <f>110.641612690012*(1/14151.6638359215)</f>
        <v>7.8182759266205715E-3</v>
      </c>
      <c r="AV140" s="2">
        <f>140.502188623201*(1/14151.6638359215)</f>
        <v>9.9283158681709918E-3</v>
      </c>
      <c r="AW140" s="2">
        <f>173.587492298345*(1/14151.6638359215)</f>
        <v>1.2266224969089769E-2</v>
      </c>
      <c r="AX140" s="2">
        <f>209.902750077527*(1/14151.6638359215)</f>
        <v>1.4832372540162094E-2</v>
      </c>
      <c r="AY140" s="2">
        <f>249.453188322831*(1/14151.6638359215)</f>
        <v>1.7627127892173227E-2</v>
      </c>
      <c r="AZ140" s="2">
        <f>292.244033396342*(1/14151.6638359215)</f>
        <v>2.0650860335908496E-2</v>
      </c>
      <c r="BA140" s="2">
        <f>338.280511660151*(1/14151.6638359215)</f>
        <v>2.3903939182153666E-2</v>
      </c>
      <c r="BB140" s="2">
        <f>387.567849476326*(1/14151.6638359215)</f>
        <v>2.7386733741692863E-2</v>
      </c>
      <c r="BC140" s="2">
        <f>440.111273206959*(1/14151.6638359215)</f>
        <v>3.1099613325311918E-2</v>
      </c>
      <c r="BD140" s="2">
        <f>495.997759862248*(1/14151.6638359215)</f>
        <v>3.5048723995495516E-2</v>
      </c>
      <c r="BE140" s="2">
        <f>557.947833399415*(1/14151.6638359215)</f>
        <v>3.9426306324713771E-2</v>
      </c>
      <c r="BF140" s="2">
        <f>626.295524178199*(1/14151.6638359215)</f>
        <v>4.42559639233698E-2</v>
      </c>
      <c r="BG140" s="2">
        <f>699.690635186162*(1/14151.6638359215)</f>
        <v>4.9442287726629071E-2</v>
      </c>
      <c r="BH140" s="2">
        <f>776.782969410827*(1/14151.6638359215)</f>
        <v>5.4889868669654278E-2</v>
      </c>
      <c r="BI140" s="2">
        <f>856.222329839756*(1/14151.6638359215)</f>
        <v>6.0503297687610889E-2</v>
      </c>
      <c r="BJ140" s="2">
        <f>936.658519460497*(1/14151.6638359215)</f>
        <v>6.6187165715663396E-2</v>
      </c>
      <c r="BK140" s="2">
        <f>1016.7413412606*(1/14151.6638359215)</f>
        <v>7.1846063688976392E-2</v>
      </c>
      <c r="BL140" s="2">
        <f>1095.12059822762*(1/14151.6638359215)</f>
        <v>7.7384582542714853E-2</v>
      </c>
      <c r="BM140" s="2">
        <f>1170.4460933491*(1/14151.6638359215)</f>
        <v>8.2707313212042902E-2</v>
      </c>
      <c r="BN140" s="2">
        <f>1241.36762961258*(1/14151.6638359215)</f>
        <v>8.7718846632124453E-2</v>
      </c>
      <c r="BO140" s="2">
        <f>1308.19409348972*(1/14151.6638359215)</f>
        <v>9.2441009669060978E-2</v>
      </c>
      <c r="BP140" s="2">
        <f>1375.9480479578*(1/14151.6638359215)</f>
        <v>9.7228712037746329E-2</v>
      </c>
      <c r="BQ140" s="2">
        <f>1444.17524821001*(1/14151.6638359215)</f>
        <v>0.10204985540599305</v>
      </c>
      <c r="BR140" s="2">
        <f>1511.83134775693*(1/14151.6638359215)</f>
        <v>0.10683064304561934</v>
      </c>
      <c r="BS140" s="2">
        <f>1577.87200010908*(1/14151.6638359215)</f>
        <v>0.11149727822843916</v>
      </c>
      <c r="BT140" s="2">
        <f>1641.25285877702*(1/14151.6638359215)</f>
        <v>0.11597596422626924</v>
      </c>
      <c r="BU140" s="2">
        <f>1700.92957727131*(1/14151.6638359215)</f>
        <v>0.12019290431092637</v>
      </c>
      <c r="BV140" s="2">
        <f>1755.8578091025*(1/14151.6638359215)</f>
        <v>0.1240743017542266</v>
      </c>
      <c r="BW140" s="2">
        <f>1804.99320778114*(1/14151.6638359215)</f>
        <v>0.12754635982798598</v>
      </c>
      <c r="BX140" s="2">
        <f>1847.29142681779*(1/14151.6638359215)</f>
        <v>0.1305352818040213</v>
      </c>
      <c r="BY140" s="2">
        <f>1881.71156963524*(1/14151.6638359215)</f>
        <v>0.13296751473553572</v>
      </c>
      <c r="BZ140" s="2">
        <f>1908.49633890058*(1/14151.6638359215)</f>
        <v>0.13486020873787286</v>
      </c>
      <c r="CA140" s="2">
        <f>1928.74021578641*(1/14151.6638359215)</f>
        <v>0.13629070320979811</v>
      </c>
      <c r="CB140" s="2">
        <f>1942.99530660289*(1/14151.6638359215)</f>
        <v>0.13729801167767564</v>
      </c>
      <c r="CC140" s="2">
        <f>1951.81371766017*(1/14151.6638359215)</f>
        <v>0.13792114766786895</v>
      </c>
      <c r="CD140" s="2">
        <f>1955.74755526841*(1/14151.6638359215)</f>
        <v>0.13819912470674228</v>
      </c>
      <c r="CE140" s="2">
        <f>1955.34892573779*(1/14151.6638359215)</f>
        <v>0.13817095632066118</v>
      </c>
      <c r="CF140" s="2">
        <f>1951.16993537846*(1/14151.6638359215)</f>
        <v>0.1378756560359892</v>
      </c>
      <c r="CG140" s="2">
        <f>1943.76269050059*(1/14151.6638359215)</f>
        <v>0.13735223737909119</v>
      </c>
      <c r="CH140" s="2">
        <f>1933.67929741433*(1/14151.6638359215)</f>
        <v>0.13663971387633067</v>
      </c>
      <c r="CI140" s="2">
        <f>1921.47186242985*(1/14151.6638359215)</f>
        <v>0.13577709905407256</v>
      </c>
      <c r="CJ140" s="2">
        <f>1907.20104380858*(1/14151.6638359215)</f>
        <v>0.13476867921123784</v>
      </c>
      <c r="CK140" s="2">
        <f>1888.47516046402*(1/14151.6638359215)</f>
        <v>0.13344545082186446</v>
      </c>
      <c r="CL140" s="2">
        <f>1865.36739516877*(1/14151.6638359215)</f>
        <v>0.13181258520527206</v>
      </c>
      <c r="CM140" s="2">
        <f>1838.44292328812*(1/14151.6638359215)</f>
        <v>0.12991001938737107</v>
      </c>
      <c r="CN140" s="2">
        <f>1808.26692018735*(1/14151.6638359215)</f>
        <v>0.12777769039407111</v>
      </c>
      <c r="CO140" s="2">
        <f>1775.40456123175*(1/14151.6638359215)</f>
        <v>0.12545553525128253</v>
      </c>
      <c r="CP140" s="2">
        <f>1740.42102178659*(1/14151.6638359215)</f>
        <v>0.12298349098491435</v>
      </c>
      <c r="CQ140" s="2">
        <f>1703.8814772172*(1/14151.6638359215)</f>
        <v>0.12040149462087968</v>
      </c>
      <c r="CR140" s="2">
        <f>1666.35110288883*(1/14151.6638359215)</f>
        <v>0.11774948318508612</v>
      </c>
      <c r="CS140" s="2">
        <f>1628.39507416678*(1/14151.6638359215)</f>
        <v>0.11506739370344472</v>
      </c>
      <c r="CT140" s="2">
        <f>1590.57856641635*(1/14151.6638359215)</f>
        <v>0.11239516320186657</v>
      </c>
      <c r="CU140" s="2">
        <f>1552.27116757366*(1/14151.6638359215)</f>
        <v>0.10968824482909874</v>
      </c>
      <c r="CV140" s="2">
        <f>1512.27278388989*(1/14151.6638359215)</f>
        <v>0.10686183627760099</v>
      </c>
      <c r="CW140" s="2">
        <f>1470.75106989541*(1/14151.6638359215)</f>
        <v>0.10392778453104348</v>
      </c>
      <c r="CX140" s="2">
        <f>1427.87873833293*(1/14151.6638359215)</f>
        <v>0.10089829400190471</v>
      </c>
      <c r="CY140" s="2">
        <f>1383.82850194521*(1/14151.6638359215)</f>
        <v>9.7785569102666628E-2</v>
      </c>
      <c r="CZ140" s="2">
        <f>1338.77307347497*(1/14151.6638359215)</f>
        <v>9.4601814245808394E-2</v>
      </c>
      <c r="DA140" s="2">
        <f>1292.88516566495*(1/14151.6638359215)</f>
        <v>9.1359233843810589E-2</v>
      </c>
      <c r="DB140" s="2">
        <f>1246.3374912579*(1/14151.6638359215)</f>
        <v>8.8070032309154514E-2</v>
      </c>
      <c r="DC140" s="2">
        <f>1199.30276299654*(1/14151.6638359215)</f>
        <v>8.4746414054319305E-2</v>
      </c>
      <c r="DD140" s="2">
        <f>1151.95369362362*(1/14151.6638359215)</f>
        <v>8.1400583491786235E-2</v>
      </c>
      <c r="DE140" s="2">
        <f>1104.31149801925*(1/14151.6638359215)</f>
        <v>7.803403973009522E-2</v>
      </c>
      <c r="DF140" s="2">
        <f>1055.05365808169*(1/14151.6638359215)</f>
        <v>7.4553329581191902E-2</v>
      </c>
      <c r="DG140" s="2">
        <f>1004.19042096968*(1/14151.6638359215)</f>
        <v>7.0959177140762761E-2</v>
      </c>
      <c r="DH140" s="2">
        <f>952.170853007779*(1/14151.6638359215)</f>
        <v>6.7283314813545908E-2</v>
      </c>
      <c r="DI140" s="2">
        <f>899.444020520549*(1/14151.6638359215)</f>
        <v>6.3557475004279648E-2</v>
      </c>
      <c r="DJ140" s="2">
        <f>846.458989832537*(1/14151.6638359215)</f>
        <v>5.9813390117701239E-2</v>
      </c>
      <c r="DK140" s="2">
        <f>793.664827268297*(1/14151.6638359215)</f>
        <v>5.6082792558548415E-2</v>
      </c>
      <c r="DL140" s="2">
        <f>741.510599152384*(1/14151.6638359215)</f>
        <v>5.2397414731559004E-2</v>
      </c>
      <c r="DM140" s="2">
        <f>690.445371809342*(1/14151.6638359215)</f>
        <v>4.8788989041470041E-2</v>
      </c>
      <c r="DN140" s="2">
        <f>640.918211563744*(1/14151.6638359215)</f>
        <v>4.5289247893020627E-2</v>
      </c>
      <c r="DO140" s="2">
        <f>593.378184740136*(1/14151.6638359215)</f>
        <v>4.1929923690947939E-2</v>
      </c>
      <c r="DP140" s="2">
        <f>547.191764989264*(1/14151.6638359215)</f>
        <v>3.8666249519036369E-2</v>
      </c>
      <c r="DQ140" s="2">
        <f>500.688274197225*(1/14151.6638359215)</f>
        <v>3.5380170134222393E-2</v>
      </c>
      <c r="DR140" s="2">
        <f>454.29510821555*(1/14151.6638359215)</f>
        <v>3.2101886639110386E-2</v>
      </c>
      <c r="DS140" s="2">
        <f>408.497527837018*(1/14151.6638359215)</f>
        <v>2.886568905064853E-2</v>
      </c>
      <c r="DT140" s="2">
        <f>363.780793854402*(1/14151.6638359215)</f>
        <v>2.5705867385784613E-2</v>
      </c>
      <c r="DU140" s="2">
        <f>320.630167060498*(1/14151.6638359215)</f>
        <v>2.2656711661468029E-2</v>
      </c>
      <c r="DV140" s="2">
        <f>279.530908248075*(1/14151.6638359215)</f>
        <v>1.9752511894646278E-2</v>
      </c>
      <c r="DW140" s="2">
        <f>240.968278209915*(1/14151.6638359215)</f>
        <v>1.7027558102267776E-2</v>
      </c>
      <c r="DX140" s="2">
        <f>205.427537738796*(1/14151.6638359215)</f>
        <v>1.451614030128065E-2</v>
      </c>
      <c r="DY140" s="2">
        <f>173.393947627492*(1/14151.6638359215)</f>
        <v>1.2252548508632751E-2</v>
      </c>
      <c r="DZ140" s="2">
        <f>145.343409748025*(1/14151.6638359215)</f>
        <v>1.0270411411207806E-2</v>
      </c>
      <c r="EA140" s="2">
        <f>121.319109902549*(1/14151.6638359215)</f>
        <v>8.5727806503290357E-3</v>
      </c>
      <c r="EB140" s="2">
        <f>100.900176603723*(1/14151.6638359215)</f>
        <v>7.1299161549898968E-3</v>
      </c>
      <c r="EC140" s="2">
        <f>83.6649443070135*(1/14151.6638359215)</f>
        <v>5.9120217436655622E-3</v>
      </c>
      <c r="ED140" s="2">
        <f>69.191747467889*(1/14151.6638359215)</f>
        <v>4.8893012348313397E-3</v>
      </c>
      <c r="EE140" s="2">
        <f>57.0589205418148*(1/14151.6638359215)</f>
        <v>4.0319584469623148E-3</v>
      </c>
      <c r="EF140" s="2">
        <f>46.844797984263*(1/14151.6638359215)</f>
        <v>3.310197198534052E-3</v>
      </c>
      <c r="EG140" s="2">
        <f>38.1277142506986*(1/14151.6638359215)</f>
        <v>2.6942213080216144E-3</v>
      </c>
      <c r="EH140" s="2">
        <f>30.4860037965893*(1/14151.6638359215)</f>
        <v>2.1542345939002568E-3</v>
      </c>
      <c r="EI140" s="2">
        <f>23.4980010774026*(1/14151.6638359215)</f>
        <v>1.6604408746452182E-3</v>
      </c>
      <c r="EJ140" s="2">
        <f>16.7420405486048*(1/14151.6638359215)</f>
        <v>1.1830439687316543E-3</v>
      </c>
      <c r="EK140" s="2">
        <f>10.4122325793955*(1/14151.6638359215)</f>
        <v>7.357603105979585E-4</v>
      </c>
      <c r="EL140" s="2">
        <f>6.00193671306529*(1/14151.6638359215)</f>
        <v>4.2411526889371364E-4</v>
      </c>
      <c r="EM140" s="2">
        <f>3.32538597998648*(1/14151.6638359215)</f>
        <v>2.3498197940128953E-4</v>
      </c>
      <c r="EN140" s="2">
        <f>2.0713849990579*(1/14151.6638359215)</f>
        <v>1.4637042139172744E-4</v>
      </c>
      <c r="EO140" s="2">
        <f>1.92873838917845*(1/14151.6638359215)</f>
        <v>1.3629057413607355E-4</v>
      </c>
      <c r="EP140" s="2">
        <f>2.58625076924699*(1/14151.6638359215)</f>
        <v>1.8275241690537115E-4</v>
      </c>
      <c r="EQ140" s="2">
        <f>3.73272675816264*(1/14151.6638359215)</f>
        <v>2.6376592897068207E-4</v>
      </c>
      <c r="ER140" s="2">
        <f>5.05697097482378*(1/14151.6638359215)</f>
        <v>3.5734108960301555E-4</v>
      </c>
      <c r="ES140" s="2">
        <f>6.24778803812949*(1/14151.6638359215)</f>
        <v>4.4148787807343071E-4</v>
      </c>
      <c r="ET140" s="2">
        <f>6.99398256697862*(1/14151.6638359215)</f>
        <v>4.9421627365297009E-4</v>
      </c>
      <c r="EU140" s="2">
        <f>6.99353929639205*(1/14151.6638359215)</f>
        <v>4.9418495079286615E-4</v>
      </c>
      <c r="EV140" s="2">
        <f>6.71292763747283*(1/14151.6638359215)</f>
        <v>4.7435606973882804E-4</v>
      </c>
      <c r="EW140" s="2">
        <f>6.54560840675667*(1/14151.6638359215)</f>
        <v>4.6253277937127074E-4</v>
      </c>
      <c r="EX140" s="2">
        <f>6.47249044684639*(1/14151.6638359215)</f>
        <v>4.5736603991518765E-4</v>
      </c>
      <c r="EY140" s="2">
        <f>6.47448260034488*(1/14151.6638359215)</f>
        <v>4.5750681159557714E-4</v>
      </c>
      <c r="EZ140" s="2">
        <f>6.53249370985502*(1/14151.6638359215)</f>
        <v>4.6160605463743692E-4</v>
      </c>
      <c r="FA140" s="2">
        <f>6.62743261797969*(1/14151.6638359215)</f>
        <v>4.6831472926576469E-4</v>
      </c>
      <c r="FB140" s="2">
        <f>6.74020816732179*(1/14151.6638359215)</f>
        <v>4.7628379570555953E-4</v>
      </c>
      <c r="FC140" s="2">
        <f>6.85172920048416*(1/14151.6638359215)</f>
        <v>4.841642141818162E-4</v>
      </c>
      <c r="FD140" s="2">
        <f>6.9429045600697*(1/14151.6638359215)</f>
        <v>4.9060694491953399E-4</v>
      </c>
      <c r="FE140" s="2">
        <f>6.99464308868129*(1/14151.6638359215)</f>
        <v>4.9426294814371044E-4</v>
      </c>
      <c r="FF140" s="2">
        <f>6.99905383674048*(1/14151.6638359215)</f>
        <v>4.9457462513875002E-4</v>
      </c>
      <c r="FG140" s="2">
        <f>6.99763459185121*(1/14151.6638359215)</f>
        <v>4.9447433693902134E-4</v>
      </c>
      <c r="FH140" s="2">
        <f>6.99655176056532*(1/14151.6638359215)</f>
        <v>4.9439782075700591E-4</v>
      </c>
      <c r="FI140" s="2">
        <f>6.99580534288281*(1/14151.6638359215)</f>
        <v>4.9434507659270373E-4</v>
      </c>
      <c r="FJ140" s="2">
        <f>6.99539533880368*(1/14151.6638359215)</f>
        <v>4.9431610444611491E-4</v>
      </c>
      <c r="FK140" s="2">
        <f>6.99532174832794*(1/14151.6638359215)</f>
        <v>4.943109043172401E-4</v>
      </c>
      <c r="FL140" s="2">
        <f>6.99558457145559*(1/14151.6638359215)</f>
        <v>4.9432947620607929E-4</v>
      </c>
      <c r="FM140" s="2">
        <f>6.99618380818661*(1/14151.6638359215)</f>
        <v>4.9437182011263109E-4</v>
      </c>
      <c r="FN140" s="2">
        <f>6.99711945852103*(1/14151.6638359215)</f>
        <v>4.9443793603689743E-4</v>
      </c>
      <c r="FO140" s="2">
        <f>6.99839152245882*(1/14151.6638359215)</f>
        <v>4.9452782397887648E-4</v>
      </c>
      <c r="FP140" s="2">
        <f t="shared" si="19"/>
        <v>4.9464148393856954E-4</v>
      </c>
      <c r="FQ140" s="2"/>
    </row>
    <row r="141" spans="2:173">
      <c r="B141" s="2">
        <v>10.606508875739646</v>
      </c>
      <c r="C141" s="2">
        <f t="shared" si="20"/>
        <v>4.9464148393856954E-4</v>
      </c>
      <c r="D141" s="2">
        <f t="shared" si="20"/>
        <v>4.9464148393856954E-4</v>
      </c>
      <c r="E141" s="2">
        <f t="shared" si="20"/>
        <v>4.9464148393856954E-4</v>
      </c>
      <c r="F141" s="2">
        <f t="shared" si="20"/>
        <v>4.9464148393856954E-4</v>
      </c>
      <c r="G141" s="2">
        <f t="shared" si="20"/>
        <v>4.9464148393856954E-4</v>
      </c>
      <c r="H141" s="2">
        <f t="shared" si="20"/>
        <v>4.9464148393856954E-4</v>
      </c>
      <c r="I141" s="2">
        <f t="shared" si="20"/>
        <v>4.9464148393856954E-4</v>
      </c>
      <c r="J141" s="2">
        <f t="shared" si="20"/>
        <v>4.9464148393856954E-4</v>
      </c>
      <c r="K141" s="2">
        <f t="shared" si="20"/>
        <v>4.9464148393856954E-4</v>
      </c>
      <c r="L141" s="2">
        <f t="shared" si="20"/>
        <v>4.9464148393856954E-4</v>
      </c>
      <c r="M141" s="2">
        <f t="shared" si="20"/>
        <v>4.9464148393856954E-4</v>
      </c>
      <c r="N141" s="2">
        <f>7.00061984572256*(1/14151.6638359215)</f>
        <v>4.9468528413971525E-4</v>
      </c>
      <c r="O141" s="2">
        <f>7.00603088492519*(1/14151.6638359215)</f>
        <v>4.9506764477697798E-4</v>
      </c>
      <c r="P141" s="2">
        <f>7.01543992122974*(1/14151.6638359215)</f>
        <v>4.9573251615985144E-4</v>
      </c>
      <c r="Q141" s="2">
        <f>7.0269279160273*(1/14151.6638359215)</f>
        <v>4.9654429313044333E-4</v>
      </c>
      <c r="R141" s="2">
        <f>7.03857583070893*(1/14151.6638359215)</f>
        <v>4.9736737053085933E-4</v>
      </c>
      <c r="S141" s="2">
        <f>7.04846462666571*(1/14151.6638359215)</f>
        <v>4.9806614320320605E-4</v>
      </c>
      <c r="T141" s="2">
        <f>7.05467526528873*(1/14151.6638359215)</f>
        <v>4.9850500598959131E-4</v>
      </c>
      <c r="U141" s="2">
        <f>7.05528870796906*(1/14151.6638359215)</f>
        <v>4.9854835373212131E-4</v>
      </c>
      <c r="V141" s="2">
        <f>7.04838591609777*(1/14151.6638359215)</f>
        <v>4.9806058127290214E-4</v>
      </c>
      <c r="W141" s="2">
        <f>7.03204785106595*(1/14151.6638359215)</f>
        <v>4.969060834540415E-4</v>
      </c>
      <c r="X141" s="2">
        <f>7.00435547426466*(1/14151.6638359215)</f>
        <v>4.9494925511764495E-4</v>
      </c>
      <c r="Y141" s="2">
        <f>6.8457823038148*(1/14151.6638359215)</f>
        <v>4.8374398821133597E-4</v>
      </c>
      <c r="Z141" s="2">
        <f>6.42539491361725*(1/14151.6638359215)</f>
        <v>4.5403812499471052E-4</v>
      </c>
      <c r="AA141" s="2">
        <f>5.83793912451783*(1/14151.6638359215)</f>
        <v>4.1252669595636185E-4</v>
      </c>
      <c r="AB141" s="2">
        <f>5.18081956464797*(1/14151.6638359215)</f>
        <v>3.6609261106792081E-4</v>
      </c>
      <c r="AC141" s="2">
        <f>4.55144086213907*(1/14151.6638359215)</f>
        <v>3.2161878030101599E-4</v>
      </c>
      <c r="AD141" s="2">
        <f>4.04720764512248*(1/14151.6638359215)</f>
        <v>2.8598811362727245E-4</v>
      </c>
      <c r="AE141" s="2">
        <f>3.76552454172982*(1/14151.6638359215)</f>
        <v>2.6608352101833435E-4</v>
      </c>
      <c r="AF141" s="2">
        <f>3.80379618009238*(1/14151.6638359215)</f>
        <v>2.6878791244582244E-4</v>
      </c>
      <c r="AG141" s="2">
        <f>4.25942718834161*(1/14151.6638359215)</f>
        <v>3.0098419788136902E-4</v>
      </c>
      <c r="AH141" s="2">
        <f>5.22982219460889*(1/14151.6638359215)</f>
        <v>3.6955528729660115E-4</v>
      </c>
      <c r="AI141" s="2">
        <f>6.67400785689692*(1/14151.6638359215)</f>
        <v>4.7160587859330927E-4</v>
      </c>
      <c r="AJ141" s="2">
        <f>6.84404363775458*(1/14151.6638359215)</f>
        <v>4.8362112873132161E-4</v>
      </c>
      <c r="AK141" s="2">
        <f>5.74676680509286*(1/14151.6638359215)</f>
        <v>4.0608418004572065E-4</v>
      </c>
      <c r="AL141" s="2">
        <f>4.10829122757437*(1/14151.6638359215)</f>
        <v>2.9030446703702772E-4</v>
      </c>
      <c r="AM141" s="2">
        <f>2.6547307738617*(1/14151.6638359215)</f>
        <v>1.8759142420576261E-4</v>
      </c>
      <c r="AN141" s="2">
        <f>2.11219931261748*(1/14151.6638359215)</f>
        <v>1.492544860524481E-4</v>
      </c>
      <c r="AO141" s="2">
        <f>3.20681071250427*(1/14151.6638359215)</f>
        <v>2.2660308707760196E-4</v>
      </c>
      <c r="AP141" s="2">
        <f>6.66467884218562*(1/14151.6638359215)</f>
        <v>4.7094666178181183E-4</v>
      </c>
      <c r="AQ141" s="2">
        <f>13.2119175703229*(1/14151.6638359215)</f>
        <v>9.3359464466551134E-4</v>
      </c>
      <c r="AR141" s="2">
        <f>23.5746407655792*(1/14151.6638359215)</f>
        <v>1.6658564702292558E-3</v>
      </c>
      <c r="AS141" s="2">
        <f>38.4789622966171*(1/14151.6638359215)</f>
        <v>2.7190415729735642E-3</v>
      </c>
      <c r="AT141" s="2">
        <f>57.8020973349106*(1/14151.6638359215)</f>
        <v>4.0844736000716876E-3</v>
      </c>
      <c r="AU141" s="2">
        <f>79.8681870322543*(1/14151.6638359215)</f>
        <v>5.6437312218739263E-3</v>
      </c>
      <c r="AV141" s="2">
        <f>104.675262645136*(1/14151.6638359215)</f>
        <v>7.3966753209213695E-3</v>
      </c>
      <c r="AW141" s="2">
        <f>132.309006343998*(1/14151.6638359215)</f>
        <v>9.3493604623475397E-3</v>
      </c>
      <c r="AX141" s="2">
        <f>162.85510029928*(1/14151.6638359215)</f>
        <v>1.1507841211285777E-2</v>
      </c>
      <c r="AY141" s="2">
        <f>196.399226681418*(1/14151.6638359215)</f>
        <v>1.3878172132869158E-2</v>
      </c>
      <c r="AZ141" s="2">
        <f>233.027067660852*(1/14151.6638359215)</f>
        <v>1.646640779223104E-2</v>
      </c>
      <c r="BA141" s="2">
        <f>272.824305408027*(1/14151.6638359215)</f>
        <v>1.9278602754505138E-2</v>
      </c>
      <c r="BB141" s="2">
        <f>315.876622093368*(1/14151.6638359215)</f>
        <v>2.2320811584823755E-2</v>
      </c>
      <c r="BC141" s="2">
        <f>362.269699887319*(1/14151.6638359215)</f>
        <v>2.5599088848320531E-2</v>
      </c>
      <c r="BD141" s="2">
        <f>412.158684732089*(1/14151.6638359215)</f>
        <v>2.9124397633435651E-2</v>
      </c>
      <c r="BE141" s="2">
        <f>467.897577550106*(1/14151.6638359215)</f>
        <v>3.3063078870092334E-2</v>
      </c>
      <c r="BF141" s="2">
        <f>529.704227600238*(1/14151.6638359215)</f>
        <v>3.7430526455530792E-2</v>
      </c>
      <c r="BG141" s="2">
        <f>596.347190669069*(1/14151.6638359215)</f>
        <v>4.2139722762163628E-2</v>
      </c>
      <c r="BH141" s="2">
        <f>666.595022543142*(1/14151.6638359215)</f>
        <v>4.7103650162400569E-2</v>
      </c>
      <c r="BI141" s="2">
        <f>739.216279009041*(1/14151.6638359215)</f>
        <v>5.2235291028654249E-2</v>
      </c>
      <c r="BJ141" s="2">
        <f>812.979515853334*(1/14151.6638359215)</f>
        <v>5.7447627733336136E-2</v>
      </c>
      <c r="BK141" s="2">
        <f>886.653288862593*(1/14151.6638359215)</f>
        <v>6.2653642648858018E-2</v>
      </c>
      <c r="BL141" s="2">
        <f>959.006153823386*(1/14151.6638359215)</f>
        <v>6.7766318147631385E-2</v>
      </c>
      <c r="BM141" s="2">
        <f>1028.8066665223*(1/14151.6638359215)</f>
        <v>7.2698636602069072E-2</v>
      </c>
      <c r="BN141" s="2">
        <f>1094.82338274587*(1/14151.6638359215)</f>
        <v>7.7363580384580244E-2</v>
      </c>
      <c r="BO141" s="2">
        <f>1157.42741884653*(1/14151.6638359215)</f>
        <v>8.1787373715633688E-2</v>
      </c>
      <c r="BP141" s="2">
        <f>1221.47491299073*(1/14151.6638359215)</f>
        <v>8.6313166222209969E-2</v>
      </c>
      <c r="BQ141" s="2">
        <f>1286.44881610968*(1/14151.6638359215)</f>
        <v>9.0904421630215435E-2</v>
      </c>
      <c r="BR141" s="2">
        <f>1351.25845669108*(1/14151.6638359215)</f>
        <v>9.5484069743173874E-2</v>
      </c>
      <c r="BS141" s="2">
        <f>1414.8131632226*(1/14151.6638359215)</f>
        <v>9.9975040364606929E-2</v>
      </c>
      <c r="BT141" s="2">
        <f>1476.02226419194*(1/14151.6638359215)</f>
        <v>0.10430026329803836</v>
      </c>
      <c r="BU141" s="2">
        <f>1533.79508808677*(1/14151.6638359215)</f>
        <v>0.10838266834698984</v>
      </c>
      <c r="BV141" s="2">
        <f>1587.04096339481*(1/14151.6638359215)</f>
        <v>0.11214518531498655</v>
      </c>
      <c r="BW141" s="2">
        <f>1634.66921860372*(1/14151.6638359215)</f>
        <v>0.11551074400554943</v>
      </c>
      <c r="BX141" s="2">
        <f>1675.5891822012*(1/14151.6638359215)</f>
        <v>0.11840227422220224</v>
      </c>
      <c r="BY141" s="2">
        <f>1708.71394952293*(1/14151.6638359215)</f>
        <v>0.12074297194550802</v>
      </c>
      <c r="BZ141" s="2">
        <f>1734.33935452317*(1/14151.6638359215)</f>
        <v>0.12255374171062881</v>
      </c>
      <c r="CA141" s="2">
        <f>1753.62484116842*(1/14151.6638359215)</f>
        <v>0.12391651338672652</v>
      </c>
      <c r="CB141" s="2">
        <f>1767.12302910807*(1/14151.6638359215)</f>
        <v>0.12487033677429084</v>
      </c>
      <c r="CC141" s="2">
        <f>1775.38653799148*(1/14151.6638359215)</f>
        <v>0.12545426167380933</v>
      </c>
      <c r="CD141" s="2">
        <f>1778.96798746804*(1/14151.6638359215)</f>
        <v>0.12570733788577171</v>
      </c>
      <c r="CE141" s="2">
        <f>1778.4199971871*(1/14151.6638359215)</f>
        <v>0.12566861521066483</v>
      </c>
      <c r="CF141" s="2">
        <f>1774.29518679807*(1/14151.6638359215)</f>
        <v>0.12537714344897982</v>
      </c>
      <c r="CG141" s="2">
        <f>1767.14617595029*(1/14151.6638359215)</f>
        <v>0.12487197240120285</v>
      </c>
      <c r="CH141" s="2">
        <f>1757.52558429318*(1/14151.6638359215)</f>
        <v>0.12419215186782571</v>
      </c>
      <c r="CI141" s="2">
        <f>1745.98603147607*(1/14151.6638359215)</f>
        <v>0.1233767316493339</v>
      </c>
      <c r="CJ141" s="2">
        <f>1732.59770008759*(1/14151.6638359215)</f>
        <v>0.12243067106283975</v>
      </c>
      <c r="CK141" s="2">
        <f>1715.01502465591*(1/14151.6638359215)</f>
        <v>0.12118822525324884</v>
      </c>
      <c r="CL141" s="2">
        <f>1693.29908294729*(1/14151.6638359215)</f>
        <v>0.11965371016298092</v>
      </c>
      <c r="CM141" s="2">
        <f>1667.99299392694*(1/14151.6638359215)</f>
        <v>0.11786550424502272</v>
      </c>
      <c r="CN141" s="2">
        <f>1639.63987656006*(1/14151.6638359215)</f>
        <v>0.11586198595236015</v>
      </c>
      <c r="CO141" s="2">
        <f>1608.78284981184*(1/14151.6638359215)</f>
        <v>0.11368153373797849</v>
      </c>
      <c r="CP141" s="2">
        <f>1575.96503264747*(1/14151.6638359215)</f>
        <v>0.11136252605486296</v>
      </c>
      <c r="CQ141" s="2">
        <f>1541.72954403218*(1/14151.6638359215)</f>
        <v>0.10894334135600167</v>
      </c>
      <c r="CR141" s="2">
        <f>1506.61950293115*(1/14151.6638359215)</f>
        <v>0.10646235809437915</v>
      </c>
      <c r="CS141" s="2">
        <f>1471.17802830959*(1/14151.6638359215)</f>
        <v>0.10395795472298207</v>
      </c>
      <c r="CT141" s="2">
        <f>1435.94823913268*(1/14151.6638359215)</f>
        <v>0.10146850969479497</v>
      </c>
      <c r="CU141" s="2">
        <f>1400.34520906161*(1/14151.6638359215)</f>
        <v>9.8952690319500158E-2</v>
      </c>
      <c r="CV141" s="2">
        <f>1363.23295700834*(1/14151.6638359215)</f>
        <v>9.6330224686938498E-2</v>
      </c>
      <c r="CW141" s="2">
        <f>1324.75788526104*(1/14151.6638359215)</f>
        <v>9.3611458032120301E-2</v>
      </c>
      <c r="CX141" s="2">
        <f>1285.07115446133*(1/14151.6638359215)</f>
        <v>9.0807071829914709E-2</v>
      </c>
      <c r="CY141" s="2">
        <f>1244.32392525085*(1/14151.6638359215)</f>
        <v>8.7927747555192295E-2</v>
      </c>
      <c r="CZ141" s="2">
        <f>1202.66735827123*(1/14151.6638359215)</f>
        <v>8.4984166682822923E-2</v>
      </c>
      <c r="DA141" s="2">
        <f>1160.2526141641*(1/14151.6638359215)</f>
        <v>8.1987010687676429E-2</v>
      </c>
      <c r="DB141" s="2">
        <f>1117.2308535711*(1/14151.6638359215)</f>
        <v>7.894696104462337E-2</v>
      </c>
      <c r="DC141" s="2">
        <f>1073.75323713388*(1/14151.6638359215)</f>
        <v>7.5874699228535028E-2</v>
      </c>
      <c r="DD141" s="2">
        <f>1029.97092549405*(1/14151.6638359215)</f>
        <v>7.2780906714279822E-2</v>
      </c>
      <c r="DE141" s="2">
        <f>985.888809671744*(1/14151.6638359215)</f>
        <v>6.9665929116351624E-2</v>
      </c>
      <c r="DF141" s="2">
        <f>940.22460810399*(1/14151.6638359215)</f>
        <v>6.6439156484016798E-2</v>
      </c>
      <c r="DG141" s="2">
        <f>893.002848998299*(1/14151.6638359215)</f>
        <v>6.310232205569842E-2</v>
      </c>
      <c r="DH141" s="2">
        <f>844.673840837258*(1/14151.6638359215)</f>
        <v>5.9687246010833202E-2</v>
      </c>
      <c r="DI141" s="2">
        <f>795.687892103481*(1/14151.6638359215)</f>
        <v>5.6225748528859747E-2</v>
      </c>
      <c r="DJ141" s="2">
        <f>746.495311279556*(1/14151.6638359215)</f>
        <v>5.2749649789214849E-2</v>
      </c>
      <c r="DK141" s="2">
        <f>697.546406848079*(1/14151.6638359215)</f>
        <v>4.929076997133585E-2</v>
      </c>
      <c r="DL141" s="2">
        <f>649.291487291645*(1/14151.6638359215)</f>
        <v>4.5880929254660023E-2</v>
      </c>
      <c r="DM141" s="2">
        <f>602.180861092842*(1/14151.6638359215)</f>
        <v>4.255194781862414E-2</v>
      </c>
      <c r="DN141" s="2">
        <f>556.664836734283*(1/14151.6638359215)</f>
        <v>3.9335645842666751E-2</v>
      </c>
      <c r="DO141" s="2">
        <f>513.193722698556*(1/14151.6638359215)</f>
        <v>3.6263843506224643E-2</v>
      </c>
      <c r="DP141" s="2">
        <f>471.205103552941*(1/14151.6638359215)</f>
        <v>3.3296798808693441E-2</v>
      </c>
      <c r="DQ141" s="2">
        <f>429.1304930576*(1/14151.6638359215)</f>
        <v>3.0323677698471611E-2</v>
      </c>
      <c r="DR141" s="2">
        <f>387.334825816978*(1/14151.6638359215)</f>
        <v>2.7370267574742483E-2</v>
      </c>
      <c r="DS141" s="2">
        <f>346.23678316301*(1/14151.6638359215)</f>
        <v>2.4466153745409714E-2</v>
      </c>
      <c r="DT141" s="2">
        <f>306.255046427622*(1/14151.6638359215)</f>
        <v>2.1640921518376353E-2</v>
      </c>
      <c r="DU141" s="2">
        <f>267.808296942767*(1/14151.6638359215)</f>
        <v>1.8924156201547335E-2</v>
      </c>
      <c r="DV141" s="2">
        <f>231.31521604037*(1/14151.6638359215)</f>
        <v>1.6345443102825631E-2</v>
      </c>
      <c r="DW141" s="2">
        <f>197.194485052366*(1/14151.6638359215)</f>
        <v>1.3934367530114912E-2</v>
      </c>
      <c r="DX141" s="2">
        <f>165.864785310692*(1/14151.6638359215)</f>
        <v>1.1720514791318993E-2</v>
      </c>
      <c r="DY141" s="2">
        <f>137.744798147277*(1/14151.6638359215)</f>
        <v>9.7334701943411171E-3</v>
      </c>
      <c r="DZ141" s="2">
        <f>113.251355028768*(1/14151.6638359215)</f>
        <v>8.0026883299262261E-3</v>
      </c>
      <c r="EA141" s="2">
        <f>92.5435751982905*(1/14151.6638359215)</f>
        <v>6.5394130521518592E-3</v>
      </c>
      <c r="EB141" s="2">
        <f>75.2618408183183*(1/14151.6638359215)</f>
        <v>5.3182326609030528E-3</v>
      </c>
      <c r="EC141" s="2">
        <f>60.9843914202086*(1/14151.6638359215)</f>
        <v>4.3093442670260789E-3</v>
      </c>
      <c r="ED141" s="2">
        <f>49.2894665353188*(1/14151.6638359215)</f>
        <v>3.4829449813672223E-3</v>
      </c>
      <c r="EE141" s="2">
        <f>39.7553056950042*(1/14151.6638359215)</f>
        <v>2.8092319147726206E-3</v>
      </c>
      <c r="EF141" s="2">
        <f>31.9601484306258*(1/14151.6638359215)</f>
        <v>2.2584021780888129E-3</v>
      </c>
      <c r="EG141" s="2">
        <f>25.4822342735388*(1/14151.6638359215)</f>
        <v>1.8006528821619299E-3</v>
      </c>
      <c r="EH141" s="2">
        <f>19.8998027551003*(1/14151.6638359215)</f>
        <v>1.4061811378382352E-3</v>
      </c>
      <c r="EI141" s="2">
        <f>14.7910934066677*(1/14151.6638359215)</f>
        <v>1.0451840559640147E-3</v>
      </c>
      <c r="EJ141" s="2">
        <f>9.73434575959705*(1/14151.6638359215)</f>
        <v>6.8785874738545806E-4</v>
      </c>
      <c r="EK141" s="2">
        <f>4.89624046087278*(1/14151.6638359215)</f>
        <v>3.4598337818373965E-4</v>
      </c>
      <c r="EL141" s="2">
        <f>1.70413350491358*(1/14151.6638359215)</f>
        <v>1.2041930367141268E-4</v>
      </c>
      <c r="EM141" s="2">
        <f>0.00128176802905465*(1/14151.6638359215)</f>
        <v>9.0573662850943942E-8</v>
      </c>
      <c r="EN141" s="2">
        <f>-0.488263376758336*(1/14151.6638359215)</f>
        <v>-3.4502188747514311E-5</v>
      </c>
      <c r="EO141" s="2">
        <f>-0.0404505564261364*(1/14151.6638359215)</f>
        <v>-2.858360465252136E-6</v>
      </c>
      <c r="EP141" s="2">
        <f>1.06877160204811*(1/14151.6638359215)</f>
        <v>7.5522681604068488E-5</v>
      </c>
      <c r="EQ141" s="2">
        <f>2.56345447168715*(1/14151.6638359215)</f>
        <v>1.8114156055489908E-4</v>
      </c>
      <c r="ER141" s="2">
        <f>4.16764942551284*(1/14151.6638359215)</f>
        <v>2.9449889948162831E-4</v>
      </c>
      <c r="ES141" s="2">
        <f>5.6054078365479*(1/14151.6638359215)</f>
        <v>3.960953214787057E-4</v>
      </c>
      <c r="ET141" s="2">
        <f>6.60078107781476*(1/14151.6638359215)</f>
        <v>4.6643144964056052E-4</v>
      </c>
      <c r="EU141" s="2">
        <f>6.88559915716385*(1/14151.6638359215)</f>
        <v>4.8655756927224153E-4</v>
      </c>
      <c r="EV141" s="2">
        <f>6.84809106016827*(1/14151.6638359215)</f>
        <v>4.8390713202115497E-4</v>
      </c>
      <c r="EW141" s="2">
        <f>6.83103870037073*(1/14151.6638359215)</f>
        <v>4.8270215994188222E-4</v>
      </c>
      <c r="EX141" s="2">
        <f>6.83082101687427*(1/14151.6638359215)</f>
        <v>4.8268677775792254E-4</v>
      </c>
      <c r="EY141" s="2">
        <f>6.84381694878192*(1/14151.6638359215)</f>
        <v>4.8360511019277457E-4</v>
      </c>
      <c r="EZ141" s="2">
        <f>6.86640543519672*(1/14151.6638359215)</f>
        <v>4.8520128196993784E-4</v>
      </c>
      <c r="FA141" s="2">
        <f>6.8949654152217*(1/14151.6638359215)</f>
        <v>4.87219417812911E-4</v>
      </c>
      <c r="FB141" s="2">
        <f>6.92587582795989*(1/14151.6638359215)</f>
        <v>4.8940364244519276E-4</v>
      </c>
      <c r="FC141" s="2">
        <f>6.95551561251434*(1/14151.6638359215)</f>
        <v>4.9149808059028308E-4</v>
      </c>
      <c r="FD141" s="2">
        <f>6.98026370798808*(1/14151.6638359215)</f>
        <v>4.9324685697168082E-4</v>
      </c>
      <c r="FE141" s="2">
        <f>6.99649905348413*(1/14151.6638359215)</f>
        <v>4.9439409631288388E-4</v>
      </c>
      <c r="FF141" s="2">
        <f>7.00272495561906*(1/14151.6638359215)</f>
        <v>4.9483403766586651E-4</v>
      </c>
      <c r="FG141" s="2">
        <f>7.00681238904767*(1/14151.6638359215)</f>
        <v>4.9512286825681331E-4</v>
      </c>
      <c r="FH141" s="2">
        <f>7.00993094936727*(1/14151.6638359215)</f>
        <v>4.9534323530027599E-4</v>
      </c>
      <c r="FI141" s="2">
        <f>7.01208063657786*(1/14151.6638359215)</f>
        <v>4.9549513879625453E-4</v>
      </c>
      <c r="FJ141" s="2">
        <f>7.01326145067946*(1/14151.6638359215)</f>
        <v>4.9557857874475046E-4</v>
      </c>
      <c r="FK141" s="2">
        <f>7.01347339167205*(1/14151.6638359215)</f>
        <v>4.9559355514576216E-4</v>
      </c>
      <c r="FL141" s="2">
        <f>7.01271645955565*(1/14151.6638359215)</f>
        <v>4.9554006799929114E-4</v>
      </c>
      <c r="FM141" s="2">
        <f>7.01099065433024*(1/14151.6638359215)</f>
        <v>4.9541811730533609E-4</v>
      </c>
      <c r="FN141" s="2">
        <f>7.00829597599582*(1/14151.6638359215)</f>
        <v>4.9522770306389681E-4</v>
      </c>
      <c r="FO141" s="2">
        <f>7.00463242455241*(1/14151.6638359215)</f>
        <v>4.9496882527497491E-4</v>
      </c>
      <c r="FP141" s="2">
        <f t="shared" si="19"/>
        <v>4.9464148393856954E-4</v>
      </c>
      <c r="FQ141" s="2"/>
    </row>
    <row r="142" spans="2:173">
      <c r="B142" s="2">
        <v>10.615976331360947</v>
      </c>
      <c r="C142" s="2">
        <f t="shared" ref="C142:I157" si="21">7*(1/14151.6638359215)</f>
        <v>4.9464148393856954E-4</v>
      </c>
      <c r="D142" s="2">
        <f t="shared" si="21"/>
        <v>4.9464148393856954E-4</v>
      </c>
      <c r="E142" s="2">
        <f t="shared" si="21"/>
        <v>4.9464148393856954E-4</v>
      </c>
      <c r="F142" s="2">
        <f>7*(1/14151.6638359215)</f>
        <v>4.9464148393856954E-4</v>
      </c>
      <c r="G142" s="2">
        <f t="shared" ref="G142:V157" si="22">7*(1/14151.6638359215)</f>
        <v>4.9464148393856954E-4</v>
      </c>
      <c r="H142" s="2">
        <f t="shared" si="22"/>
        <v>4.9464148393856954E-4</v>
      </c>
      <c r="I142" s="2">
        <f t="shared" si="22"/>
        <v>4.9464148393856954E-4</v>
      </c>
      <c r="J142" s="2">
        <f t="shared" si="22"/>
        <v>4.9464148393856954E-4</v>
      </c>
      <c r="K142" s="2">
        <f t="shared" si="22"/>
        <v>4.9464148393856954E-4</v>
      </c>
      <c r="L142" s="2">
        <f t="shared" si="22"/>
        <v>4.9464148393856954E-4</v>
      </c>
      <c r="M142" s="2">
        <f t="shared" si="22"/>
        <v>4.9464148393856954E-4</v>
      </c>
      <c r="N142" s="2">
        <f>7.00122890186247*(1/14151.6638359215)</f>
        <v>4.9472832191583627E-4</v>
      </c>
      <c r="O142" s="2">
        <f>7.0119567909355*(1/14151.6638359215)</f>
        <v>4.9548638748306653E-4</v>
      </c>
      <c r="P142" s="2">
        <f>7.03061108154021*(1/14151.6638359215)</f>
        <v>4.9680455690971441E-4</v>
      </c>
      <c r="Q142" s="2">
        <f>7.05338710094139*(1/14151.6638359215)</f>
        <v>4.9841398034325922E-4</v>
      </c>
      <c r="R142" s="2">
        <f>7.07648017640384*(1/14151.6638359215)</f>
        <v>5.0004580793118079E-4</v>
      </c>
      <c r="S142" s="2">
        <f>7.09608563519235*(1/14151.6638359215)</f>
        <v>5.0143118982095864E-4</v>
      </c>
      <c r="T142" s="2">
        <f>7.10839880457172*(1/14151.6638359215)</f>
        <v>5.023012761600727E-4</v>
      </c>
      <c r="U142" s="2">
        <f>7.10961501180673*(1/14151.6638359215)</f>
        <v>5.0238721709600163E-4</v>
      </c>
      <c r="V142" s="2">
        <f>7.09592958416219*(1/14151.6638359215)</f>
        <v>5.0142016277622602E-4</v>
      </c>
      <c r="W142" s="2">
        <f>7.0635378489029*(1/14151.6638359215)</f>
        <v>4.9913126334822603E-4</v>
      </c>
      <c r="X142" s="2">
        <f>7.00863513329362*(1/14151.6638359215)</f>
        <v>4.9525166895947857E-4</v>
      </c>
      <c r="Y142" s="2">
        <f>6.85925792365693*(1/14151.6638359215)</f>
        <v>4.8469621686786504E-4</v>
      </c>
      <c r="Z142" s="2">
        <f>6.5402721350305*(1/14151.6638359215)</f>
        <v>4.6215570203336618E-4</v>
      </c>
      <c r="AA142" s="2">
        <f>6.10975086300842*(1/14151.6638359215)</f>
        <v>4.3173374762477731E-4</v>
      </c>
      <c r="AB142" s="2">
        <f>5.62732339253677*(1/14151.6638359215)</f>
        <v>3.9764394192665905E-4</v>
      </c>
      <c r="AC142" s="2">
        <f>5.15261900856167*(1/14151.6638359215)</f>
        <v>3.640998732235751E-4</v>
      </c>
      <c r="AD142" s="2">
        <f>4.74526699602916*(1/14151.6638359215)</f>
        <v>3.353151298000831E-4</v>
      </c>
      <c r="AE142" s="2">
        <f>4.4648966398855*(1/14151.6638359215)</f>
        <v>3.1550329994075666E-4</v>
      </c>
      <c r="AF142" s="2">
        <f>4.37113722507671*(1/14151.6638359215)</f>
        <v>3.0887797193015213E-4</v>
      </c>
      <c r="AG142" s="2">
        <f>4.52361803654892*(1/14151.6638359215)</f>
        <v>3.1965273405283373E-4</v>
      </c>
      <c r="AH142" s="2">
        <f>4.98196835924821*(1/14151.6638359215)</f>
        <v>3.5204117459336216E-4</v>
      </c>
      <c r="AI142" s="2">
        <f>5.68324222054369*(1/14151.6638359215)</f>
        <v>4.0159533793600885E-4</v>
      </c>
      <c r="AJ142" s="2">
        <f>5.06823199947112*(1/14151.6638359215)</f>
        <v>3.5813682816619117E-4</v>
      </c>
      <c r="AK142" s="2">
        <f>3.16694396786503*(1/14151.6638359215)</f>
        <v>2.2378598054500858E-4</v>
      </c>
      <c r="AL142" s="2">
        <f>0.650846940529718*(1/14151.6638359215)</f>
        <v>4.5990842354356804E-5</v>
      </c>
      <c r="AM142" s="2">
        <f>-1.80859026773053*(1/14151.6638359215)</f>
        <v>-1.2780053912386918E-4</v>
      </c>
      <c r="AN142" s="2">
        <f>-3.53989884211142*(1/14151.6638359215)</f>
        <v>-2.5014011660777388E-4</v>
      </c>
      <c r="AO142" s="2">
        <f>-3.87160996780866*(1/14151.6638359215)</f>
        <v>-2.7357984281546188E-4</v>
      </c>
      <c r="AP142" s="2">
        <f>-2.13225483001739*(1/14151.6638359215)</f>
        <v>-1.5067167046499774E-4</v>
      </c>
      <c r="AQ142" s="2">
        <f>2.34963538606612*(1/14151.6638359215)</f>
        <v>1.6603244772547419E-4</v>
      </c>
      <c r="AR142" s="2">
        <f>10.2455294952463*(1/14151.6638359215)</f>
        <v>7.2398055903785902E-4</v>
      </c>
      <c r="AS142" s="2">
        <f>22.2268963123274*(1/14151.6638359215)</f>
        <v>1.5706207107540494E-3</v>
      </c>
      <c r="AT142" s="2">
        <f>38.1227210015372*(1/14151.6638359215)</f>
        <v>2.6938684697109189E-3</v>
      </c>
      <c r="AU142" s="2">
        <f>56.2746687100087*(1/14151.6638359215)</f>
        <v>3.9765408055528698E-3</v>
      </c>
      <c r="AV142" s="2">
        <f>76.7363556334099*(1/14151.6638359215)</f>
        <v>5.4224264032210982E-3</v>
      </c>
      <c r="AW142" s="2">
        <f>99.6494889111416*(1/14151.6638359215)</f>
        <v>7.0415387241038732E-3</v>
      </c>
      <c r="AX142" s="2">
        <f>125.155775682601*(1/14151.6638359215)</f>
        <v>8.8438912295892135E-3</v>
      </c>
      <c r="AY142" s="2">
        <f>153.396923087186*(1/14151.6638359215)</f>
        <v>1.0839497381065186E-2</v>
      </c>
      <c r="AZ142" s="2">
        <f>184.514638264294*(1/14151.6638359215)</f>
        <v>1.3038370639919823E-2</v>
      </c>
      <c r="BA142" s="2">
        <f>218.650628353329*(1/14151.6638359215)</f>
        <v>1.5450524467541618E-2</v>
      </c>
      <c r="BB142" s="2">
        <f>255.946600493676*(1/14151.6638359215)</f>
        <v>1.808597232531773E-2</v>
      </c>
      <c r="BC142" s="2">
        <f>296.544261824739*(1/14151.6638359215)</f>
        <v>2.0954727674636658E-2</v>
      </c>
      <c r="BD142" s="2">
        <f>340.642783229639*(1/14151.6638359215)</f>
        <v>2.4070864541381874E-2</v>
      </c>
      <c r="BE142" s="2">
        <f>390.226439327493*(1/14151.6638359215)</f>
        <v>2.7574597860145045E-2</v>
      </c>
      <c r="BF142" s="2">
        <f>445.417925888556*(1/14151.6638359215)</f>
        <v>3.1474597690622164E-2</v>
      </c>
      <c r="BG142" s="2">
        <f>505.125146783285*(1/14151.6638359215)</f>
        <v>3.5693693168510267E-2</v>
      </c>
      <c r="BH142" s="2">
        <f>568.256005882099*(1/14151.6638359215)</f>
        <v>4.0154713429503705E-2</v>
      </c>
      <c r="BI142" s="2">
        <f>633.718407055454*(1/14151.6638359215)</f>
        <v>4.4780487609299459E-2</v>
      </c>
      <c r="BJ142" s="2">
        <f>700.420254173794*(1/14151.6638359215)</f>
        <v>4.9493844843593648E-2</v>
      </c>
      <c r="BK142" s="2">
        <f>767.269451107561*(1/14151.6638359215)</f>
        <v>5.4217614268082248E-2</v>
      </c>
      <c r="BL142" s="2">
        <f>833.173901727199*(1/14151.6638359215)</f>
        <v>5.8874625018461378E-2</v>
      </c>
      <c r="BM142" s="2">
        <f>897.041509903165*(1/14151.6638359215)</f>
        <v>6.3387706230428081E-2</v>
      </c>
      <c r="BN142" s="2">
        <f>957.780179505876*(1/14151.6638359215)</f>
        <v>6.7679687039676584E-2</v>
      </c>
      <c r="BO142" s="2">
        <f>1015.81657703583*(1/14151.6638359215)</f>
        <v>7.1780717010628742E-2</v>
      </c>
      <c r="BP142" s="2">
        <f>1075.75774266502*(1/14151.6638359215)</f>
        <v>7.6016343741461614E-2</v>
      </c>
      <c r="BQ142" s="2">
        <f>1137.03301412866*(1/14151.6638359215)</f>
        <v>8.0346242485106412E-2</v>
      </c>
      <c r="BR142" s="2">
        <f>1198.52436691881*(1/14151.6638359215)</f>
        <v>8.4691410198464975E-2</v>
      </c>
      <c r="BS142" s="2">
        <f>1259.11377652746*(1/14151.6638359215)</f>
        <v>8.8972843838434179E-2</v>
      </c>
      <c r="BT142" s="2">
        <f>1317.68321844666*(1/14151.6638359215)</f>
        <v>9.3111540361915171E-2</v>
      </c>
      <c r="BU142" s="2">
        <f>1373.11466816844*(1/14151.6638359215)</f>
        <v>9.702849672580767E-2</v>
      </c>
      <c r="BV142" s="2">
        <f>1424.29010118484*(1/14151.6638359215)</f>
        <v>0.1006447098870121</v>
      </c>
      <c r="BW142" s="2">
        <f>1470.09149298788*(1/14151.6638359215)</f>
        <v>0.10388117680242745</v>
      </c>
      <c r="BX142" s="2">
        <f>1509.40081906959*(1/14151.6638359215)</f>
        <v>0.10665889442895347</v>
      </c>
      <c r="BY142" s="2">
        <f>1541.1041541255*(1/14151.6638359215)</f>
        <v>0.10889914938579018</v>
      </c>
      <c r="BZ142" s="2">
        <f>1565.56623935373*(1/14151.6638359215)</f>
        <v>0.11062771540543639</v>
      </c>
      <c r="CA142" s="2">
        <f>1583.99941910352*(1/14151.6638359215)</f>
        <v>0.11193026046045676</v>
      </c>
      <c r="CB142" s="2">
        <f>1596.93537278967*(1/14151.6638359215)</f>
        <v>0.11284435465009646</v>
      </c>
      <c r="CC142" s="2">
        <f>1604.90577982699*(1/14151.6638359215)</f>
        <v>0.11340756807360136</v>
      </c>
      <c r="CD142" s="2">
        <f>1608.44231963029*(1/14151.6638359215)</f>
        <v>0.11365747083021738</v>
      </c>
      <c r="CE142" s="2">
        <f>1608.07667161438*(1/14151.6638359215)</f>
        <v>0.1136316330191904</v>
      </c>
      <c r="CF142" s="2">
        <f>1604.34051519407*(1/14151.6638359215)</f>
        <v>0.11336762473976628</v>
      </c>
      <c r="CG142" s="2">
        <f>1597.76552978416*(1/14151.6638359215)</f>
        <v>0.11290301609119023</v>
      </c>
      <c r="CH142" s="2">
        <f>1588.88339479947*(1/14151.6638359215)</f>
        <v>0.11227537717270884</v>
      </c>
      <c r="CI142" s="2">
        <f>1578.22578965481*(1/14151.6638359215)</f>
        <v>0.11152227808356799</v>
      </c>
      <c r="CJ142" s="2">
        <f>1565.8594960147*(1/14151.6638359215)</f>
        <v>0.11064843782114454</v>
      </c>
      <c r="CK142" s="2">
        <f>1549.52404225945*(1/14151.6638359215)</f>
        <v>0.10949412452310073</v>
      </c>
      <c r="CL142" s="2">
        <f>1529.27914513632*(1/14151.6638359215)</f>
        <v>0.10806355795807664</v>
      </c>
      <c r="CM142" s="2">
        <f>1505.64911197258*(1/14151.6638359215)</f>
        <v>0.10639378729098663</v>
      </c>
      <c r="CN142" s="2">
        <f>1479.15825009544*(1/14151.6638359215)</f>
        <v>0.10452186168674089</v>
      </c>
      <c r="CO142" s="2">
        <f>1450.33086683216*(1/14151.6638359215)</f>
        <v>0.10248483031025307</v>
      </c>
      <c r="CP142" s="2">
        <f>1419.69126950997*(1/14151.6638359215)</f>
        <v>0.10031974232643474</v>
      </c>
      <c r="CQ142" s="2">
        <f>1387.76376545613*(1/14151.6638359215)</f>
        <v>9.8063646900199586E-2</v>
      </c>
      <c r="CR142" s="2">
        <f>1355.07266199786*(1/14151.6638359215)</f>
        <v>9.5753593196458445E-2</v>
      </c>
      <c r="CS142" s="2">
        <f>1322.14226646242*(1/14151.6638359215)</f>
        <v>9.3426630380124998E-2</v>
      </c>
      <c r="CT142" s="2">
        <f>1289.49688617703*(1/14151.6638359215)</f>
        <v>9.1119807616110132E-2</v>
      </c>
      <c r="CU142" s="2">
        <f>1256.58992427989*(1/14151.6638359215)</f>
        <v>8.8794500692579936E-2</v>
      </c>
      <c r="CV142" s="2">
        <f>1222.3396960839*(1/14151.6638359215)</f>
        <v>8.6374274449708632E-2</v>
      </c>
      <c r="CW142" s="2">
        <f>1186.87480544613*(1/14151.6638359215)</f>
        <v>8.3868216430739259E-2</v>
      </c>
      <c r="CX142" s="2">
        <f>1150.32836111124*(1/14151.6638359215)</f>
        <v>8.1285732508098063E-2</v>
      </c>
      <c r="CY142" s="2">
        <f>1112.83347182388*(1/14151.6638359215)</f>
        <v>7.8636228554210624E-2</v>
      </c>
      <c r="CZ142" s="2">
        <f>1074.52324632871*(1/14151.6638359215)</f>
        <v>7.5929110441503175E-2</v>
      </c>
      <c r="DA142" s="2">
        <f>1035.53079337039*(1/14151.6638359215)</f>
        <v>7.317378404240199E-2</v>
      </c>
      <c r="DB142" s="2">
        <f>995.989221693593*(1/14151.6638359215)</f>
        <v>7.0379655229334245E-2</v>
      </c>
      <c r="DC142" s="2">
        <f>956.031640042963*(1/14151.6638359215)</f>
        <v>6.7556129874725077E-2</v>
      </c>
      <c r="DD142" s="2">
        <f>915.791157163163*(1/14151.6638359215)</f>
        <v>6.4712613851000966E-2</v>
      </c>
      <c r="DE142" s="2">
        <f>875.26049599803*(1/14151.6638359215)</f>
        <v>6.1848592939039139E-2</v>
      </c>
      <c r="DF142" s="2">
        <f>833.204806668468*(1/14151.6638359215)</f>
        <v>5.8876808856462855E-2</v>
      </c>
      <c r="DG142" s="2">
        <f>789.658867224684*(1/14151.6638359215)</f>
        <v>5.5799719127038218E-2</v>
      </c>
      <c r="DH142" s="2">
        <f>745.067724761024*(1/14151.6638359215)</f>
        <v>5.2648772144360943E-2</v>
      </c>
      <c r="DI142" s="2">
        <f>699.876426371859*(1/14151.6638359215)</f>
        <v>4.9455416302028481E-2</v>
      </c>
      <c r="DJ142" s="2">
        <f>654.530019151536*(1/14151.6638359215)</f>
        <v>4.6251099993636587E-2</v>
      </c>
      <c r="DK142" s="2">
        <f>609.47355019441*(1/14151.6638359215)</f>
        <v>4.30672716127816E-2</v>
      </c>
      <c r="DL142" s="2">
        <f>565.152066594837*(1/14151.6638359215)</f>
        <v>3.9935379553059924E-2</v>
      </c>
      <c r="DM142" s="2">
        <f>522.010615447162*(1/14151.6638359215)</f>
        <v>3.6886872208067169E-2</v>
      </c>
      <c r="DN142" s="2">
        <f>480.494243845757*(1/14151.6638359215)</f>
        <v>3.3953197971400874E-2</v>
      </c>
      <c r="DO142" s="2">
        <f>441.04799888497*(1/14151.6638359215)</f>
        <v>3.1165805236656876E-2</v>
      </c>
      <c r="DP142" s="2">
        <f>403.18381154629*(1/14151.6638359215)</f>
        <v>2.849020554903792E-2</v>
      </c>
      <c r="DQ142" s="2">
        <f>365.450875954933*(1/14151.6638359215)</f>
        <v>2.5823880512714024E-2</v>
      </c>
      <c r="DR142" s="2">
        <f>328.150663671876*(1/14151.6638359215)</f>
        <v>2.3188133033440455E-2</v>
      </c>
      <c r="DS142" s="2">
        <f>291.633785494478*(1/14151.6638359215)</f>
        <v>2.0607738346230153E-2</v>
      </c>
      <c r="DT142" s="2">
        <f>256.250852220093*(1/14151.6638359215)</f>
        <v>1.8107471686095701E-2</v>
      </c>
      <c r="DU142" s="2">
        <f>222.352474646091*(1/14151.6638359215)</f>
        <v>1.5712108288050801E-2</v>
      </c>
      <c r="DV142" s="2">
        <f>190.289263569825*(1/14151.6638359215)</f>
        <v>1.3446423387107975E-2</v>
      </c>
      <c r="DW142" s="2">
        <f>160.411829788655*(1/14151.6638359215)</f>
        <v>1.1335192218280221E-2</v>
      </c>
      <c r="DX142" s="2">
        <f>133.070784099938*(1/14151.6638359215)</f>
        <v>9.4031900165803348E-3</v>
      </c>
      <c r="DY142" s="2">
        <f>108.616737301029*(1/14151.6638359215)</f>
        <v>7.6751920170209671E-3</v>
      </c>
      <c r="DZ142" s="2">
        <f>87.4048380141878*(1/14151.6638359215)</f>
        <v>6.1762941112497357E-3</v>
      </c>
      <c r="EA142" s="2">
        <f>69.6874917024558*(1/14151.6638359215)</f>
        <v>4.9243320439513556E-3</v>
      </c>
      <c r="EB142" s="2">
        <f>55.166979150155*(1/14151.6638359215)</f>
        <v>3.8982680616058279E-3</v>
      </c>
      <c r="EC142" s="2">
        <f>43.4334472240999*(1/14151.6638359215)</f>
        <v>3.0691406839280454E-3</v>
      </c>
      <c r="ED142" s="2">
        <f>34.0770427911056*(1/14151.6638359215)</f>
        <v>2.407988430632944E-3</v>
      </c>
      <c r="EE142" s="2">
        <f>26.6879127179854*(1/14151.6638359215)</f>
        <v>1.8858498214353316E-3</v>
      </c>
      <c r="EF142" s="2">
        <f>20.8562038715569*(1/14151.6638359215)</f>
        <v>1.4737633760503206E-3</v>
      </c>
      <c r="EG142" s="2">
        <f>16.1720631186333*(1/14151.6638359215)</f>
        <v>1.1427676141927124E-3</v>
      </c>
      <c r="EH142" s="2">
        <f>12.2256373260295*(1/14151.6638359215)</f>
        <v>8.6390105557742811E-4</v>
      </c>
      <c r="EI142" s="2">
        <f>8.60707336056006*(1/14151.6638359215)</f>
        <v>6.0820221991936556E-4</v>
      </c>
      <c r="EJ142" s="2">
        <f>4.90651808903914*(1/14151.6638359215)</f>
        <v>3.467096269333935E-4</v>
      </c>
      <c r="EK142" s="2">
        <f>1.26495233797088*(1/14151.6638359215)</f>
        <v>8.9385414509354154E-5</v>
      </c>
      <c r="EL142" s="2">
        <f>-0.981259661278967*(1/14151.6638359215)</f>
        <v>-6.9338819283440914E-5</v>
      </c>
      <c r="EM142" s="2">
        <f>-1.96222504655015*(1/14151.6638359215)</f>
        <v>-1.3865684412099928E-4</v>
      </c>
      <c r="EN142" s="2">
        <f>-1.91911413652198*(1/14151.6638359215)</f>
        <v>-1.3561049490524554E-4</v>
      </c>
      <c r="EO142" s="2">
        <f>-1.09309724987372*(1/14151.6638359215)</f>
        <v>-7.7241606538100887E-5</v>
      </c>
      <c r="EP142" s="2">
        <f>0.274655294715334*(1/14151.6638359215)</f>
        <v>1.9407986078511138E-5</v>
      </c>
      <c r="EQ142" s="2">
        <f>1.94297317856622*(1/14151.6638359215)</f>
        <v>1.3729644804269062E-4</v>
      </c>
      <c r="ER142" s="2">
        <f>3.67068608299898*(1/14151.6638359215)</f>
        <v>2.5938194445246723E-4</v>
      </c>
      <c r="ES142" s="2">
        <f>5.21662368933464*(1/14151.6638359215)</f>
        <v>3.6862264040594028E-4</v>
      </c>
      <c r="ET142" s="2">
        <f>6.3396156788939*(1/14151.6638359215)</f>
        <v>4.4797670100118586E-4</v>
      </c>
      <c r="EU142" s="2">
        <f>6.80501795068915*(1/14151.6638359215)</f>
        <v>4.8086345390821212E-4</v>
      </c>
      <c r="EV142" s="2">
        <f>6.93302080632914*(1/14151.6638359215)</f>
        <v>4.8990852854566053E-4</v>
      </c>
      <c r="EW142" s="2">
        <f>7.01860574850445*(1/14151.6638359215)</f>
        <v>4.9595622323143082E-4</v>
      </c>
      <c r="EX142" s="2">
        <f>7.068617346056*(1/14151.6638359215)</f>
        <v>4.9949019620672188E-4</v>
      </c>
      <c r="EY142" s="2">
        <f>7.08990016782465*(1/14151.6638359215)</f>
        <v>5.0099410571272833E-4</v>
      </c>
      <c r="EZ142" s="2">
        <f>7.08929878265131*(1/14151.6638359215)</f>
        <v>5.009516099906484E-4</v>
      </c>
      <c r="FA142" s="2">
        <f>7.07365775937684*(1/14151.6638359215)</f>
        <v>4.9984636728167672E-4</v>
      </c>
      <c r="FB142" s="2">
        <f>7.04982166684213*(1/14151.6638359215)</f>
        <v>4.9816203582701011E-4</v>
      </c>
      <c r="FC142" s="2">
        <f>7.02463507388808*(1/14151.6638359215)</f>
        <v>4.9638227386784612E-4</v>
      </c>
      <c r="FD142" s="2">
        <f>7.00494254935557*(1/14151.6638359215)</f>
        <v>4.9499073964538081E-4</v>
      </c>
      <c r="FE142" s="2">
        <f>6.99758866208546*(1/14151.6638359215)</f>
        <v>4.9447109140080881E-4</v>
      </c>
      <c r="FF142" s="2">
        <f>7.00540247825151*(1/14151.6638359215)</f>
        <v>4.9502323963275139E-4</v>
      </c>
      <c r="FG142" s="2">
        <f>7.01350619562877*(1/14151.6638359215)</f>
        <v>4.9559587317402369E-4</v>
      </c>
      <c r="FH142" s="2">
        <f>7.01968903184994*(1/14151.6638359215)</f>
        <v>4.9603277135736501E-4</v>
      </c>
      <c r="FI142" s="2">
        <f>7.02395098691502*(1/14151.6638359215)</f>
        <v>4.9633393418277514E-4</v>
      </c>
      <c r="FJ142" s="2">
        <f>7.02629206082401*(1/14151.6638359215)</f>
        <v>4.9649936165025398E-4</v>
      </c>
      <c r="FK142" s="2">
        <f>7.02671225357691*(1/14151.6638359215)</f>
        <v>4.9652905375980184E-4</v>
      </c>
      <c r="FL142" s="2">
        <f>7.02521156517371*(1/14151.6638359215)</f>
        <v>4.9642301051141787E-4</v>
      </c>
      <c r="FM142" s="2">
        <f>7.02178999561442*(1/14151.6638359215)</f>
        <v>4.961812319051027E-4</v>
      </c>
      <c r="FN142" s="2">
        <f>7.01644754489904*(1/14151.6638359215)</f>
        <v>4.9580371794085635E-4</v>
      </c>
      <c r="FO142" s="2">
        <f>7.00918421302756*(1/14151.6638359215)</f>
        <v>4.9529046861867816E-4</v>
      </c>
      <c r="FP142" s="2">
        <f t="shared" si="19"/>
        <v>4.9464148393856954E-4</v>
      </c>
      <c r="FQ142" s="2"/>
    </row>
    <row r="143" spans="2:173">
      <c r="B143" s="2">
        <v>10.625443786982249</v>
      </c>
      <c r="C143" s="2">
        <f t="shared" si="21"/>
        <v>4.9464148393856954E-4</v>
      </c>
      <c r="D143" s="2">
        <f t="shared" si="21"/>
        <v>4.9464148393856954E-4</v>
      </c>
      <c r="E143" s="2">
        <f t="shared" si="21"/>
        <v>4.9464148393856954E-4</v>
      </c>
      <c r="F143" s="2">
        <f>7*(1/14151.6638359215)</f>
        <v>4.9464148393856954E-4</v>
      </c>
      <c r="G143" s="2">
        <f t="shared" si="22"/>
        <v>4.9464148393856954E-4</v>
      </c>
      <c r="H143" s="2">
        <f t="shared" si="22"/>
        <v>4.9464148393856954E-4</v>
      </c>
      <c r="I143" s="2">
        <f t="shared" si="22"/>
        <v>4.9464148393856954E-4</v>
      </c>
      <c r="J143" s="2">
        <f t="shared" si="22"/>
        <v>4.9464148393856954E-4</v>
      </c>
      <c r="K143" s="2">
        <f t="shared" si="22"/>
        <v>4.9464148393856954E-4</v>
      </c>
      <c r="L143" s="2">
        <f t="shared" si="22"/>
        <v>4.9464148393856954E-4</v>
      </c>
      <c r="M143" s="2">
        <f t="shared" si="22"/>
        <v>4.9464148393856954E-4</v>
      </c>
      <c r="N143" s="2">
        <f>7.00154094201005*(1/14151.6638359215)</f>
        <v>4.9475037163035731E-4</v>
      </c>
      <c r="O143" s="2">
        <f>7.01499283386298*(1/14151.6638359215)</f>
        <v>4.9570092359434506E-4</v>
      </c>
      <c r="P143" s="2">
        <f>7.03838378226853*(1/14151.6638359215)</f>
        <v>4.973537997986382E-4</v>
      </c>
      <c r="Q143" s="2">
        <f>7.06694304008144*(1/14151.6638359215)</f>
        <v>4.9937188460788995E-4</v>
      </c>
      <c r="R143" s="2">
        <f>7.09589986015645*(1/14151.6638359215)</f>
        <v>5.0141806238675353E-4</v>
      </c>
      <c r="S143" s="2">
        <f>7.12048349534831*(1/14151.6638359215)</f>
        <v>5.0315521749988293E-4</v>
      </c>
      <c r="T143" s="2">
        <f>7.13592319851177*(1/14151.6638359215)</f>
        <v>5.0424623431193224E-4</v>
      </c>
      <c r="U143" s="2">
        <f>7.13744822250156*(1/14151.6638359215)</f>
        <v>5.0435399718755391E-4</v>
      </c>
      <c r="V143" s="2">
        <f>7.12028782017243*(1/14151.6638359215)</f>
        <v>5.0314139049140194E-4</v>
      </c>
      <c r="W143" s="2">
        <f>7.07967124437914*(1/14151.6638359215)</f>
        <v>5.0027129858813105E-4</v>
      </c>
      <c r="X143" s="2">
        <f>7.01082774797639*(1/14151.6638359215)</f>
        <v>4.9540660584239166E-4</v>
      </c>
      <c r="Y143" s="2">
        <f>6.87507477198446*(1/14151.6638359215)</f>
        <v>4.8581388391471657E-4</v>
      </c>
      <c r="Z143" s="2">
        <f>6.63582925380556*(1/14151.6638359215)</f>
        <v>4.6890806132362183E-4</v>
      </c>
      <c r="AA143" s="2">
        <f>6.32536621363993*(1/14151.6638359215)</f>
        <v>4.4696979005282082E-4</v>
      </c>
      <c r="AB143" s="2">
        <f>5.97675128171307*(1/14151.6638359215)</f>
        <v>4.2233558901690006E-4</v>
      </c>
      <c r="AC143" s="2">
        <f>5.6230500882505*(1/14151.6638359215)</f>
        <v>3.9734197713044741E-4</v>
      </c>
      <c r="AD143" s="2">
        <f>5.29732826347765*(1/14151.6638359215)</f>
        <v>3.7432547330804435E-4</v>
      </c>
      <c r="AE143" s="2">
        <f>5.03265143762018*(1/14151.6638359215)</f>
        <v>3.556225964642887E-4</v>
      </c>
      <c r="AF143" s="2">
        <f>4.86208524090351*(1/14151.6638359215)</f>
        <v>3.4356986551376136E-4</v>
      </c>
      <c r="AG143" s="2">
        <f>4.81869530355316*(1/14151.6638359215)</f>
        <v>3.4050379937105018E-4</v>
      </c>
      <c r="AH143" s="2">
        <f>4.93554725579462*(1/14151.6638359215)</f>
        <v>3.487609169507408E-4</v>
      </c>
      <c r="AI143" s="2">
        <f>5.13880777867505*(1/14151.6638359215)</f>
        <v>3.6312392933127011E-4</v>
      </c>
      <c r="AJ143" s="2">
        <f>4.06094659678727*(1/14151.6638359215)</f>
        <v>2.8695895011859131E-4</v>
      </c>
      <c r="AK143" s="2">
        <f>1.74515013864276*(1/14151.6638359215)</f>
        <v>1.2331766489626501E-4</v>
      </c>
      <c r="AL143" s="2">
        <f>-1.20289547782555*(1/14151.6638359215)</f>
        <v>-8.5000286310660679E-5</v>
      </c>
      <c r="AM143" s="2">
        <f>-4.17750413468477*(1/14151.6638359215)</f>
        <v>-2.9519526347714065E-4</v>
      </c>
      <c r="AN143" s="2">
        <f>-6.57298971400199*(1/14151.6638359215)</f>
        <v>-4.6446762657812829E-4</v>
      </c>
      <c r="AO143" s="2">
        <f>-7.78366609784428*(1/14151.6638359215)</f>
        <v>-5.500177355885757E-4</v>
      </c>
      <c r="AP143" s="2">
        <f>-7.20384716827843*(1/14151.6638359215)</f>
        <v>-5.0904595048341492E-4</v>
      </c>
      <c r="AQ143" s="2">
        <f>-4.22784680737165*(1/14151.6638359215)</f>
        <v>-2.9875263123760808E-4</v>
      </c>
      <c r="AR143" s="2">
        <f>1.75002110280889*(1/14151.6638359215)</f>
        <v>1.2366186217388589E-4</v>
      </c>
      <c r="AS143" s="2">
        <f>11.3354426801961*(1/14151.6638359215)</f>
        <v>8.0099716977611365E-4</v>
      </c>
      <c r="AT143" s="2">
        <f>24.3285567709808*(1/14151.6638359215)</f>
        <v>1.7191304890402396E-3</v>
      </c>
      <c r="AU143" s="2">
        <f>39.147326577467*(1/14151.6638359215)</f>
        <v>2.7662702443580112E-3</v>
      </c>
      <c r="AV143" s="2">
        <f>55.8841023644283*(1/14151.6638359215)</f>
        <v>3.9489421888736767E-3</v>
      </c>
      <c r="AW143" s="2">
        <f>74.7162782743181*(1/14151.6638359215)</f>
        <v>5.2796815371394011E-3</v>
      </c>
      <c r="AX143" s="2">
        <f>95.8212484495865*(1/14151.6638359215)</f>
        <v>6.7710235037071178E-3</v>
      </c>
      <c r="AY143" s="2">
        <f>119.376407032684*(1/14151.6638359215)</f>
        <v>8.4355033031287864E-3</v>
      </c>
      <c r="AZ143" s="2">
        <f>145.559148166061*(1/14151.6638359215)</f>
        <v>1.028565614995636E-2</v>
      </c>
      <c r="BA143" s="2">
        <f>174.546865992174*(1/14151.6638359215)</f>
        <v>1.2334017258742226E-2</v>
      </c>
      <c r="BB143" s="2">
        <f>206.516954653462*(1/14151.6638359215)</f>
        <v>1.4593121844037531E-2</v>
      </c>
      <c r="BC143" s="2">
        <f>241.646808292381*(1/14151.6638359215)</f>
        <v>1.7075505120394623E-2</v>
      </c>
      <c r="BD143" s="2">
        <f>280.159563915646*(1/14151.6638359215)</f>
        <v>1.9796934633545381E-2</v>
      </c>
      <c r="BE143" s="2">
        <f>323.668444834875*(1/14151.6638359215)</f>
        <v>2.2871405693887372E-2</v>
      </c>
      <c r="BF143" s="2">
        <f>372.218665196826*(1/14151.6638359215)</f>
        <v>2.6302113271798801E-2</v>
      </c>
      <c r="BG143" s="2">
        <f>424.873958090748*(1/14151.6638359215)</f>
        <v>3.0022897873837311E-2</v>
      </c>
      <c r="BH143" s="2">
        <f>480.698056605859*(1/14151.6638359215)</f>
        <v>3.3967600006558372E-2</v>
      </c>
      <c r="BI143" s="2">
        <f>538.754693831407*(1/14151.6638359215)</f>
        <v>3.8070060176519559E-2</v>
      </c>
      <c r="BJ143" s="2">
        <f>598.10760285663*(1/14151.6638359215)</f>
        <v>4.226411889027773E-2</v>
      </c>
      <c r="BK143" s="2">
        <f>657.820516770766*(1/14151.6638359215)</f>
        <v>4.6483616654389763E-2</v>
      </c>
      <c r="BL143" s="2">
        <f>716.957168663053*(1/14151.6638359215)</f>
        <v>5.0662393975412549E-2</v>
      </c>
      <c r="BM143" s="2">
        <f>774.58129162274*(1/14151.6638359215)</f>
        <v>5.4734291359903715E-2</v>
      </c>
      <c r="BN143" s="2">
        <f>829.756618739043*(1/14151.6638359215)</f>
        <v>5.8633149314418591E-2</v>
      </c>
      <c r="BO143" s="2">
        <f>882.959492429668*(1/14151.6638359215)</f>
        <v>6.2392627656151022E-2</v>
      </c>
      <c r="BP143" s="2">
        <f>938.480067892811*(1/14151.6638359215)</f>
        <v>6.6315881918467073E-2</v>
      </c>
      <c r="BQ143" s="2">
        <f>995.702032592145*(1/14151.6638359215)</f>
        <v>7.0359361566004072E-2</v>
      </c>
      <c r="BR143" s="2">
        <f>1053.4960085935*(1/14151.6638359215)</f>
        <v>7.444326128772126E-2</v>
      </c>
      <c r="BS143" s="2">
        <f>1110.73261796267*(1/14151.6638359215)</f>
        <v>7.8487775772575333E-2</v>
      </c>
      <c r="BT143" s="2">
        <f>1166.28248276548*(1/14151.6638359215)</f>
        <v>8.2413099709525164E-2</v>
      </c>
      <c r="BU143" s="2">
        <f>1219.01622506775*(1/14151.6638359215)</f>
        <v>8.6139427787529296E-2</v>
      </c>
      <c r="BV143" s="2">
        <f>1267.80446693531*(1/14151.6638359215)</f>
        <v>8.9586954695546991E-2</v>
      </c>
      <c r="BW143" s="2">
        <f>1311.51783043396*(1/14151.6638359215)</f>
        <v>9.2675875122535306E-2</v>
      </c>
      <c r="BX143" s="2">
        <f>1349.02693762953*(1/14151.6638359215)</f>
        <v>9.5326383757453545E-2</v>
      </c>
      <c r="BY143" s="2">
        <f>1379.20684922888*(1/14151.6638359215)</f>
        <v>9.7458988937258878E-2</v>
      </c>
      <c r="BZ143" s="2">
        <f>1402.50298727943*(1/14151.6638359215)</f>
        <v>9.9105165550882002E-2</v>
      </c>
      <c r="CA143" s="2">
        <f>1420.16983096552*(1/14151.6638359215)</f>
        <v>0.10035355894765319</v>
      </c>
      <c r="CB143" s="2">
        <f>1432.70089342227*(1/14151.6638359215)</f>
        <v>0.101239042280358</v>
      </c>
      <c r="CC143" s="2">
        <f>1440.5896877848*(1/14151.6638359215)</f>
        <v>0.10179648870178201</v>
      </c>
      <c r="CD143" s="2">
        <f>1444.32972718823*(1/14151.6638359215)</f>
        <v>0.10206077136471077</v>
      </c>
      <c r="CE143" s="2">
        <f>1444.41452476765*(1/14151.6638359215)</f>
        <v>0.10206676342192773</v>
      </c>
      <c r="CF143" s="2">
        <f>1441.33759365821*(1/14151.6638359215)</f>
        <v>0.10184933802622056</v>
      </c>
      <c r="CG143" s="2">
        <f>1435.592446995*(1/14151.6638359215)</f>
        <v>0.10144336833037272</v>
      </c>
      <c r="CH143" s="2">
        <f>1427.67259791315*(1/14151.6638359215)</f>
        <v>0.10088372748717046</v>
      </c>
      <c r="CI143" s="2">
        <f>1418.07155954776*(1/14151.6638359215)</f>
        <v>0.10020528864939794</v>
      </c>
      <c r="CJ143" s="2">
        <f>1406.84258568185*(1/14151.6638359215)</f>
        <v>9.9411814892806358E-2</v>
      </c>
      <c r="CK143" s="2">
        <f>1391.84287903241*(1/14151.6638359215)</f>
        <v>9.8351889584846044E-2</v>
      </c>
      <c r="CL143" s="2">
        <f>1373.13909904641*(1/14151.6638359215)</f>
        <v>9.7030223086626663E-2</v>
      </c>
      <c r="CM143" s="2">
        <f>1351.23874737785*(1/14151.6638359215)</f>
        <v>9.5482677022610513E-2</v>
      </c>
      <c r="CN143" s="2">
        <f>1326.64932568075*(1/14151.6638359215)</f>
        <v>9.3745113017261267E-2</v>
      </c>
      <c r="CO143" s="2">
        <f>1299.87833560914*(1/14151.6638359215)</f>
        <v>9.1853392695043279E-2</v>
      </c>
      <c r="CP143" s="2">
        <f>1271.43327881703*(1/14151.6638359215)</f>
        <v>8.9843377680419542E-2</v>
      </c>
      <c r="CQ143" s="2">
        <f>1241.82165695845*(1/14151.6638359215)</f>
        <v>8.7750929597854424E-2</v>
      </c>
      <c r="CR143" s="2">
        <f>1211.5509716874*(1/14151.6638359215)</f>
        <v>8.561191007181021E-2</v>
      </c>
      <c r="CS143" s="2">
        <f>1181.12872465792*(1/14151.6638359215)</f>
        <v>8.3462180726751947E-2</v>
      </c>
      <c r="CT143" s="2">
        <f>1151.06241752401*(1/14151.6638359215)</f>
        <v>8.1337603187141949E-2</v>
      </c>
      <c r="CU143" s="2">
        <f>1120.83829484374*(1/14151.6638359215)</f>
        <v>7.9201873916669066E-2</v>
      </c>
      <c r="CV143" s="2">
        <f>1089.42201949194*(1/14151.6638359215)</f>
        <v>7.6981903479549502E-2</v>
      </c>
      <c r="CW143" s="2">
        <f>1056.9272814971*(1/14151.6638359215)</f>
        <v>7.4685725562126257E-2</v>
      </c>
      <c r="CX143" s="2">
        <f>1023.47205621026*(1/14151.6638359215)</f>
        <v>7.2321676664786005E-2</v>
      </c>
      <c r="CY143" s="2">
        <f>989.174318982468*(1/14151.6638359215)</f>
        <v>6.9898093287915991E-2</v>
      </c>
      <c r="CZ143" s="2">
        <f>954.152045164783*(1/14151.6638359215)</f>
        <v>6.7423311931904178E-2</v>
      </c>
      <c r="DA143" s="2">
        <f>918.523210108247*(1/14151.6638359215)</f>
        <v>6.4905669097137395E-2</v>
      </c>
      <c r="DB143" s="2">
        <f>882.405789163923*(1/14151.6638359215)</f>
        <v>6.2353501284003916E-2</v>
      </c>
      <c r="DC143" s="2">
        <f>845.917757682854*(1/14151.6638359215)</f>
        <v>5.9775144992890598E-2</v>
      </c>
      <c r="DD143" s="2">
        <f>809.177091016094*(1/14151.6638359215)</f>
        <v>5.71789367241851E-2</v>
      </c>
      <c r="DE143" s="2">
        <f>772.167719188412*(1/14151.6638359215)</f>
        <v>5.4563740924116678E-2</v>
      </c>
      <c r="DF143" s="2">
        <f>733.70740238956*(1/14151.6638359215)</f>
        <v>5.1846016899240732E-2</v>
      </c>
      <c r="DG143" s="2">
        <f>693.837909618349*(1/14151.6638359215)</f>
        <v>4.9028716175207897E-2</v>
      </c>
      <c r="DH143" s="2">
        <f>652.993980688502*(1/14151.6638359215)</f>
        <v>4.6142558801530606E-2</v>
      </c>
      <c r="DI143" s="2">
        <f>611.610355413766*(1/14151.6638359215)</f>
        <v>4.3218264827723021E-2</v>
      </c>
      <c r="DJ143" s="2">
        <f>570.121773607866*(1/14151.6638359215)</f>
        <v>4.0286554303297716E-2</v>
      </c>
      <c r="DK143" s="2">
        <f>528.962975084534*(1/14151.6638359215)</f>
        <v>3.7378147277767788E-2</v>
      </c>
      <c r="DL143" s="2">
        <f>488.568699657502*(1/14151.6638359215)</f>
        <v>3.4523763800646298E-2</v>
      </c>
      <c r="DM143" s="2">
        <f>449.373687140493*(1/14151.6638359215)</f>
        <v>3.1754123921445707E-2</v>
      </c>
      <c r="DN143" s="2">
        <f>411.812677347256*(1/14151.6638359215)</f>
        <v>2.9099947689680293E-2</v>
      </c>
      <c r="DO143" s="2">
        <f>376.320410091514*(1/14151.6638359215)</f>
        <v>2.6591955154862505E-2</v>
      </c>
      <c r="DP143" s="2">
        <f>342.485221922904*(1/14151.6638359215)</f>
        <v>2.4201056914139363E-2</v>
      </c>
      <c r="DQ143" s="2">
        <f>308.985342974088*(1/14151.6638359215)</f>
        <v>2.1833852651995819E-2</v>
      </c>
      <c r="DR143" s="2">
        <f>276.058398576988*(1/14151.6638359215)</f>
        <v>1.9507133703689492E-2</v>
      </c>
      <c r="DS143" s="2">
        <f>243.986192685013*(1/14151.6638359215)</f>
        <v>1.7240813201462372E-2</v>
      </c>
      <c r="DT143" s="2">
        <f>213.050529251563*(1/14151.6638359215)</f>
        <v>1.505480427755582E-2</v>
      </c>
      <c r="DU143" s="2">
        <f>183.533212230057*(1/14151.6638359215)</f>
        <v>1.2969020064212545E-2</v>
      </c>
      <c r="DV143" s="2">
        <f>155.716045573898*(1/14151.6638359215)</f>
        <v>1.1003373693674118E-2</v>
      </c>
      <c r="DW143" s="2">
        <f>129.880833236492*(1/14151.6638359215)</f>
        <v>9.1777782981823271E-3</v>
      </c>
      <c r="DX143" s="2">
        <f>106.309379171247*(1/14151.6638359215)</f>
        <v>7.5121470099790959E-3</v>
      </c>
      <c r="DY143" s="2">
        <f>85.283487331566*(1/14151.6638359215)</f>
        <v>6.0263929613060003E-3</v>
      </c>
      <c r="DZ143" s="2">
        <f>67.0949107736385*(1/14151.6638359215)</f>
        <v>4.7411323185426379E-3</v>
      </c>
      <c r="EA143" s="2">
        <f>52.0698836517388*(1/14151.6638359215)</f>
        <v>3.6794177882863918E-3</v>
      </c>
      <c r="EB143" s="2">
        <f>39.97266563491*(1/14151.6638359215)</f>
        <v>2.8245912352331637E-3</v>
      </c>
      <c r="EC143" s="2">
        <f>30.4151724455763*(1/14151.6638359215)</f>
        <v>2.1492294332467647E-3</v>
      </c>
      <c r="ED143" s="2">
        <f>23.0093198061619*(1/14151.6638359215)</f>
        <v>1.6259091561910061E-3</v>
      </c>
      <c r="EE143" s="2">
        <f>17.3670234390901*(1/14151.6638359215)</f>
        <v>1.2272071779296353E-3</v>
      </c>
      <c r="EF143" s="2">
        <f>13.1001990667873*(1/14151.6638359215)</f>
        <v>9.2570027232661905E-4</v>
      </c>
      <c r="EG143" s="2">
        <f>9.82076241167636*(1/14151.6638359215)</f>
        <v>6.9396521324567432E-4</v>
      </c>
      <c r="EH143" s="2">
        <f>7.1406291961816*(1/14151.6638359215)</f>
        <v>5.0457877455062025E-4</v>
      </c>
      <c r="EI143" s="2">
        <f>4.67171514272722*(1/14151.6638359215)</f>
        <v>3.3011773010526834E-4</v>
      </c>
      <c r="EJ143" s="2">
        <f>2.0259359737369*(1/14151.6638359215)</f>
        <v>1.4315885377339302E-4</v>
      </c>
      <c r="EK143" s="2">
        <f>-0.679966218165942*(1/14151.6638359215)</f>
        <v>-4.8048499883099817E-5</v>
      </c>
      <c r="EL143" s="2">
        <f>-2.22105430524166*(1/14151.6638359215)</f>
        <v>-1.5694651392184048E-4</v>
      </c>
      <c r="EM143" s="2">
        <f>-2.70280343281078*(1/14151.6638359215)</f>
        <v>-1.9098838582854059E-4</v>
      </c>
      <c r="EN143" s="2">
        <f>-2.33204158017992*(1/14151.6638359215)</f>
        <v>-1.6478921540380602E-4</v>
      </c>
      <c r="EO143" s="2">
        <f>-1.3155967266557*(1/14151.6638359215)</f>
        <v>-9.2964102448242882E-5</v>
      </c>
      <c r="EP143" s="2">
        <f>0.139703148455264*(1/14151.6638359215)</f>
        <v>9.8718532375431522E-6</v>
      </c>
      <c r="EQ143" s="2">
        <f>1.82703006584667*(1/14151.6638359215)</f>
        <v>1.2910355185296847E-4</v>
      </c>
      <c r="ER143" s="2">
        <f>3.53955604621123*(1/14151.6638359215)</f>
        <v>2.5011589359737982E-4</v>
      </c>
      <c r="ES143" s="2">
        <f>5.07045311024263*(1/14151.6638359215)</f>
        <v>3.5829377867019281E-4</v>
      </c>
      <c r="ET143" s="2">
        <f>6.21289327863426*(1/14151.6638359215)</f>
        <v>4.3902210727080212E-4</v>
      </c>
      <c r="EU143" s="2">
        <f>6.76545264203879*(1/14151.6638359215)</f>
        <v>4.7806764776774042E-4</v>
      </c>
      <c r="EV143" s="2">
        <f>6.98918303677787*(1/14151.6638359215)</f>
        <v>4.9387712411858335E-4</v>
      </c>
      <c r="EW143" s="2">
        <f>7.13380146955753*(1/14151.6638359215)</f>
        <v>5.0409630643215493E-4</v>
      </c>
      <c r="EX143" s="2">
        <f>7.21227188427839*(1/14151.6638359215)</f>
        <v>5.0964126677255513E-4</v>
      </c>
      <c r="EY143" s="2">
        <f>7.237558224841*(1/14151.6638359215)</f>
        <v>5.1142807720387878E-4</v>
      </c>
      <c r="EZ143" s="2">
        <f>7.22262443514594*(1/14151.6638359215)</f>
        <v>5.1037280979022298E-4</v>
      </c>
      <c r="FA143" s="2">
        <f>7.18043445909376*(1/14151.6638359215)</f>
        <v>5.0739153659568254E-4</v>
      </c>
      <c r="FB143" s="2">
        <f>7.12395224058501*(1/14151.6638359215)</f>
        <v>5.0340032968435239E-4</v>
      </c>
      <c r="FC143" s="2">
        <f>7.06614172352028*(1/14151.6638359215)</f>
        <v>4.9931526112033039E-4</v>
      </c>
      <c r="FD143" s="2">
        <f>7.01996685180012*(1/14151.6638359215)</f>
        <v>4.9605240296771136E-4</v>
      </c>
      <c r="FE143" s="2">
        <f>6.99839156932509*(1/14151.6638359215)</f>
        <v>4.9452782729059099E-4</v>
      </c>
      <c r="FF143" s="2">
        <f>7.00677426404042*(1/14151.6638359215)</f>
        <v>4.9512017422679027E-4</v>
      </c>
      <c r="FG143" s="2">
        <f>7.01693566010107*(1/14151.6638359215)</f>
        <v>4.9583820965912271E-4</v>
      </c>
      <c r="FH143" s="2">
        <f>7.02468842894733*(1/14151.6638359215)</f>
        <v>4.9638604410008657E-4</v>
      </c>
      <c r="FI143" s="2">
        <f>7.03003257057922*(1/14151.6638359215)</f>
        <v>4.9676367754968313E-4</v>
      </c>
      <c r="FJ143" s="2">
        <f>7.03296808499674*(1/14151.6638359215)</f>
        <v>4.9697111000791242E-4</v>
      </c>
      <c r="FK143" s="2">
        <f>7.03349497219988*(1/14151.6638359215)</f>
        <v>4.9700834147477376E-4</v>
      </c>
      <c r="FL143" s="2">
        <f>7.03161323218865*(1/14151.6638359215)</f>
        <v>4.9687537195026792E-4</v>
      </c>
      <c r="FM143" s="2">
        <f>7.02732286496305*(1/14151.6638359215)</f>
        <v>4.965722014343948E-4</v>
      </c>
      <c r="FN143" s="2">
        <f>7.02062387052307*(1/14151.6638359215)</f>
        <v>4.9609882992715363E-4</v>
      </c>
      <c r="FO143" s="2">
        <f>7.01151624886873*(1/14151.6638359215)</f>
        <v>4.9545525742854593E-4</v>
      </c>
      <c r="FP143" s="2">
        <f t="shared" si="19"/>
        <v>4.9464148393856954E-4</v>
      </c>
      <c r="FQ143" s="2"/>
    </row>
    <row r="144" spans="2:173">
      <c r="B144" s="2">
        <v>10.63491124260355</v>
      </c>
      <c r="C144" s="2">
        <f t="shared" si="21"/>
        <v>4.9464148393856954E-4</v>
      </c>
      <c r="D144" s="2">
        <f t="shared" si="21"/>
        <v>4.9464148393856954E-4</v>
      </c>
      <c r="E144" s="2">
        <f t="shared" si="21"/>
        <v>4.9464148393856954E-4</v>
      </c>
      <c r="F144" s="2">
        <f>7*(1/14151.6638359215)</f>
        <v>4.9464148393856954E-4</v>
      </c>
      <c r="G144" s="2">
        <f t="shared" si="22"/>
        <v>4.9464148393856954E-4</v>
      </c>
      <c r="H144" s="2">
        <f t="shared" si="22"/>
        <v>4.9464148393856954E-4</v>
      </c>
      <c r="I144" s="2">
        <f t="shared" si="22"/>
        <v>4.9464148393856954E-4</v>
      </c>
      <c r="J144" s="2">
        <f t="shared" si="22"/>
        <v>4.9464148393856954E-4</v>
      </c>
      <c r="K144" s="2">
        <f t="shared" si="22"/>
        <v>4.9464148393856954E-4</v>
      </c>
      <c r="L144" s="2">
        <f t="shared" si="22"/>
        <v>4.9464148393856954E-4</v>
      </c>
      <c r="M144" s="2">
        <f t="shared" si="22"/>
        <v>4.9464148393856954E-4</v>
      </c>
      <c r="N144" s="2">
        <f>7.00161143996932*(1/14151.6638359215)</f>
        <v>4.9475535323252704E-4</v>
      </c>
      <c r="O144" s="2">
        <f>7.01567875467252*(1/14151.6638359215)</f>
        <v>4.9574939286393016E-4</v>
      </c>
      <c r="P144" s="2">
        <f>7.04013983687752*(1/14151.6638359215)</f>
        <v>4.9747788800687655E-4</v>
      </c>
      <c r="Q144" s="2">
        <f>7.07000567818345*(1/14151.6638359215)</f>
        <v>4.9958830001582493E-4</v>
      </c>
      <c r="R144" s="2">
        <f>7.10028727018945*(1/14151.6638359215)</f>
        <v>5.0172809024523501E-4</v>
      </c>
      <c r="S144" s="2">
        <f>7.12599560449466*(1/14151.6638359215)</f>
        <v>5.0354472004956606E-4</v>
      </c>
      <c r="T144" s="2">
        <f>7.14214167269822*(1/14151.6638359215)</f>
        <v>5.046856507832779E-4</v>
      </c>
      <c r="U144" s="2">
        <f>7.14373646639928*(1/14151.6638359215)</f>
        <v>5.0479834380083046E-4</v>
      </c>
      <c r="V144" s="2">
        <f>7.12579097719697*(1/14151.6638359215)</f>
        <v>5.0353026045668267E-4</v>
      </c>
      <c r="W144" s="2">
        <f>7.08331619669043*(1/14151.6638359215)</f>
        <v>5.0052886210529414E-4</v>
      </c>
      <c r="X144" s="2">
        <f>7.01132311647879*(1/14151.6638359215)</f>
        <v>4.9544161010112359E-4</v>
      </c>
      <c r="Y144" s="2">
        <f>6.89252478478846*(1/14151.6638359215)</f>
        <v>4.8704695537587621E-4</v>
      </c>
      <c r="Z144" s="2">
        <f>6.71455961644425*(1/14151.6638359215)</f>
        <v>4.7447139038171086E-4</v>
      </c>
      <c r="AA144" s="2">
        <f>6.49296110415509*(1/14151.6638359215)</f>
        <v>4.588125593878124E-4</v>
      </c>
      <c r="AB144" s="2">
        <f>6.24356795791608*(1/14151.6638359215)</f>
        <v>4.4118967425355922E-4</v>
      </c>
      <c r="AC144" s="2">
        <f>5.9822188877223*(1/14151.6638359215)</f>
        <v>4.2272194683832821E-4</v>
      </c>
      <c r="AD144" s="2">
        <f>5.72475260356881*(1/14151.6638359215)</f>
        <v>4.0452858900149507E-4</v>
      </c>
      <c r="AE144" s="2">
        <f>5.48700781545079*(1/14151.6638359215)</f>
        <v>3.8772881260244394E-4</v>
      </c>
      <c r="AF144" s="2">
        <f>5.28482323336329*(1/14151.6638359215)</f>
        <v>3.7344182950054954E-4</v>
      </c>
      <c r="AG144" s="2">
        <f>5.13403756730141*(1/14151.6638359215)</f>
        <v>3.6278685155519044E-4</v>
      </c>
      <c r="AH144" s="2">
        <f>5.05048952726023*(1/14151.6638359215)</f>
        <v>3.5688309062574351E-4</v>
      </c>
      <c r="AI144" s="2">
        <f>4.95847614807098*(1/14151.6638359215)</f>
        <v>3.5038114285083308E-4</v>
      </c>
      <c r="AJ144" s="2">
        <f>3.68183483825267*(1/14151.6638359215)</f>
        <v>2.6016974971571771E-4</v>
      </c>
      <c r="AK144" s="2">
        <f>1.26875957151354*(1/14151.6638359215)</f>
        <v>8.9654445316388723E-5</v>
      </c>
      <c r="AL144" s="2">
        <f>-1.74883993986689*(1/14151.6638359215)</f>
        <v>-1.2357839757525674E-4</v>
      </c>
      <c r="AM144" s="2">
        <f>-4.83905398360912*(1/14151.6638359215)</f>
        <v>-3.4194240618732312E-4</v>
      </c>
      <c r="AN144" s="2">
        <f>-7.46997284743366*(1/14151.6638359215)</f>
        <v>-5.2785120774791541E-4</v>
      </c>
      <c r="AO144" s="2">
        <f>-9.109686819061*(1/14151.6638359215)</f>
        <v>-6.4371842948513717E-4</v>
      </c>
      <c r="AP144" s="2">
        <f>-9.22628618621147*(1/14151.6638359215)</f>
        <v>-6.5195769862708098E-4</v>
      </c>
      <c r="AQ144" s="2">
        <f>-7.28786123660547*(1/14151.6638359215)</f>
        <v>-5.1498264240184405E-4</v>
      </c>
      <c r="AR144" s="2">
        <f>-2.76250225796368*(1/14151.6638359215)</f>
        <v>-1.9520688803754342E-4</v>
      </c>
      <c r="AS144" s="2">
        <f>4.88170046199343*(1/14151.6638359215)</f>
        <v>3.4495593723771867E-4</v>
      </c>
      <c r="AT144" s="2">
        <f>15.4321116699564*(1/14151.6638359215)</f>
        <v>1.0904803738189929E-3</v>
      </c>
      <c r="AU144" s="2">
        <f>27.4292577664543*(1/14151.6638359215)</f>
        <v>1.9382355378474983E-3</v>
      </c>
      <c r="AV144" s="2">
        <f>40.9900451604015*(1/14151.6638359215)</f>
        <v>2.8964823949785687E-3</v>
      </c>
      <c r="AW144" s="2">
        <f>56.3106098361177*(1/14151.6638359215)</f>
        <v>3.9790805158318671E-3</v>
      </c>
      <c r="AX144" s="2">
        <f>73.5870877779203*(1/14151.6638359215)</f>
        <v>5.1998894710268964E-3</v>
      </c>
      <c r="AY144" s="2">
        <f>93.0156149701273*(1/14151.6638359215)</f>
        <v>6.5727688311831992E-3</v>
      </c>
      <c r="AZ144" s="2">
        <f>114.792327397056*(1/14151.6638359215)</f>
        <v>8.1115781669202705E-3</v>
      </c>
      <c r="BA144" s="2">
        <f>139.113361043029*(1/14151.6638359215)</f>
        <v>9.8301770488579791E-3</v>
      </c>
      <c r="BB144" s="2">
        <f>166.174851892355*(1/14151.6638359215)</f>
        <v>1.1742425047615213E-2</v>
      </c>
      <c r="BC144" s="2">
        <f>196.172935929356*(1/14151.6638359215)</f>
        <v>1.3862181733811796E-2</v>
      </c>
      <c r="BD144" s="2">
        <f>229.338192689392*(1/14151.6638359215)</f>
        <v>1.6205740565095779E-2</v>
      </c>
      <c r="BE144" s="2">
        <f>266.917973032604*(1/14151.6638359215)</f>
        <v>1.8861243181531762E-2</v>
      </c>
      <c r="BF144" s="2">
        <f>308.895515305407*(1/14151.6638359215)</f>
        <v>2.1827505153233662E-2</v>
      </c>
      <c r="BG144" s="2">
        <f>354.501004772756*(1/14151.6638359215)</f>
        <v>2.5050129008358565E-2</v>
      </c>
      <c r="BH144" s="2">
        <f>402.964626699581*(1/14151.6638359215)</f>
        <v>2.8474717275061782E-2</v>
      </c>
      <c r="BI144" s="2">
        <f>453.516566350836*(1/14151.6638359215)</f>
        <v>3.2046872481500323E-2</v>
      </c>
      <c r="BJ144" s="2">
        <f>505.387008991466*(1/14151.6638359215)</f>
        <v>3.5712197155830565E-2</v>
      </c>
      <c r="BK144" s="2">
        <f>557.806139886417*(1/14151.6638359215)</f>
        <v>3.9416293826208947E-2</v>
      </c>
      <c r="BL144" s="2">
        <f>610.004144300636*(1/14151.6638359215)</f>
        <v>4.3104765020791982E-2</v>
      </c>
      <c r="BM144" s="2">
        <f>661.211207499077*(1/14151.6638359215)</f>
        <v>4.6723213267736693E-2</v>
      </c>
      <c r="BN144" s="2">
        <f>710.657514746668*(1/14151.6638359215)</f>
        <v>5.0217241095198248E-2</v>
      </c>
      <c r="BO144" s="2">
        <f>758.862856992342*(1/14151.6638359215)</f>
        <v>5.3623578526936361E-2</v>
      </c>
      <c r="BP144" s="2">
        <f>809.749294108723*(1/14151.6638359215)</f>
        <v>5.7219370350878276E-2</v>
      </c>
      <c r="BQ144" s="2">
        <f>862.662801735226*(1/14151.6638359215)</f>
        <v>6.0958401198416605E-2</v>
      </c>
      <c r="BR144" s="2">
        <f>916.47673424092*(1/14151.6638359215)</f>
        <v>6.4761058831443244E-2</v>
      </c>
      <c r="BS144" s="2">
        <f>970.064445994843*(1/14151.6638359215)</f>
        <v>6.8547731011847926E-2</v>
      </c>
      <c r="BT144" s="2">
        <f>1022.29929136606*(1/14151.6638359215)</f>
        <v>7.2238805501522285E-2</v>
      </c>
      <c r="BU144" s="2">
        <f>1072.05462472364*(1/14151.6638359215)</f>
        <v>7.5754670062358226E-2</v>
      </c>
      <c r="BV144" s="2">
        <f>1118.20380043664*(1/14151.6638359215)</f>
        <v>7.901571245624682E-2</v>
      </c>
      <c r="BW144" s="2">
        <f>1159.62017287412*(1/14151.6638359215)</f>
        <v>8.1942320445079334E-2</v>
      </c>
      <c r="BX144" s="2">
        <f>1195.17709640513*(1/14151.6638359215)</f>
        <v>8.4454881790746325E-2</v>
      </c>
      <c r="BY144" s="2">
        <f>1223.75269691896*(1/14151.6638359215)</f>
        <v>8.6474121425402992E-2</v>
      </c>
      <c r="BZ144" s="2">
        <f>1245.88013581968*(1/14151.6638359215)</f>
        <v>8.8037714170204728E-2</v>
      </c>
      <c r="CA144" s="2">
        <f>1262.84526817833*(1/14151.6638359215)</f>
        <v>8.9236522490932849E-2</v>
      </c>
      <c r="CB144" s="2">
        <f>1275.09014682932*(1/14151.6638359215)</f>
        <v>9.0101783197586202E-2</v>
      </c>
      <c r="CC144" s="2">
        <f>1283.05682460707*(1/14151.6638359215)</f>
        <v>9.0664733100164291E-2</v>
      </c>
      <c r="CD144" s="2">
        <f>1287.18735434598*(1/14151.6638359215)</f>
        <v>9.0956609008665285E-2</v>
      </c>
      <c r="CE144" s="2">
        <f>1287.92378888047*(1/14151.6638359215)</f>
        <v>9.1008647733088671E-2</v>
      </c>
      <c r="CF144" s="2">
        <f>1285.70818104494*(1/14151.6638359215)</f>
        <v>9.0852086083432593E-2</v>
      </c>
      <c r="CG144" s="2">
        <f>1280.98258367381*(1/14151.6638359215)</f>
        <v>9.0518160869696607E-2</v>
      </c>
      <c r="CH144" s="2">
        <f>1274.18904960149*(1/14151.6638359215)</f>
        <v>9.0038108901879521E-2</v>
      </c>
      <c r="CI144" s="2">
        <f>1265.76963166239*(1/14151.6638359215)</f>
        <v>8.9443166989980172E-2</v>
      </c>
      <c r="CJ144" s="2">
        <f>1255.75629894188*(1/14151.6638359215)</f>
        <v>8.8735594167688212E-2</v>
      </c>
      <c r="CK144" s="2">
        <f>1242.14937111624*(1/14151.6638359215)</f>
        <v>8.777408688604256E-2</v>
      </c>
      <c r="CL144" s="2">
        <f>1225.02878335177*(1/14151.6638359215)</f>
        <v>8.6564293609225712E-2</v>
      </c>
      <c r="CM144" s="2">
        <f>1204.88664004558*(1/14151.6638359215)</f>
        <v>8.5140987944271829E-2</v>
      </c>
      <c r="CN144" s="2">
        <f>1182.21504559481*(1/14151.6638359215)</f>
        <v>8.3538943498217208E-2</v>
      </c>
      <c r="CO144" s="2">
        <f>1157.50610439655*(1/14151.6638359215)</f>
        <v>8.1792933878094609E-2</v>
      </c>
      <c r="CP144" s="2">
        <f>1131.25192084794*(1/14151.6638359215)</f>
        <v>7.993773269094033E-2</v>
      </c>
      <c r="CQ144" s="2">
        <f>1103.94459934609*(1/14151.6638359215)</f>
        <v>7.8008113543788504E-2</v>
      </c>
      <c r="CR144" s="2">
        <f>1076.07624428811*(1/14151.6638359215)</f>
        <v>7.6038850043673348E-2</v>
      </c>
      <c r="CS144" s="2">
        <f>1048.13896007114*(1/14151.6638359215)</f>
        <v>7.4064715797631117E-2</v>
      </c>
      <c r="CT144" s="2">
        <f>1020.62485109227*(1/14151.6638359215)</f>
        <v>7.2120484412694572E-2</v>
      </c>
      <c r="CU144" s="2">
        <f>993.048498180238*(1/14151.6638359215)</f>
        <v>7.0171854680405835E-2</v>
      </c>
      <c r="CV144" s="2">
        <f>964.417493532465*(1/14151.6638359215)</f>
        <v>6.8148700019602035E-2</v>
      </c>
      <c r="CW144" s="2">
        <f>934.833097844615*(1/14151.6638359215)</f>
        <v>6.6058175821821483E-2</v>
      </c>
      <c r="CX144" s="2">
        <f>904.400664570543*(1/14151.6638359215)</f>
        <v>6.3907726685457411E-2</v>
      </c>
      <c r="CY144" s="2">
        <f>873.225547164113*(1/14151.6638359215)</f>
        <v>6.170479720890374E-2</v>
      </c>
      <c r="CZ144" s="2">
        <f>841.413099079187*(1/14151.6638359215)</f>
        <v>5.9456831990554244E-2</v>
      </c>
      <c r="DA144" s="2">
        <f>809.068673769621*(1/14151.6638359215)</f>
        <v>5.7171275628802254E-2</v>
      </c>
      <c r="DB144" s="2">
        <f>776.29762468929*(1/14151.6638359215)</f>
        <v>5.4855572722042452E-2</v>
      </c>
      <c r="DC144" s="2">
        <f>743.205305292051*(1/14151.6638359215)</f>
        <v>5.2517167868668245E-2</v>
      </c>
      <c r="DD144" s="2">
        <f>709.897069031766*(1/14151.6638359215)</f>
        <v>5.0163505667073414E-2</v>
      </c>
      <c r="DE144" s="2">
        <f>676.350943827208*(1/14151.6638359215)</f>
        <v>4.7793033502563177E-2</v>
      </c>
      <c r="DF144" s="2">
        <f>641.441631573493*(1/14151.6638359215)</f>
        <v>4.5326234357355687E-2</v>
      </c>
      <c r="DG144" s="2">
        <f>605.215103334384*(1/14151.6638359215)</f>
        <v>4.2766356687907778E-2</v>
      </c>
      <c r="DH144" s="2">
        <f>568.091506620272*(1/14151.6638359215)</f>
        <v>4.0143089406792717E-2</v>
      </c>
      <c r="DI144" s="2">
        <f>530.490988941575*(1/14151.6638359215)</f>
        <v>3.7486121426585708E-2</v>
      </c>
      <c r="DJ144" s="2">
        <f>492.833697808684*(1/14151.6638359215)</f>
        <v>3.4825141659860004E-2</v>
      </c>
      <c r="DK144" s="2">
        <f>455.539780732*(1/14151.6638359215)</f>
        <v>3.2189839019189578E-2</v>
      </c>
      <c r="DL144" s="2">
        <f>419.029385221925*(1/14151.6638359215)</f>
        <v>2.9609902417148497E-2</v>
      </c>
      <c r="DM144" s="2">
        <f>383.722658788852*(1/14151.6638359215)</f>
        <v>2.7115020766310165E-2</v>
      </c>
      <c r="DN144" s="2">
        <f>350.039748943196*(1/14151.6638359215)</f>
        <v>2.4734882979249542E-2</v>
      </c>
      <c r="DO144" s="2">
        <f>318.400803195349*(1/14151.6638359215)</f>
        <v>2.249917796853998E-2</v>
      </c>
      <c r="DP144" s="2">
        <f>288.470981822597*(1/14151.6638359215)</f>
        <v>2.0384244931706503E-2</v>
      </c>
      <c r="DQ144" s="2">
        <f>259.065243867712*(1/14151.6638359215)</f>
        <v>1.8306345237661781E-2</v>
      </c>
      <c r="DR144" s="2">
        <f>230.358205167546*(1/14151.6638359215)</f>
        <v>1.6277817777357203E-2</v>
      </c>
      <c r="DS144" s="2">
        <f>202.563477811167*(1/14151.6638359215)</f>
        <v>1.4313757036610449E-2</v>
      </c>
      <c r="DT144" s="2">
        <f>175.894673887637*(1/14151.6638359215)</f>
        <v>1.2429257501238789E-2</v>
      </c>
      <c r="DU144" s="2">
        <f>150.56540548603*(1/14151.6638359215)</f>
        <v>1.063941365706033E-2</v>
      </c>
      <c r="DV144" s="2">
        <f>126.789284695411*(1/14151.6638359215)</f>
        <v>8.9593199898925519E-3</v>
      </c>
      <c r="DW144" s="2">
        <f>104.779923604844*(1/14151.6638359215)</f>
        <v>7.4040709855528559E-3</v>
      </c>
      <c r="DX144" s="2">
        <f>84.7509343033961*(1/14151.6638359215)</f>
        <v>5.9887611298588663E-3</v>
      </c>
      <c r="DY144" s="2">
        <f>66.9159288801318*(1/14151.6638359215)</f>
        <v>4.7284849086280251E-3</v>
      </c>
      <c r="DZ144" s="2">
        <f>51.5029821961456*(1/14151.6638359215)</f>
        <v>3.6393587915375986E-3</v>
      </c>
      <c r="EA144" s="2">
        <f>38.8948726407474*(1/14151.6638359215)</f>
        <v>2.7484310743744233E-3</v>
      </c>
      <c r="EB144" s="2">
        <f>28.9168061500694*(1/14151.6638359215)</f>
        <v>2.0433502721191833E-3</v>
      </c>
      <c r="EC144" s="2">
        <f>21.2101784257235*(1/14151.6638359215)</f>
        <v>1.4987763044431008E-3</v>
      </c>
      <c r="ED144" s="2">
        <f>15.4163851693217*(1/14151.6638359215)</f>
        <v>1.0893690910174058E-3</v>
      </c>
      <c r="EE144" s="2">
        <f>11.1768220824752*(1/14151.6638359215)</f>
        <v>7.8978855151327226E-4</v>
      </c>
      <c r="EF144" s="2">
        <f>8.13288486679764*(1/14151.6638359215)</f>
        <v>5.7469460560204578E-4</v>
      </c>
      <c r="EG144" s="2">
        <f>5.92596922389996*(1/14151.6638359215)</f>
        <v>4.1874717295488139E-4</v>
      </c>
      <c r="EH144" s="2">
        <f>4.19747085539414*(1/14151.6638359215)</f>
        <v>2.9660617324300782E-4</v>
      </c>
      <c r="EI144" s="2">
        <f>2.58878546289213*(1/14151.6638359215)</f>
        <v>1.8293152613765141E-4</v>
      </c>
      <c r="EJ144" s="2">
        <f>0.741308748005487*(1/14151.6638359215)</f>
        <v>5.2383151310011026E-5</v>
      </c>
      <c r="EK144" s="2">
        <f>-1.2509122898886*(1/14151.6638359215)</f>
        <v>-8.839330162107018E-5</v>
      </c>
      <c r="EL144" s="2">
        <f>-2.2893781800074*(1/14151.6638359215)</f>
        <v>-1.6177448860792026E-4</v>
      </c>
      <c r="EM144" s="2">
        <f>-2.45692348606689*(1/14151.6638359215)</f>
        <v>-1.7361375415309285E-4</v>
      </c>
      <c r="EN144" s="2">
        <f>-1.92689043397795*(1/14151.6638359215)</f>
        <v>-1.3615999194998391E-4</v>
      </c>
      <c r="EO144" s="2">
        <f>-0.872621249651431*(1/14151.6638359215)</f>
        <v>-6.1662095691987544E-5</v>
      </c>
      <c r="EP144" s="2">
        <f>0.53254184100179*(1/14151.6638359215)</f>
        <v>3.7631040927500456E-5</v>
      </c>
      <c r="EQ144" s="2">
        <f>2.11525661207116*(1/14151.6638359215)</f>
        <v>1.494705242151071E-4</v>
      </c>
      <c r="ER144" s="2">
        <f>3.70218083764518*(1/14151.6638359215)</f>
        <v>2.6160746047739262E-4</v>
      </c>
      <c r="ES144" s="2">
        <f>5.11997229181328*(1/14151.6638359215)</f>
        <v>3.6179295602098281E-4</v>
      </c>
      <c r="ET144" s="2">
        <f>6.19528874866459*(1/14151.6638359215)</f>
        <v>4.3777811715248232E-4</v>
      </c>
      <c r="EU144" s="2">
        <f>6.75919044186708*(1/14151.6638359215)</f>
        <v>4.7762514148407545E-4</v>
      </c>
      <c r="EV144" s="2">
        <f>7.02156634235266*(1/14151.6638359215)</f>
        <v>4.9616542787920485E-4</v>
      </c>
      <c r="EW144" s="2">
        <f>7.18956242440452*(1/14151.6638359215)</f>
        <v>5.080365466394902E-4</v>
      </c>
      <c r="EX144" s="2">
        <f>7.27870449028854*(1/14151.6638359215)</f>
        <v>5.1433559860380757E-4</v>
      </c>
      <c r="EY144" s="2">
        <f>7.30451834227054*(1/14151.6638359215)</f>
        <v>5.1615968461102854E-4</v>
      </c>
      <c r="EZ144" s="2">
        <f>7.28252978261636*(1/14151.6638359215)</f>
        <v>5.1460590550002642E-4</v>
      </c>
      <c r="FA144" s="2">
        <f>7.2282646135918*(1/14151.6638359215)</f>
        <v>5.1077136210967127E-4</v>
      </c>
      <c r="FB144" s="2">
        <f>7.15724863746269*(1/14151.6638359215)</f>
        <v>5.0575315527883575E-4</v>
      </c>
      <c r="FC144" s="2">
        <f>7.08500765649486*(1/14151.6638359215)</f>
        <v>5.0064838584639208E-4</v>
      </c>
      <c r="FD144" s="2">
        <f>7.02706747295414*(1/14151.6638359215)</f>
        <v>4.9655415465121281E-4</v>
      </c>
      <c r="FE144" s="2">
        <f>6.99895388910634*(1/14151.6638359215)</f>
        <v>4.9456756253216897E-4</v>
      </c>
      <c r="FF144" s="2">
        <f>7.00708418601496*(1/14151.6638359215)</f>
        <v>4.9514207426470339E-4</v>
      </c>
      <c r="FG144" s="2">
        <f>7.0177104650374*(1/14151.6638359215)</f>
        <v>4.9589295975390412E-4</v>
      </c>
      <c r="FH144" s="2">
        <f>7.02581792236563*(1/14151.6638359215)</f>
        <v>4.9646585757159043E-4</v>
      </c>
      <c r="FI144" s="2">
        <f>7.03140655799965*(1/14151.6638359215)</f>
        <v>4.9686076771776231E-4</v>
      </c>
      <c r="FJ144" s="2">
        <f>7.03447637193947*(1/14151.6638359215)</f>
        <v>4.9707769019242064E-4</v>
      </c>
      <c r="FK144" s="2">
        <f>7.03502736418507*(1/14151.6638359215)</f>
        <v>4.971166249955638E-4</v>
      </c>
      <c r="FL144" s="2">
        <f>7.03305953473648*(1/14151.6638359215)</f>
        <v>4.9697757212719394E-4</v>
      </c>
      <c r="FM144" s="2">
        <f>7.02857288359367*(1/14151.6638359215)</f>
        <v>4.9666053158730912E-4</v>
      </c>
      <c r="FN144" s="2">
        <f>7.02156741075665*(1/14151.6638359215)</f>
        <v>4.9616550337590987E-4</v>
      </c>
      <c r="FO144" s="2">
        <f>7.01204311622543*(1/14151.6638359215)</f>
        <v>4.9549248749299697E-4</v>
      </c>
      <c r="FP144" s="2">
        <f t="shared" si="19"/>
        <v>4.9464148393856954E-4</v>
      </c>
      <c r="FQ144" s="2"/>
    </row>
    <row r="145" spans="2:173">
      <c r="B145" s="2">
        <v>10.644378698224852</v>
      </c>
      <c r="C145" s="2">
        <f t="shared" si="21"/>
        <v>4.9464148393856954E-4</v>
      </c>
      <c r="D145" s="2">
        <f t="shared" si="21"/>
        <v>4.9464148393856954E-4</v>
      </c>
      <c r="E145" s="2">
        <f t="shared" si="21"/>
        <v>4.9464148393856954E-4</v>
      </c>
      <c r="F145" s="2">
        <f t="shared" si="21"/>
        <v>4.9464148393856954E-4</v>
      </c>
      <c r="G145" s="2">
        <f t="shared" si="21"/>
        <v>4.9464148393856954E-4</v>
      </c>
      <c r="H145" s="2">
        <f t="shared" si="21"/>
        <v>4.9464148393856954E-4</v>
      </c>
      <c r="I145" s="2">
        <f t="shared" si="21"/>
        <v>4.9464148393856954E-4</v>
      </c>
      <c r="J145" s="2">
        <f t="shared" si="22"/>
        <v>4.9464148393856954E-4</v>
      </c>
      <c r="K145" s="2">
        <f t="shared" si="22"/>
        <v>4.9464148393856954E-4</v>
      </c>
      <c r="L145" s="2">
        <f t="shared" si="22"/>
        <v>4.9464148393856954E-4</v>
      </c>
      <c r="M145" s="2">
        <f t="shared" si="22"/>
        <v>4.9464148393856954E-4</v>
      </c>
      <c r="N145" s="2">
        <f>7.00149586954429*(1/14151.6638359215)</f>
        <v>4.9474718667159325E-4</v>
      </c>
      <c r="O145" s="2">
        <f>7.01455429432901*(1/14151.6638359215)</f>
        <v>4.9566993504493808E-4</v>
      </c>
      <c r="P145" s="2">
        <f>7.03726105882999*(1/14151.6638359215)</f>
        <v>4.9727446471468223E-4</v>
      </c>
      <c r="Q145" s="2">
        <f>7.06498495998343*(1/14151.6638359215)</f>
        <v>4.9923352065855411E-4</v>
      </c>
      <c r="R145" s="2">
        <f>7.09309479472552*(1/14151.6638359215)</f>
        <v>5.0121984785428202E-4</v>
      </c>
      <c r="S145" s="2">
        <f>7.11695935999245*(1/14151.6638359215)</f>
        <v>5.0290619127959396E-4</v>
      </c>
      <c r="T145" s="2">
        <f>7.13194745272042*(1/14151.6638359215)</f>
        <v>5.0396529591221855E-4</v>
      </c>
      <c r="U145" s="2">
        <f>7.13342786984564*(1/14151.6638359215)</f>
        <v>5.0406990672988519E-4</v>
      </c>
      <c r="V145" s="2">
        <f>7.11676940830429*(1/14151.6638359215)</f>
        <v>5.0289276871032132E-4</v>
      </c>
      <c r="W145" s="2">
        <f>7.07734086503257*(1/14151.6638359215)</f>
        <v>5.0010662683125568E-4</v>
      </c>
      <c r="X145" s="2">
        <f>7.01051103696665*(1/14151.6638359215)</f>
        <v>4.9538422607041486E-4</v>
      </c>
      <c r="Y145" s="2">
        <f>6.91089989806002*(1/14151.6638359215)</f>
        <v>4.8834539727533107E-4</v>
      </c>
      <c r="Z145" s="2">
        <f>6.77895656944845*(1/14151.6638359215)</f>
        <v>4.7902187672387085E-4</v>
      </c>
      <c r="AA145" s="2">
        <f>6.62071146229667*(1/14151.6638359215)</f>
        <v>4.6783979177707452E-4</v>
      </c>
      <c r="AB145" s="2">
        <f>6.44223814688503*(1/14151.6638359215)</f>
        <v>4.5522831955155309E-4</v>
      </c>
      <c r="AC145" s="2">
        <f>6.24961019349386*(1/14151.6638359215)</f>
        <v>4.4161663716391623E-4</v>
      </c>
      <c r="AD145" s="2">
        <f>6.04890117240348*(1/14151.6638359215)</f>
        <v>4.2743392173077294E-4</v>
      </c>
      <c r="AE145" s="2">
        <f>5.8461846538943*(1/14151.6638359215)</f>
        <v>4.1310935036873841E-4</v>
      </c>
      <c r="AF145" s="2">
        <f>5.64753420824663*(1/14151.6638359215)</f>
        <v>3.9907210019442106E-4</v>
      </c>
      <c r="AG145" s="2">
        <f>5.45902340574081*(1/14151.6638359215)</f>
        <v>3.8575134832443119E-4</v>
      </c>
      <c r="AH145" s="2">
        <f>5.28672581665718*(1/14151.6638359215)</f>
        <v>3.7357627187537906E-4</v>
      </c>
      <c r="AI145" s="2">
        <f>5.06001894551149*(1/14151.6638359215)</f>
        <v>3.5755646856643991E-4</v>
      </c>
      <c r="AJ145" s="2">
        <f>3.79054413241699*(1/14151.6638359215)</f>
        <v>2.678514820847682E-4</v>
      </c>
      <c r="AK145" s="2">
        <f>1.52514652056492*(1/14151.6638359215)</f>
        <v>1.0777153402228258E-4</v>
      </c>
      <c r="AL145" s="2">
        <f>-1.28289035796963*(1/14151.6638359215)</f>
        <v>-9.065297005665436E-5</v>
      </c>
      <c r="AM145" s="2">
        <f>-4.18028297111154*(1/14151.6638359215)</f>
        <v>-2.9539162458767779E-4</v>
      </c>
      <c r="AN145" s="2">
        <f>-6.71374778678572*(1/14151.6638359215)</f>
        <v>-4.7441402400642509E-4</v>
      </c>
      <c r="AO145" s="2">
        <f>-8.43000127291705*(1/14151.6638359215)</f>
        <v>-5.9568976274853138E-4</v>
      </c>
      <c r="AP145" s="2">
        <f>-8.87575989743037*(1/14151.6638359215)</f>
        <v>-6.2718843524962918E-4</v>
      </c>
      <c r="AQ145" s="2">
        <f>-7.59774012825035*(1/14151.6638359215)</f>
        <v>-5.3687963594533869E-4</v>
      </c>
      <c r="AR145" s="2">
        <f>-4.14265843330208*(1/14151.6638359215)</f>
        <v>-2.9273295927131009E-4</v>
      </c>
      <c r="AS145" s="2">
        <f>1.94276871948955*(1/14151.6638359215)</f>
        <v>1.3728200033682079E-4</v>
      </c>
      <c r="AT145" s="2">
        <f>10.4458927251782*(1/14151.6638359215)</f>
        <v>7.3813883980646477E-4</v>
      </c>
      <c r="AU145" s="2">
        <f>20.0635594087958*(1/14151.6638359215)</f>
        <v>1.4177526855794862E-3</v>
      </c>
      <c r="AV145" s="2">
        <f>30.9257263435389*(1/14151.6638359215)</f>
        <v>2.1853067386351705E-3</v>
      </c>
      <c r="AW145" s="2">
        <f>43.2337189991292*(1/14151.6638359215)</f>
        <v>3.0550272745589139E-3</v>
      </c>
      <c r="AX145" s="2">
        <f>57.1888628452862*(1/14151.6638359215)</f>
        <v>4.041140568935956E-3</v>
      </c>
      <c r="AY145" s="2">
        <f>72.9924833517297*(1/14151.6638359215)</f>
        <v>5.1578728973515594E-3</v>
      </c>
      <c r="AZ145" s="2">
        <f>90.8459059881795*(1/14151.6638359215)</f>
        <v>6.4194505353909843E-3</v>
      </c>
      <c r="BA145" s="2">
        <f>110.950456224359*(1/14151.6638359215)</f>
        <v>7.8400997586397479E-3</v>
      </c>
      <c r="BB145" s="2">
        <f>133.507459529981*(1/14151.6638359215)</f>
        <v>9.4340468426826161E-3</v>
      </c>
      <c r="BC145" s="2">
        <f>158.718241374768*(1/14151.6638359215)</f>
        <v>1.1215518063105046E-2</v>
      </c>
      <c r="BD145" s="2">
        <f>186.807835450155*(1/14151.6638359215)</f>
        <v>1.3200414991202399E-2</v>
      </c>
      <c r="BE145" s="2">
        <f>218.669402881028*(1/14151.6638359215)</f>
        <v>1.5451851133290371E-2</v>
      </c>
      <c r="BF145" s="2">
        <f>254.237545994655*(1/14151.6638359215)</f>
        <v>1.7965205289099496E-2</v>
      </c>
      <c r="BG145" s="2">
        <f>292.913667010605*(1/14151.6638359215)</f>
        <v>2.069817870228767E-2</v>
      </c>
      <c r="BH145" s="2">
        <f>334.099168148423*(1/14151.6638359215)</f>
        <v>2.3608472616511091E-2</v>
      </c>
      <c r="BI145" s="2">
        <f>377.195451627674*(1/14151.6638359215)</f>
        <v>2.665378827542737E-2</v>
      </c>
      <c r="BJ145" s="2">
        <f>421.603919667919*(1/14151.6638359215)</f>
        <v>2.9791826922693845E-2</v>
      </c>
      <c r="BK145" s="2">
        <f>466.725974488718*(1/14151.6638359215)</f>
        <v>3.2980289801967773E-2</v>
      </c>
      <c r="BL145" s="2">
        <f>511.963018309629*(1/14151.6638359215)</f>
        <v>3.6176878156906275E-2</v>
      </c>
      <c r="BM145" s="2">
        <f>556.716453350221*(1/14151.6638359215)</f>
        <v>3.9339293231167242E-2</v>
      </c>
      <c r="BN145" s="2">
        <f>600.387681830037*(1/14151.6638359215)</f>
        <v>4.2425236268406746E-2</v>
      </c>
      <c r="BO145" s="2">
        <f>643.533362688119*(1/14151.6638359215)</f>
        <v>4.5474042497718414E-2</v>
      </c>
      <c r="BP145" s="2">
        <f>689.672826747355*(1/14151.6638359215)</f>
        <v>4.8734398636345662E-2</v>
      </c>
      <c r="BQ145" s="2">
        <f>738.122251793001*(1/14151.6638359215)</f>
        <v>5.215798370785265E-2</v>
      </c>
      <c r="BR145" s="2">
        <f>787.769896386834*(1/14151.6638359215)</f>
        <v>5.566623865013097E-2</v>
      </c>
      <c r="BS145" s="2">
        <f>837.504019090603*(1/14151.6638359215)</f>
        <v>5.9180604401070279E-2</v>
      </c>
      <c r="BT145" s="2">
        <f>886.212878466083*(1/14151.6638359215)</f>
        <v>6.2622521898562072E-2</v>
      </c>
      <c r="BU145" s="2">
        <f>932.784733075041*(1/14151.6638359215)</f>
        <v>6.5913432080497256E-2</v>
      </c>
      <c r="BV145" s="2">
        <f>976.107841479245*(1/14151.6638359215)</f>
        <v>6.8974775884766831E-2</v>
      </c>
      <c r="BW145" s="2">
        <f>1015.07046224046*(1/14151.6638359215)</f>
        <v>7.1727994249261545E-2</v>
      </c>
      <c r="BX145" s="2">
        <f>1048.56085392046*(1/14151.6638359215)</f>
        <v>7.4094528111872851E-2</v>
      </c>
      <c r="BY145" s="2">
        <f>1075.47235928162*(1/14151.6638359215)</f>
        <v>7.5996177675710694E-2</v>
      </c>
      <c r="BZ145" s="2">
        <f>1096.42822249389*(1/14151.6638359215)</f>
        <v>7.7476983286643694E-2</v>
      </c>
      <c r="CA145" s="2">
        <f>1112.73492216583*(1/14151.6638359215)</f>
        <v>7.8629264732910695E-2</v>
      </c>
      <c r="CB145" s="2">
        <f>1124.77368883424*(1/14151.6638359215)</f>
        <v>7.947996093428962E-2</v>
      </c>
      <c r="CC145" s="2">
        <f>1132.92575303592*(1/14151.6638359215)</f>
        <v>8.0056010810558409E-2</v>
      </c>
      <c r="CD145" s="2">
        <f>1137.57234530769*(1/14151.6638359215)</f>
        <v>8.0384353281496387E-2</v>
      </c>
      <c r="CE145" s="2">
        <f>1139.09469618635*(1/14151.6638359215)</f>
        <v>8.0491927266881452E-2</v>
      </c>
      <c r="CF145" s="2">
        <f>1137.87403620872*(1/14151.6638359215)</f>
        <v>8.0405671686492985E-2</v>
      </c>
      <c r="CG145" s="2">
        <f>1134.2915959116*(1/14151.6638359215)</f>
        <v>8.0152525460108884E-2</v>
      </c>
      <c r="CH145" s="2">
        <f>1128.7286058318*(1/14151.6638359215)</f>
        <v>7.9759427507507752E-2</v>
      </c>
      <c r="CI145" s="2">
        <f>1121.56629650613*(1/14151.6638359215)</f>
        <v>7.925331674846825E-2</v>
      </c>
      <c r="CJ145" s="2">
        <f>1112.80996564764*(1/14151.6638359215)</f>
        <v>7.8634567535653885E-2</v>
      </c>
      <c r="CK145" s="2">
        <f>1100.62135465234*(1/14151.6638359215)</f>
        <v>7.7773282874244579E-2</v>
      </c>
      <c r="CL145" s="2">
        <f>1085.09803672661*(1/14151.6638359215)</f>
        <v>7.6676357586468402E-2</v>
      </c>
      <c r="CM145" s="2">
        <f>1066.71752987859*(1/14151.6638359215)</f>
        <v>7.537753456034732E-2</v>
      </c>
      <c r="CN145" s="2">
        <f>1045.9573521164*(1/14151.6638359215)</f>
        <v>7.3910556683901854E-2</v>
      </c>
      <c r="CO145" s="2">
        <f>1023.29502144815*(1/14151.6638359215)</f>
        <v>7.2309166845151901E-2</v>
      </c>
      <c r="CP145" s="2">
        <f>999.208055881971*(1/14151.6638359215)</f>
        <v>7.0607107932118746E-2</v>
      </c>
      <c r="CQ145" s="2">
        <f>974.173973425992*(1/14151.6638359215)</f>
        <v>6.8838122832823617E-2</v>
      </c>
      <c r="CR145" s="2">
        <f>948.670292088331*(1/14151.6638359215)</f>
        <v>6.7035954435286899E-2</v>
      </c>
      <c r="CS145" s="2">
        <f>923.174529877112*(1/14151.6638359215)</f>
        <v>6.523434562752943E-2</v>
      </c>
      <c r="CT145" s="2">
        <f>898.164204800456*(1/14151.6638359215)</f>
        <v>6.3467039297571831E-2</v>
      </c>
      <c r="CU145" s="2">
        <f>873.178711716451*(1/14151.6638359215)</f>
        <v>6.1701487672427675E-2</v>
      </c>
      <c r="CV145" s="2">
        <f>847.263684505472*(1/14151.6638359215)</f>
        <v>5.9870252313006675E-2</v>
      </c>
      <c r="CW145" s="2">
        <f>820.510038919359*(1/14151.6638359215)</f>
        <v>5.7979757605366451E-2</v>
      </c>
      <c r="CX145" s="2">
        <f>793.012611004255*(1/14151.6638359215)</f>
        <v>5.6036704955592043E-2</v>
      </c>
      <c r="CY145" s="2">
        <f>764.866236806307*(1/14151.6638359215)</f>
        <v>5.4047795769768724E-2</v>
      </c>
      <c r="CZ145" s="2">
        <f>736.165752371664*(1/14151.6638359215)</f>
        <v>5.2019731453981914E-2</v>
      </c>
      <c r="DA145" s="2">
        <f>707.005993746469*(1/14151.6638359215)</f>
        <v>4.9959213414316639E-2</v>
      </c>
      <c r="DB145" s="2">
        <f>677.481796976881*(1/14151.6638359215)</f>
        <v>4.7872943056859019E-2</v>
      </c>
      <c r="DC145" s="2">
        <f>647.687998109042*(1/14151.6638359215)</f>
        <v>4.5767621787693995E-2</v>
      </c>
      <c r="DD145" s="2">
        <f>617.719433189101*(1/14151.6638359215)</f>
        <v>4.3649951012906994E-2</v>
      </c>
      <c r="DE145" s="2">
        <f>587.550634498728*(1/14151.6638359215)</f>
        <v>4.1518131105356987E-2</v>
      </c>
      <c r="DF145" s="2">
        <f>556.116730526487*(1/14151.6638359215)</f>
        <v>3.9296914975812447E-2</v>
      </c>
      <c r="DG145" s="2">
        <f>523.465575527872*(1/14151.6638359215)</f>
        <v>3.698968415283771E-2</v>
      </c>
      <c r="DH145" s="2">
        <f>489.999200556911*(1/14151.6638359215)</f>
        <v>3.4624847384597597E-2</v>
      </c>
      <c r="DI145" s="2">
        <f>456.11963666765*(1/14151.6638359215)</f>
        <v>3.2230813419258229E-2</v>
      </c>
      <c r="DJ145" s="2">
        <f>422.22891491412*(1/14151.6638359215)</f>
        <v>2.9835991004984623E-2</v>
      </c>
      <c r="DK145" s="2">
        <f>388.729066350355*(1/14151.6638359215)</f>
        <v>2.7468788889942038E-2</v>
      </c>
      <c r="DL145" s="2">
        <f>356.022122030388*(1/14151.6638359215)</f>
        <v>2.515761582229566E-2</v>
      </c>
      <c r="DM145" s="2">
        <f>324.51011300825*(1/14151.6638359215)</f>
        <v>2.2930880550210527E-2</v>
      </c>
      <c r="DN145" s="2">
        <f>294.595070337988*(1/14151.6638359215)</f>
        <v>2.0816991821852808E-2</v>
      </c>
      <c r="DO145" s="2">
        <f>266.679025073629*(1/14151.6638359215)</f>
        <v>1.8844358385387266E-2</v>
      </c>
      <c r="DP145" s="2">
        <f>240.502738385176*(1/14151.6638359215)</f>
        <v>1.6994661629447575E-2</v>
      </c>
      <c r="DQ145" s="2">
        <f>215.021928388445*(1/14151.6638359215)</f>
        <v>1.5194109391056181E-2</v>
      </c>
      <c r="DR145" s="2">
        <f>190.350258078777*(1/14151.6638359215)</f>
        <v>1.3450733446310849E-2</v>
      </c>
      <c r="DS145" s="2">
        <f>166.635113949494*(1/14151.6638359215)</f>
        <v>1.1774948577178621E-2</v>
      </c>
      <c r="DT145" s="2">
        <f>144.023882493916*(1/14151.6638359215)</f>
        <v>1.0177169565626398E-2</v>
      </c>
      <c r="DU145" s="2">
        <f>122.663950205373*(1/14151.6638359215)</f>
        <v>8.6678111936217862E-3</v>
      </c>
      <c r="DV145" s="2">
        <f>102.702703577184*(1/14151.6638359215)</f>
        <v>7.2572882431316179E-3</v>
      </c>
      <c r="DW145" s="2">
        <f>84.2875291026724*(1/14151.6638359215)</f>
        <v>5.9560154961230344E-3</v>
      </c>
      <c r="DX145" s="2">
        <f>67.5658132751608*(1/14151.6638359215)</f>
        <v>4.7744077345631209E-3</v>
      </c>
      <c r="DY145" s="2">
        <f>52.6849425879695*(1/14151.6638359215)</f>
        <v>3.7228797404187963E-3</v>
      </c>
      <c r="DZ145" s="2">
        <f>39.810461170734*(1/14151.6638359215)</f>
        <v>2.8131293699672384E-3</v>
      </c>
      <c r="EA145" s="2">
        <f>29.3665802640889*(1/14151.6638359215)</f>
        <v>2.0751326914328632E-3</v>
      </c>
      <c r="EB145" s="2">
        <f>21.2373065731184*(1/14151.6638359215)</f>
        <v>1.500693262597946E-3</v>
      </c>
      <c r="EC145" s="2">
        <f>15.0990765056268*(1/14151.6638359215)</f>
        <v>1.0669470869778901E-3</v>
      </c>
      <c r="ED145" s="2">
        <f>10.6283264694184*(1/14151.6638359215)</f>
        <v>7.5103016808809929E-4</v>
      </c>
      <c r="EE145" s="2">
        <f>7.5014928722972*(1/14151.6638359215)</f>
        <v>5.3007850944395557E-4</v>
      </c>
      <c r="EF145" s="2">
        <f>5.39501212206858*(1/14151.6638359215)</f>
        <v>3.8122811456093903E-4</v>
      </c>
      <c r="EG145" s="2">
        <f>3.98532062653623*(1/14151.6638359215)</f>
        <v>2.8161498695441009E-4</v>
      </c>
      <c r="EH145" s="2">
        <f>2.94885479350452*(1/14151.6638359215)</f>
        <v>2.0837513013977714E-4</v>
      </c>
      <c r="EI145" s="2">
        <f>1.96205103077779*(1/14151.6638359215)</f>
        <v>1.3864454763244657E-4</v>
      </c>
      <c r="EJ145" s="2">
        <f>0.701345746160113*(1/14151.6638359215)</f>
        <v>4.9559242947805947E-5</v>
      </c>
      <c r="EK145" s="2">
        <f>-0.760282959547925*(1/14151.6638359215)</f>
        <v>-5.3723927331999012E-5</v>
      </c>
      <c r="EL145" s="2">
        <f>-1.46035903860894*(1/14151.6638359215)</f>
        <v>-1.0319345170580412E-4</v>
      </c>
      <c r="EM145" s="2">
        <f>-1.46105530163242*(1/14151.6638359215)</f>
        <v>-1.0324265178796779E-4</v>
      </c>
      <c r="EN145" s="2">
        <f>-0.903505424161722*(1/14151.6638359215)</f>
        <v>-6.3844466250557267E-5</v>
      </c>
      <c r="EO145" s="2">
        <f>0.0711569182598283*(1/14151.6638359215)</f>
        <v>5.0281662343624239E-6</v>
      </c>
      <c r="EP145" s="2">
        <f>1.32179805008889*(1/14151.6638359215)</f>
        <v>9.3402306994725171E-5</v>
      </c>
      <c r="EQ145" s="2">
        <f>2.7072842957824*(1/14151.6638359215)</f>
        <v>1.9130501735848451E-4</v>
      </c>
      <c r="ER145" s="2">
        <f>4.08648197979646*(1/14151.6638359215)</f>
        <v>2.8876335865353492E-4</v>
      </c>
      <c r="ES145" s="2">
        <f>5.31825742658799*(1/14151.6638359215)</f>
        <v>3.7580439220782875E-4</v>
      </c>
      <c r="ET145" s="2">
        <f>6.26147696061366*(1/14151.6638359215)</f>
        <v>4.4245517934930067E-4</v>
      </c>
      <c r="EU145" s="2">
        <f>6.77851856082837*(1/14151.6638359215)</f>
        <v>4.7899092569046877E-4</v>
      </c>
      <c r="EV145" s="2">
        <f>7.03515931389177*(1/14151.6638359215)</f>
        <v>4.9712594896681058E-4</v>
      </c>
      <c r="EW145" s="2">
        <f>7.19882517392*(1/14151.6638359215)</f>
        <v>5.0869108094887426E-4</v>
      </c>
      <c r="EX145" s="2">
        <f>7.28483502283356*(1/14151.6638359215)</f>
        <v>5.1476880084886506E-4</v>
      </c>
      <c r="EY145" s="2">
        <f>7.30850774255285*(1/14151.6638359215)</f>
        <v>5.1644158787898093E-4</v>
      </c>
      <c r="EZ145" s="2">
        <f>7.2851622149983*(1/14151.6638359215)</f>
        <v>5.1479192125142216E-4</v>
      </c>
      <c r="FA145" s="2">
        <f>7.23011732209032*(1/14151.6638359215)</f>
        <v>5.1090228017838747E-4</v>
      </c>
      <c r="FB145" s="2">
        <f>7.15869194574932*(1/14151.6638359215)</f>
        <v>5.0585514387207564E-4</v>
      </c>
      <c r="FC145" s="2">
        <f>7.08620496789575*(1/14151.6638359215)</f>
        <v>5.007329915446882E-4</v>
      </c>
      <c r="FD145" s="2">
        <f>7.02797527045001*(1/14151.6638359215)</f>
        <v>4.9661830240842317E-4</v>
      </c>
      <c r="FE145" s="2">
        <f>6.99932173533252*(1/14151.6638359215)</f>
        <v>4.9459355567548022E-4</v>
      </c>
      <c r="FF145" s="2">
        <f>7.00657611720425*(1/14151.6638359215)</f>
        <v>4.9510617256320725E-4</v>
      </c>
      <c r="FG145" s="2">
        <f>7.01644029301062*(1/14151.6638359215)</f>
        <v>4.9580320550016361E-4</v>
      </c>
      <c r="FH145" s="2">
        <f>7.02396629381104*(1/14151.6638359215)</f>
        <v>4.9633501581502679E-4</v>
      </c>
      <c r="FI145" s="2">
        <f>7.0291541196055*(1/14151.6638359215)</f>
        <v>4.9670160350779625E-4</v>
      </c>
      <c r="FJ145" s="2">
        <f>7.03200377039401*(1/14151.6638359215)</f>
        <v>4.9690296857847276E-4</v>
      </c>
      <c r="FK145" s="2">
        <f>7.03251524617656*(1/14151.6638359215)</f>
        <v>4.9693911102705545E-4</v>
      </c>
      <c r="FL145" s="2">
        <f>7.03068854695316*(1/14151.6638359215)</f>
        <v>4.9681003085354518E-4</v>
      </c>
      <c r="FM145" s="2">
        <f>7.0265236727238*(1/14151.6638359215)</f>
        <v>4.9651572805794119E-4</v>
      </c>
      <c r="FN145" s="2">
        <f>7.02002062348849*(1/14151.6638359215)</f>
        <v>4.9605620264024414E-4</v>
      </c>
      <c r="FO145" s="2">
        <f>7.01117939924722*(1/14151.6638359215)</f>
        <v>4.9543145460045337E-4</v>
      </c>
      <c r="FP145" s="2">
        <f t="shared" si="19"/>
        <v>4.9464148393856954E-4</v>
      </c>
      <c r="FQ145" s="2"/>
    </row>
    <row r="146" spans="2:173">
      <c r="B146" s="2">
        <v>10.653846153846153</v>
      </c>
      <c r="C146" s="2">
        <f t="shared" si="21"/>
        <v>4.9464148393856954E-4</v>
      </c>
      <c r="D146" s="2">
        <f t="shared" si="21"/>
        <v>4.9464148393856954E-4</v>
      </c>
      <c r="E146" s="2">
        <f t="shared" si="21"/>
        <v>4.9464148393856954E-4</v>
      </c>
      <c r="F146" s="2">
        <f t="shared" si="21"/>
        <v>4.9464148393856954E-4</v>
      </c>
      <c r="G146" s="2">
        <f t="shared" si="21"/>
        <v>4.9464148393856954E-4</v>
      </c>
      <c r="H146" s="2">
        <f t="shared" si="21"/>
        <v>4.9464148393856954E-4</v>
      </c>
      <c r="I146" s="2">
        <f t="shared" si="21"/>
        <v>4.9464148393856954E-4</v>
      </c>
      <c r="J146" s="2">
        <f t="shared" si="22"/>
        <v>4.9464148393856954E-4</v>
      </c>
      <c r="K146" s="2">
        <f t="shared" si="22"/>
        <v>4.9464148393856954E-4</v>
      </c>
      <c r="L146" s="2">
        <f t="shared" si="22"/>
        <v>4.9464148393856954E-4</v>
      </c>
      <c r="M146" s="2">
        <f t="shared" si="22"/>
        <v>4.9464148393856954E-4</v>
      </c>
      <c r="N146" s="2">
        <f>7.00124970453897*(1/14151.6638359215)</f>
        <v>4.9472979189680395E-4</v>
      </c>
      <c r="O146" s="2">
        <f>7.01215919379733*(1/14151.6638359215)</f>
        <v>4.9550068989048497E-4</v>
      </c>
      <c r="P146" s="2">
        <f>7.03112926158876*(1/14151.6638359215)</f>
        <v>4.96841173102309E-4</v>
      </c>
      <c r="Q146" s="2">
        <f>7.05429083021739*(1/14151.6638359215)</f>
        <v>4.9847784062756766E-4</v>
      </c>
      <c r="R146" s="2">
        <f>7.07777482198735*(1/14151.6638359215)</f>
        <v>5.0013729156155257E-4</v>
      </c>
      <c r="S146" s="2">
        <f>7.09771215920275*(1/14151.6638359215)</f>
        <v>5.0154612499955385E-4</v>
      </c>
      <c r="T146" s="2">
        <f>7.11023376416772*(1/14151.6638359215)</f>
        <v>5.0243094003686324E-4</v>
      </c>
      <c r="U146" s="2">
        <f>7.11147055918638*(1/14151.6638359215)</f>
        <v>5.0251833576877138E-4</v>
      </c>
      <c r="V146" s="2">
        <f>7.09755346656288*(1/14151.6638359215)</f>
        <v>5.0153491129057164E-4</v>
      </c>
      <c r="W146" s="2">
        <f>7.06461340860131*(1/14151.6638359215)</f>
        <v>4.9920726569755249E-4</v>
      </c>
      <c r="X146" s="2">
        <f>7.0087813076058*(1/14151.6638359215)</f>
        <v>4.9526199808500591E-4</v>
      </c>
      <c r="Y146" s="2">
        <f>6.92949204779022*(1/14151.6638359215)</f>
        <v>4.8965917563706743E-4</v>
      </c>
      <c r="Z146" s="2">
        <f>6.83151345931999*(1/14151.6638359215)</f>
        <v>4.8273570786633578E-4</v>
      </c>
      <c r="AA146" s="2">
        <f>6.71679321580737*(1/14151.6638359215)</f>
        <v>4.7462922336792492E-4</v>
      </c>
      <c r="AB146" s="2">
        <f>6.58722657435909*(1/14151.6638359215)</f>
        <v>4.6547364682579436E-4</v>
      </c>
      <c r="AC146" s="2">
        <f>6.44470879208189*(1/14151.6638359215)</f>
        <v>4.5540290292390463E-4</v>
      </c>
      <c r="AD146" s="2">
        <f>6.29113512608246*(1/14151.6638359215)</f>
        <v>4.4455091634621255E-4</v>
      </c>
      <c r="AE146" s="2">
        <f>6.12840083346759*(1/14151.6638359215)</f>
        <v>4.3305161177668215E-4</v>
      </c>
      <c r="AF146" s="2">
        <f>5.95840117134399*(1/14151.6638359215)</f>
        <v>4.2103891389927173E-4</v>
      </c>
      <c r="AG146" s="2">
        <f>5.78303139681838*(1/14151.6638359215)</f>
        <v>4.0864674739794033E-4</v>
      </c>
      <c r="AH146" s="2">
        <f>5.6041867669975*(1/14151.6638359215)</f>
        <v>3.9600903695664825E-4</v>
      </c>
      <c r="AI146" s="2">
        <f>5.36120778777651*(1/14151.6638359215)</f>
        <v>3.7883939654982695E-4</v>
      </c>
      <c r="AJ146" s="2">
        <f>4.24672188782986*(1/14151.6638359215)</f>
        <v>3.0008640235293794E-4</v>
      </c>
      <c r="AK146" s="2">
        <f>2.30168523988432*(1/14151.6638359215)</f>
        <v>1.6264414323084034E-4</v>
      </c>
      <c r="AL146" s="2">
        <f>-0.100950644509323*(1/14151.6638359215)</f>
        <v>-7.1334823720923626E-6</v>
      </c>
      <c r="AM146" s="2">
        <f>-2.58823425380028*(1/14151.6638359215)</f>
        <v>-1.8289257601148667E-4</v>
      </c>
      <c r="AN146" s="2">
        <f>-4.78721407643778*(1/14151.6638359215)</f>
        <v>-3.3827923924297036E-4</v>
      </c>
      <c r="AO146" s="2">
        <f>-6.32493860087103*(1/14151.6638359215)</f>
        <v>-4.4693957362216944E-4</v>
      </c>
      <c r="AP146" s="2">
        <f>-6.82845631554923*(1/14151.6638359215)</f>
        <v>-4.8251968070470977E-4</v>
      </c>
      <c r="AQ146" s="2">
        <f>-5.92481570892135*(1/14151.6638359215)</f>
        <v>-4.1866566204620061E-4</v>
      </c>
      <c r="AR146" s="2">
        <f>-3.24106526943683*(1/14151.6638359215)</f>
        <v>-2.2902361920228476E-4</v>
      </c>
      <c r="AS146" s="2">
        <f>1.59574651445515*(1/14151.6638359215)</f>
        <v>1.1276034627141363E-4</v>
      </c>
      <c r="AT146" s="2">
        <f>8.38240696336213*(1/14151.6638359215)</f>
        <v>5.9232660276206314E-4</v>
      </c>
      <c r="AU146" s="2">
        <f>15.993328636318*(1/14151.6638359215)</f>
        <v>1.130137687112222E-3</v>
      </c>
      <c r="AV146" s="2">
        <f>24.5626882360526*(1/14151.6638359215)</f>
        <v>1.7356749369430719E-3</v>
      </c>
      <c r="AW146" s="2">
        <f>34.2868411659448*(1/14151.6638359215)</f>
        <v>2.4228134276984242E-3</v>
      </c>
      <c r="AX146" s="2">
        <f>45.3621428293716*(1/14151.6638359215)</f>
        <v>3.2054282348219585E-3</v>
      </c>
      <c r="AY146" s="2">
        <f>57.9849486297105*(1/14151.6638359215)</f>
        <v>4.0973944337573892E-3</v>
      </c>
      <c r="AZ146" s="2">
        <f>72.3516139703387*(1/14151.6638359215)</f>
        <v>5.1125870999484107E-3</v>
      </c>
      <c r="BA146" s="2">
        <f>88.6584942546368*(1/14151.6638359215)</f>
        <v>6.2648813088389561E-3</v>
      </c>
      <c r="BB146" s="2">
        <f>107.101944885976*(1/14151.6638359215)</f>
        <v>7.5681521358722942E-3</v>
      </c>
      <c r="BC146" s="2">
        <f>127.878321267736*(1/14151.6638359215)</f>
        <v>9.0362746564922967E-3</v>
      </c>
      <c r="BD146" s="2">
        <f>151.197658097225*(1/14151.6638359215)</f>
        <v>1.0684090567035407E-2</v>
      </c>
      <c r="BE146" s="2">
        <f>177.617113340508*(1/14151.6638359215)</f>
        <v>1.2550970359376284E-2</v>
      </c>
      <c r="BF146" s="2">
        <f>207.033827044941*(1/14151.6638359215)</f>
        <v>1.462964563357011E-2</v>
      </c>
      <c r="BG146" s="2">
        <f>239.019324985604*(1/14151.6638359215)</f>
        <v>1.6889839085839197E-2</v>
      </c>
      <c r="BH146" s="2">
        <f>273.145132937556*(1/14151.6638359215)</f>
        <v>1.9301273412404365E-2</v>
      </c>
      <c r="BI146" s="2">
        <f>308.982776675874*(1/14151.6638359215)</f>
        <v>2.1833671309487705E-2</v>
      </c>
      <c r="BJ146" s="2">
        <f>346.10378197563*(1/14151.6638359215)</f>
        <v>2.4456755473310967E-2</v>
      </c>
      <c r="BK146" s="2">
        <f>384.079674611895*(1/14151.6638359215)</f>
        <v>2.7140248600095809E-2</v>
      </c>
      <c r="BL146" s="2">
        <f>422.481980359741*(1/14151.6638359215)</f>
        <v>2.9853873386063982E-2</v>
      </c>
      <c r="BM146" s="2">
        <f>460.882224994247*(1/14151.6638359215)</f>
        <v>3.2567352527437719E-2</v>
      </c>
      <c r="BN146" s="2">
        <f>498.85193429047*(1/14151.6638359215)</f>
        <v>3.52504087204377E-2</v>
      </c>
      <c r="BO146" s="2">
        <f>536.977701481308*(1/14151.6638359215)</f>
        <v>3.7944492443233772E-2</v>
      </c>
      <c r="BP146" s="2">
        <f>578.358071243341*(1/14151.6638359215)</f>
        <v>4.0868556372522159E-2</v>
      </c>
      <c r="BQ146" s="2">
        <f>622.287313000597*(1/14151.6638359215)</f>
        <v>4.3972731419822914E-2</v>
      </c>
      <c r="BR146" s="2">
        <f>667.678847557037*(1/14151.6638359215)</f>
        <v>4.718023656428668E-2</v>
      </c>
      <c r="BS146" s="2">
        <f>713.446095716597*(1/14151.6638359215)</f>
        <v>5.0414290785062328E-2</v>
      </c>
      <c r="BT146" s="2">
        <f>758.502478283237*(1/14151.6638359215)</f>
        <v>5.3598113061300426E-2</v>
      </c>
      <c r="BU146" s="2">
        <f>801.761416060911*(1/14151.6638359215)</f>
        <v>5.6654922372151126E-2</v>
      </c>
      <c r="BV146" s="2">
        <f>842.13632985357*(1/14151.6638359215)</f>
        <v>5.9507937696764365E-2</v>
      </c>
      <c r="BW146" s="2">
        <f>878.540640465168*(1/14151.6638359215)</f>
        <v>6.208037801429029E-2</v>
      </c>
      <c r="BX146" s="2">
        <f>909.887768699658*(1/14151.6638359215)</f>
        <v>6.4295462303878961E-2</v>
      </c>
      <c r="BY146" s="2">
        <f>935.096498402766*(1/14151.6638359215)</f>
        <v>6.6076788513672061E-2</v>
      </c>
      <c r="BZ146" s="2">
        <f>954.877784821518*(1/14151.6638359215)</f>
        <v>6.7474594923441406E-2</v>
      </c>
      <c r="CA146" s="2">
        <f>970.547984351944*(1/14151.6638359215)</f>
        <v>6.8581899316204745E-2</v>
      </c>
      <c r="CB146" s="2">
        <f>982.422075260469*(1/14151.6638359215)</f>
        <v>6.9420959022978207E-2</v>
      </c>
      <c r="CC146" s="2">
        <f>990.815035813516*(1/14151.6638359215)</f>
        <v>7.0014031374777783E-2</v>
      </c>
      <c r="CD146" s="2">
        <f>996.041844277509*(1/14151.6638359215)</f>
        <v>7.0383373702619517E-2</v>
      </c>
      <c r="CE146" s="2">
        <f>998.41747891887*(1/14151.6638359215)</f>
        <v>7.0551243337519332E-2</v>
      </c>
      <c r="CF146" s="2">
        <f>998.256918004025*(1/14151.6638359215)</f>
        <v>7.053989761049341E-2</v>
      </c>
      <c r="CG146" s="2">
        <f>995.875139799397*(1/14151.6638359215)</f>
        <v>7.0371593852557729E-2</v>
      </c>
      <c r="CH146" s="2">
        <f>991.587122571411*(1/14151.6638359215)</f>
        <v>7.0068589394728431E-2</v>
      </c>
      <c r="CI146" s="2">
        <f>985.707844586489*(1/14151.6638359215)</f>
        <v>6.9653141568021409E-2</v>
      </c>
      <c r="CJ146" s="2">
        <f>978.212915652004*(1/14151.6638359215)</f>
        <v>6.9123526886568865E-2</v>
      </c>
      <c r="CK146" s="2">
        <f>967.436665782165*(1/14151.6638359215)</f>
        <v>6.8362043997010291E-2</v>
      </c>
      <c r="CL146" s="2">
        <f>953.496697845199*(1/14151.6638359215)</f>
        <v>6.7377003078953585E-2</v>
      </c>
      <c r="CM146" s="2">
        <f>936.856156779725*(1/14151.6638359215)</f>
        <v>6.620113137521548E-2</v>
      </c>
      <c r="CN146" s="2">
        <f>917.978187524363*(1/14151.6638359215)</f>
        <v>6.4867156128612768E-2</v>
      </c>
      <c r="CO146" s="2">
        <f>897.325935017733*(1/14151.6638359215)</f>
        <v>6.3407804581962268E-2</v>
      </c>
      <c r="CP146" s="2">
        <f>875.362544198451*(1/14151.6638359215)</f>
        <v>6.1855803978080499E-2</v>
      </c>
      <c r="CQ146" s="2">
        <f>852.551160005143*(1/14151.6638359215)</f>
        <v>6.0243881559784676E-2</v>
      </c>
      <c r="CR146" s="2">
        <f>829.354927376426*(1/14151.6638359215)</f>
        <v>5.8604764569891415E-2</v>
      </c>
      <c r="CS146" s="2">
        <f>806.236991250919*(1/14151.6638359215)</f>
        <v>5.6971180251217439E-2</v>
      </c>
      <c r="CT146" s="2">
        <f>783.660496567242*(1/14151.6638359215)</f>
        <v>5.5375855846579558E-2</v>
      </c>
      <c r="CU146" s="2">
        <f>761.187112879486*(1/14151.6638359215)</f>
        <v>5.3787817581374915E-2</v>
      </c>
      <c r="CV146" s="2">
        <f>737.898158710991*(1/14151.6638359215)</f>
        <v>5.2142148602906099E-2</v>
      </c>
      <c r="CW146" s="2">
        <f>713.875889152035*(1/14151.6638359215)</f>
        <v>5.0444661308304058E-2</v>
      </c>
      <c r="CX146" s="2">
        <f>689.206320323574*(1/14151.6638359215)</f>
        <v>4.8701433860670537E-2</v>
      </c>
      <c r="CY146" s="2">
        <f>663.975468346571*(1/14151.6638359215)</f>
        <v>4.6918544423107798E-2</v>
      </c>
      <c r="CZ146" s="2">
        <f>638.269349341986*(1/14151.6638359215)</f>
        <v>4.5102071158717887E-2</v>
      </c>
      <c r="DA146" s="2">
        <f>612.173979430775*(1/14151.6638359215)</f>
        <v>4.3258092230602563E-2</v>
      </c>
      <c r="DB146" s="2">
        <f>585.775374733909*(1/14151.6638359215)</f>
        <v>4.1392685801864629E-2</v>
      </c>
      <c r="DC146" s="2">
        <f>559.159551372345*(1/14151.6638359215)</f>
        <v>3.9511930035605936E-2</v>
      </c>
      <c r="DD146" s="2">
        <f>532.412525467043*(1/14151.6638359215)</f>
        <v>3.7621903094928515E-2</v>
      </c>
      <c r="DE146" s="2">
        <f>505.507255787304*(1/14151.6638359215)</f>
        <v>3.5720694163478013E-2</v>
      </c>
      <c r="DF146" s="2">
        <f>477.441935554785*(1/14151.6638359215)</f>
        <v>3.3737512499617393E-2</v>
      </c>
      <c r="DG146" s="2">
        <f>448.26445335392*(1/14151.6638359215)</f>
        <v>3.1675742057699241E-2</v>
      </c>
      <c r="DH146" s="2">
        <f>418.355960499012*(1/14151.6638359215)</f>
        <v>2.9562316159396695E-2</v>
      </c>
      <c r="DI146" s="2">
        <f>388.09760830438*(1/14151.6638359215)</f>
        <v>2.7424168126384034E-2</v>
      </c>
      <c r="DJ146" s="2">
        <f>357.870548084326*(1/14151.6638359215)</f>
        <v>2.5288231280334316E-2</v>
      </c>
      <c r="DK146" s="2">
        <f>328.05593115316*(1/14151.6638359215)</f>
        <v>2.3181438942921181E-2</v>
      </c>
      <c r="DL146" s="2">
        <f>299.034908825188*(1/14151.6638359215)</f>
        <v>2.1130724435817975E-2</v>
      </c>
      <c r="DM146" s="2">
        <f>271.188632414715*(1/14151.6638359215)</f>
        <v>1.9163021080697985E-2</v>
      </c>
      <c r="DN146" s="2">
        <f>244.898253236059*(1/14151.6638359215)</f>
        <v>1.7305262199235401E-2</v>
      </c>
      <c r="DO146" s="2">
        <f>220.544922603523*(1/14151.6638359215)</f>
        <v>1.5584381113103368E-2</v>
      </c>
      <c r="DP146" s="2">
        <f>197.942138750466*(1/14151.6638359215)</f>
        <v>1.3987199035072105E-2</v>
      </c>
      <c r="DQ146" s="2">
        <f>176.186746288943*(1/14151.6638359215)</f>
        <v>1.2449896233524433E-2</v>
      </c>
      <c r="DR146" s="2">
        <f>155.334731945918*(1/14151.6638359215)</f>
        <v>1.0976428902418402E-2</v>
      </c>
      <c r="DS146" s="2">
        <f>135.470574176554*(1/14151.6638359215)</f>
        <v>9.5727665486715335E-3</v>
      </c>
      <c r="DT146" s="2">
        <f>116.67875143601*(1/14151.6638359215)</f>
        <v>8.244878679201071E-3</v>
      </c>
      <c r="DU146" s="2">
        <f>99.0437421794539*(1/14151.6638359215)</f>
        <v>6.9987348009248815E-3</v>
      </c>
      <c r="DV146" s="2">
        <f>82.6500248620457*(1/14151.6638359215)</f>
        <v>5.8403044207602783E-3</v>
      </c>
      <c r="DW146" s="2">
        <f>67.5820779389471*(1/14151.6638359215)</f>
        <v>4.7755570456246938E-3</v>
      </c>
      <c r="DX146" s="2">
        <f>53.9243798653205*(1/14151.6638359215)</f>
        <v>3.810462182435608E-3</v>
      </c>
      <c r="DY146" s="2">
        <f>41.761409096326*(1/14151.6638359215)</f>
        <v>2.9509893381103386E-3</v>
      </c>
      <c r="DZ146" s="2">
        <f>31.1987565864314*(1/14151.6638359215)</f>
        <v>2.2045998935643785E-3</v>
      </c>
      <c r="EA146" s="2">
        <f>22.6891281163731*(1/14151.6638359215)</f>
        <v>1.6032834286793017E-3</v>
      </c>
      <c r="EB146" s="2">
        <f>16.1720727815444*(1/14151.6638359215)</f>
        <v>1.1427682970036675E-3</v>
      </c>
      <c r="EC146" s="2">
        <f>11.3624780263731*(1/14151.6638359215)</f>
        <v>8.0290757031208277E-4</v>
      </c>
      <c r="ED146" s="2">
        <f>7.97523129528699*(1/14151.6638359215)</f>
        <v>5.6355432037915384E-4</v>
      </c>
      <c r="EE146" s="2">
        <f>5.72522003271352*(1/14151.6638359215)</f>
        <v>4.0456161897946307E-4</v>
      </c>
      <c r="EF146" s="2">
        <f>4.32733168308132*(1/14151.6638359215)</f>
        <v>3.0578253788767602E-4</v>
      </c>
      <c r="EG146" s="2">
        <f>3.49645369081767*(1/14151.6638359215)</f>
        <v>2.4707014887836298E-4</v>
      </c>
      <c r="EH146" s="2">
        <f>2.94747350035039*(1/14151.6638359215)</f>
        <v>2.0827752372613241E-4</v>
      </c>
      <c r="EI146" s="2">
        <f>2.39527855610728*(1/14151.6638359215)</f>
        <v>1.6925773420559131E-4</v>
      </c>
      <c r="EJ146" s="2">
        <f>1.55475630251592*(1/14151.6638359215)</f>
        <v>1.0986385209133117E-4</v>
      </c>
      <c r="EK146" s="2">
        <f>0.479524690505045*(1/14151.6638359215)</f>
        <v>3.3884686356656964E-5</v>
      </c>
      <c r="EL146" s="2">
        <f>-0.00812463407934461*(1/14151.6638359215)</f>
        <v>-5.7411157963784165E-7</v>
      </c>
      <c r="EM146" s="2">
        <f>0.0483310251783506*(1/14151.6638359215)</f>
        <v>3.4152185734988154E-6</v>
      </c>
      <c r="EN146" s="2">
        <f>0.538268723022764*(1/14151.6638359215)</f>
        <v>3.8035719987671267E-5</v>
      </c>
      <c r="EO146" s="2">
        <f>1.35106551419853*(1/14151.6638359215)</f>
        <v>9.5470435834483906E-5</v>
      </c>
      <c r="EP146" s="2">
        <f>2.3760984534503*(1/14151.6638359215)</f>
        <v>1.6790240928554235E-4</v>
      </c>
      <c r="EQ146" s="2">
        <f>3.50274459552292*(1/14151.6638359215)</f>
        <v>2.4751468351246598E-4</v>
      </c>
      <c r="ER146" s="2">
        <f>4.62038099516058*(1/14151.6638359215)</f>
        <v>3.2649030168682767E-4</v>
      </c>
      <c r="ES146" s="2">
        <f>5.61838470710813*(1/14151.6638359215)</f>
        <v>3.9701230698024729E-4</v>
      </c>
      <c r="ET146" s="2">
        <f>6.38613278611021*(1/14151.6638359215)</f>
        <v>4.5126374256432939E-4</v>
      </c>
      <c r="EU146" s="2">
        <f>6.81572420957699*(1/14151.6638359215)</f>
        <v>4.816199910201709E-4</v>
      </c>
      <c r="EV146" s="2">
        <f>7.03495054223342*(1/14151.6638359215)</f>
        <v>4.9711119652068336E-4</v>
      </c>
      <c r="EW146" s="2">
        <f>7.17452627897856*(1/14151.6638359215)</f>
        <v>5.0697404645574549E-4</v>
      </c>
      <c r="EX146" s="2">
        <f>7.24758334066055*(1/14151.6638359215)</f>
        <v>5.1213648265611283E-4</v>
      </c>
      <c r="EY146" s="2">
        <f>7.2672536481275*(1/14151.6638359215)</f>
        <v>5.1352644695253861E-4</v>
      </c>
      <c r="EZ146" s="2">
        <f>7.2466691222275*(1/14151.6638359215)</f>
        <v>5.120718811757745E-4</v>
      </c>
      <c r="FA146" s="2">
        <f>7.19896168380867*(1/14151.6638359215)</f>
        <v>5.0870072715657481E-4</v>
      </c>
      <c r="FB146" s="2">
        <f>7.13726325371908*(1/14151.6638359215)</f>
        <v>5.0434092672568983E-4</v>
      </c>
      <c r="FC146" s="2">
        <f>7.07470575280687*(1/14151.6638359215)</f>
        <v>4.9992042171387503E-4</v>
      </c>
      <c r="FD146" s="2">
        <f>7.02442110192013*(1/14151.6638359215)</f>
        <v>4.9636715395188222E-4</v>
      </c>
      <c r="FE146" s="2">
        <f>6.99954122190696*(1/14151.6638359215)</f>
        <v>4.9460906527046386E-4</v>
      </c>
      <c r="FF146" s="2">
        <f>7.00549393063744*(1/14151.6638359215)</f>
        <v>4.9502970193902082E-4</v>
      </c>
      <c r="FG146" s="2">
        <f>7.01373482659359*(1/14151.6638359215)</f>
        <v>4.9561202893969709E-4</v>
      </c>
      <c r="FH146" s="2">
        <f>7.02002232498977*(1/14151.6638359215)</f>
        <v>4.9605632287354673E-4</v>
      </c>
      <c r="FI146" s="2">
        <f>7.02435642582597*(1/14151.6638359215)</f>
        <v>4.963625837405692E-4</v>
      </c>
      <c r="FJ146" s="2">
        <f>7.02673712910219*(1/14151.6638359215)</f>
        <v>4.9653081154076451E-4</v>
      </c>
      <c r="FK146" s="2">
        <f>7.02716443481844*(1/14151.6638359215)</f>
        <v>4.965610062741332E-4</v>
      </c>
      <c r="FL146" s="2">
        <f>7.0256383429747*(1/14151.6638359215)</f>
        <v>4.9645316794067406E-4</v>
      </c>
      <c r="FM146" s="2">
        <f>7.02215885357099*(1/14151.6638359215)</f>
        <v>4.9620729654038841E-4</v>
      </c>
      <c r="FN146" s="2">
        <f>7.01672596660731*(1/14151.6638359215)</f>
        <v>4.9582339207327624E-4</v>
      </c>
      <c r="FO146" s="2">
        <f>7.00933968208364*(1/14151.6638359215)</f>
        <v>4.9530145453933615E-4</v>
      </c>
      <c r="FP146" s="2">
        <f t="shared" si="19"/>
        <v>4.9464148393856954E-4</v>
      </c>
      <c r="FQ146" s="2"/>
    </row>
    <row r="147" spans="2:173">
      <c r="B147" s="2">
        <v>10.663313609467457</v>
      </c>
      <c r="C147" s="2">
        <f t="shared" si="21"/>
        <v>4.9464148393856954E-4</v>
      </c>
      <c r="D147" s="2">
        <f t="shared" si="21"/>
        <v>4.9464148393856954E-4</v>
      </c>
      <c r="E147" s="2">
        <f t="shared" si="21"/>
        <v>4.9464148393856954E-4</v>
      </c>
      <c r="F147" s="2">
        <f>7*(1/14151.6638359215)</f>
        <v>4.9464148393856954E-4</v>
      </c>
      <c r="G147" s="2">
        <f t="shared" si="21"/>
        <v>4.9464148393856954E-4</v>
      </c>
      <c r="H147" s="2">
        <f t="shared" si="21"/>
        <v>4.9464148393856954E-4</v>
      </c>
      <c r="I147" s="2">
        <f t="shared" si="21"/>
        <v>4.9464148393856954E-4</v>
      </c>
      <c r="J147" s="2">
        <f t="shared" si="22"/>
        <v>4.9464148393856954E-4</v>
      </c>
      <c r="K147" s="2">
        <f t="shared" si="22"/>
        <v>4.9464148393856954E-4</v>
      </c>
      <c r="L147" s="2">
        <f t="shared" si="22"/>
        <v>4.9464148393856954E-4</v>
      </c>
      <c r="M147" s="2">
        <f t="shared" si="22"/>
        <v>4.9464148393856954E-4</v>
      </c>
      <c r="N147" s="2">
        <f>7.00092841875739*(1/14151.6638359215)</f>
        <v>4.9470708885740835E-4</v>
      </c>
      <c r="O147" s="2">
        <f>7.00903319404237*(1/14151.6638359215)</f>
        <v>4.9527979715368708E-4</v>
      </c>
      <c r="P147" s="2">
        <f>7.02312625861664*(1/14151.6638359215)</f>
        <v>4.9627565635000984E-4</v>
      </c>
      <c r="Q147" s="2">
        <f>7.04033323362134*(1/14151.6638359215)</f>
        <v>4.974915540143553E-4</v>
      </c>
      <c r="R147" s="2">
        <f>7.05777974019762*(1/14151.6638359215)</f>
        <v>4.9872437771470324E-4</v>
      </c>
      <c r="S147" s="2">
        <f>7.07259139948661*(1/14151.6638359215)</f>
        <v>4.9977101501903157E-4</v>
      </c>
      <c r="T147" s="2">
        <f>7.08189383262944*(1/14151.6638359215)</f>
        <v>5.0042835349531855E-4</v>
      </c>
      <c r="U147" s="2">
        <f>7.08281266076727*(1/14151.6638359215)</f>
        <v>5.0049328071154436E-4</v>
      </c>
      <c r="V147" s="2">
        <f>7.07247350504122*(1/14151.6638359215)</f>
        <v>4.9976268423568651E-4</v>
      </c>
      <c r="W147" s="2">
        <f>7.04800198659245*(1/14151.6638359215)</f>
        <v>4.9803345163572507E-4</v>
      </c>
      <c r="X147" s="2">
        <f>7.00652372656207*(1/14151.6638359215)</f>
        <v>4.9510247047963689E-4</v>
      </c>
      <c r="Y147" s="2">
        <f>6.94759316997014*(1/14151.6638359215)</f>
        <v>4.9093825648507147E-4</v>
      </c>
      <c r="Z147" s="2">
        <f>6.87472363256074*(1/14151.6638359215)</f>
        <v>4.8578907132534253E-4</v>
      </c>
      <c r="AA147" s="2">
        <f>6.78938229242996*(1/14151.6638359215)</f>
        <v>4.7975859030768608E-4</v>
      </c>
      <c r="AB147" s="2">
        <f>6.69299796607753*(1/14151.6638359215)</f>
        <v>4.7294777799120248E-4</v>
      </c>
      <c r="AC147" s="2">
        <f>6.58699947000318*(1/14151.6638359215)</f>
        <v>4.65457598934992E-4</v>
      </c>
      <c r="AD147" s="2">
        <f>6.47281562070663*(1/14151.6638359215)</f>
        <v>4.5738901769815435E-4</v>
      </c>
      <c r="AE147" s="2">
        <f>6.35187523468765*(1/14151.6638359215)</f>
        <v>4.4884299883979275E-4</v>
      </c>
      <c r="AF147" s="2">
        <f>6.22560712844596*(1/14151.6638359215)</f>
        <v>4.3992050691900661E-4</v>
      </c>
      <c r="AG147" s="2">
        <f>6.09544011848129*(1/14151.6638359215)</f>
        <v>4.3072250649489645E-4</v>
      </c>
      <c r="AH147" s="2">
        <f>5.96280302129336*(1/14151.6638359215)</f>
        <v>4.2134996212656191E-4</v>
      </c>
      <c r="AI147" s="2">
        <f>5.77981429164608*(1/14151.6638359215)</f>
        <v>4.0841941687273846E-4</v>
      </c>
      <c r="AJ147" s="2">
        <f>4.91001551304096*(1/14151.6638359215)</f>
        <v>3.4695676564742539E-4</v>
      </c>
      <c r="AK147" s="2">
        <f>3.38574998355933*(1/14151.6638359215)</f>
        <v>2.3924748515896779E-4</v>
      </c>
      <c r="AL147" s="2">
        <f>1.50107528813875*(1/14151.6638359215)</f>
        <v>1.0607058686120959E-4</v>
      </c>
      <c r="AM147" s="2">
        <f>-0.449950988283216*(1/14151.6638359215)</f>
        <v>-3.1794917792005129E-5</v>
      </c>
      <c r="AN147" s="2">
        <f>-2.173271260769*(1/14151.6638359215)</f>
        <v>-1.5357001734683201E-4</v>
      </c>
      <c r="AO147" s="2">
        <f>-3.37482794438106*(1/14151.6638359215)</f>
        <v>-2.3847570034942853E-4</v>
      </c>
      <c r="AP147" s="2">
        <f>-3.76056345418178*(1/14151.6638359215)</f>
        <v>-2.6573295534594696E-4</v>
      </c>
      <c r="AQ147" s="2">
        <f>-3.03642020523345*(1/14151.6638359215)</f>
        <v>-2.1456277088253279E-4</v>
      </c>
      <c r="AR147" s="2">
        <f>-0.908340612598626*(1/14151.6638359215)</f>
        <v>-6.4186135505350523E-5</v>
      </c>
      <c r="AS147" s="2">
        <f>2.91773290866023*(1/14151.6638359215)</f>
        <v>2.0617596223944216E-4</v>
      </c>
      <c r="AT147" s="2">
        <f>8.25416141122219*(1/14151.6638359215)</f>
        <v>5.8326437844506023E-4</v>
      </c>
      <c r="AU147" s="2">
        <f>14.1616625808454*(1/14151.6638359215)</f>
        <v>1.0007065420038117E-3</v>
      </c>
      <c r="AV147" s="2">
        <f>20.7724731601514*(1/14151.6638359215)</f>
        <v>1.4678467070016279E-3</v>
      </c>
      <c r="AW147" s="2">
        <f>28.2712117391523*(1/14151.6638359215)</f>
        <v>1.9977305896279715E-3</v>
      </c>
      <c r="AX147" s="2">
        <f>36.8424969078589*(1/14151.6638359215)</f>
        <v>2.6034039060722123E-3</v>
      </c>
      <c r="AY147" s="2">
        <f>46.6709472562823*(1/14151.6638359215)</f>
        <v>3.2979123725237411E-3</v>
      </c>
      <c r="AZ147" s="2">
        <f>57.9411813744331*(1/14151.6638359215)</f>
        <v>4.0943017051719138E-3</v>
      </c>
      <c r="BA147" s="2">
        <f>70.837817852325*(1/14151.6638359215)</f>
        <v>5.0056176202063051E-3</v>
      </c>
      <c r="BB147" s="2">
        <f>85.5454752799642*(1/14151.6638359215)</f>
        <v>6.0449058338159578E-3</v>
      </c>
      <c r="BC147" s="2">
        <f>102.248772247364*(1/14151.6638359215)</f>
        <v>7.225212062190422E-3</v>
      </c>
      <c r="BD147" s="2">
        <f>121.136826529877*(1/14151.6638359215)</f>
        <v>8.5598999477639204E-3</v>
      </c>
      <c r="BE147" s="2">
        <f>142.455483371387*(1/14151.6638359215)</f>
        <v>1.0066341670001299E-2</v>
      </c>
      <c r="BF147" s="2">
        <f>166.073428236616*(1/14151.6638359215)</f>
        <v>1.1735258140817896E-2</v>
      </c>
      <c r="BG147" s="2">
        <f>191.725358879043*(1/14151.6638359215)</f>
        <v>1.3547902289226376E-2</v>
      </c>
      <c r="BH147" s="2">
        <f>219.145973052131*(1/14151.6638359215)</f>
        <v>1.5485527044238265E-2</v>
      </c>
      <c r="BI147" s="2">
        <f>248.069968509362*(1/14151.6638359215)</f>
        <v>1.7529385334866435E-2</v>
      </c>
      <c r="BJ147" s="2">
        <f>278.232043004207*(1/14151.6638359215)</f>
        <v>1.966073009012298E-2</v>
      </c>
      <c r="BK147" s="2">
        <f>309.366894290143*(1/14151.6638359215)</f>
        <v>2.1860814239020417E-2</v>
      </c>
      <c r="BL147" s="2">
        <f>341.209220120644*(1/14151.6638359215)</f>
        <v>2.4110890710571053E-2</v>
      </c>
      <c r="BM147" s="2">
        <f>373.493718249189*(1/14151.6638359215)</f>
        <v>2.6392212433787549E-2</v>
      </c>
      <c r="BN147" s="2">
        <f>405.955086429242*(1/14151.6638359215)</f>
        <v>2.8686032337681501E-2</v>
      </c>
      <c r="BO147" s="2">
        <f>439.202565336172*(1/14151.6638359215)</f>
        <v>3.1035401238215809E-2</v>
      </c>
      <c r="BP147" s="2">
        <f>475.912433031273*(1/14151.6638359215)</f>
        <v>3.3629433157057714E-2</v>
      </c>
      <c r="BQ147" s="2">
        <f>515.364915593095*(1/14151.6638359215)</f>
        <v>3.6417266659834878E-2</v>
      </c>
      <c r="BR147" s="2">
        <f>556.506940277276*(1/14151.6638359215)</f>
        <v>3.9324488394409246E-2</v>
      </c>
      <c r="BS147" s="2">
        <f>598.285434339426*(1/14151.6638359215)</f>
        <v>4.2276685008640763E-2</v>
      </c>
      <c r="BT147" s="2">
        <f>639.647325035182*(1/14151.6638359215)</f>
        <v>4.5199443150391282E-2</v>
      </c>
      <c r="BU147" s="2">
        <f>679.539539620169*(1/14151.6638359215)</f>
        <v>4.8018349467521822E-2</v>
      </c>
      <c r="BV147" s="2">
        <f>716.909005350017*(1/14151.6638359215)</f>
        <v>5.0658990607893757E-2</v>
      </c>
      <c r="BW147" s="2">
        <f>750.702649480353*(1/14151.6638359215)</f>
        <v>5.3046953219368233E-2</v>
      </c>
      <c r="BX147" s="2">
        <f>779.867399266805*(1/14151.6638359215)</f>
        <v>5.5107823949806477E-2</v>
      </c>
      <c r="BY147" s="2">
        <f>803.355776368267*(1/14151.6638359215)</f>
        <v>5.6767584764774462E-2</v>
      </c>
      <c r="BZ147" s="2">
        <f>821.959360321946*(1/14151.6638359215)</f>
        <v>5.8082171103834963E-2</v>
      </c>
      <c r="CA147" s="2">
        <f>836.993646160543*(1/14151.6638359215)</f>
        <v>5.9144539883429284E-2</v>
      </c>
      <c r="CB147" s="2">
        <f>848.70586193143*(1/14151.6638359215)</f>
        <v>5.9972160996160755E-2</v>
      </c>
      <c r="CC147" s="2">
        <f>857.343235681977*(1/14151.6638359215)</f>
        <v>6.0582504334632553E-2</v>
      </c>
      <c r="CD147" s="2">
        <f>863.152995459555*(1/14151.6638359215)</f>
        <v>6.0993039791447955E-2</v>
      </c>
      <c r="CE147" s="2">
        <f>866.382369311535*(1/14151.6638359215)</f>
        <v>6.1221237259210207E-2</v>
      </c>
      <c r="CF147" s="2">
        <f>867.278585285287*(1/14151.6638359215)</f>
        <v>6.1284566630522515E-2</v>
      </c>
      <c r="CG147" s="2">
        <f>866.088871428184*(1/14151.6638359215)</f>
        <v>6.1200497797988272E-2</v>
      </c>
      <c r="CH147" s="2">
        <f>863.060455787595*(1/14151.6638359215)</f>
        <v>6.0986500654210594E-2</v>
      </c>
      <c r="CI147" s="2">
        <f>858.440566410893*(1/14151.6638359215)</f>
        <v>6.0660045091792895E-2</v>
      </c>
      <c r="CJ147" s="2">
        <f>852.1744788078*(1/14151.6638359215)</f>
        <v>6.0217264110295328E-2</v>
      </c>
      <c r="CK147" s="2">
        <f>842.77314064713*(1/14151.6638359215)</f>
        <v>5.9552936701895029E-2</v>
      </c>
      <c r="CL147" s="2">
        <f>830.374605381728*(1/14151.6638359215)</f>
        <v>5.8676818147274573E-2</v>
      </c>
      <c r="CM147" s="2">
        <f>815.427260651786*(1/14151.6638359215)</f>
        <v>5.7620592893251742E-2</v>
      </c>
      <c r="CN147" s="2">
        <f>798.379494097498*(1/14151.6638359215)</f>
        <v>5.6415945386644406E-2</v>
      </c>
      <c r="CO147" s="2">
        <f>779.679693359054*(1/14151.6638359215)</f>
        <v>5.5094560074270195E-2</v>
      </c>
      <c r="CP147" s="2">
        <f>759.776246076646*(1/14151.6638359215)</f>
        <v>5.3688121402946848E-2</v>
      </c>
      <c r="CQ147" s="2">
        <f>739.117539890471*(1/14151.6638359215)</f>
        <v>5.2228313819492493E-2</v>
      </c>
      <c r="CR147" s="2">
        <f>718.151962440721*(1/14151.6638359215)</f>
        <v>5.0746821770724877E-2</v>
      </c>
      <c r="CS147" s="2">
        <f>697.327901367586*(1/14151.6638359215)</f>
        <v>4.9275329703461601E-2</v>
      </c>
      <c r="CT147" s="2">
        <f>677.093744311259*(1/14151.6638359215)</f>
        <v>4.7845522064520508E-2</v>
      </c>
      <c r="CU147" s="2">
        <f>657.031879096406*(1/14151.6638359215)</f>
        <v>4.6427889095884724E-2</v>
      </c>
      <c r="CV147" s="2">
        <f>636.258482449009*(1/14151.6638359215)</f>
        <v>4.4959977132440015E-2</v>
      </c>
      <c r="CW147" s="2">
        <f>614.848432973305*(1/14151.6638359215)</f>
        <v>4.3447077326174241E-2</v>
      </c>
      <c r="CX147" s="2">
        <f>592.880217340646*(1/14151.6638359215)</f>
        <v>4.1894735786171255E-2</v>
      </c>
      <c r="CY147" s="2">
        <f>570.432322222387*(1/14151.6638359215)</f>
        <v>4.0308498621515115E-2</v>
      </c>
      <c r="CZ147" s="2">
        <f>547.583234289883*(1/14151.6638359215)</f>
        <v>3.869391194128987E-2</v>
      </c>
      <c r="DA147" s="2">
        <f>524.411440214483*(1/14151.6638359215)</f>
        <v>3.7056521854579194E-2</v>
      </c>
      <c r="DB147" s="2">
        <f>500.995426667552*(1/14151.6638359215)</f>
        <v>3.5401874470467817E-2</v>
      </c>
      <c r="DC147" s="2">
        <f>477.413680320441*(1/14151.6638359215)</f>
        <v>3.3735515898039546E-2</v>
      </c>
      <c r="DD147" s="2">
        <f>453.744687844504*(1/14151.6638359215)</f>
        <v>3.2062992246378354E-2</v>
      </c>
      <c r="DE147" s="2">
        <f>429.96127227724*(1/14151.6638359215)</f>
        <v>3.0382383107904195E-2</v>
      </c>
      <c r="DF147" s="2">
        <f>405.1264829646*(1/14151.6638359215)</f>
        <v>2.8627480673774765E-2</v>
      </c>
      <c r="DG147" s="2">
        <f>379.286863967605*(1/14151.6638359215)</f>
        <v>2.6801573890191784E-2</v>
      </c>
      <c r="DH147" s="2">
        <f>352.800684447144*(1/14151.6638359215)</f>
        <v>2.4929979155639763E-2</v>
      </c>
      <c r="DI147" s="2">
        <f>326.026213564121*(1/14151.6638359215)</f>
        <v>2.3038012868604258E-2</v>
      </c>
      <c r="DJ147" s="2">
        <f>299.321720479427*(1/14151.6638359215)</f>
        <v>2.1150991427569925E-2</v>
      </c>
      <c r="DK147" s="2">
        <f>273.045474353955*(1/14151.6638359215)</f>
        <v>1.9294231231021561E-2</v>
      </c>
      <c r="DL147" s="2">
        <f>247.5557443486*(1/14151.6638359215)</f>
        <v>1.7493048677444095E-2</v>
      </c>
      <c r="DM147" s="2">
        <f>223.210799624253*(1/14151.6638359215)</f>
        <v>1.5772760165322173E-2</v>
      </c>
      <c r="DN147" s="2">
        <f>200.368909341817*(1/14151.6638359215)</f>
        <v>1.4158682093141296E-2</v>
      </c>
      <c r="DO147" s="2">
        <f>179.388342662182*(1/14151.6638359215)</f>
        <v>1.2676130859386044E-2</v>
      </c>
      <c r="DP147" s="2">
        <f>160.150830058272*(1/14151.6638359215)</f>
        <v>1.131674917628819E-2</v>
      </c>
      <c r="DQ147" s="2">
        <f>141.891047321843*(1/14151.6638359215)</f>
        <v>1.0026456886410602E-2</v>
      </c>
      <c r="DR147" s="2">
        <f>124.611801404194*(1/14151.6638359215)</f>
        <v>8.8054523375469783E-3</v>
      </c>
      <c r="DS147" s="2">
        <f>108.339331568896*(1/14151.6638359215)</f>
        <v>7.6555896765930619E-3</v>
      </c>
      <c r="DT147" s="2">
        <f>93.0998770795175*(1/14151.6638359215)</f>
        <v>6.5787230504444219E-3</v>
      </c>
      <c r="DU147" s="2">
        <f>78.9196771996343*(1/14151.6638359215)</f>
        <v>5.5767066059971429E-3</v>
      </c>
      <c r="DV147" s="2">
        <f>65.8249711928147*(1/14151.6638359215)</f>
        <v>4.6513944901467796E-3</v>
      </c>
      <c r="DW147" s="2">
        <f>53.8419983226294*(1/14151.6638359215)</f>
        <v>3.8046408497890544E-3</v>
      </c>
      <c r="DX147" s="2">
        <f>42.9969978526491*(1/14151.6638359215)</f>
        <v>3.0382998318196916E-3</v>
      </c>
      <c r="DY147" s="2">
        <f>33.3162090464431*(1/14151.6638359215)</f>
        <v>2.3542255831343157E-3</v>
      </c>
      <c r="DZ147" s="2">
        <f>24.8492773322618*(1/14151.6638359215)</f>
        <v>1.7559262020615766E-3</v>
      </c>
      <c r="EA147" s="2">
        <f>18.0666377922066*(1/14151.6638359215)</f>
        <v>1.276644075331102E-3</v>
      </c>
      <c r="EB147" s="2">
        <f>12.9590106528323*(1/14151.6638359215)</f>
        <v>9.1572346567038562E-4</v>
      </c>
      <c r="EC147" s="2">
        <f>9.28099432904733*(1/14151.6638359215)</f>
        <v>6.5582354390648857E-4</v>
      </c>
      <c r="ED147" s="2">
        <f>6.78718723576059*(1/14151.6638359215)</f>
        <v>4.7960348086650519E-4</v>
      </c>
      <c r="EE147" s="2">
        <f>5.23218778788049*(1/14151.6638359215)</f>
        <v>3.6972244737749536E-4</v>
      </c>
      <c r="EF147" s="2">
        <f>4.37059440031627*(1/14151.6638359215)</f>
        <v>3.0883961426657742E-4</v>
      </c>
      <c r="EG147" s="2">
        <f>3.95700548797625*(1/14151.6638359215)</f>
        <v>2.7961415236080515E-4</v>
      </c>
      <c r="EH147" s="2">
        <f>3.74601946576913*(1/14151.6638359215)</f>
        <v>2.6470523248725856E-4</v>
      </c>
      <c r="EI147" s="2">
        <f>3.49223474860358*(1/14151.6638359215)</f>
        <v>2.4677202547301603E-4</v>
      </c>
      <c r="EJ147" s="2">
        <f>2.95024975138816*(1/14151.6638359215)</f>
        <v>2.0847370214514791E-4</v>
      </c>
      <c r="EK147" s="2">
        <f>2.15611357791956*(1/14151.6638359215)</f>
        <v>1.5235760281746141E-4</v>
      </c>
      <c r="EL147" s="2">
        <f>1.79319728054871*(1/14151.6638359215)</f>
        <v>1.2671282340646019E-4</v>
      </c>
      <c r="EM147" s="2">
        <f>1.8347653990516*(1/14151.6638359215)</f>
        <v>1.2965015423800359E-4</v>
      </c>
      <c r="EN147" s="2">
        <f>2.19858728132996*(1/14151.6638359215)</f>
        <v>1.5535892505793097E-4</v>
      </c>
      <c r="EO147" s="2">
        <f>2.80243227528553*(1/14151.6638359215)</f>
        <v>1.9802846561208233E-4</v>
      </c>
      <c r="EP147" s="2">
        <f>3.56406972882008*(1/14151.6638359215)</f>
        <v>2.5184810564629997E-4</v>
      </c>
      <c r="EQ147" s="2">
        <f>4.4012689898355*(1/14151.6638359215)</f>
        <v>3.1100717490643436E-4</v>
      </c>
      <c r="ER147" s="2">
        <f>5.23179940623322*(1/14151.6638359215)</f>
        <v>3.6969500313830387E-4</v>
      </c>
      <c r="ES147" s="2">
        <f>5.97343032591514*(1/14151.6638359215)</f>
        <v>4.2210092008775969E-4</v>
      </c>
      <c r="ET147" s="2">
        <f>6.543931096783*(1/14151.6638359215)</f>
        <v>4.6241425550064204E-4</v>
      </c>
      <c r="EU147" s="2">
        <f>6.86309459876726*(1/14151.6638359215)</f>
        <v>4.8496732810643129E-4</v>
      </c>
      <c r="EV147" s="2">
        <f>7.02592861821586*(1/14151.6638359215)</f>
        <v>4.9647367968010808E-4</v>
      </c>
      <c r="EW147" s="2">
        <f>7.12960230045475*(1/14151.6638359215)</f>
        <v>5.0379958025553956E-4</v>
      </c>
      <c r="EX147" s="2">
        <f>7.18386930251661*(1/14151.6638359215)</f>
        <v>5.0763425317393611E-4</v>
      </c>
      <c r="EY147" s="2">
        <f>7.19848328143405*(1/14151.6638359215)</f>
        <v>5.0866692177650317E-4</v>
      </c>
      <c r="EZ147" s="2">
        <f>7.1831978942397*(1/14151.6638359215)</f>
        <v>5.0758680940444763E-4</v>
      </c>
      <c r="FA147" s="2">
        <f>7.14776679796619*(1/14151.6638359215)</f>
        <v>5.0508313939897622E-4</v>
      </c>
      <c r="FB147" s="2">
        <f>7.10194364964613*(1/14151.6638359215)</f>
        <v>5.0184513510129463E-4</v>
      </c>
      <c r="FC147" s="2">
        <f>7.05548210631216*(1/14151.6638359215)</f>
        <v>4.9856201985261014E-4</v>
      </c>
      <c r="FD147" s="2">
        <f>7.01813582499689*(1/14151.6638359215)</f>
        <v>4.9592301699412844E-4</v>
      </c>
      <c r="FE147" s="2">
        <f>6.99965846273296*(1/14151.6638359215)</f>
        <v>4.9461734986705681E-4</v>
      </c>
      <c r="FF147" s="2">
        <f>7.00408149934366*(1/14151.6638359215)</f>
        <v>4.9492989520886132E-4</v>
      </c>
      <c r="FG147" s="2">
        <f>7.01020374835916*(1/14151.6638359215)</f>
        <v>4.953625121142997E-4</v>
      </c>
      <c r="FH147" s="2">
        <f>7.01487479760801*(1/14151.6638359215)</f>
        <v>4.9569258279029979E-4</v>
      </c>
      <c r="FI147" s="2">
        <f>7.01809464709024*(1/14151.6638359215)</f>
        <v>4.9592010723686398E-4</v>
      </c>
      <c r="FJ147" s="2">
        <f>7.01986329680582*(1/14151.6638359215)</f>
        <v>4.9604508545398999E-4</v>
      </c>
      <c r="FK147" s="2">
        <f>7.02018074675478*(1/14151.6638359215)</f>
        <v>4.9606751744167988E-4</v>
      </c>
      <c r="FL147" s="2">
        <f>7.01904699693709*(1/14151.6638359215)</f>
        <v>4.9598740319993181E-4</v>
      </c>
      <c r="FM147" s="2">
        <f>7.01646204735277*(1/14151.6638359215)</f>
        <v>4.9580474272874686E-4</v>
      </c>
      <c r="FN147" s="2">
        <f>7.01242589800182*(1/14151.6638359215)</f>
        <v>4.9551953602812524E-4</v>
      </c>
      <c r="FO147" s="2">
        <f>7.00693854888423*(1/14151.6638359215)</f>
        <v>4.951317830980661E-4</v>
      </c>
      <c r="FP147" s="2">
        <f t="shared" si="19"/>
        <v>4.9464148393856954E-4</v>
      </c>
      <c r="FQ147" s="2"/>
    </row>
    <row r="148" spans="2:173">
      <c r="B148" s="2">
        <v>10.672781065088758</v>
      </c>
      <c r="C148" s="2">
        <f t="shared" si="21"/>
        <v>4.9464148393856954E-4</v>
      </c>
      <c r="D148" s="2">
        <f t="shared" si="21"/>
        <v>4.9464148393856954E-4</v>
      </c>
      <c r="E148" s="2">
        <f t="shared" si="21"/>
        <v>4.9464148393856954E-4</v>
      </c>
      <c r="F148" s="2">
        <f>7*(1/14151.6638359215)</f>
        <v>4.9464148393856954E-4</v>
      </c>
      <c r="G148" s="2">
        <f t="shared" si="21"/>
        <v>4.9464148393856954E-4</v>
      </c>
      <c r="H148" s="2">
        <f t="shared" si="21"/>
        <v>4.9464148393856954E-4</v>
      </c>
      <c r="I148" s="2">
        <f t="shared" si="21"/>
        <v>4.9464148393856954E-4</v>
      </c>
      <c r="J148" s="2">
        <f t="shared" si="22"/>
        <v>4.9464148393856954E-4</v>
      </c>
      <c r="K148" s="2">
        <f t="shared" si="22"/>
        <v>4.9464148393856954E-4</v>
      </c>
      <c r="L148" s="2">
        <f t="shared" si="22"/>
        <v>4.9464148393856954E-4</v>
      </c>
      <c r="M148" s="2">
        <f t="shared" si="22"/>
        <v>4.9464148393856954E-4</v>
      </c>
      <c r="N148" s="2">
        <f>7.00058748600355*(1/14151.6638359215)</f>
        <v>4.946829975026537E-4</v>
      </c>
      <c r="O148" s="2">
        <f>7.00571603602901*(1/14151.6638359215)</f>
        <v>4.9504539658766034E-4</v>
      </c>
      <c r="P148" s="2">
        <f>7.01463386337644*(1/14151.6638359215)</f>
        <v>4.9567555763803763E-4</v>
      </c>
      <c r="Q148" s="2">
        <f>7.02552211493129*(1/14151.6638359215)</f>
        <v>4.9644495491040722E-4</v>
      </c>
      <c r="R148" s="2">
        <f>7.03656193757903*(1/14151.6638359215)</f>
        <v>4.9722506266139258E-4</v>
      </c>
      <c r="S148" s="2">
        <f>7.04593447820509*(1/14151.6638359215)</f>
        <v>4.9788735514761371E-4</v>
      </c>
      <c r="T148" s="2">
        <f>7.05182088369494*(1/14151.6638359215)</f>
        <v>4.9830330662569431E-4</v>
      </c>
      <c r="U148" s="2">
        <f>7.05240230093403*(1/14151.6638359215)</f>
        <v>4.983443913522559E-4</v>
      </c>
      <c r="V148" s="2">
        <f>7.04585987680781*(1/14151.6638359215)</f>
        <v>4.9788208358392022E-4</v>
      </c>
      <c r="W148" s="2">
        <f>7.03037475820175*(1/14151.6638359215)</f>
        <v>4.9678785757731087E-4</v>
      </c>
      <c r="X148" s="2">
        <f>7.00412809200126*(1/14151.6638359215)</f>
        <v>4.9493318758904643E-4</v>
      </c>
      <c r="Y148" s="2">
        <f>6.96449520059084*(1/14151.6638359215)</f>
        <v>4.9213260584332836E-4</v>
      </c>
      <c r="Z148" s="2">
        <f>6.91108043567254*(1/14151.6638359215)</f>
        <v>4.8835815461712589E-4</v>
      </c>
      <c r="AA148" s="2">
        <f>6.84665461990716*(1/14151.6638359215)</f>
        <v>4.8380562874367726E-4</v>
      </c>
      <c r="AB148" s="2">
        <f>6.77401704777953*(1/14151.6638359215)</f>
        <v>4.786728349626907E-4</v>
      </c>
      <c r="AC148" s="2">
        <f>6.69596701377447*(1/14151.6638359215)</f>
        <v>4.7315758001387372E-4</v>
      </c>
      <c r="AD148" s="2">
        <f>6.6153038123768*(1/14151.6638359215)</f>
        <v>4.6745767063693385E-4</v>
      </c>
      <c r="AE148" s="2">
        <f>6.53482673807138*(1/14151.6638359215)</f>
        <v>4.6177091357158131E-4</v>
      </c>
      <c r="AF148" s="2">
        <f>6.45733508534302*(1/14151.6638359215)</f>
        <v>4.5629511555752303E-4</v>
      </c>
      <c r="AG148" s="2">
        <f>6.38562814867655*(1/14151.6638359215)</f>
        <v>4.5122808333446701E-4</v>
      </c>
      <c r="AH148" s="2">
        <f>6.32250522255678*(1/14151.6638359215)</f>
        <v>4.4676762364212019E-4</v>
      </c>
      <c r="AI148" s="2">
        <f>6.23361007390008*(1/14151.6638359215)</f>
        <v>4.4048601960690743E-4</v>
      </c>
      <c r="AJ148" s="2">
        <f>5.64007241659981*(1/14151.6638359215)</f>
        <v>3.9854482709541773E-4</v>
      </c>
      <c r="AK148" s="2">
        <f>4.56471500567723*(1/14151.6638359215)</f>
        <v>3.2255677202354871E-4</v>
      </c>
      <c r="AL148" s="2">
        <f>3.22728352759883*(1/14151.6638359215)</f>
        <v>2.2804975902599808E-4</v>
      </c>
      <c r="AM148" s="2">
        <f>1.84752366883114*(1/14151.6638359215)</f>
        <v>1.305516927374665E-4</v>
      </c>
      <c r="AN148" s="2">
        <f>0.645181115840649*(1/14151.6638359215)</f>
        <v>4.5590477792651535E-5</v>
      </c>
      <c r="AO148" s="2">
        <f>-0.159998444906129*(1/14151.6638359215)</f>
        <v>-1.1305981173747301E-5</v>
      </c>
      <c r="AP148" s="2">
        <f>-0.34826932694265*(1/14151.6638359215)</f>
        <v>-2.4609779527028462E-5</v>
      </c>
      <c r="AQ148" s="2">
        <f>0.300114156197696*(1/14151.6638359215)</f>
        <v>2.1206987367514284E-5</v>
      </c>
      <c r="AR148" s="2">
        <f>2.00489769098131*(1/14151.6638359215)</f>
        <v>1.4167222414457242E-4</v>
      </c>
      <c r="AS148" s="2">
        <f>4.98582696387471*(1/14151.6638359215)</f>
        <v>3.5231383543884564E-4</v>
      </c>
      <c r="AT148" s="2">
        <f>9.07366309547314*(1/14151.6638359215)</f>
        <v>6.4117288261478125E-4</v>
      </c>
      <c r="AU148" s="2">
        <f>13.5116583742035*(1/14151.6638359215)</f>
        <v>9.5477524981243142E-4</v>
      </c>
      <c r="AV148" s="2">
        <f>18.426623438046*(1/14151.6638359215)</f>
        <v>1.3020817659103285E-3</v>
      </c>
      <c r="AW148" s="2">
        <f>23.9880661213426*(1/14151.6638359215)</f>
        <v>1.6950703747253472E-3</v>
      </c>
      <c r="AX148" s="2">
        <f>30.3654942584344*(1/14151.6638359215)</f>
        <v>2.1457190200743007E-3</v>
      </c>
      <c r="AY148" s="2">
        <f>37.7284156836625*(1/14151.6638359215)</f>
        <v>2.6660056457740028E-3</v>
      </c>
      <c r="AZ148" s="2">
        <f>46.2463382313682*(1/14151.6638359215)</f>
        <v>3.2679081956412813E-3</v>
      </c>
      <c r="BA148" s="2">
        <f>56.0887697358945*(1/14151.6638359215)</f>
        <v>3.9634046134930838E-3</v>
      </c>
      <c r="BB148" s="2">
        <f>67.4252180315789*(1/14151.6638359215)</f>
        <v>4.7644728431459685E-3</v>
      </c>
      <c r="BC148" s="2">
        <f>80.4251909527643*(1/14151.6638359215)</f>
        <v>5.6830908284168785E-3</v>
      </c>
      <c r="BD148" s="2">
        <f>95.254506647397*(1/14151.6638359215)</f>
        <v>6.7309757885578268E-3</v>
      </c>
      <c r="BE148" s="2">
        <f>111.878891934026*(1/14151.6638359215)</f>
        <v>7.9057058753784978E-3</v>
      </c>
      <c r="BF148" s="2">
        <f>130.145419350048*(1/14151.6638359215)</f>
        <v>9.1964747650164526E-3</v>
      </c>
      <c r="BG148" s="2">
        <f>149.939148872228*(1/14151.6638359215)</f>
        <v>1.0595160442663565E-2</v>
      </c>
      <c r="BH148" s="2">
        <f>171.14514047732*(1/14151.6638359215)</f>
        <v>1.2093640893510931E-2</v>
      </c>
      <c r="BI148" s="2">
        <f>193.648454142086*(1/14151.6638359215)</f>
        <v>1.3683794102750207E-2</v>
      </c>
      <c r="BJ148" s="2">
        <f>217.334149843289*(1/14151.6638359215)</f>
        <v>1.5357498055573128E-2</v>
      </c>
      <c r="BK148" s="2">
        <f>242.087287557687*(1/14151.6638359215)</f>
        <v>1.7106630737171072E-2</v>
      </c>
      <c r="BL148" s="2">
        <f>267.792927262042*(1/14151.6638359215)</f>
        <v>1.8923070132735694E-2</v>
      </c>
      <c r="BM148" s="2">
        <f>294.33612893312*(1/14151.6638359215)</f>
        <v>2.0798694227458944E-2</v>
      </c>
      <c r="BN148" s="2">
        <f>321.60195254767*(1/14151.6638359215)</f>
        <v>2.2725381006531559E-2</v>
      </c>
      <c r="BO148" s="2">
        <f>350.214646217013*(1/14151.6638359215)</f>
        <v>2.4747241757400638E-2</v>
      </c>
      <c r="BP148" s="2">
        <f>382.44331754578*(1/14151.6638359215)</f>
        <v>2.7024618587604885E-2</v>
      </c>
      <c r="BQ148" s="2">
        <f>417.56198980562*(1/14151.6638359215)</f>
        <v>2.9506211753399104E-2</v>
      </c>
      <c r="BR148" s="2">
        <f>454.557527073342*(1/14151.6638359215)</f>
        <v>3.2120429961000625E-2</v>
      </c>
      <c r="BS148" s="2">
        <f>492.416793425737*(1/14151.6638359215)</f>
        <v>3.4795681916625514E-2</v>
      </c>
      <c r="BT148" s="2">
        <f>530.126652939615*(1/14151.6638359215)</f>
        <v>3.7460376326491178E-2</v>
      </c>
      <c r="BU148" s="2">
        <f>566.673969691779*(1/14151.6638359215)</f>
        <v>4.0042921896814507E-2</v>
      </c>
      <c r="BV148" s="2">
        <f>601.045607759034*(1/14151.6638359215)</f>
        <v>4.2471727333812576E-2</v>
      </c>
      <c r="BW148" s="2">
        <f>632.228431218181*(1/14151.6638359215)</f>
        <v>4.4675201343702127E-2</v>
      </c>
      <c r="BX148" s="2">
        <f>659.209304146026*(1/14151.6638359215)</f>
        <v>4.6581752632700306E-2</v>
      </c>
      <c r="BY148" s="2">
        <f>680.980855264033*(1/14151.6638359215)</f>
        <v>4.8120197254508223E-2</v>
      </c>
      <c r="BZ148" s="2">
        <f>698.403486514622*(1/14151.6638359215)</f>
        <v>4.9351333851066201E-2</v>
      </c>
      <c r="CA148" s="2">
        <f>712.781099015547*(1/14151.6638359215)</f>
        <v>5.0367300077202096E-2</v>
      </c>
      <c r="CB148" s="2">
        <f>724.295604670575*(1/14151.6638359215)</f>
        <v>5.1180950386348109E-2</v>
      </c>
      <c r="CC148" s="2">
        <f>733.128915383468*(1/14151.6638359215)</f>
        <v>5.1805139231936088E-2</v>
      </c>
      <c r="CD148" s="2">
        <f>739.462943057992*(1/14151.6638359215)</f>
        <v>5.2252721067398158E-2</v>
      </c>
      <c r="CE148" s="2">
        <f>743.479599597911*(1/14151.6638359215)</f>
        <v>5.2536550346166319E-2</v>
      </c>
      <c r="CF148" s="2">
        <f>745.360796906989*(1/14151.6638359215)</f>
        <v>5.2669481521672543E-2</v>
      </c>
      <c r="CG148" s="2">
        <f>745.288446888992*(1/14151.6638359215)</f>
        <v>5.2664369047348968E-2</v>
      </c>
      <c r="CH148" s="2">
        <f>743.444461447684*(1/14151.6638359215)</f>
        <v>5.2534067376627587E-2</v>
      </c>
      <c r="CI148" s="2">
        <f>740.010752486829*(1/14151.6638359215)</f>
        <v>5.2291430962940373E-2</v>
      </c>
      <c r="CJ148" s="2">
        <f>734.903984967902*(1/14151.6638359215)</f>
        <v>5.1930571096698755E-2</v>
      </c>
      <c r="CK148" s="2">
        <f>726.808615388683*(1/14151.6638359215)</f>
        <v>5.1358527436456462E-2</v>
      </c>
      <c r="CL148" s="2">
        <f>715.881598010447*(1/14151.6638359215)</f>
        <v>5.0586390852028859E-2</v>
      </c>
      <c r="CM148" s="2">
        <f>702.555581397621*(1/14151.6638359215)</f>
        <v>4.964473361883482E-2</v>
      </c>
      <c r="CN148" s="2">
        <f>687.263214114632*(1/14151.6638359215)</f>
        <v>4.8564128012293206E-2</v>
      </c>
      <c r="CO148" s="2">
        <f>670.437144725908*(1/14151.6638359215)</f>
        <v>4.7375146307822948E-2</v>
      </c>
      <c r="CP148" s="2">
        <f>652.51002179587*(1/14151.6638359215)</f>
        <v>4.6108360780842496E-2</v>
      </c>
      <c r="CQ148" s="2">
        <f>633.914493888954*(1/14151.6638359215)</f>
        <v>4.4794343706771357E-2</v>
      </c>
      <c r="CR148" s="2">
        <f>615.083209569583*(1/14151.6638359215)</f>
        <v>4.3463667361028101E-2</v>
      </c>
      <c r="CS148" s="2">
        <f>596.448817402183*(1/14151.6638359215)</f>
        <v>4.2146904019031525E-2</v>
      </c>
      <c r="CT148" s="2">
        <f>578.443965951182*(1/14151.6638359215)</f>
        <v>4.0874625956200582E-2</v>
      </c>
      <c r="CU148" s="2">
        <f>560.67118779431*(1/14151.6638359215)</f>
        <v>3.9618746904596838E-2</v>
      </c>
      <c r="CV148" s="2">
        <f>542.282222019552*(1/14151.6638359215)</f>
        <v>3.8319326144750865E-2</v>
      </c>
      <c r="CW148" s="2">
        <f>523.345454813873*(1/14151.6638359215)</f>
        <v>3.6981196054519959E-2</v>
      </c>
      <c r="CX148" s="2">
        <f>503.932726867652*(1/14151.6638359215)</f>
        <v>3.5609433117575036E-2</v>
      </c>
      <c r="CY148" s="2">
        <f>484.115878871274*(1/14151.6638359215)</f>
        <v>3.4209113817587393E-2</v>
      </c>
      <c r="CZ148" s="2">
        <f>463.966751515122*(1/14151.6638359215)</f>
        <v>3.2785314638228216E-2</v>
      </c>
      <c r="DA148" s="2">
        <f>443.557185489574*(1/14151.6638359215)</f>
        <v>3.1343112063168317E-2</v>
      </c>
      <c r="DB148" s="2">
        <f>422.959021485021*(1/14151.6638359215)</f>
        <v>2.9887582576079447E-2</v>
      </c>
      <c r="DC148" s="2">
        <f>402.244100191845*(1/14151.6638359215)</f>
        <v>2.8423802660632696E-2</v>
      </c>
      <c r="DD148" s="2">
        <f>381.484262300426*(1/14151.6638359215)</f>
        <v>2.695684880049903E-2</v>
      </c>
      <c r="DE148" s="2">
        <f>360.653148552865*(1/14151.6638359215)</f>
        <v>2.5484858369615216E-2</v>
      </c>
      <c r="DF148" s="2">
        <f>338.879609062173*(1/14151.6638359215)</f>
        <v>2.3946273243290798E-2</v>
      </c>
      <c r="DG148" s="2">
        <f>316.207934524031*(1/14151.6638359215)</f>
        <v>2.2344223138016674E-2</v>
      </c>
      <c r="DH148" s="2">
        <f>292.972270401901*(1/14151.6638359215)</f>
        <v>2.0702319797778312E-2</v>
      </c>
      <c r="DI148" s="2">
        <f>269.506762159259*(1/14151.6638359215)</f>
        <v>1.904417496656214E-2</v>
      </c>
      <c r="DJ148" s="2">
        <f>246.14555525957*(1/14151.6638359215)</f>
        <v>1.7393400388353839E-2</v>
      </c>
      <c r="DK148" s="2">
        <f>223.222795166301*(1/14151.6638359215)</f>
        <v>1.5773607807139212E-2</v>
      </c>
      <c r="DL148" s="2">
        <f>201.072627342919*(1/14151.6638359215)</f>
        <v>1.4208408966904064E-2</v>
      </c>
      <c r="DM148" s="2">
        <f>180.029197252889*(1/14151.6638359215)</f>
        <v>1.2721415611634066E-2</v>
      </c>
      <c r="DN148" s="2">
        <f>160.426650359686*(1/14151.6638359215)</f>
        <v>1.1336239485315591E-2</v>
      </c>
      <c r="DO148" s="2">
        <f>142.599132126773*(1/14151.6638359215)</f>
        <v>1.0076492331934162E-2</v>
      </c>
      <c r="DP148" s="2">
        <f>126.490459448414*(1/14151.6638359215)</f>
        <v>8.9382040808049946E-3</v>
      </c>
      <c r="DQ148" s="2">
        <f>111.466181239797*(1/14151.6638359215)</f>
        <v>7.8765424710598182E-3</v>
      </c>
      <c r="DR148" s="2">
        <f>97.4816410888406*(1/14151.6638359215)</f>
        <v>6.8883519435644506E-3</v>
      </c>
      <c r="DS148" s="2">
        <f>84.5108592030799*(1/14151.6638359215)</f>
        <v>5.9717966864478514E-3</v>
      </c>
      <c r="DT148" s="2">
        <f>72.5278557900475*(1/14151.6638359215)</f>
        <v>5.1250408878388094E-3</v>
      </c>
      <c r="DU148" s="2">
        <f>61.5066510572824*(1/14151.6638359215)</f>
        <v>4.3462487358665643E-3</v>
      </c>
      <c r="DV148" s="2">
        <f>51.4212652123172*(1/14151.6638359215)</f>
        <v>3.6335844186599037E-3</v>
      </c>
      <c r="DW148" s="2">
        <f>42.2457184626865*(1/14151.6638359215)</f>
        <v>2.9852121243477536E-3</v>
      </c>
      <c r="DX148" s="2">
        <f>33.9540310159251*(1/14151.6638359215)</f>
        <v>2.3992960410590585E-3</v>
      </c>
      <c r="DY148" s="2">
        <f>26.5202230795666*(1/14151.6638359215)</f>
        <v>1.8740003569226748E-3</v>
      </c>
      <c r="DZ148" s="2">
        <f>19.943432297252*(1/14151.6638359215)</f>
        <v>1.4092641351915892E-3</v>
      </c>
      <c r="EA148" s="2">
        <f>14.7032308861983*(1/14151.6638359215)</f>
        <v>1.0389754206057908E-3</v>
      </c>
      <c r="EB148" s="2">
        <f>10.8360260644683*(1/14151.6638359215)</f>
        <v>7.6570685893223101E-4</v>
      </c>
      <c r="EC148" s="2">
        <f>8.13523675473552*(1/14151.6638359215)</f>
        <v>5.7486079722199573E-4</v>
      </c>
      <c r="ED148" s="2">
        <f>6.39428187967331*(1/14151.6638359215)</f>
        <v>4.5183958252615882E-4</v>
      </c>
      <c r="EE148" s="2">
        <f>5.40658036195494*(1/14151.6638359215)</f>
        <v>3.8204556189578854E-4</v>
      </c>
      <c r="EF148" s="2">
        <f>4.96555112425412*(1/14151.6638359215)</f>
        <v>3.5088108238198436E-4</v>
      </c>
      <c r="EG148" s="2">
        <f>4.86461308924401*(1/14151.6638359215)</f>
        <v>3.4374849103580658E-4</v>
      </c>
      <c r="EH148" s="2">
        <f>4.897185179598*(1/14151.6638359215)</f>
        <v>3.4605013490833215E-4</v>
      </c>
      <c r="EI148" s="2">
        <f>4.85668631798947*(1/14151.6638359215)</f>
        <v>3.43188361050637E-4</v>
      </c>
      <c r="EJ148" s="2">
        <f>4.53653542709171*(1/14151.6638359215)</f>
        <v>3.2056551651379086E-4</v>
      </c>
      <c r="EK148" s="2">
        <f>3.95708662034435*(1/14151.6638359215)</f>
        <v>2.7961988542294118E-4</v>
      </c>
      <c r="EL148" s="2">
        <f>3.669478952242*(1/14151.6638359215)</f>
        <v>2.592966448883329E-4</v>
      </c>
      <c r="EM148" s="2">
        <f>3.66177772467291*(1/14151.6638359215)</f>
        <v>2.58752452512201E-4</v>
      </c>
      <c r="EN148" s="2">
        <f>3.87760552451375*(1/14151.6638359215)</f>
        <v>2.7400350725341097E-4</v>
      </c>
      <c r="EO148" s="2">
        <f>4.26058493864118*(1/14151.6638359215)</f>
        <v>3.0106600807082749E-4</v>
      </c>
      <c r="EP148" s="2">
        <f>4.75433855393188*(1/14151.6638359215)</f>
        <v>3.3595615392331685E-4</v>
      </c>
      <c r="EQ148" s="2">
        <f>5.30248895726263*(1/14151.6638359215)</f>
        <v>3.7469014376975224E-4</v>
      </c>
      <c r="ER148" s="2">
        <f>5.84865873550985*(1/14151.6638359215)</f>
        <v>4.1328417656898142E-4</v>
      </c>
      <c r="ES148" s="2">
        <f>6.33647047555034*(1/14151.6638359215)</f>
        <v>4.477544512798791E-4</v>
      </c>
      <c r="ET148" s="2">
        <f>6.70954676426076*(1/14151.6638359215)</f>
        <v>4.7411716686131001E-4</v>
      </c>
      <c r="EU148" s="2">
        <f>6.91291693905351*(1/14151.6638359215)</f>
        <v>4.884879275825003E-4</v>
      </c>
      <c r="EV148" s="2">
        <f>7.01308213267731*(1/14151.6638359215)</f>
        <v>4.9556590758436747E-4</v>
      </c>
      <c r="EW148" s="2">
        <f>7.07698979922317*(1/14151.6638359215)</f>
        <v>5.0008181944369539E-4</v>
      </c>
      <c r="EX148" s="2">
        <f>7.11061276714885*(1/14151.6638359215)</f>
        <v>5.0245772155072075E-4</v>
      </c>
      <c r="EY148" s="2">
        <f>7.1199238649121*(1/14151.6638359215)</f>
        <v>5.0311567229567957E-4</v>
      </c>
      <c r="EZ148" s="2">
        <f>7.11089592097066*(1/14151.6638359215)</f>
        <v>5.0247773006880693E-4</v>
      </c>
      <c r="FA148" s="2">
        <f>7.08950176378226*(1/14151.6638359215)</f>
        <v>5.0096595326033755E-4</v>
      </c>
      <c r="FB148" s="2">
        <f>7.06171422180463*(1/14151.6638359215)</f>
        <v>4.9900240026050618E-4</v>
      </c>
      <c r="FC148" s="2">
        <f>7.03350612349553*(1/14151.6638359215)</f>
        <v>4.9700912945954928E-4</v>
      </c>
      <c r="FD148" s="2">
        <f>7.01085029731269*(1/14151.6638359215)</f>
        <v>4.9540819924770148E-4</v>
      </c>
      <c r="FE148" s="2">
        <f>6.99971957171384*(1/14151.6638359215)</f>
        <v>4.946216680151974E-4</v>
      </c>
      <c r="FF148" s="2">
        <f>7.00258269635207*(1/14151.6638359215)</f>
        <v>4.9482398518944817E-4</v>
      </c>
      <c r="FG148" s="2">
        <f>7.00645674088017*(1/14151.6638359215)</f>
        <v>4.9509773706576585E-4</v>
      </c>
      <c r="FH148" s="2">
        <f>7.00941249337198*(1/14151.6638359215)</f>
        <v>4.9530659960843782E-4</v>
      </c>
      <c r="FI148" s="2">
        <f>7.0114499538275*(1/14151.6638359215)</f>
        <v>4.9545057281746429E-4</v>
      </c>
      <c r="FJ148" s="2">
        <f>7.01256912224673*(1/14151.6638359215)</f>
        <v>4.9552965669284494E-4</v>
      </c>
      <c r="FK148" s="2">
        <f>7.01276999862967*(1/14151.6638359215)</f>
        <v>4.9554385123458009E-4</v>
      </c>
      <c r="FL148" s="2">
        <f>7.01205258297632*(1/14151.6638359215)</f>
        <v>4.9549315644266954E-4</v>
      </c>
      <c r="FM148" s="2">
        <f>7.01041687528667*(1/14151.6638359215)</f>
        <v>4.9537757231711262E-4</v>
      </c>
      <c r="FN148" s="2">
        <f>7.00786287556074*(1/14151.6638359215)</f>
        <v>4.9519709885791074E-4</v>
      </c>
      <c r="FO148" s="2">
        <f>7.00439058379852*(1/14151.6638359215)</f>
        <v>4.9495173606506338E-4</v>
      </c>
      <c r="FP148" s="2">
        <f t="shared" si="19"/>
        <v>4.9464148393856954E-4</v>
      </c>
      <c r="FQ148" s="2"/>
    </row>
    <row r="149" spans="2:173">
      <c r="B149" s="2">
        <v>10.682248520710059</v>
      </c>
      <c r="C149" s="2">
        <f t="shared" si="21"/>
        <v>4.9464148393856954E-4</v>
      </c>
      <c r="D149" s="2">
        <f t="shared" si="21"/>
        <v>4.9464148393856954E-4</v>
      </c>
      <c r="E149" s="2">
        <f t="shared" si="21"/>
        <v>4.9464148393856954E-4</v>
      </c>
      <c r="F149" s="2">
        <f>7*(1/14151.6638359215)</f>
        <v>4.9464148393856954E-4</v>
      </c>
      <c r="G149" s="2">
        <f t="shared" si="21"/>
        <v>4.9464148393856954E-4</v>
      </c>
      <c r="H149" s="2">
        <f t="shared" si="21"/>
        <v>4.9464148393856954E-4</v>
      </c>
      <c r="I149" s="2">
        <f t="shared" si="21"/>
        <v>4.9464148393856954E-4</v>
      </c>
      <c r="J149" s="2">
        <f t="shared" si="22"/>
        <v>4.9464148393856954E-4</v>
      </c>
      <c r="K149" s="2">
        <f t="shared" si="22"/>
        <v>4.9464148393856954E-4</v>
      </c>
      <c r="L149" s="2">
        <f t="shared" si="22"/>
        <v>4.9464148393856954E-4</v>
      </c>
      <c r="M149" s="2">
        <f t="shared" si="22"/>
        <v>4.9464148393856954E-4</v>
      </c>
      <c r="N149" s="2">
        <f>7.00028238008147*(1/14151.6638359215)</f>
        <v>4.9466143778178855E-4</v>
      </c>
      <c r="O149" s="2">
        <f>7.00274746072214*(1/14151.6638359215)</f>
        <v>4.9483562794552132E-4</v>
      </c>
      <c r="P149" s="2">
        <f>7.00703388933097*(1/14151.6638359215)</f>
        <v>4.9513852014664538E-4</v>
      </c>
      <c r="Q149" s="2">
        <f>7.01226741888325*(1/14151.6638359215)</f>
        <v>4.9550833740721336E-4</v>
      </c>
      <c r="R149" s="2">
        <f>7.01757380235425*(1/14151.6638359215)</f>
        <v>4.9588330274927663E-4</v>
      </c>
      <c r="S149" s="2">
        <f>7.02207879271926*(1/14151.6638359215)</f>
        <v>4.962016391948876E-4</v>
      </c>
      <c r="T149" s="2">
        <f>7.02490814295356*(1/14151.6638359215)</f>
        <v>4.964015697660985E-4</v>
      </c>
      <c r="U149" s="2">
        <f>7.02518760603243*(1/14151.6638359215)</f>
        <v>4.9642131748496121E-4</v>
      </c>
      <c r="V149" s="2">
        <f>7.02204293493114*(1/14151.6638359215)</f>
        <v>4.9619910537352676E-4</v>
      </c>
      <c r="W149" s="2">
        <f>7.01459988262498*(1/14151.6638359215)</f>
        <v>4.95673156453848E-4</v>
      </c>
      <c r="X149" s="2">
        <f>7.00198420208922*(1/14151.6638359215)</f>
        <v>4.9478169374797608E-4</v>
      </c>
      <c r="Y149" s="2">
        <f>6.97949007564343*(1/14151.6638359215)</f>
        <v>4.9319218973582649E-4</v>
      </c>
      <c r="Z149" s="2">
        <f>6.94307721515725*(1/14151.6638359215)</f>
        <v>4.9061914525792187E-4</v>
      </c>
      <c r="AA149" s="2">
        <f>6.89678612598171*(1/14151.6638359215)</f>
        <v>4.8734807482321877E-4</v>
      </c>
      <c r="AB149" s="2">
        <f>6.84474854520431*(1/14151.6638359215)</f>
        <v>4.8367093965517502E-4</v>
      </c>
      <c r="AC149" s="2">
        <f>6.79109620991252*(1/14151.6638359215)</f>
        <v>4.798797009772463E-4</v>
      </c>
      <c r="AD149" s="2">
        <f>6.73996085719383*(1/14151.6638359215)</f>
        <v>4.7626632001288987E-4</v>
      </c>
      <c r="AE149" s="2">
        <f>6.69547422413574*(1/14151.6638359215)</f>
        <v>4.7312275798556361E-4</v>
      </c>
      <c r="AF149" s="2">
        <f>6.66176804782573*(1/14151.6638359215)</f>
        <v>4.7074097611872386E-4</v>
      </c>
      <c r="AG149" s="2">
        <f>6.64297406535129*(1/14151.6638359215)</f>
        <v>4.6941293563582776E-4</v>
      </c>
      <c r="AH149" s="2">
        <f>6.6432240137999*(1/14151.6638359215)</f>
        <v>4.694305977603318E-4</v>
      </c>
      <c r="AI149" s="2">
        <f>6.64036675131852*(1/14151.6638359215)</f>
        <v>4.6922869482407585E-4</v>
      </c>
      <c r="AJ149" s="2">
        <f>6.29654000705611*(1/14151.6638359215)</f>
        <v>4.4493284182411507E-4</v>
      </c>
      <c r="AK149" s="2">
        <f>5.6259545603256*(1/14151.6638359215)</f>
        <v>3.9754721604148824E-4</v>
      </c>
      <c r="AL149" s="2">
        <f>4.78177016149564*(1/14151.6638359215)</f>
        <v>3.3789455550505378E-4</v>
      </c>
      <c r="AM149" s="2">
        <f>3.91714656093488*(1/14151.6638359215)</f>
        <v>2.7679759824367049E-4</v>
      </c>
      <c r="AN149" s="2">
        <f>3.185243509012*(1/14151.6638359215)</f>
        <v>2.2507908228619887E-4</v>
      </c>
      <c r="AO149" s="2">
        <f>2.73922075609563*(1/14151.6638359215)</f>
        <v>1.9356174566149614E-4</v>
      </c>
      <c r="AP149" s="2">
        <f>2.73223805255448*(1/14151.6638359215)</f>
        <v>1.9306832639842507E-4</v>
      </c>
      <c r="AQ149" s="2">
        <f>3.31745514875725*(1/14151.6638359215)</f>
        <v>2.3442156252584772E-4</v>
      </c>
      <c r="AR149" s="2">
        <f>4.64803179507252*(1/14151.6638359215)</f>
        <v>3.2844419207261779E-4</v>
      </c>
      <c r="AS149" s="2">
        <f>6.87712774186897*(1/14151.6638359215)</f>
        <v>4.8595895306759586E-4</v>
      </c>
      <c r="AT149" s="2">
        <f>9.85341904282976*(1/14151.6638359215)</f>
        <v>6.9627283103055313E-4</v>
      </c>
      <c r="AU149" s="2">
        <f>12.9864131482177*(1/14151.6638359215)</f>
        <v>9.1765981009625053E-4</v>
      </c>
      <c r="AV149" s="2">
        <f>16.3966813919464*(1/14151.6638359215)</f>
        <v>1.158639830768614E-3</v>
      </c>
      <c r="AW149" s="2">
        <f>20.2386397151049*(1/14151.6638359215)</f>
        <v>1.4301243973682222E-3</v>
      </c>
      <c r="AX149" s="2">
        <f>24.6667040587819*(1/14151.6638359215)</f>
        <v>1.7430250142156307E-3</v>
      </c>
      <c r="AY149" s="2">
        <f>29.8352903640659*(1/14151.6638359215)</f>
        <v>2.1082531856313805E-3</v>
      </c>
      <c r="AZ149" s="2">
        <f>35.8988145720455*(1/14151.6638359215)</f>
        <v>2.5367204159360188E-3</v>
      </c>
      <c r="BA149" s="2">
        <f>43.0116926238108*(1/14151.6638359215)</f>
        <v>3.0393382094502002E-3</v>
      </c>
      <c r="BB149" s="2">
        <f>51.3283404604477*(1/14151.6638359215)</f>
        <v>3.6270180704942815E-3</v>
      </c>
      <c r="BC149" s="2">
        <f>61.003174023046*(1/14151.6638359215)</f>
        <v>4.310671503388896E-3</v>
      </c>
      <c r="BD149" s="2">
        <f>72.1798643490653*(1/14151.6638359215)</f>
        <v>5.1004507445866158E-3</v>
      </c>
      <c r="BE149" s="2">
        <f>84.5817179887706*(1/14151.6638359215)</f>
        <v>5.9768037857198704E-3</v>
      </c>
      <c r="BF149" s="2">
        <f>98.0388701655922*(1/14151.6638359215)</f>
        <v>6.9277274603384686E-3</v>
      </c>
      <c r="BG149" s="2">
        <f>112.568075146455*(1/14151.6638359215)</f>
        <v>7.9544056763644153E-3</v>
      </c>
      <c r="BH149" s="2">
        <f>128.186087198277*(1/14151.6638359215)</f>
        <v>9.0580223417192299E-3</v>
      </c>
      <c r="BI149" s="2">
        <f>144.909660587981*(1/14151.6638359215)</f>
        <v>1.0239761364324767E-2</v>
      </c>
      <c r="BJ149" s="2">
        <f>162.755549582492*(1/14151.6638359215)</f>
        <v>1.1500806652103039E-2</v>
      </c>
      <c r="BK149" s="2">
        <f>181.74050844873*(1/14151.6638359215)</f>
        <v>1.2842342112975707E-2</v>
      </c>
      <c r="BL149" s="2">
        <f>201.881291453619*(1/14151.6638359215)</f>
        <v>1.4265551654864709E-2</v>
      </c>
      <c r="BM149" s="2">
        <f>223.194652864085*(1/14151.6638359215)</f>
        <v>1.5771619185692129E-2</v>
      </c>
      <c r="BN149" s="2">
        <f>245.697346947041*(1/14151.6638359215)</f>
        <v>1.7361728613379136E-2</v>
      </c>
      <c r="BO149" s="2">
        <f>270.020636088108*(1/14151.6638359215)</f>
        <v>1.9080486875522603E-2</v>
      </c>
      <c r="BP149" s="2">
        <f>298.058130221467*(1/14151.6638359215)</f>
        <v>2.1061702261814551E-2</v>
      </c>
      <c r="BQ149" s="2">
        <f>329.085465873264*(1/14151.6638359215)</f>
        <v>2.3254189026023827E-2</v>
      </c>
      <c r="BR149" s="2">
        <f>362.133960470996*(1/14151.6638359215)</f>
        <v>2.5589497084560677E-2</v>
      </c>
      <c r="BS149" s="2">
        <f>396.234931442144*(1/14151.6638359215)</f>
        <v>2.7999176353834209E-2</v>
      </c>
      <c r="BT149" s="2">
        <f>430.419696214205*(1/14151.6638359215)</f>
        <v>3.0414776750254665E-2</v>
      </c>
      <c r="BU149" s="2">
        <f>463.71957221467*(1/14151.6638359215)</f>
        <v>3.276784819023186E-2</v>
      </c>
      <c r="BV149" s="2">
        <f>495.165876871032*(1/14151.6638359215)</f>
        <v>3.498994059017576E-2</v>
      </c>
      <c r="BW149" s="2">
        <f>523.789927610781*(1/14151.6638359215)</f>
        <v>3.7012603866496088E-2</v>
      </c>
      <c r="BX149" s="2">
        <f>548.623041861411*(1/14151.6638359215)</f>
        <v>3.8767387935602901E-2</v>
      </c>
      <c r="BY149" s="2">
        <f>568.70239717594*(1/14151.6638359215)</f>
        <v>4.0186256808361243E-2</v>
      </c>
      <c r="BZ149" s="2">
        <f>584.940700918954*(1/14151.6638359215)</f>
        <v>4.1333705188374058E-2</v>
      </c>
      <c r="CA149" s="2">
        <f>598.619534340841*(1/14151.6638359215)</f>
        <v>4.2300293540138444E-2</v>
      </c>
      <c r="CB149" s="2">
        <f>609.861859301323*(1/14151.6638359215)</f>
        <v>4.3094710726048785E-2</v>
      </c>
      <c r="CC149" s="2">
        <f>618.790637660118*(1/14151.6638359215)</f>
        <v>4.372564560849921E-2</v>
      </c>
      <c r="CD149" s="2">
        <f>625.528831276947*(1/14151.6638359215)</f>
        <v>4.4201787049884027E-2</v>
      </c>
      <c r="CE149" s="2">
        <f>630.199402011526*(1/14151.6638359215)</f>
        <v>4.4531823912597197E-2</v>
      </c>
      <c r="CF149" s="2">
        <f>632.925311723577*(1/14151.6638359215)</f>
        <v>4.472444505903312E-2</v>
      </c>
      <c r="CG149" s="2">
        <f>633.829522272818*(1/14151.6638359215)</f>
        <v>4.478833935158591E-2</v>
      </c>
      <c r="CH149" s="2">
        <f>633.034995518969*(1/14151.6638359215)</f>
        <v>4.4732195652649798E-2</v>
      </c>
      <c r="CI149" s="2">
        <f>630.664693321749*(1/14151.6638359215)</f>
        <v>4.4564702824618975E-2</v>
      </c>
      <c r="CJ149" s="2">
        <f>626.610763985152*(1/14151.6638359215)</f>
        <v>4.4278239735642336E-2</v>
      </c>
      <c r="CK149" s="2">
        <f>619.720926148243*(1/14151.6638359215)</f>
        <v>4.3791382648250228E-2</v>
      </c>
      <c r="CL149" s="2">
        <f>610.167514405571*(1/14151.6638359215)</f>
        <v>4.311630925381145E-2</v>
      </c>
      <c r="CM149" s="2">
        <f>598.365858920044*(1/14151.6638359215)</f>
        <v>4.2282368056341051E-2</v>
      </c>
      <c r="CN149" s="2">
        <f>584.73128985457*(1/14151.6638359215)</f>
        <v>4.1318907559854054E-2</v>
      </c>
      <c r="CO149" s="2">
        <f>569.679137372056*(1/14151.6638359215)</f>
        <v>4.0255276268365427E-2</v>
      </c>
      <c r="CP149" s="2">
        <f>553.624731635407*(1/14151.6638359215)</f>
        <v>3.9120822685890004E-2</v>
      </c>
      <c r="CQ149" s="2">
        <f>536.983402807536*(1/14151.6638359215)</f>
        <v>3.7944895316443177E-2</v>
      </c>
      <c r="CR149" s="2">
        <f>520.170481051348*(1/14151.6638359215)</f>
        <v>3.6756842664039766E-2</v>
      </c>
      <c r="CS149" s="2">
        <f>503.601296529752*(1/14151.6638359215)</f>
        <v>3.5586013232694877E-2</v>
      </c>
      <c r="CT149" s="2">
        <f>487.691179405653*(1/14151.6638359215)</f>
        <v>3.4461755526423332E-2</v>
      </c>
      <c r="CU149" s="2">
        <f>472.063216400271*(1/14151.6638359215)</f>
        <v>3.3357435696149164E-2</v>
      </c>
      <c r="CV149" s="2">
        <f>455.906943722619*(1/14151.6638359215)</f>
        <v>3.2215783882979167E-2</v>
      </c>
      <c r="CW149" s="2">
        <f>439.284739104412*(1/14151.6638359215)</f>
        <v>3.1041207888881959E-2</v>
      </c>
      <c r="CX149" s="2">
        <f>422.262273716747*(1/14151.6638359215)</f>
        <v>2.9838348240360881E-2</v>
      </c>
      <c r="CY149" s="2">
        <f>404.905218730725*(1/14151.6638359215)</f>
        <v>2.8611845463919556E-2</v>
      </c>
      <c r="CZ149" s="2">
        <f>387.279245317444*(1/14151.6638359215)</f>
        <v>2.7366340086061404E-2</v>
      </c>
      <c r="DA149" s="2">
        <f>369.450024648002*(1/14151.6638359215)</f>
        <v>2.6106472633289829E-2</v>
      </c>
      <c r="DB149" s="2">
        <f>351.483227893504*(1/14151.6638359215)</f>
        <v>2.4836883632108751E-2</v>
      </c>
      <c r="DC149" s="2">
        <f>333.444526225047*(1/14151.6638359215)</f>
        <v>2.3562213609021505E-2</v>
      </c>
      <c r="DD149" s="2">
        <f>315.39959081373*(1/14151.6638359215)</f>
        <v>2.2287103090531578E-2</v>
      </c>
      <c r="DE149" s="2">
        <f>297.323349198491*(1/14151.6638359215)</f>
        <v>2.1009780379589584E-2</v>
      </c>
      <c r="DF149" s="2">
        <f>278.410550153725*(1/14151.6638359215)</f>
        <v>1.9673343953170299E-2</v>
      </c>
      <c r="DG149" s="2">
        <f>258.702792178281*(1/14151.6638359215)</f>
        <v>1.8280733288873755E-2</v>
      </c>
      <c r="DH149" s="2">
        <f>238.509616363856*(1/14151.6638359215)</f>
        <v>1.6853821510262379E-2</v>
      </c>
      <c r="DI149" s="2">
        <f>218.140563802159*(1/14151.6638359215)</f>
        <v>1.5414481740899448E-2</v>
      </c>
      <c r="DJ149" s="2">
        <f>197.905175584888*(1/14151.6638359215)</f>
        <v>1.3984587104347452E-2</v>
      </c>
      <c r="DK149" s="2">
        <f>178.112992803743*(1/14151.6638359215)</f>
        <v>1.2586010724169028E-2</v>
      </c>
      <c r="DL149" s="2">
        <f>159.073556550427*(1/14151.6638359215)</f>
        <v>1.1240625723927025E-2</v>
      </c>
      <c r="DM149" s="2">
        <f>141.096407916635*(1/14151.6638359215)</f>
        <v>9.9703052271837237E-3</v>
      </c>
      <c r="DN149" s="2">
        <f>124.491087994078*(1/14151.6638359215)</f>
        <v>8.7969223575025401E-3</v>
      </c>
      <c r="DO149" s="2">
        <f>109.567137874452*(1/14151.6638359215)</f>
        <v>7.7423502384458267E-3</v>
      </c>
      <c r="DP149" s="2">
        <f>96.3226740607021*(1/14151.6638359215)</f>
        <v>6.8064557763309781E-3</v>
      </c>
      <c r="DQ149" s="2">
        <f>84.2434977954472*(1/14151.6638359215)</f>
        <v>5.9529041088165167E-3</v>
      </c>
      <c r="DR149" s="2">
        <f>73.2444256350856*(1/14151.6638359215)</f>
        <v>5.1756759123381358E-3</v>
      </c>
      <c r="DS149" s="2">
        <f>63.2546301556575*(1/14151.6638359215)</f>
        <v>4.4697663037399742E-3</v>
      </c>
      <c r="DT149" s="2">
        <f>54.2032839332015*(1/14151.6638359215)</f>
        <v>3.830170399866059E-3</v>
      </c>
      <c r="DU149" s="2">
        <f>46.0195595437611*(1/14151.6638359215)</f>
        <v>3.2518833175607643E-3</v>
      </c>
      <c r="DV149" s="2">
        <f>38.6326295633746*(1/14151.6638359215)</f>
        <v>2.729900173668095E-3</v>
      </c>
      <c r="DW149" s="2">
        <f>31.9716665680822*(1/14151.6638359215)</f>
        <v>2.2592160850321901E-3</v>
      </c>
      <c r="DX149" s="2">
        <f>25.9658431339242*(1/14151.6638359215)</f>
        <v>1.8348261684971977E-3</v>
      </c>
      <c r="DY149" s="2">
        <f>20.5443318369397*(1/14151.6638359215)</f>
        <v>1.4517255409071789E-3</v>
      </c>
      <c r="DZ149" s="2">
        <f>15.6626303704271*(1/14151.6638359215)</f>
        <v>1.1067695326870525E-3</v>
      </c>
      <c r="EA149" s="2">
        <f>11.8030289929556*(1/14151.6638359215)</f>
        <v>8.3403825372078825E-4</v>
      </c>
      <c r="EB149" s="2">
        <f>9.04102489393827*(1/14151.6638359215)</f>
        <v>6.3886656712331053E-4</v>
      </c>
      <c r="EC149" s="2">
        <f>7.20581664452328*(1/14151.6638359215)</f>
        <v>5.0918511971946275E-4</v>
      </c>
      <c r="ED149" s="2">
        <f>6.12660281585898*(1/14151.6638359215)</f>
        <v>4.3292455833410064E-4</v>
      </c>
      <c r="EE149" s="2">
        <f>5.63258197909361*(1/14151.6638359215)</f>
        <v>3.9801552979207256E-4</v>
      </c>
      <c r="EF149" s="2">
        <f>5.55295270537562*(1/14151.6638359215)</f>
        <v>3.9238868091824158E-4</v>
      </c>
      <c r="EG149" s="2">
        <f>5.71691356585317*(1/14151.6638359215)</f>
        <v>4.0397465853745014E-4</v>
      </c>
      <c r="EH149" s="2">
        <f>5.95366313167454*(1/14151.6638359215)</f>
        <v>4.2070410947454942E-4</v>
      </c>
      <c r="EI149" s="2">
        <f>6.09239997398802*(1/14151.6638359215)</f>
        <v>4.30507680554391E-4</v>
      </c>
      <c r="EJ149" s="2">
        <f>5.96232266394185*(1/14151.6638359215)</f>
        <v>4.2131601860182313E-4</v>
      </c>
      <c r="EK149" s="2">
        <f>5.57004673542865*(1/14151.6638359215)</f>
        <v>3.9359659754565891E-4</v>
      </c>
      <c r="EL149" s="2">
        <f>5.34659262796779*(1/14151.6638359215)</f>
        <v>3.7780664450185771E-4</v>
      </c>
      <c r="EM149" s="2">
        <f>5.29289790672838*(1/14151.6638359215)</f>
        <v>3.7401241070278207E-4</v>
      </c>
      <c r="EN149" s="2">
        <f>5.37547872632851*(1/14151.6638359215)</f>
        <v>3.7984782486733519E-4</v>
      </c>
      <c r="EO149" s="2">
        <f>5.56085124138626*(1/14151.6638359215)</f>
        <v>3.9294681571441943E-4</v>
      </c>
      <c r="EP149" s="2">
        <f>5.81553160651972*(1/14151.6638359215)</f>
        <v>4.1094331196293821E-4</v>
      </c>
      <c r="EQ149" s="2">
        <f>6.10603597634702*(1/14151.6638359215)</f>
        <v>4.3147124233179743E-4</v>
      </c>
      <c r="ER149" s="2">
        <f>6.39888050548612*(1/14151.6638359215)</f>
        <v>4.521645355398912E-4</v>
      </c>
      <c r="ES149" s="2">
        <f>6.66058134855517*(1/14151.6638359215)</f>
        <v>4.7065712030612685E-4</v>
      </c>
      <c r="ET149" s="2">
        <f>6.85765466017224*(1/14151.6638359215)</f>
        <v>4.8458292534940621E-4</v>
      </c>
      <c r="EU149" s="2">
        <f>6.95747844109008*(1/14151.6638359215)</f>
        <v>4.9163678008162901E-4</v>
      </c>
      <c r="EV149" s="2">
        <f>7.00139967645601*(1/14151.6638359215)</f>
        <v>4.9474038937274587E-4</v>
      </c>
      <c r="EW149" s="2">
        <f>7.02962533615838*(1/14151.6638359215)</f>
        <v>4.9673490111564952E-4</v>
      </c>
      <c r="EX149" s="2">
        <f>7.04473359330439*(1/14151.6638359215)</f>
        <v>4.9780249693485361E-4</v>
      </c>
      <c r="EY149" s="2">
        <f>7.04930262100123*(1/14151.6638359215)</f>
        <v>4.9812535845487091E-4</v>
      </c>
      <c r="EZ149" s="2">
        <f>7.0459105923561*(1/14151.6638359215)</f>
        <v>4.978856673002153E-4</v>
      </c>
      <c r="FA149" s="2">
        <f>7.03713568047621*(1/14151.6638359215)</f>
        <v>4.9726560509540108E-4</v>
      </c>
      <c r="FB149" s="2">
        <f>7.02555605846875*(1/14151.6638359215)</f>
        <v>4.9644735346494146E-4</v>
      </c>
      <c r="FC149" s="2">
        <f>7.01374989944092*(1/14151.6638359215)</f>
        <v>4.956130940333499E-4</v>
      </c>
      <c r="FD149" s="2">
        <f>7.00429537649991*(1/14151.6638359215)</f>
        <v>4.949450084251396E-4</v>
      </c>
      <c r="FE149" s="2">
        <f>6.99977066275293*(1/14151.6638359215)</f>
        <v>4.9462527826482476E-4</v>
      </c>
      <c r="FF149" s="2">
        <f>7.00124139469179*(1/14151.6638359215)</f>
        <v>4.9472920469749817E-4</v>
      </c>
      <c r="FG149" s="2">
        <f>7.00310348672948*(1/14151.6638359215)</f>
        <v>4.9486078583589155E-4</v>
      </c>
      <c r="FH149" s="2">
        <f>7.00452419398787*(1/14151.6638359215)</f>
        <v>4.9496117737111045E-4</v>
      </c>
      <c r="FI149" s="2">
        <f>7.00550351646695*(1/14151.6638359215)</f>
        <v>4.9503037930315424E-4</v>
      </c>
      <c r="FJ149" s="2">
        <f>7.00604145416673*(1/14151.6638359215)</f>
        <v>4.9506839163202356E-4</v>
      </c>
      <c r="FK149" s="2">
        <f>7.0061380070872*(1/14151.6638359215)</f>
        <v>4.9507521435771787E-4</v>
      </c>
      <c r="FL149" s="2">
        <f>7.00579317522837*(1/14151.6638359215)</f>
        <v>4.9505084748023771E-4</v>
      </c>
      <c r="FM149" s="2">
        <f>7.00500695859023*(1/14151.6638359215)</f>
        <v>4.9499529099958242E-4</v>
      </c>
      <c r="FN149" s="2">
        <f>7.00377935717279*(1/14151.6638359215)</f>
        <v>4.9490854491575278E-4</v>
      </c>
      <c r="FO149" s="2">
        <f>7.00211037097605*(1/14151.6638359215)</f>
        <v>4.9479060922874877E-4</v>
      </c>
      <c r="FP149" s="2">
        <f t="shared" si="19"/>
        <v>4.9464148393856954E-4</v>
      </c>
      <c r="FQ149" s="2"/>
    </row>
    <row r="150" spans="2:173">
      <c r="B150" s="2">
        <v>10.691715976331361</v>
      </c>
      <c r="C150" s="2">
        <f t="shared" si="21"/>
        <v>4.9464148393856954E-4</v>
      </c>
      <c r="D150" s="2">
        <f t="shared" si="21"/>
        <v>4.9464148393856954E-4</v>
      </c>
      <c r="E150" s="2">
        <f t="shared" si="21"/>
        <v>4.9464148393856954E-4</v>
      </c>
      <c r="F150" s="2">
        <f>7*(1/14151.6638359215)</f>
        <v>4.9464148393856954E-4</v>
      </c>
      <c r="G150" s="2">
        <f t="shared" si="21"/>
        <v>4.9464148393856954E-4</v>
      </c>
      <c r="H150" s="2">
        <f t="shared" si="21"/>
        <v>4.9464148393856954E-4</v>
      </c>
      <c r="I150" s="2">
        <f t="shared" si="21"/>
        <v>4.9464148393856954E-4</v>
      </c>
      <c r="J150" s="2">
        <f t="shared" si="22"/>
        <v>4.9464148393856954E-4</v>
      </c>
      <c r="K150" s="2">
        <f t="shared" si="22"/>
        <v>4.9464148393856954E-4</v>
      </c>
      <c r="L150" s="2">
        <f t="shared" si="22"/>
        <v>4.9464148393856954E-4</v>
      </c>
      <c r="M150" s="2">
        <f t="shared" si="22"/>
        <v>4.9464148393856954E-4</v>
      </c>
      <c r="N150" s="2">
        <f>7.00006857479516*(1/14151.6638359215)</f>
        <v>4.9464632964406081E-4</v>
      </c>
      <c r="O150" s="2">
        <f>7.00066720908664*(1/14151.6638359215)</f>
        <v>4.9468863098038574E-4</v>
      </c>
      <c r="P150" s="2">
        <f>7.00170814994304*(1/14151.6638359215)</f>
        <v>4.9476218705608594E-4</v>
      </c>
      <c r="Q150" s="2">
        <f>7.00297909021321*(1/14151.6638359215)</f>
        <v>4.9485199559626226E-4</v>
      </c>
      <c r="R150" s="2">
        <f>7.00426772274598*(1/14151.6638359215)</f>
        <v>4.9494305432601382E-4</v>
      </c>
      <c r="S150" s="2">
        <f>7.00536174039018*(1/14151.6638359215)</f>
        <v>4.9502036097043983E-4</v>
      </c>
      <c r="T150" s="2">
        <f>7.00604883599464*(1/14151.6638359215)</f>
        <v>4.9506891325463954E-4</v>
      </c>
      <c r="U150" s="2">
        <f>7.0061167024082*(1/14151.6638359215)</f>
        <v>4.9507370890371281E-4</v>
      </c>
      <c r="V150" s="2">
        <f>7.00535303247968*(1/14151.6638359215)</f>
        <v>4.9501974564275812E-4</v>
      </c>
      <c r="W150" s="2">
        <f>7.00354551905793*(1/14151.6638359215)</f>
        <v>4.9489202119687621E-4</v>
      </c>
      <c r="X150" s="2">
        <f>7.00048185499177*(1/14151.6638359215)</f>
        <v>4.9467553329116554E-4</v>
      </c>
      <c r="Y150" s="2">
        <f>6.99186973111896*(1/14151.6638359215)</f>
        <v>4.9406697418654993E-4</v>
      </c>
      <c r="Z150" s="2">
        <f>6.97320731751672*(1/14151.6638359215)</f>
        <v>4.9274823076396609E-4</v>
      </c>
      <c r="AA150" s="2">
        <f>6.94795273839637*(1/14151.6638359215)</f>
        <v>4.9096366469363257E-4</v>
      </c>
      <c r="AB150" s="2">
        <f>6.9196571840911*(1/14151.6638359215)</f>
        <v>4.8896421398357212E-4</v>
      </c>
      <c r="AC150" s="2">
        <f>6.8918718449341*(1/14151.6638359215)</f>
        <v>4.8700081664180715E-4</v>
      </c>
      <c r="AD150" s="2">
        <f>6.86814791125855*(1/14151.6638359215)</f>
        <v>4.8532441067635943E-4</v>
      </c>
      <c r="AE150" s="2">
        <f>6.85203657339767*(1/14151.6638359215)</f>
        <v>4.841859340952535E-4</v>
      </c>
      <c r="AF150" s="2">
        <f>6.84708902168462*(1/14151.6638359215)</f>
        <v>4.8383632490650981E-4</v>
      </c>
      <c r="AG150" s="2">
        <f>6.85685644645261*(1/14151.6638359215)</f>
        <v>4.8452652111815225E-4</v>
      </c>
      <c r="AH150" s="2">
        <f>6.88489003803482*(1/14151.6638359215)</f>
        <v>4.8650746073820259E-4</v>
      </c>
      <c r="AI150" s="2">
        <f>6.91785594068138*(1/14151.6638359215)</f>
        <v>4.8883693259598382E-4</v>
      </c>
      <c r="AJ150" s="2">
        <f>6.73906569295951*(1/14151.6638359215)</f>
        <v>4.762030649607138E-4</v>
      </c>
      <c r="AK150" s="2">
        <f>6.35684290159193*(1/14151.6638359215)</f>
        <v>4.4919402942968496E-4</v>
      </c>
      <c r="AL150" s="2">
        <f>5.86863127745372*(1/14151.6638359215)</f>
        <v>4.1469549768114448E-4</v>
      </c>
      <c r="AM150" s="2">
        <f>5.37187453141992*(1/14151.6638359215)</f>
        <v>3.7959314139333672E-4</v>
      </c>
      <c r="AN150" s="2">
        <f>4.9640163743656*(1/14151.6638359215)</f>
        <v>3.5077263224450828E-4</v>
      </c>
      <c r="AO150" s="2">
        <f>4.74250051716579*(1/14151.6638359215)</f>
        <v>3.3511964191290281E-4</v>
      </c>
      <c r="AP150" s="2">
        <f>4.8047706706956*(1/14151.6638359215)</f>
        <v>3.3951984207676968E-4</v>
      </c>
      <c r="AQ150" s="2">
        <f>5.24827054583009*(1/14151.6638359215)</f>
        <v>3.7085890441435461E-4</v>
      </c>
      <c r="AR150" s="2">
        <f>6.17044385344427*(1/14151.6638359215)</f>
        <v>4.3602250060389985E-4</v>
      </c>
      <c r="AS150" s="2">
        <f>7.66873430441321*(1/14151.6638359215)</f>
        <v>5.4189630232365205E-4</v>
      </c>
      <c r="AT150" s="2">
        <f>9.60593628000675*(1/14151.6638359215)</f>
        <v>6.787849394516973E-4</v>
      </c>
      <c r="AU150" s="2">
        <f>11.5290240347132*(1/14151.6638359215)</f>
        <v>8.1467622241342445E-4</v>
      </c>
      <c r="AV150" s="2">
        <f>13.5541893440626*(1/14151.6638359215)</f>
        <v>9.5778061867592438E-4</v>
      </c>
      <c r="AW150" s="2">
        <f>15.8241679230289*(1/14151.6638359215)</f>
        <v>1.118184271934304E-3</v>
      </c>
      <c r="AX150" s="2">
        <f>18.481695486586*(1/14151.6638359215)</f>
        <v>1.305973325883666E-3</v>
      </c>
      <c r="AY150" s="2">
        <f>21.6695077497078*(1/14151.6638359215)</f>
        <v>1.5312339242191143E-3</v>
      </c>
      <c r="AZ150" s="2">
        <f>25.5303404273679*(1/14151.6638359215)</f>
        <v>1.8040522106357302E-3</v>
      </c>
      <c r="BA150" s="2">
        <f>30.2069292345413*(1/14151.6638359215)</f>
        <v>2.1345143288286953E-3</v>
      </c>
      <c r="BB150" s="2">
        <f>35.8420098861999*(1/14151.6638359215)</f>
        <v>2.5327064224929712E-3</v>
      </c>
      <c r="BC150" s="2">
        <f>42.5783180973183*(1/14151.6638359215)</f>
        <v>3.0087146353237107E-3</v>
      </c>
      <c r="BD150" s="2">
        <f>50.5420655341631*(1/14151.6638359215)</f>
        <v>3.5714574710198383E-3</v>
      </c>
      <c r="BE150" s="2">
        <f>59.2583404959745*(1/14151.6638359215)</f>
        <v>4.1873762112379798E-3</v>
      </c>
      <c r="BF150" s="2">
        <f>68.5428504636096*(1/14151.6638359215)</f>
        <v>4.8434481809570456E-3</v>
      </c>
      <c r="BG150" s="2">
        <f>78.519517883023*(1/14151.6638359215)</f>
        <v>5.5484301205427919E-3</v>
      </c>
      <c r="BH150" s="2">
        <f>89.3122652001634*(1/14151.6638359215)</f>
        <v>6.3110787703605552E-3</v>
      </c>
      <c r="BI150" s="2">
        <f>101.045014860985*(1/14151.6638359215)</f>
        <v>7.140150870776062E-3</v>
      </c>
      <c r="BJ150" s="2">
        <f>113.84168931144*(1/14151.6638359215)</f>
        <v>8.0444031621548975E-3</v>
      </c>
      <c r="BK150" s="2">
        <f>127.826210997482*(1/14151.6638359215)</f>
        <v>9.0325923848627414E-3</v>
      </c>
      <c r="BL150" s="2">
        <f>143.122502365063*(1/14151.6638359215)</f>
        <v>1.0113475279265172E-2</v>
      </c>
      <c r="BM150" s="2">
        <f>159.854485860137*(1/14151.6638359215)</f>
        <v>1.1295808585727892E-2</v>
      </c>
      <c r="BN150" s="2">
        <f>178.146083928653*(1/14151.6638359215)</f>
        <v>1.2588349044616269E-2</v>
      </c>
      <c r="BO150" s="2">
        <f>198.627226913739*(1/14151.6638359215)</f>
        <v>1.4035609467316407E-2</v>
      </c>
      <c r="BP150" s="2">
        <f>222.864276492944*(1/14151.6638359215)</f>
        <v>1.5748273777337927E-2</v>
      </c>
      <c r="BQ150" s="2">
        <f>250.14227403113*(1/14151.6638359215)</f>
        <v>1.7675820803218063E-2</v>
      </c>
      <c r="BR150" s="2">
        <f>279.539592996009*(1/14151.6638359215)</f>
        <v>1.9753125585589951E-2</v>
      </c>
      <c r="BS150" s="2">
        <f>310.134606855271*(1/14151.6638359215)</f>
        <v>2.1915063165085159E-2</v>
      </c>
      <c r="BT150" s="2">
        <f>341.005689076627*(1/14151.6638359215)</f>
        <v>2.4096508582336747E-2</v>
      </c>
      <c r="BU150" s="2">
        <f>371.231213127781*(1/14151.6638359215)</f>
        <v>2.6232336877977283E-2</v>
      </c>
      <c r="BV150" s="2">
        <f>399.889552476435*(1/14151.6638359215)</f>
        <v>2.8257423092639181E-2</v>
      </c>
      <c r="BW150" s="2">
        <f>426.059080590294*(1/14151.6638359215)</f>
        <v>3.0106642266955089E-2</v>
      </c>
      <c r="BX150" s="2">
        <f>448.818170937062*(1/14151.6638359215)</f>
        <v>3.1714869441557561E-2</v>
      </c>
      <c r="BY150" s="2">
        <f>467.251064189877*(1/14151.6638359215)</f>
        <v>3.3017394251822367E-2</v>
      </c>
      <c r="BZ150" s="2">
        <f>482.301541054361*(1/14151.6638359215)</f>
        <v>3.4080907138998293E-2</v>
      </c>
      <c r="CA150" s="2">
        <f>495.218143560321*(1/14151.6638359215)</f>
        <v>3.499363391485439E-2</v>
      </c>
      <c r="CB150" s="2">
        <f>506.075181647107*(1/14151.6638359215)</f>
        <v>3.576082554777231E-2</v>
      </c>
      <c r="CC150" s="2">
        <f>514.946965254069*(1/14151.6638359215)</f>
        <v>3.6387733006133675E-2</v>
      </c>
      <c r="CD150" s="2">
        <f>521.907804320557*(1/14151.6638359215)</f>
        <v>3.6879607258320131E-2</v>
      </c>
      <c r="CE150" s="2">
        <f>527.03200878592*(1/14151.6638359215)</f>
        <v>3.7241699272713237E-2</v>
      </c>
      <c r="CF150" s="2">
        <f>530.393888589506*(1/14151.6638359215)</f>
        <v>3.7479260017694513E-2</v>
      </c>
      <c r="CG150" s="2">
        <f>532.067753670668*(1/14151.6638359215)</f>
        <v>3.759754046164579E-2</v>
      </c>
      <c r="CH150" s="2">
        <f>532.127913968753*(1/14151.6638359215)</f>
        <v>3.760179157294849E-2</v>
      </c>
      <c r="CI150" s="2">
        <f>530.648679423113*(1/14151.6638359215)</f>
        <v>3.7497264319984409E-2</v>
      </c>
      <c r="CJ150" s="2">
        <f>527.504145712399*(1/14151.6638359215)</f>
        <v>3.7275061916989781E-2</v>
      </c>
      <c r="CK150" s="2">
        <f>521.687909067238*(1/14151.6638359215)</f>
        <v>3.6864068784832595E-2</v>
      </c>
      <c r="CL150" s="2">
        <f>513.382193241325*(1/14151.6638359215)</f>
        <v>3.6277161413218066E-2</v>
      </c>
      <c r="CM150" s="2">
        <f>502.98283312188*(1/14151.6638359215)</f>
        <v>3.5542310710147518E-2</v>
      </c>
      <c r="CN150" s="2">
        <f>490.885663596122*(1/14151.6638359215)</f>
        <v>3.4687487583622174E-2</v>
      </c>
      <c r="CO150" s="2">
        <f>477.486519551272*(1/14151.6638359215)</f>
        <v>3.3740662941643428E-2</v>
      </c>
      <c r="CP150" s="2">
        <f>463.181235874547*(1/14151.6638359215)</f>
        <v>3.2729807692212363E-2</v>
      </c>
      <c r="CQ150" s="2">
        <f>448.365647453171*(1/14151.6638359215)</f>
        <v>3.1682892743330575E-2</v>
      </c>
      <c r="CR150" s="2">
        <f>433.435589174363*(1/14151.6638359215)</f>
        <v>3.0627889002999301E-2</v>
      </c>
      <c r="CS150" s="2">
        <f>418.786895925341*(1/14151.6638359215)</f>
        <v>2.959276737921971E-2</v>
      </c>
      <c r="CT150" s="2">
        <f>404.815402593326*(1/14151.6638359215)</f>
        <v>2.8605498779993174E-2</v>
      </c>
      <c r="CU150" s="2">
        <f>391.166142341371*(1/14151.6638359215)</f>
        <v>2.7641000159180213E-2</v>
      </c>
      <c r="CV150" s="2">
        <f>377.070213858216*(1/14151.6638359215)</f>
        <v>2.6644938590265961E-2</v>
      </c>
      <c r="CW150" s="2">
        <f>362.584070275606*(1/14151.6638359215)</f>
        <v>2.5621303224801762E-2</v>
      </c>
      <c r="CX150" s="2">
        <f>347.767282700094*(1/14151.6638359215)</f>
        <v>2.457430354000836E-2</v>
      </c>
      <c r="CY150" s="2">
        <f>332.67942223824*(1/14151.6638359215)</f>
        <v>2.3508149013107001E-2</v>
      </c>
      <c r="CZ150" s="2">
        <f>317.380059996601*(1/14151.6638359215)</f>
        <v>2.242704912131871E-2</v>
      </c>
      <c r="DA150" s="2">
        <f>301.928767081731*(1/14151.6638359215)</f>
        <v>2.1335213341864306E-2</v>
      </c>
      <c r="DB150" s="2">
        <f>286.385114600194*(1/14151.6638359215)</f>
        <v>2.0236851151965322E-2</v>
      </c>
      <c r="DC150" s="2">
        <f>270.808673658546*(1/14151.6638359215)</f>
        <v>1.9136172028842716E-2</v>
      </c>
      <c r="DD150" s="2">
        <f>255.259015363344*(1/14151.6638359215)</f>
        <v>1.8037385449717513E-2</v>
      </c>
      <c r="DE150" s="2">
        <f>239.712338798435*(1/14151.6638359215)</f>
        <v>1.6938809568806147E-2</v>
      </c>
      <c r="DF150" s="2">
        <f>223.428542545483*(1/14151.6638359215)</f>
        <v>1.5788146548418504E-2</v>
      </c>
      <c r="DG150" s="2">
        <f>206.446564085447*(1/14151.6638359215)</f>
        <v>1.4588147830463499E-2</v>
      </c>
      <c r="DH150" s="2">
        <f>189.051620333592*(1/14151.6638359215)</f>
        <v>1.3358967717542714E-2</v>
      </c>
      <c r="DI150" s="2">
        <f>171.528928205194*(1/14151.6638359215)</f>
        <v>1.2120760512258502E-2</v>
      </c>
      <c r="DJ150" s="2">
        <f>154.163704615518*(1/14151.6638359215)</f>
        <v>1.0893680517212446E-2</v>
      </c>
      <c r="DK150" s="2">
        <f>137.241166479833*(1/14151.6638359215)</f>
        <v>9.6978820350064089E-3</v>
      </c>
      <c r="DL150" s="2">
        <f>121.046530713408*(1/14151.6638359215)</f>
        <v>8.5535193682422534E-3</v>
      </c>
      <c r="DM150" s="2">
        <f>105.865014231508*(1/14151.6638359215)</f>
        <v>7.4807468195215573E-3</v>
      </c>
      <c r="DN150" s="2">
        <f>91.9818339494095*(1/14151.6638359215)</f>
        <v>6.4997186914467165E-3</v>
      </c>
      <c r="DO150" s="2">
        <f>79.6822067823768*(1/14151.6638359215)</f>
        <v>5.6305892866192588E-3</v>
      </c>
      <c r="DP150" s="2">
        <f>69.0091210349499*(1/14151.6638359215)</f>
        <v>4.8763962905748531E-3</v>
      </c>
      <c r="DQ150" s="2">
        <f>59.5543467414394*(1/14151.6638359215)</f>
        <v>4.2082929210253859E-3</v>
      </c>
      <c r="DR150" s="2">
        <f>51.2003296781596*(1/14151.6638359215)</f>
        <v>3.6179724357355493E-3</v>
      </c>
      <c r="DS150" s="2">
        <f>43.8401175031835*(1/14151.6638359215)</f>
        <v>3.097877253973706E-3</v>
      </c>
      <c r="DT150" s="2">
        <f>37.3667578745834*(1/14151.6638359215)</f>
        <v>2.6404497950081661E-3</v>
      </c>
      <c r="DU150" s="2">
        <f>31.6732984504348*(1/14151.6638359215)</f>
        <v>2.2381324781074663E-3</v>
      </c>
      <c r="DV150" s="2">
        <f>26.6527868888097*(1/14151.6638359215)</f>
        <v>1.8833677225398972E-3</v>
      </c>
      <c r="DW150" s="2">
        <f>22.1982708477812*(1/14151.6638359215)</f>
        <v>1.5685979475738257E-3</v>
      </c>
      <c r="DX150" s="2">
        <f>18.2027979854226*(1/14151.6638359215)</f>
        <v>1.2862655724776341E-3</v>
      </c>
      <c r="DY150" s="2">
        <f>14.5594159598065*(1/14151.6638359215)</f>
        <v>1.0288130165196543E-3</v>
      </c>
      <c r="DZ150" s="2">
        <f>11.1882804408127*(1/14151.6638359215)</f>
        <v>7.9059823428063818E-4</v>
      </c>
      <c r="EA150" s="2">
        <f>8.5701537070867*(1/14151.6638359215)</f>
        <v>6.0559336389357117E-4</v>
      </c>
      <c r="EB150" s="2">
        <f>6.81191301872796*(1/14151.6638359215)</f>
        <v>4.8135068057772272E-4</v>
      </c>
      <c r="EC150" s="2">
        <f>5.77334533949628*(1/14151.6638359215)</f>
        <v>4.0796230085975209E-4</v>
      </c>
      <c r="ED150" s="2">
        <f>5.31423763315144*(1/14151.6638359215)</f>
        <v>3.7552034126631714E-4</v>
      </c>
      <c r="EE150" s="2">
        <f>5.29437686345325*(1/14151.6638359215)</f>
        <v>3.7411691832407788E-4</v>
      </c>
      <c r="EF150" s="2">
        <f>5.57354999416148*(1/14151.6638359215)</f>
        <v>3.9384414855969148E-4</v>
      </c>
      <c r="EG150" s="2">
        <f>6.01154398903586*(1/14151.6638359215)</f>
        <v>4.2479414849981226E-4</v>
      </c>
      <c r="EH150" s="2">
        <f>6.46814581183618*(1/14151.6638359215)</f>
        <v>4.5705903467109884E-4</v>
      </c>
      <c r="EI150" s="2">
        <f>6.80314242632222*(1/14151.6638359215)</f>
        <v>4.8073092360020908E-4</v>
      </c>
      <c r="EJ150" s="2">
        <f>6.87632079625374*(1/14151.6638359215)</f>
        <v>4.8590193181379947E-4</v>
      </c>
      <c r="EK150" s="2">
        <f>6.68259684082155*(1/14151.6638359215)</f>
        <v>4.7221280255816691E-4</v>
      </c>
      <c r="EL150" s="2">
        <f>6.55041055469319*(1/14151.6638359215)</f>
        <v>4.6287211388290118E-4</v>
      </c>
      <c r="EM150" s="2">
        <f>6.49165584990394*(1/14151.6638359215)</f>
        <v>4.5872032611642583E-4</v>
      </c>
      <c r="EN150" s="2">
        <f>6.49236216052846*(1/14151.6638359215)</f>
        <v>4.5877023619291641E-4</v>
      </c>
      <c r="EO150" s="2">
        <f>6.53855892064141*(1/14151.6638359215)</f>
        <v>4.6203464104654842E-4</v>
      </c>
      <c r="EP150" s="2">
        <f>6.61627556431747*(1/14151.6638359215)</f>
        <v>4.6752633761149855E-4</v>
      </c>
      <c r="EQ150" s="2">
        <f>6.71154152563133*(1/14151.6638359215)</f>
        <v>4.7425812282194459E-4</v>
      </c>
      <c r="ER150" s="2">
        <f>6.81038623865762*(1/14151.6638359215)</f>
        <v>4.8124279361205975E-4</v>
      </c>
      <c r="ES150" s="2">
        <f>6.89883913747102*(1/14151.6638359215)</f>
        <v>4.8749314691602094E-4</v>
      </c>
      <c r="ET150" s="2">
        <f>6.9629296561462*(1/14151.6638359215)</f>
        <v>4.9202197966800431E-4</v>
      </c>
      <c r="EU150" s="2">
        <f>6.98906631553129*(1/14151.6638359215)</f>
        <v>4.9386887623706691E-4</v>
      </c>
      <c r="EV150" s="2">
        <f>6.99586984039021*(1/14151.6638359215)</f>
        <v>4.9434963418452818E-4</v>
      </c>
      <c r="EW150" s="2">
        <f>7.00044547213496*(1/14151.6638359215)</f>
        <v>4.9467296236683947E-4</v>
      </c>
      <c r="EX150" s="2">
        <f>7.0031516397303*(1/14151.6638359215)</f>
        <v>4.9486418847471741E-4</v>
      </c>
      <c r="EY150" s="2">
        <f>7.00434677214099*(1/14151.6638359215)</f>
        <v>4.9494864019887844E-4</v>
      </c>
      <c r="EZ150" s="2">
        <f>7.00438929833177*(1/14151.6638359215)</f>
        <v>4.9495164523003746E-4</v>
      </c>
      <c r="FA150" s="2">
        <f>7.00363764726741*(1/14151.6638359215)</f>
        <v>4.9489853125891188E-4</v>
      </c>
      <c r="FB150" s="2">
        <f>7.00245024791264*(1/14151.6638359215)</f>
        <v>4.9481462597621606E-4</v>
      </c>
      <c r="FC150" s="2">
        <f>7.00118552923224*(1/14151.6638359215)</f>
        <v>4.9472525707266774E-4</v>
      </c>
      <c r="FD150" s="2">
        <f>7.00020192019096*(1/14151.6638359215)</f>
        <v>4.94655752238983E-4</v>
      </c>
      <c r="FE150" s="2">
        <f>6.99985784975353*(1/14151.6638359215)</f>
        <v>4.946314391658758E-4</v>
      </c>
      <c r="FF150" s="2">
        <f>7.00030146739198*(1/14151.6638359215)</f>
        <v>4.9466278654973072E-4</v>
      </c>
      <c r="FG150" s="2">
        <f>7.00075366847995*(1/14151.6638359215)</f>
        <v>4.9469474046647248E-4</v>
      </c>
      <c r="FH150" s="2">
        <f>7.00109868116188*(1/14151.6638359215)</f>
        <v>4.947191201214678E-4</v>
      </c>
      <c r="FI150" s="2">
        <f>7.00133650543778*(1/14151.6638359215)</f>
        <v>4.9473592551471744E-4</v>
      </c>
      <c r="FJ150" s="2">
        <f>7.00146714130764*(1/14151.6638359215)</f>
        <v>4.9474515664622084E-4</v>
      </c>
      <c r="FK150" s="2">
        <f>7.00149058877146*(1/14151.6638359215)</f>
        <v>4.9474681351597768E-4</v>
      </c>
      <c r="FL150" s="2">
        <f>7.00140684782924*(1/14151.6638359215)</f>
        <v>4.947408961239883E-4</v>
      </c>
      <c r="FM150" s="2">
        <f>7.00121591848099*(1/14151.6638359215)</f>
        <v>4.9472740447025312E-4</v>
      </c>
      <c r="FN150" s="2">
        <f>7.00091780072669*(1/14151.6638359215)</f>
        <v>4.9470633855477095E-4</v>
      </c>
      <c r="FO150" s="2">
        <f>7.00051249456637*(1/14151.6638359215)</f>
        <v>4.9467769837754374E-4</v>
      </c>
      <c r="FP150" s="2">
        <f t="shared" si="19"/>
        <v>4.9464148393856954E-4</v>
      </c>
      <c r="FQ150" s="2"/>
    </row>
    <row r="151" spans="2:173">
      <c r="B151" s="2">
        <v>10.701183431952662</v>
      </c>
      <c r="C151" s="2">
        <f t="shared" si="21"/>
        <v>4.9464148393856954E-4</v>
      </c>
      <c r="D151" s="2">
        <f t="shared" si="21"/>
        <v>4.9464148393856954E-4</v>
      </c>
      <c r="E151" s="2">
        <f t="shared" si="21"/>
        <v>4.9464148393856954E-4</v>
      </c>
      <c r="F151" s="2">
        <f t="shared" si="21"/>
        <v>4.9464148393856954E-4</v>
      </c>
      <c r="G151" s="2">
        <f t="shared" si="21"/>
        <v>4.9464148393856954E-4</v>
      </c>
      <c r="H151" s="2">
        <f t="shared" si="21"/>
        <v>4.9464148393856954E-4</v>
      </c>
      <c r="I151" s="2">
        <f t="shared" si="21"/>
        <v>4.9464148393856954E-4</v>
      </c>
      <c r="J151" s="2">
        <f t="shared" si="22"/>
        <v>4.9464148393856954E-4</v>
      </c>
      <c r="K151" s="2">
        <f t="shared" si="22"/>
        <v>4.9464148393856954E-4</v>
      </c>
      <c r="L151" s="2">
        <f t="shared" si="22"/>
        <v>4.9464148393856954E-4</v>
      </c>
      <c r="M151" s="2">
        <f t="shared" si="22"/>
        <v>4.9464148393856954E-4</v>
      </c>
      <c r="N151" s="2">
        <f t="shared" si="22"/>
        <v>4.9464148393856954E-4</v>
      </c>
      <c r="O151" s="2">
        <f t="shared" si="22"/>
        <v>4.9464148393856954E-4</v>
      </c>
      <c r="P151" s="2">
        <f t="shared" si="22"/>
        <v>4.9464148393856954E-4</v>
      </c>
      <c r="Q151" s="2">
        <f t="shared" si="22"/>
        <v>4.9464148393856954E-4</v>
      </c>
      <c r="R151" s="2">
        <f t="shared" si="22"/>
        <v>4.9464148393856954E-4</v>
      </c>
      <c r="S151" s="2">
        <f t="shared" si="22"/>
        <v>4.9464148393856954E-4</v>
      </c>
      <c r="T151" s="2">
        <f t="shared" si="22"/>
        <v>4.9464148393856954E-4</v>
      </c>
      <c r="U151" s="2">
        <f t="shared" si="22"/>
        <v>4.9464148393856954E-4</v>
      </c>
      <c r="V151" s="2">
        <f t="shared" si="22"/>
        <v>4.9464148393856954E-4</v>
      </c>
      <c r="W151" s="2">
        <f t="shared" ref="W151:AH166" si="23">7*(1/14151.6638359215)</f>
        <v>4.9464148393856954E-4</v>
      </c>
      <c r="X151" s="2">
        <f t="shared" si="23"/>
        <v>4.9464148393856954E-4</v>
      </c>
      <c r="Y151" s="2">
        <f>7.00093461685197*(1/14151.6638359215)</f>
        <v>4.9470752683379419E-4</v>
      </c>
      <c r="Z151" s="2">
        <f>7.00384860329759*(1/14151.6638359215)</f>
        <v>4.949134380594568E-4</v>
      </c>
      <c r="AA151" s="2">
        <f>7.0080069407119*(1/14151.6638359215)</f>
        <v>4.9520727894364705E-4</v>
      </c>
      <c r="AB151" s="2">
        <f>7.01265356774682*(1/14151.6638359215)</f>
        <v>4.955356238710558E-4</v>
      </c>
      <c r="AC151" s="2">
        <f>7.01703242305431*(1/14151.6638359215)</f>
        <v>4.9584504722637718E-4</v>
      </c>
      <c r="AD151" s="2">
        <f>7.0203874452863*(1/14151.6638359215)</f>
        <v>4.960821233943026E-4</v>
      </c>
      <c r="AE151" s="2">
        <f>7.02196257309475*(1/14151.6638359215)</f>
        <v>4.9619342675952618E-4</v>
      </c>
      <c r="AF151" s="2">
        <f>7.02100174513159*(1/14151.6638359215)</f>
        <v>4.9612553170673944E-4</v>
      </c>
      <c r="AG151" s="2">
        <f>7.01674890004879*(1/14151.6638359215)</f>
        <v>4.9582501262063704E-4</v>
      </c>
      <c r="AH151" s="2">
        <f>7.00844797649826*(1/14151.6638359215)</f>
        <v>4.9523844388590921E-4</v>
      </c>
      <c r="AI151" s="2">
        <f>6.98618537066684*(1/14151.6638359215)</f>
        <v>4.9366529983093873E-4</v>
      </c>
      <c r="AJ151" s="2">
        <f>6.83134588746308*(1/14151.6638359215)</f>
        <v>4.82723866724626E-4</v>
      </c>
      <c r="AK151" s="2">
        <f>6.55085393607001*(1/14151.6638359215)</f>
        <v>4.6290344457178414E-4</v>
      </c>
      <c r="AL151" s="2">
        <f>6.20040332880146*(1/14151.6638359215)</f>
        <v>4.3813952908228584E-4</v>
      </c>
      <c r="AM151" s="2">
        <f>5.83568787797126*(1/14151.6638359215)</f>
        <v>4.1236761596600375E-4</v>
      </c>
      <c r="AN151" s="2">
        <f>5.51240139589323*(1/14151.6638359215)</f>
        <v>3.895232009328099E-4</v>
      </c>
      <c r="AO151" s="2">
        <f>5.28623769488121*(1/14151.6638359215)</f>
        <v>3.7354177969257788E-4</v>
      </c>
      <c r="AP151" s="2">
        <f>5.21289058724902*(1/14151.6638359215)</f>
        <v>3.6835884795517949E-4</v>
      </c>
      <c r="AQ151" s="2">
        <f>5.34805388531054*(1/14151.6638359215)</f>
        <v>3.7790990143049113E-4</v>
      </c>
      <c r="AR151" s="2">
        <f>5.74742140137956*(1/14151.6638359215)</f>
        <v>4.0613043582838265E-4</v>
      </c>
      <c r="AS151" s="2">
        <f>6.4666869477699*(1/14151.6638359215)</f>
        <v>4.5695594685872607E-4</v>
      </c>
      <c r="AT151" s="2">
        <f>7.37576912240789*(1/14151.6638359215)</f>
        <v>5.2119448341373135E-4</v>
      </c>
      <c r="AU151" s="2">
        <f>8.11812188720305*(1/14151.6638359215)</f>
        <v>5.7365140815432815E-4</v>
      </c>
      <c r="AV151" s="2">
        <f>8.80998812582714*(1/14151.6638359215)</f>
        <v>6.2254080000575911E-4</v>
      </c>
      <c r="AW151" s="2">
        <f>9.5891070520382*(1/14151.6638359215)</f>
        <v>6.7759573455228241E-4</v>
      </c>
      <c r="AX151" s="2">
        <f>10.5932178795941*(1/14151.6638359215)</f>
        <v>7.4854928737814466E-4</v>
      </c>
      <c r="AY151" s="2">
        <f>11.9600598222528*(1/14151.6638359215)</f>
        <v>8.4513453406759851E-4</v>
      </c>
      <c r="AZ151" s="2">
        <f>13.8273720937721*(1/14151.6638359215)</f>
        <v>9.7708455020488537E-4</v>
      </c>
      <c r="BA151" s="2">
        <f>16.3328939079104*(1/14151.6638359215)</f>
        <v>1.154132411374289E-3</v>
      </c>
      <c r="BB151" s="2">
        <f>19.6143644784247*(1/14151.6638359215)</f>
        <v>1.3860111931599944E-3</v>
      </c>
      <c r="BC151" s="2">
        <f>23.8095230190734*(1/14151.6638359215)</f>
        <v>1.6824539711462853E-3</v>
      </c>
      <c r="BD151" s="2">
        <f>29.0352291945344*(1/14151.6638359215)</f>
        <v>2.0517184078972816E-3</v>
      </c>
      <c r="BE151" s="2">
        <f>34.669167341082*(1/14151.6638359215)</f>
        <v>2.4498297686439134E-3</v>
      </c>
      <c r="BF151" s="2">
        <f>40.5130801173021*(1/14151.6638359215)</f>
        <v>2.8627785811634957E-3</v>
      </c>
      <c r="BG151" s="2">
        <f>46.7677141733212*(1/14151.6638359215)</f>
        <v>3.3047502198723529E-3</v>
      </c>
      <c r="BH151" s="2">
        <f>53.633816159262*(1/14151.6638359215)</f>
        <v>3.7899300591865406E-3</v>
      </c>
      <c r="BI151" s="2">
        <f>61.3121327252508*(1/14151.6638359215)</f>
        <v>4.3325034735223695E-3</v>
      </c>
      <c r="BJ151" s="2">
        <f>70.0034105214128*(1/14151.6638359215)</f>
        <v>4.9466558372960713E-3</v>
      </c>
      <c r="BK151" s="2">
        <f>79.9083961978732*(1/14151.6638359215)</f>
        <v>5.6465725249238785E-3</v>
      </c>
      <c r="BL151" s="2">
        <f>91.2278364047569*(1/14151.6638359215)</f>
        <v>6.4464389108220017E-3</v>
      </c>
      <c r="BM151" s="2">
        <f>104.162477792192*(1/14151.6638359215)</f>
        <v>7.3604403694068786E-3</v>
      </c>
      <c r="BN151" s="2">
        <f>118.913067010298*(1/14151.6638359215)</f>
        <v>8.4027622750943373E-3</v>
      </c>
      <c r="BO151" s="2">
        <f>136.099416294572*(1/14151.6638359215)</f>
        <v>9.6172024627314608E-3</v>
      </c>
      <c r="BP151" s="2">
        <f>157.02507686169*(1/14151.6638359215)</f>
        <v>1.1095873862062041E-2</v>
      </c>
      <c r="BQ151" s="2">
        <f>180.992364517405*(1/14151.6638359215)</f>
        <v>1.2789475966634245E-2</v>
      </c>
      <c r="BR151" s="2">
        <f>207.127548389818*(1/14151.6638359215)</f>
        <v>1.4636268271442493E-2</v>
      </c>
      <c r="BS151" s="2">
        <f>234.556897607016*(1/14151.6638359215)</f>
        <v>1.6574510271480214E-2</v>
      </c>
      <c r="BT151" s="2">
        <f>262.406681297102*(1/14151.6638359215)</f>
        <v>1.8542461461741974E-2</v>
      </c>
      <c r="BU151" s="2">
        <f>289.803168588172*(1/14151.6638359215)</f>
        <v>2.0478381337221838E-2</v>
      </c>
      <c r="BV151" s="2">
        <f>315.872628608323*(1/14151.6638359215)</f>
        <v>2.2320529392913936E-2</v>
      </c>
      <c r="BW151" s="2">
        <f>339.741330485652*(1/14151.6638359215)</f>
        <v>2.4007165123812412E-2</v>
      </c>
      <c r="BX151" s="2">
        <f>360.535543348256*(1/14151.6638359215)</f>
        <v>2.5476548024911401E-2</v>
      </c>
      <c r="BY151" s="2">
        <f>377.387308131134*(1/14151.6638359215)</f>
        <v>2.6667345444795185E-2</v>
      </c>
      <c r="BZ151" s="2">
        <f>391.245512432972*(1/14151.6638359215)</f>
        <v>2.7646608693450193E-2</v>
      </c>
      <c r="CA151" s="2">
        <f>403.314794410255*(1/14151.6638359215)</f>
        <v>2.8499461200209662E-2</v>
      </c>
      <c r="CB151" s="2">
        <f>413.634953598038*(1/14151.6638359215)</f>
        <v>2.9228715322370698E-2</v>
      </c>
      <c r="CC151" s="2">
        <f>422.245789531376*(1/14151.6638359215)</f>
        <v>2.9837183417230389E-2</v>
      </c>
      <c r="CD151" s="2">
        <f>429.187101745324*(1/14151.6638359215)</f>
        <v>3.0327677842085843E-2</v>
      </c>
      <c r="CE151" s="2">
        <f>434.498689774936*(1/14151.6638359215)</f>
        <v>3.0703010954234073E-2</v>
      </c>
      <c r="CF151" s="2">
        <f>438.220353155267*(1/14151.6638359215)</f>
        <v>3.0965995110972182E-2</v>
      </c>
      <c r="CG151" s="2">
        <f>440.391891421373*(1/14151.6638359215)</f>
        <v>3.1119442669597333E-2</v>
      </c>
      <c r="CH151" s="2">
        <f>441.053104108308*(1/14151.6638359215)</f>
        <v>3.1166165987406552E-2</v>
      </c>
      <c r="CI151" s="2">
        <f>440.243790751128*(1/14151.6638359215)</f>
        <v>3.110897742169701E-2</v>
      </c>
      <c r="CJ151" s="2">
        <f>437.828784993182*(1/14151.6638359215)</f>
        <v>3.0938325702864065E-2</v>
      </c>
      <c r="CK151" s="2">
        <f>432.92324938785*(1/14151.6638359215)</f>
        <v>3.0591685501244789E-2</v>
      </c>
      <c r="CL151" s="2">
        <f>425.711866742567*(1/14151.6638359215)</f>
        <v>3.0082107070828847E-2</v>
      </c>
      <c r="CM151" s="2">
        <f>416.568192241866*(1/14151.6638359215)</f>
        <v>2.9435986967446273E-2</v>
      </c>
      <c r="CN151" s="2">
        <f>405.865781070282*(1/14151.6638359215)</f>
        <v>2.8679721746927272E-2</v>
      </c>
      <c r="CO151" s="2">
        <f>393.978188412347*(1/14151.6638359215)</f>
        <v>2.7839707965101809E-2</v>
      </c>
      <c r="CP151" s="2">
        <f>381.278969452596*(1/14151.6638359215)</f>
        <v>2.6942342177800088E-2</v>
      </c>
      <c r="CQ151" s="2">
        <f>368.141679375565*(1/14151.6638359215)</f>
        <v>2.6014020940852364E-2</v>
      </c>
      <c r="CR151" s="2">
        <f>354.939873365787*(1/14151.6638359215)</f>
        <v>2.5081140810088689E-2</v>
      </c>
      <c r="CS151" s="2">
        <f>342.047106607796*(1/14151.6638359215)</f>
        <v>2.4170098341339191E-2</v>
      </c>
      <c r="CT151" s="2">
        <f>329.836934286126*(1/14151.6638359215)</f>
        <v>2.3307290090433974E-2</v>
      </c>
      <c r="CU151" s="2">
        <f>317.97869443962*(1/14151.6638359215)</f>
        <v>2.2469350468351804E-2</v>
      </c>
      <c r="CV151" s="2">
        <f>305.750342329091*(1/14151.6638359215)</f>
        <v>2.1605257577769599E-2</v>
      </c>
      <c r="CW151" s="2">
        <f>293.202106940902*(1/14151.6638359215)</f>
        <v>2.0718560753023276E-2</v>
      </c>
      <c r="CX151" s="2">
        <f>280.387138518422*(1/14151.6638359215)</f>
        <v>1.9813015753434499E-2</v>
      </c>
      <c r="CY151" s="2">
        <f>267.358587305021*(1/14151.6638359215)</f>
        <v>1.8892378338325026E-2</v>
      </c>
      <c r="CZ151" s="2">
        <f>254.169603544069*(1/14151.6638359215)</f>
        <v>1.7960404267016599E-2</v>
      </c>
      <c r="DA151" s="2">
        <f>240.873337478936*(1/14151.6638359215)</f>
        <v>1.7020849298830968E-2</v>
      </c>
      <c r="DB151" s="2">
        <f>227.522939352998*(1/14151.6638359215)</f>
        <v>1.6077469193090301E-2</v>
      </c>
      <c r="DC151" s="2">
        <f>214.171559409622*(1/14151.6638359215)</f>
        <v>1.5134019709116134E-2</v>
      </c>
      <c r="DD151" s="2">
        <f>200.87234789218*(1/14151.6638359215)</f>
        <v>1.4194256606230358E-2</v>
      </c>
      <c r="DE151" s="2">
        <f>187.602300490547*(1/14151.6638359215)</f>
        <v>1.325655432927623E-2</v>
      </c>
      <c r="DF151" s="2">
        <f>173.684947916539*(1/14151.6638359215)</f>
        <v>1.2273111482175716E-2</v>
      </c>
      <c r="DG151" s="2">
        <f>159.157043105453*(1/14151.6638359215)</f>
        <v>1.1246525140136594E-2</v>
      </c>
      <c r="DH151" s="2">
        <f>144.280468772606*(1/14151.6638359215)</f>
        <v>1.0195300739576326E-2</v>
      </c>
      <c r="DI151" s="2">
        <f>129.317107633321*(1/14151.6638359215)</f>
        <v>9.1379437169128025E-3</v>
      </c>
      <c r="DJ151" s="2">
        <f>114.528842402913*(1/14151.6638359215)</f>
        <v>8.0929595085633514E-3</v>
      </c>
      <c r="DK151" s="2">
        <f>100.177555796701*(1/14151.6638359215)</f>
        <v>7.078853550945576E-3</v>
      </c>
      <c r="DL151" s="2">
        <f>86.5251305300015*(1/14151.6638359215)</f>
        <v>6.1141312804769109E-3</v>
      </c>
      <c r="DM151" s="2">
        <f>73.8334493181313*(1/14151.6638359215)</f>
        <v>5.2172981335748044E-3</v>
      </c>
      <c r="DN151" s="2">
        <f>62.3643948764131*(1/14151.6638359215)</f>
        <v>4.4068595466571284E-3</v>
      </c>
      <c r="DO151" s="2">
        <f>52.3798499201624*(1/14151.6638359215)</f>
        <v>3.7013209561412418E-3</v>
      </c>
      <c r="DP151" s="2">
        <f>43.9565954543802*(1/14151.6638359215)</f>
        <v>3.1061079434917148E-3</v>
      </c>
      <c r="DQ151" s="2">
        <f>36.774493341753*(1/14151.6638359215)</f>
        <v>2.598598565379107E-3</v>
      </c>
      <c r="DR151" s="2">
        <f>30.693018076578*(1/14151.6638359215)</f>
        <v>2.1688628582788401E-3</v>
      </c>
      <c r="DS151" s="2">
        <f>25.5791879821371*(1/14151.6638359215)</f>
        <v>1.8075039287754171E-3</v>
      </c>
      <c r="DT151" s="2">
        <f>21.3000213817114*(1/14151.6638359215)</f>
        <v>1.5051248834532839E-3</v>
      </c>
      <c r="DU151" s="2">
        <f>17.7225365985843*(1/14151.6638359215)</f>
        <v>1.2523288288970496E-3</v>
      </c>
      <c r="DV151" s="2">
        <f>14.7137519560368*(1/14151.6638359215)</f>
        <v>1.0397188716911533E-3</v>
      </c>
      <c r="DW151" s="2">
        <f>12.1406857773506*(1/14151.6638359215)</f>
        <v>8.578981184200838E-4</v>
      </c>
      <c r="DX151" s="2">
        <f>9.87035638580764*(1/14151.6638359215)</f>
        <v>6.9746967566834673E-4</v>
      </c>
      <c r="DY151" s="2">
        <f>7.76978210468937*(1/14151.6638359215)</f>
        <v>5.4903665002041318E-4</v>
      </c>
      <c r="DZ151" s="2">
        <f>5.7335178034257*(1/14151.6638359215)</f>
        <v>4.0514796492495658E-4</v>
      </c>
      <c r="EA151" s="2">
        <f>4.23857090868359*(1/14151.6638359215)</f>
        <v>2.9951042915001458E-4</v>
      </c>
      <c r="EB151" s="2">
        <f>3.41435276581412*(1/14151.6638359215)</f>
        <v>2.4126864553886509E-4</v>
      </c>
      <c r="EC151" s="2">
        <f>3.14395243657474*(1/14151.6638359215)</f>
        <v>2.221613283799444E-4</v>
      </c>
      <c r="ED151" s="2">
        <f>3.31045898272286*(1/14151.6638359215)</f>
        <v>2.3392719196168614E-4</v>
      </c>
      <c r="EE151" s="2">
        <f>3.79696146601602*(1/14151.6638359215)</f>
        <v>2.6830495057253293E-4</v>
      </c>
      <c r="EF151" s="2">
        <f>4.48654894821146*(1/14151.6638359215)</f>
        <v>3.1703331850090646E-4</v>
      </c>
      <c r="EG151" s="2">
        <f>5.26231049106667*(1/14151.6638359215)</f>
        <v>3.7185101003524577E-4</v>
      </c>
      <c r="EH151" s="2">
        <f>6.00733515633908*(1/14151.6638359215)</f>
        <v>4.2449673946398588E-4</v>
      </c>
      <c r="EI151" s="2">
        <f>6.60471200578612*(1/14151.6638359215)</f>
        <v>4.6670922107556182E-4</v>
      </c>
      <c r="EJ151" s="2">
        <f>6.93753010116524*(1/14151.6638359215)</f>
        <v>4.9022716915840992E-4</v>
      </c>
      <c r="EK151" s="2">
        <f>6.99114060012775*(1/14151.6638359215)</f>
        <v>4.9401545155291029E-4</v>
      </c>
      <c r="EL151" s="2">
        <f>7.01426368895205*(1/14151.6638359215)</f>
        <v>4.9564939997709531E-4</v>
      </c>
      <c r="EM151" s="2">
        <f>7.02782961318733*(1/14151.6638359215)</f>
        <v>4.9660800981920063E-4</v>
      </c>
      <c r="EN151" s="2">
        <f>7.0335711360009*(1/14151.6638359215)</f>
        <v>4.9701372344271083E-4</v>
      </c>
      <c r="EO151" s="2">
        <f>7.0332210205601*(1/14151.6638359215)</f>
        <v>4.9698898321111264E-4</v>
      </c>
      <c r="EP151" s="2">
        <f>7.02851203003226*(1/14151.6638359215)</f>
        <v>4.9665623148789217E-4</v>
      </c>
      <c r="EQ151" s="2">
        <f>7.02117692758472*(1/14151.6638359215)</f>
        <v>4.9613791063653602E-4</v>
      </c>
      <c r="ER151" s="2">
        <f>7.01294847638482*(1/14151.6638359215)</f>
        <v>4.9555646302053117E-4</v>
      </c>
      <c r="ES151" s="2">
        <f>7.00555943959987*(1/14151.6638359215)</f>
        <v>4.9503433100336197E-4</v>
      </c>
      <c r="ET151" s="2">
        <f>7.00074258039722*(1/14151.6638359215)</f>
        <v>4.9469395694851591E-4</v>
      </c>
      <c r="EU151" s="2">
        <f>7.00018027662408*(1/14151.6638359215)</f>
        <v>4.9465422283812021E-4</v>
      </c>
      <c r="EV151" s="2">
        <f>7.00132648663454*(1/14151.6638359215)</f>
        <v>4.9473521755533155E-4</v>
      </c>
      <c r="EW151" s="2">
        <f>7.0020027324413*(1/14151.6638359215)</f>
        <v>4.9478300315952618E-4</v>
      </c>
      <c r="EX151" s="2">
        <f>7.002288444614*(1/14151.6638359215)</f>
        <v>4.9480319245853819E-4</v>
      </c>
      <c r="EY151" s="2">
        <f>7.00226305372227*(1/14151.6638359215)</f>
        <v>4.9480139826020043E-4</v>
      </c>
      <c r="EZ151" s="2">
        <f>7.00200599033576*(1/14151.6638359215)</f>
        <v>4.9478323337234765E-4</v>
      </c>
      <c r="FA151" s="2">
        <f>7.00159668502411*(1/14151.6638359215)</f>
        <v>4.9475431060281357E-4</v>
      </c>
      <c r="FB151" s="2">
        <f>7.00111456835695*(1/14151.6638359215)</f>
        <v>4.9472024275943141E-4</v>
      </c>
      <c r="FC151" s="2">
        <f>7.00063907090393*(1/14151.6638359215)</f>
        <v>4.9468664265003555E-4</v>
      </c>
      <c r="FD151" s="2">
        <f>7.00024962323468*(1/14151.6638359215)</f>
        <v>4.946591230824592E-4</v>
      </c>
      <c r="FE151" s="2">
        <f>7.00002565591886*(1/14151.6638359215)</f>
        <v>4.9464329686453763E-4</v>
      </c>
      <c r="FF151" s="2">
        <f t="shared" ref="FF151:FP166" si="24">7*(1/14151.6638359215)</f>
        <v>4.9464148393856954E-4</v>
      </c>
      <c r="FG151" s="2">
        <f t="shared" si="24"/>
        <v>4.9464148393856954E-4</v>
      </c>
      <c r="FH151" s="2">
        <f t="shared" si="24"/>
        <v>4.9464148393856954E-4</v>
      </c>
      <c r="FI151" s="2">
        <f t="shared" si="24"/>
        <v>4.9464148393856954E-4</v>
      </c>
      <c r="FJ151" s="2">
        <f t="shared" si="24"/>
        <v>4.9464148393856954E-4</v>
      </c>
      <c r="FK151" s="2">
        <f t="shared" si="24"/>
        <v>4.9464148393856954E-4</v>
      </c>
      <c r="FL151" s="2">
        <f t="shared" si="24"/>
        <v>4.9464148393856954E-4</v>
      </c>
      <c r="FM151" s="2">
        <f t="shared" si="24"/>
        <v>4.9464148393856954E-4</v>
      </c>
      <c r="FN151" s="2">
        <f t="shared" si="24"/>
        <v>4.9464148393856954E-4</v>
      </c>
      <c r="FO151" s="2">
        <f t="shared" si="24"/>
        <v>4.9464148393856954E-4</v>
      </c>
      <c r="FP151" s="2">
        <f t="shared" si="19"/>
        <v>4.9464148393856954E-4</v>
      </c>
      <c r="FQ151" s="2"/>
    </row>
    <row r="152" spans="2:173">
      <c r="B152" s="2">
        <v>10.710650887573966</v>
      </c>
      <c r="C152" s="2">
        <f t="shared" si="21"/>
        <v>4.9464148393856954E-4</v>
      </c>
      <c r="D152" s="2">
        <f t="shared" si="21"/>
        <v>4.9464148393856954E-4</v>
      </c>
      <c r="E152" s="2">
        <f t="shared" si="21"/>
        <v>4.9464148393856954E-4</v>
      </c>
      <c r="F152" s="2">
        <f>7*(1/14151.6638359215)</f>
        <v>4.9464148393856954E-4</v>
      </c>
      <c r="G152" s="2">
        <f t="shared" si="21"/>
        <v>4.9464148393856954E-4</v>
      </c>
      <c r="H152" s="2">
        <f t="shared" si="21"/>
        <v>4.9464148393856954E-4</v>
      </c>
      <c r="I152" s="2">
        <f t="shared" si="21"/>
        <v>4.9464148393856954E-4</v>
      </c>
      <c r="J152" s="2">
        <f t="shared" si="22"/>
        <v>4.9464148393856954E-4</v>
      </c>
      <c r="K152" s="2">
        <f t="shared" si="22"/>
        <v>4.9464148393856954E-4</v>
      </c>
      <c r="L152" s="2">
        <f t="shared" si="22"/>
        <v>4.9464148393856954E-4</v>
      </c>
      <c r="M152" s="2">
        <f t="shared" si="22"/>
        <v>4.9464148393856954E-4</v>
      </c>
      <c r="N152" s="2">
        <f t="shared" si="22"/>
        <v>4.9464148393856954E-4</v>
      </c>
      <c r="O152" s="2">
        <f t="shared" si="22"/>
        <v>4.9464148393856954E-4</v>
      </c>
      <c r="P152" s="2">
        <f t="shared" si="22"/>
        <v>4.9464148393856954E-4</v>
      </c>
      <c r="Q152" s="2">
        <f t="shared" si="22"/>
        <v>4.9464148393856954E-4</v>
      </c>
      <c r="R152" s="2">
        <f t="shared" si="22"/>
        <v>4.9464148393856954E-4</v>
      </c>
      <c r="S152" s="2">
        <f t="shared" si="22"/>
        <v>4.9464148393856954E-4</v>
      </c>
      <c r="T152" s="2">
        <f t="shared" si="22"/>
        <v>4.9464148393856954E-4</v>
      </c>
      <c r="U152" s="2">
        <f t="shared" si="22"/>
        <v>4.9464148393856954E-4</v>
      </c>
      <c r="V152" s="2">
        <f t="shared" si="22"/>
        <v>4.9464148393856954E-4</v>
      </c>
      <c r="W152" s="2">
        <f t="shared" si="23"/>
        <v>4.9464148393856954E-4</v>
      </c>
      <c r="X152" s="2">
        <f t="shared" si="23"/>
        <v>4.9464148393856954E-4</v>
      </c>
      <c r="Y152" s="2">
        <f>7.00687696904066*(1/14151.6638359215)</f>
        <v>4.9512743167732262E-4</v>
      </c>
      <c r="Z152" s="2">
        <f>7.02831826290279*(1/14151.6638359215)</f>
        <v>4.9664253930782653E-4</v>
      </c>
      <c r="AA152" s="2">
        <f>7.05891556873848*(1/14151.6638359215)</f>
        <v>4.9880463884541054E-4</v>
      </c>
      <c r="AB152" s="2">
        <f>7.09310574003214*(1/14151.6638359215)</f>
        <v>5.0122062128324049E-4</v>
      </c>
      <c r="AC152" s="2">
        <f>7.1253256302682*(1/14151.6638359215)</f>
        <v>5.0349737761448373E-4</v>
      </c>
      <c r="AD152" s="2">
        <f>7.15001209293109*(1/14151.6638359215)</f>
        <v>5.052417988323074E-4</v>
      </c>
      <c r="AE152" s="2">
        <f>7.16160198150521*(1/14151.6638359215)</f>
        <v>5.0606077592987668E-4</v>
      </c>
      <c r="AF152" s="2">
        <f>7.15453214947499*(1/14151.6638359215)</f>
        <v>5.0556119990035904E-4</v>
      </c>
      <c r="AG152" s="2">
        <f>7.12323945032486*(1/14151.6638359215)</f>
        <v>5.0334996173692127E-4</v>
      </c>
      <c r="AH152" s="2">
        <f>7.06216073753923*(1/14151.6638359215)</f>
        <v>4.9903395243272965E-4</v>
      </c>
      <c r="AI152" s="2">
        <f>6.96231958814965*(1/14151.6638359215)</f>
        <v>4.9197887039098759E-4</v>
      </c>
      <c r="AJ152" s="2">
        <f>6.77734850909964*(1/14151.6638359215)</f>
        <v>4.7890824624427112E-4</v>
      </c>
      <c r="AK152" s="2">
        <f>6.51457434375834*(1/14151.6638359215)</f>
        <v>4.603398172321083E-4</v>
      </c>
      <c r="AL152" s="2">
        <f>6.20035913345452*(1/14151.6638359215)</f>
        <v>4.3813640610342958E-4</v>
      </c>
      <c r="AM152" s="2">
        <f>5.86106491951694*(1/14151.6638359215)</f>
        <v>4.1416083560716452E-4</v>
      </c>
      <c r="AN152" s="2">
        <f>5.52305374327437*(1/14151.6638359215)</f>
        <v>3.9027592849224369E-4</v>
      </c>
      <c r="AO152" s="2">
        <f>5.21268764605557*(1/14151.6638359215)</f>
        <v>3.683445075075966E-4</v>
      </c>
      <c r="AP152" s="2">
        <f>4.95632866918927*(1/14151.6638359215)</f>
        <v>3.5022939540215088E-4</v>
      </c>
      <c r="AQ152" s="2">
        <f>4.78033885400434*(1/14151.6638359215)</f>
        <v>3.3779341492484391E-4</v>
      </c>
      <c r="AR152" s="2">
        <f>4.71108024182948*(1/14151.6638359215)</f>
        <v>3.3289938882460131E-4</v>
      </c>
      <c r="AS152" s="2">
        <f>4.77491487399346*(1/14151.6638359215)</f>
        <v>3.3741013985035326E-4</v>
      </c>
      <c r="AT152" s="2">
        <f>4.84799860516749*(1/14151.6638359215)</f>
        <v>3.4257446059888038E-4</v>
      </c>
      <c r="AU152" s="2">
        <f>4.6438962152357*(1/14151.6638359215)</f>
        <v>3.281519593086991E-4</v>
      </c>
      <c r="AV152" s="2">
        <f>4.27769801861734*(1/14151.6638359215)</f>
        <v>3.0227527082427996E-4</v>
      </c>
      <c r="AW152" s="2">
        <f>3.88229356759927*(1/14151.6638359215)</f>
        <v>2.743347787660666E-4</v>
      </c>
      <c r="AX152" s="2">
        <f>3.59057241446839*(1/14151.6638359215)</f>
        <v>2.5372086675450528E-4</v>
      </c>
      <c r="AY152" s="2">
        <f>3.5354241115116*(1/14151.6638359215)</f>
        <v>2.4982391841004239E-4</v>
      </c>
      <c r="AZ152" s="2">
        <f>3.84973821101577*(1/14151.6638359215)</f>
        <v>2.7203431735312207E-4</v>
      </c>
      <c r="BA152" s="2">
        <f>4.66640426526802*(1/14151.6638359215)</f>
        <v>3.2974244720420623E-4</v>
      </c>
      <c r="BB152" s="2">
        <f>6.11831182655493*(1/14151.6638359215)</f>
        <v>4.3233869158371862E-4</v>
      </c>
      <c r="BC152" s="2">
        <f>8.33835044716352*(1/14151.6638359215)</f>
        <v>5.8921343411211409E-4</v>
      </c>
      <c r="BD152" s="2">
        <f>11.4360419678076*(1/14151.6638359215)</f>
        <v>8.0810582419144441E-4</v>
      </c>
      <c r="BE152" s="2">
        <f>14.7038229421145*(1/14151.6638359215)</f>
        <v>1.0390172570939285E-3</v>
      </c>
      <c r="BF152" s="2">
        <f>17.9370787847062*(1/14151.6638359215)</f>
        <v>1.2674890382271583E-3</v>
      </c>
      <c r="BG152" s="2">
        <f>21.3825108695322*(1/14151.6638359215)</f>
        <v>1.5109538438340001E-3</v>
      </c>
      <c r="BH152" s="2">
        <f>25.2868205705396*(1/14151.6638359215)</f>
        <v>1.7868443501571506E-3</v>
      </c>
      <c r="BI152" s="2">
        <f>29.8967092616776*(1/14151.6638359215)</f>
        <v>2.1125932334394547E-3</v>
      </c>
      <c r="BJ152" s="2">
        <f>35.4588783168947*(1/14151.6638359215)</f>
        <v>2.5056331699237085E-3</v>
      </c>
      <c r="BK152" s="2">
        <f>42.2200291101395*(1/14151.6638359215)</f>
        <v>2.9833968358527153E-3</v>
      </c>
      <c r="BL152" s="2">
        <f>50.4268630153605*(1/14151.6638359215)</f>
        <v>3.5633169074692698E-3</v>
      </c>
      <c r="BM152" s="2">
        <f>60.3260814065082*(1/14151.6638359215)</f>
        <v>4.2628260610163091E-3</v>
      </c>
      <c r="BN152" s="2">
        <f>72.1643856575276*(1/14151.6638359215)</f>
        <v>5.099356972736383E-3</v>
      </c>
      <c r="BO152" s="2">
        <f>86.5363991808851*(1/14151.6638359215)</f>
        <v>6.1149275579333454E-3</v>
      </c>
      <c r="BP152" s="2">
        <f>104.529529951428*(1/14151.6638359215)</f>
        <v>7.386377401510786E-3</v>
      </c>
      <c r="BQ152" s="2">
        <f>125.478422999034*(1/14151.6638359215)</f>
        <v>8.8666904792162448E-3</v>
      </c>
      <c r="BR152" s="2">
        <f>148.56757602105*(1/14151.6638359215)</f>
        <v>1.0498240895458345E-2</v>
      </c>
      <c r="BS152" s="2">
        <f>172.981486714811*(1/14151.6638359215)</f>
        <v>1.2223402754644867E-2</v>
      </c>
      <c r="BT152" s="2">
        <f>197.904652777663*(1/14151.6638359215)</f>
        <v>1.3984550161184368E-2</v>
      </c>
      <c r="BU152" s="2">
        <f>222.521571906948*(1/14151.6638359215)</f>
        <v>1.5724057219485124E-2</v>
      </c>
      <c r="BV152" s="2">
        <f>246.01674180001*(1/14151.6638359215)</f>
        <v>1.7384298033955553E-2</v>
      </c>
      <c r="BW152" s="2">
        <f>267.574660154189*(1/14151.6638359215)</f>
        <v>1.8907646709003786E-2</v>
      </c>
      <c r="BX152" s="2">
        <f>286.379824666829*(1/14151.6638359215)</f>
        <v>2.0236477349038239E-2</v>
      </c>
      <c r="BY152" s="2">
        <f>301.62226845023*(1/14151.6638359215)</f>
        <v>2.1313555207877054E-2</v>
      </c>
      <c r="BZ152" s="2">
        <f>314.225964025522*(1/14151.6638359215)</f>
        <v>2.2204171019658825E-2</v>
      </c>
      <c r="CA152" s="2">
        <f>325.330115511743*(1/14151.6638359215)</f>
        <v>2.298882444380497E-2</v>
      </c>
      <c r="CB152" s="2">
        <f>334.950181441805*(1/14151.6638359215)</f>
        <v>2.3668607827695365E-2</v>
      </c>
      <c r="CC152" s="2">
        <f>343.101620348617*(1/14151.6638359215)</f>
        <v>2.424461351870966E-2</v>
      </c>
      <c r="CD152" s="2">
        <f>349.799890765093*(1/14151.6638359215)</f>
        <v>2.4717933864227874E-2</v>
      </c>
      <c r="CE152" s="2">
        <f>355.06045122414*(1/14151.6638359215)</f>
        <v>2.5089661211629533E-2</v>
      </c>
      <c r="CF152" s="2">
        <f>358.898760258671*(1/14151.6638359215)</f>
        <v>2.5360887908294563E-2</v>
      </c>
      <c r="CG152" s="2">
        <f>361.330276401598*(1/14151.6638359215)</f>
        <v>2.5532706301602846E-2</v>
      </c>
      <c r="CH152" s="2">
        <f>362.37045818583*(1/14151.6638359215)</f>
        <v>2.5606208738934044E-2</v>
      </c>
      <c r="CI152" s="2">
        <f>362.034764144279*(1/14151.6638359215)</f>
        <v>2.5582487567668028E-2</v>
      </c>
      <c r="CJ152" s="2">
        <f>360.185853455721*(1/14151.6638359215)</f>
        <v>2.5451837863859711E-2</v>
      </c>
      <c r="CK152" s="2">
        <f>356.046883795026*(1/14151.6638359215)</f>
        <v>2.5159365564582158E-2</v>
      </c>
      <c r="CL152" s="2">
        <f>349.798668911587*(1/14151.6638359215)</f>
        <v>2.4717847524309111E-2</v>
      </c>
      <c r="CM152" s="2">
        <f>341.78865471635*(1/14151.6638359215)</f>
        <v>2.4151835337466104E-2</v>
      </c>
      <c r="CN152" s="2">
        <f>332.36428712026*(1/14151.6638359215)</f>
        <v>2.3485880598478601E-2</v>
      </c>
      <c r="CO152" s="2">
        <f>321.873012034265*(1/14151.6638359215)</f>
        <v>2.2744534901772272E-2</v>
      </c>
      <c r="CP152" s="2">
        <f>310.662275369308*(1/14151.6638359215)</f>
        <v>2.1952349841772436E-2</v>
      </c>
      <c r="CQ152" s="2">
        <f>299.079523036338*(1/14151.6638359215)</f>
        <v>2.1133877012904832E-2</v>
      </c>
      <c r="CR152" s="2">
        <f>287.472200946301*(1/14151.6638359215)</f>
        <v>2.0313668009594995E-2</v>
      </c>
      <c r="CS152" s="2">
        <f>276.187755010141*(1/14151.6638359215)</f>
        <v>1.9516274426268323E-2</v>
      </c>
      <c r="CT152" s="2">
        <f>265.573631138806*(1/14151.6638359215)</f>
        <v>1.8766247857350472E-2</v>
      </c>
      <c r="CU152" s="2">
        <f>255.325215878645*(1/14151.6638359215)</f>
        <v>1.8042063381306941E-2</v>
      </c>
      <c r="CV152" s="2">
        <f>244.773361231132*(1/14151.6638359215)</f>
        <v>1.7296436946856952E-2</v>
      </c>
      <c r="CW152" s="2">
        <f>233.96271662725*(1/14151.6638359215)</f>
        <v>1.6532523619828855E-2</v>
      </c>
      <c r="CX152" s="2">
        <f>222.940634166019*(1/14151.6638359215)</f>
        <v>1.5753669444869344E-2</v>
      </c>
      <c r="CY152" s="2">
        <f>211.754465946464*(1/14151.6638359215)</f>
        <v>1.4963220466625463E-2</v>
      </c>
      <c r="CZ152" s="2">
        <f>200.451564067606*(1/14151.6638359215)</f>
        <v>1.4164522729743983E-2</v>
      </c>
      <c r="DA152" s="2">
        <f>189.079280628466*(1/14151.6638359215)</f>
        <v>1.3360922278871664E-2</v>
      </c>
      <c r="DB152" s="2">
        <f>177.684967728072*(1/14151.6638359215)</f>
        <v>1.2555765158655767E-2</v>
      </c>
      <c r="DC152" s="2">
        <f>166.315977465445*(1/14151.6638359215)</f>
        <v>1.1752397413743058E-2</v>
      </c>
      <c r="DD152" s="2">
        <f>155.019661939608*(1/14151.6638359215)</f>
        <v>1.0954165088780441E-2</v>
      </c>
      <c r="DE152" s="2">
        <f>143.774792853645*(1/14151.6638359215)</f>
        <v>1.0159568127155344E-2</v>
      </c>
      <c r="DF152" s="2">
        <f>131.972003569993*(1/14151.6638359215)</f>
        <v>9.3255468120296489E-3</v>
      </c>
      <c r="DG152" s="2">
        <f>119.64487218006*(1/14151.6638359215)</f>
        <v>8.4544738743979088E-3</v>
      </c>
      <c r="DH152" s="2">
        <f>107.029784775652*(1/14151.6638359215)</f>
        <v>7.5630530810077467E-3</v>
      </c>
      <c r="DI152" s="2">
        <f>94.363127448583*(1/14151.6638359215)</f>
        <v>6.6679881986073516E-3</v>
      </c>
      <c r="DJ152" s="2">
        <f>81.8812862906594*(1/14151.6638359215)</f>
        <v>5.7859829939443741E-3</v>
      </c>
      <c r="DK152" s="2">
        <f>69.8206473936896*(1/14151.6638359215)</f>
        <v>4.9337412337666061E-3</v>
      </c>
      <c r="DL152" s="2">
        <f>58.4175968494823*(1/14151.6638359215)</f>
        <v>4.1279666848218618E-3</v>
      </c>
      <c r="DM152" s="2">
        <f>47.9085207498443*(1/14151.6638359215)</f>
        <v>3.3853631138578192E-3</v>
      </c>
      <c r="DN152" s="2">
        <f>38.5298051865883*(1/14151.6638359215)</f>
        <v>2.7226342876225757E-3</v>
      </c>
      <c r="DO152" s="2">
        <f>30.5178362515209*(1/14151.6638359215)</f>
        <v>2.1564839728637959E-3</v>
      </c>
      <c r="DP152" s="2">
        <f>23.9704447001054*(1/14151.6638359215)</f>
        <v>1.6938251910182222E-3</v>
      </c>
      <c r="DQ152" s="2">
        <f>18.6404766967943*(1/14151.6638359215)</f>
        <v>1.3171932935178081E-3</v>
      </c>
      <c r="DR152" s="2">
        <f>14.3761725356917*(1/14151.6638359215)</f>
        <v>1.0158644737730644E-3</v>
      </c>
      <c r="DS152" s="2">
        <f>11.0309069905107*(1/14151.6638359215)</f>
        <v>7.7947774328207889E-4</v>
      </c>
      <c r="DT152" s="2">
        <f>8.45805483496383*(1/14151.6638359215)</f>
        <v>5.9767211354290028E-4</v>
      </c>
      <c r="DU152" s="2">
        <f>6.51099084276524*(1/14151.6638359215)</f>
        <v>4.6008659605369085E-4</v>
      </c>
      <c r="DV152" s="2">
        <f>5.04308978762744*(1/14151.6638359215)</f>
        <v>3.5636020231249749E-4</v>
      </c>
      <c r="DW152" s="2">
        <f>3.9077264432635*(1/14151.6638359215)</f>
        <v>2.761319438174066E-4</v>
      </c>
      <c r="DX152" s="2">
        <f>2.95827558338648*(1/14151.6638359215)</f>
        <v>2.0904083206650371E-4</v>
      </c>
      <c r="DY152" s="2">
        <f>2.04811198170932*(1/14151.6638359215)</f>
        <v>1.4472587855786606E-4</v>
      </c>
      <c r="DZ152" s="2">
        <f>1.05767787662814*(1/14151.6638359215)</f>
        <v>7.4738764917762636E-5</v>
      </c>
      <c r="EA152" s="2">
        <f>0.44843280264789*(1/14151.6638359215)</f>
        <v>3.1687638135497714E-5</v>
      </c>
      <c r="EB152" s="2">
        <f>0.361208587072537*(1/14151.6638359215)</f>
        <v>2.5524107360130529E-5</v>
      </c>
      <c r="EC152" s="2">
        <f>0.69776606865946*(1/14151.6638359215)</f>
        <v>4.9306291949099585E-5</v>
      </c>
      <c r="ED152" s="2">
        <f>1.35986608616603*(1/14151.6638359215)</f>
        <v>9.6092311259842825E-5</v>
      </c>
      <c r="EE152" s="2">
        <f>2.24926947834981*(1/14151.6638359215)</f>
        <v>1.5894028464981174E-4</v>
      </c>
      <c r="EF152" s="2">
        <f>3.26773708396783*(1/14151.6638359215)</f>
        <v>2.309083314764202E-4</v>
      </c>
      <c r="EG152" s="2">
        <f>4.31702974177761*(1/14151.6638359215)</f>
        <v>3.0505457109711667E-4</v>
      </c>
      <c r="EH152" s="2">
        <f>5.29890829053652*(1/14151.6638359215)</f>
        <v>3.7443712286933903E-4</v>
      </c>
      <c r="EI152" s="2">
        <f>6.11513356900194*(1/14151.6638359215)</f>
        <v>4.321141061505258E-4</v>
      </c>
      <c r="EJ152" s="2">
        <f>6.66746641593132*(1/14151.6638359215)</f>
        <v>4.7114364029812055E-4</v>
      </c>
      <c r="EK152" s="2">
        <f>6.9348119836357*(1/14151.6638359215)</f>
        <v>4.9003509863150541E-4</v>
      </c>
      <c r="EL152" s="2">
        <f>7.10495311220055*(1/14151.6638359215)</f>
        <v>5.0205779296183398E-4</v>
      </c>
      <c r="EM152" s="2">
        <f>7.20477202813138*(1/14151.6638359215)</f>
        <v>5.0911130391914335E-4</v>
      </c>
      <c r="EN152" s="2">
        <f>7.24701851079657*(1/14151.6638359215)</f>
        <v>5.1209657004438536E-4</v>
      </c>
      <c r="EO152" s="2">
        <f>7.24444233956452*(1/14151.6638359215)</f>
        <v>5.1191452987851382E-4</v>
      </c>
      <c r="EP152" s="2">
        <f>7.20979329380361*(1/14151.6638359215)</f>
        <v>5.0946612196248067E-4</v>
      </c>
      <c r="EQ152" s="2">
        <f>7.15582115288222*(1/14151.6638359215)</f>
        <v>5.056522848372381E-4</v>
      </c>
      <c r="ER152" s="2">
        <f>7.09527569616877*(1/14151.6638359215)</f>
        <v>5.0137395704374108E-4</v>
      </c>
      <c r="ES152" s="2">
        <f>7.04090670303163*(1/14151.6638359215)</f>
        <v>4.9753207712294092E-4</v>
      </c>
      <c r="ET152" s="2">
        <f>7.00546395283919*(1/14151.6638359215)</f>
        <v>4.9502758361579067E-4</v>
      </c>
      <c r="EU152" s="2">
        <f>7.00132648663454*(1/14151.6638359215)</f>
        <v>4.9473521755533155E-4</v>
      </c>
      <c r="EV152" s="2">
        <f>7.00976037132159*(1/14151.6638359215)</f>
        <v>4.9533118173204142E-4</v>
      </c>
      <c r="EW152" s="2">
        <f>7.01473623011033*(1/14151.6638359215)</f>
        <v>4.9568279118563155E-4</v>
      </c>
      <c r="EX152" s="2">
        <f>7.01683851808218*(1/14151.6638359215)</f>
        <v>4.9583134530592607E-4</v>
      </c>
      <c r="EY152" s="2">
        <f>7.01665169031852*(1/14151.6638359215)</f>
        <v>4.9581814348274649E-4</v>
      </c>
      <c r="EZ152" s="2">
        <f>7.01476020190078*(1/14151.6638359215)</f>
        <v>4.9568448510591738E-4</v>
      </c>
      <c r="FA152" s="2">
        <f>7.01174850791035*(1/14151.6638359215)</f>
        <v>4.9547166956526092E-4</v>
      </c>
      <c r="FB152" s="2">
        <f>7.00820106342862*(1/14151.6638359215)</f>
        <v>4.9522099625059915E-4</v>
      </c>
      <c r="FC152" s="2">
        <f>7.00470232353702*(1/14151.6638359215)</f>
        <v>4.9497376455175687E-4</v>
      </c>
      <c r="FD152" s="2">
        <f>7.00183674331694*(1/14151.6638359215)</f>
        <v>4.9477127385855603E-4</v>
      </c>
      <c r="FE152" s="2">
        <f>7.00018877784978*(1/14151.6638359215)</f>
        <v>4.9465482356081955E-4</v>
      </c>
      <c r="FF152" s="2">
        <f t="shared" si="24"/>
        <v>4.9464148393856954E-4</v>
      </c>
      <c r="FG152" s="2">
        <f t="shared" si="24"/>
        <v>4.9464148393856954E-4</v>
      </c>
      <c r="FH152" s="2">
        <f t="shared" si="24"/>
        <v>4.9464148393856954E-4</v>
      </c>
      <c r="FI152" s="2">
        <f t="shared" si="24"/>
        <v>4.9464148393856954E-4</v>
      </c>
      <c r="FJ152" s="2">
        <f t="shared" si="24"/>
        <v>4.9464148393856954E-4</v>
      </c>
      <c r="FK152" s="2">
        <f t="shared" si="24"/>
        <v>4.9464148393856954E-4</v>
      </c>
      <c r="FL152" s="2">
        <f t="shared" si="24"/>
        <v>4.9464148393856954E-4</v>
      </c>
      <c r="FM152" s="2">
        <f t="shared" si="24"/>
        <v>4.9464148393856954E-4</v>
      </c>
      <c r="FN152" s="2">
        <f t="shared" si="24"/>
        <v>4.9464148393856954E-4</v>
      </c>
      <c r="FO152" s="2">
        <f t="shared" si="24"/>
        <v>4.9464148393856954E-4</v>
      </c>
      <c r="FP152" s="2">
        <f t="shared" si="24"/>
        <v>4.9464148393856954E-4</v>
      </c>
      <c r="FQ152" s="2"/>
    </row>
    <row r="153" spans="2:173">
      <c r="B153" s="2">
        <v>10.720118343195267</v>
      </c>
      <c r="C153" s="2">
        <f t="shared" si="21"/>
        <v>4.9464148393856954E-4</v>
      </c>
      <c r="D153" s="2">
        <f t="shared" si="21"/>
        <v>4.9464148393856954E-4</v>
      </c>
      <c r="E153" s="2">
        <f t="shared" si="21"/>
        <v>4.9464148393856954E-4</v>
      </c>
      <c r="F153" s="2">
        <f>7*(1/14151.6638359215)</f>
        <v>4.9464148393856954E-4</v>
      </c>
      <c r="G153" s="2">
        <f t="shared" si="21"/>
        <v>4.9464148393856954E-4</v>
      </c>
      <c r="H153" s="2">
        <f t="shared" si="21"/>
        <v>4.9464148393856954E-4</v>
      </c>
      <c r="I153" s="2">
        <f t="shared" si="21"/>
        <v>4.9464148393856954E-4</v>
      </c>
      <c r="J153" s="2">
        <f t="shared" si="22"/>
        <v>4.9464148393856954E-4</v>
      </c>
      <c r="K153" s="2">
        <f t="shared" si="22"/>
        <v>4.9464148393856954E-4</v>
      </c>
      <c r="L153" s="2">
        <f t="shared" si="22"/>
        <v>4.9464148393856954E-4</v>
      </c>
      <c r="M153" s="2">
        <f t="shared" si="22"/>
        <v>4.9464148393856954E-4</v>
      </c>
      <c r="N153" s="2">
        <f t="shared" si="22"/>
        <v>4.9464148393856954E-4</v>
      </c>
      <c r="O153" s="2">
        <f t="shared" si="22"/>
        <v>4.9464148393856954E-4</v>
      </c>
      <c r="P153" s="2">
        <f t="shared" si="22"/>
        <v>4.9464148393856954E-4</v>
      </c>
      <c r="Q153" s="2">
        <f t="shared" si="22"/>
        <v>4.9464148393856954E-4</v>
      </c>
      <c r="R153" s="2">
        <f t="shared" si="22"/>
        <v>4.9464148393856954E-4</v>
      </c>
      <c r="S153" s="2">
        <f t="shared" si="22"/>
        <v>4.9464148393856954E-4</v>
      </c>
      <c r="T153" s="2">
        <f t="shared" si="22"/>
        <v>4.9464148393856954E-4</v>
      </c>
      <c r="U153" s="2">
        <f t="shared" si="22"/>
        <v>4.9464148393856954E-4</v>
      </c>
      <c r="V153" s="2">
        <f t="shared" si="22"/>
        <v>4.9464148393856954E-4</v>
      </c>
      <c r="W153" s="2">
        <f t="shared" si="23"/>
        <v>4.9464148393856954E-4</v>
      </c>
      <c r="X153" s="2">
        <f t="shared" si="23"/>
        <v>4.9464148393856954E-4</v>
      </c>
      <c r="Y153" s="2">
        <f>7.01038286299833*(1/14151.6638359215)</f>
        <v>4.953751689044302E-4</v>
      </c>
      <c r="Z153" s="2">
        <f>7.04275497567776*(1/14151.6638359215)</f>
        <v>4.976626817407131E-4</v>
      </c>
      <c r="AA153" s="2">
        <f>7.08895085539328*(1/14151.6638359215)</f>
        <v>5.0092702438276065E-4</v>
      </c>
      <c r="AB153" s="2">
        <f>7.14057125128751*(1/14151.6638359215)</f>
        <v>5.0457467998656319E-4</v>
      </c>
      <c r="AC153" s="2">
        <f>7.18921691250309*(1/14151.6638359215)</f>
        <v>5.080121317081128E-4</v>
      </c>
      <c r="AD153" s="2">
        <f>7.22648858818266*(1/14151.6638359215)</f>
        <v>5.1064586270340134E-4</v>
      </c>
      <c r="AE153" s="2">
        <f>7.24398702746884*(1/14151.6638359215)</f>
        <v>5.1188235612841925E-4</v>
      </c>
      <c r="AF153" s="2">
        <f>7.23331297950426*(1/14151.6638359215)</f>
        <v>5.1112809513915753E-4</v>
      </c>
      <c r="AG153" s="2">
        <f>7.18606719343158*(1/14151.6638359215)</f>
        <v>5.0778956289160976E-4</v>
      </c>
      <c r="AH153" s="2">
        <f>7.0938504183934*(1/14151.6638359215)</f>
        <v>5.0127324254176477E-4</v>
      </c>
      <c r="AI153" s="2">
        <f>6.948709911214*(1/14151.6638359215)</f>
        <v>4.9101716884879124E-4</v>
      </c>
      <c r="AJ153" s="2">
        <f>6.75298491490038*(1/14151.6638359215)</f>
        <v>4.7718663990301409E-4</v>
      </c>
      <c r="AK153" s="2">
        <f>6.51391866871753*(1/14151.6638359215)</f>
        <v>4.6029348522137005E-4</v>
      </c>
      <c r="AL153" s="2">
        <f>6.23774614057893*(1/14151.6638359215)</f>
        <v>4.4077828677257819E-4</v>
      </c>
      <c r="AM153" s="2">
        <f>5.93070229839805*(1/14151.6638359215)</f>
        <v>4.1908162652535668E-4</v>
      </c>
      <c r="AN153" s="2">
        <f>5.59902211008836*(1/14151.6638359215)</f>
        <v>3.9564408644842395E-4</v>
      </c>
      <c r="AO153" s="2">
        <f>5.24894054356332*(1/14151.6638359215)</f>
        <v>3.709062485104975E-4</v>
      </c>
      <c r="AP153" s="2">
        <f>4.88669256673634*(1/14151.6638359215)</f>
        <v>3.4530869468029149E-4</v>
      </c>
      <c r="AQ153" s="2">
        <f>4.51851314752103*(1/14151.6638359215)</f>
        <v>3.192920069265341E-4</v>
      </c>
      <c r="AR153" s="2">
        <f>4.15063725383079*(1/14151.6638359215)</f>
        <v>2.9329676721793872E-4</v>
      </c>
      <c r="AS153" s="2">
        <f>3.78929985357908*(1/14151.6638359215)</f>
        <v>2.6776355752322292E-4</v>
      </c>
      <c r="AT153" s="2">
        <f>3.32046913988009*(1/14151.6638359215)</f>
        <v>2.3463454038893047E-4</v>
      </c>
      <c r="AU153" s="2">
        <f>2.5162730421077*(1/14151.6638359215)</f>
        <v>1.7780757593468163E-4</v>
      </c>
      <c r="AV153" s="2">
        <f>1.48567434997642*(1/14151.6638359215)</f>
        <v>1.0498230930311516E-4</v>
      </c>
      <c r="AW153" s="2">
        <f>0.352220836565115*(1/14151.6638359215)</f>
        <v>2.4889005324664695E-5</v>
      </c>
      <c r="AX153" s="2">
        <f>-0.7605397250472*(1/14151.6638359215)</f>
        <v>-5.374207117022553E-5</v>
      </c>
      <c r="AY153" s="2">
        <f>-1.72905956178153*(1/14151.6638359215)</f>
        <v>-1.2218065535111268E-4</v>
      </c>
      <c r="AZ153" s="2">
        <f>-2.42979090055887*(1/14151.6638359215)</f>
        <v>-1.7169648238755323E-4</v>
      </c>
      <c r="BA153" s="2">
        <f>-2.73918596830021*(1/14151.6638359215)</f>
        <v>-1.9355928744910336E-4</v>
      </c>
      <c r="BB153" s="2">
        <f>-2.53369699192645*(1/14151.6638359215)</f>
        <v>-1.7903880570531271E-4</v>
      </c>
      <c r="BC153" s="2">
        <f>-1.68977619835866*(1/14151.6638359215)</f>
        <v>-1.1940477232574318E-4</v>
      </c>
      <c r="BD153" s="2">
        <f>-0.107886258731894*(1/14151.6638359215)</f>
        <v>-7.6235741593892152E-6</v>
      </c>
      <c r="BE153" s="2">
        <f>1.47817044804779*(1/14151.6638359215)</f>
        <v>1.04452060562357E-4</v>
      </c>
      <c r="BF153" s="2">
        <f>2.8687063880246*(1/14151.6638359215)</f>
        <v>2.0271159782236315E-4</v>
      </c>
      <c r="BG153" s="2">
        <f>4.33067519190752*(1/14151.6638359215)</f>
        <v>3.060188004830122E-4</v>
      </c>
      <c r="BH153" s="2">
        <f>6.13103049040469*(1/14151.6638359215)</f>
        <v>4.3323743140662738E-4</v>
      </c>
      <c r="BI153" s="2">
        <f>8.53672591422507*(1/14151.6638359215)</f>
        <v>6.0323125345559004E-4</v>
      </c>
      <c r="BJ153" s="2">
        <f>11.8147150940773*(1/14151.6638359215)</f>
        <v>8.3486402949225884E-4</v>
      </c>
      <c r="BK153" s="2">
        <f>16.23195166067*(1/14151.6638359215)</f>
        <v>1.1469995223789909E-3</v>
      </c>
      <c r="BL153" s="2">
        <f>22.0553892447119*(1/14151.6638359215)</f>
        <v>1.5585014949781517E-3</v>
      </c>
      <c r="BM153" s="2">
        <f>29.5519814769133*(1/14151.6638359215)</f>
        <v>2.0882337101522166E-3</v>
      </c>
      <c r="BN153" s="2">
        <f>38.98868198798*(1/14151.6638359215)</f>
        <v>2.7550599307633438E-3</v>
      </c>
      <c r="BO153" s="2">
        <f>50.9186612698946*(1/14151.6638359215)</f>
        <v>3.5980688815294335E-3</v>
      </c>
      <c r="BP153" s="2">
        <f>66.2405957815204*(1/14151.6638359215)</f>
        <v>4.680763799192314E-3</v>
      </c>
      <c r="BQ153" s="2">
        <f>84.3382658991481*(1/14151.6638359215)</f>
        <v>5.9596007138800391E-3</v>
      </c>
      <c r="BR153" s="2">
        <f>104.468744857227*(1/14151.6638359215)</f>
        <v>7.3820821401969381E-3</v>
      </c>
      <c r="BS153" s="2">
        <f>125.889105890194*(1/14151.6638359215)</f>
        <v>8.8957105927464676E-3</v>
      </c>
      <c r="BT153" s="2">
        <f>147.856422232498*(1/14151.6638359215)</f>
        <v>1.0447988586132932E-2</v>
      </c>
      <c r="BU153" s="2">
        <f>169.627767118585*(1/14151.6638359215)</f>
        <v>1.1986418634960427E-2</v>
      </c>
      <c r="BV153" s="2">
        <f>190.4602137829*(1/14151.6638359215)</f>
        <v>1.3458503253832981E-2</v>
      </c>
      <c r="BW153" s="2">
        <f>209.610835459888*(1/14151.6638359215)</f>
        <v>1.4811744957354619E-2</v>
      </c>
      <c r="BX153" s="2">
        <f>226.336705383993*(1/14151.6638359215)</f>
        <v>1.5993646260129304E-2</v>
      </c>
      <c r="BY153" s="2">
        <f>239.900057875634*(1/14151.6638359215)</f>
        <v>1.6952074374936045E-2</v>
      </c>
      <c r="BZ153" s="2">
        <f>251.173212975872*(1/14151.6638359215)</f>
        <v>1.7748670113143385E-2</v>
      </c>
      <c r="CA153" s="2">
        <f>261.20583782421*(1/14151.6638359215)</f>
        <v>1.8457606176397797E-2</v>
      </c>
      <c r="CB153" s="2">
        <f>269.994710404844*(1/14151.6638359215)</f>
        <v>1.9078654887173769E-2</v>
      </c>
      <c r="CC153" s="2">
        <f>277.536608701968*(1/14151.6638359215)</f>
        <v>1.9611588567945655E-2</v>
      </c>
      <c r="CD153" s="2">
        <f>283.828310699778*(1/14151.6638359215)</f>
        <v>2.0056179541187939E-2</v>
      </c>
      <c r="CE153" s="2">
        <f>288.866594382468*(1/14151.6638359215)</f>
        <v>2.0412200129374978E-2</v>
      </c>
      <c r="CF153" s="2">
        <f>292.648237734233*(1/14151.6638359215)</f>
        <v>2.0679422654981187E-2</v>
      </c>
      <c r="CG153" s="2">
        <f>295.170018739269*(1/14151.6638359215)</f>
        <v>2.0857619440481055E-2</v>
      </c>
      <c r="CH153" s="2">
        <f>296.428715381771*(1/14151.6638359215)</f>
        <v>2.0946562808349011E-2</v>
      </c>
      <c r="CI153" s="2">
        <f>296.421105645934*(1/14151.6638359215)</f>
        <v>2.0946025081059472E-2</v>
      </c>
      <c r="CJ153" s="2">
        <f>295.012210285955*(1/14151.6638359215)</f>
        <v>2.0846468210834589E-2</v>
      </c>
      <c r="CK153" s="2">
        <f>291.528645468923*(1/14151.6638359215)</f>
        <v>2.0600308829335601E-2</v>
      </c>
      <c r="CL153" s="2">
        <f>286.143073720828*(1/14151.6638359215)</f>
        <v>2.0219747800573409E-2</v>
      </c>
      <c r="CM153" s="2">
        <f>279.173290526863*(1/14151.6638359215)</f>
        <v>1.9727241528888703E-2</v>
      </c>
      <c r="CN153" s="2">
        <f>270.937091372223*(1/14151.6638359215)</f>
        <v>1.9145246418622312E-2</v>
      </c>
      <c r="CO153" s="2">
        <f>261.752271742103*(1/14151.6638359215)</f>
        <v>1.8496218874115077E-2</v>
      </c>
      <c r="CP153" s="2">
        <f>251.936627121695*(1/14151.6638359215)</f>
        <v>1.7802615299707614E-2</v>
      </c>
      <c r="CQ153" s="2">
        <f>241.807952996196*(1/14151.6638359215)</f>
        <v>1.7086892099740895E-2</v>
      </c>
      <c r="CR153" s="2">
        <f>231.684044850801*(1/14151.6638359215)</f>
        <v>1.6371505678555758E-2</v>
      </c>
      <c r="CS153" s="2">
        <f>221.882698170703*(1/14151.6638359215)</f>
        <v>1.5678912440492895E-2</v>
      </c>
      <c r="CT153" s="2">
        <f>212.721708441096*(1/14151.6638359215)</f>
        <v>1.5031568789893066E-2</v>
      </c>
      <c r="CU153" s="2">
        <f>203.923218224825*(1/14151.6638359215)</f>
        <v>1.4409840467465171E-2</v>
      </c>
      <c r="CV153" s="2">
        <f>194.875812928169*(1/14151.6638359215)</f>
        <v>1.3770523041503514E-2</v>
      </c>
      <c r="CW153" s="2">
        <f>185.619795775852*(1/14151.6638359215)</f>
        <v>1.3116464461563095E-2</v>
      </c>
      <c r="CX153" s="2">
        <f>176.197938286852*(1/14151.6638359215)</f>
        <v>1.2450687094446425E-2</v>
      </c>
      <c r="CY153" s="2">
        <f>166.65301198015*(1/14151.6638359215)</f>
        <v>1.177621330695623E-2</v>
      </c>
      <c r="CZ153" s="2">
        <f>157.027788374723*(1/14151.6638359215)</f>
        <v>1.109606546589495E-2</v>
      </c>
      <c r="DA153" s="2">
        <f>147.365038989552*(1/14151.6638359215)</f>
        <v>1.0413265938065309E-2</v>
      </c>
      <c r="DB153" s="2">
        <f>137.707535343618*(1/14151.6638359215)</f>
        <v>9.7308370902700319E-3</v>
      </c>
      <c r="DC153" s="2">
        <f>128.098048955901*(1/14151.6638359215)</f>
        <v>9.0518012893117707E-3</v>
      </c>
      <c r="DD153" s="2">
        <f>118.57935134538*(1/14151.6638359215)</f>
        <v>8.3791809019931121E-3</v>
      </c>
      <c r="DE153" s="2">
        <f>109.133757301905*(1/14151.6638359215)</f>
        <v>7.7117262370865703E-3</v>
      </c>
      <c r="DF153" s="2">
        <f>99.2244389702354*(1/14151.6638359215)</f>
        <v>7.0115033907441806E-3</v>
      </c>
      <c r="DG153" s="2">
        <f>88.8800315952231*(1/14151.6638359215)</f>
        <v>6.2805358172525862E-3</v>
      </c>
      <c r="DH153" s="2">
        <f>78.3078160230667*(1/14151.6638359215)</f>
        <v>5.533470617376887E-3</v>
      </c>
      <c r="DI153" s="2">
        <f>67.7150730999713*(1/14151.6638359215)</f>
        <v>4.784954891882646E-3</v>
      </c>
      <c r="DJ153" s="2">
        <f>57.3090836721361*(1/14151.6638359215)</f>
        <v>4.0496357415350064E-3</v>
      </c>
      <c r="DK153" s="2">
        <f>47.297128585762*(1/14151.6638359215)</f>
        <v>3.3421602670992362E-3</v>
      </c>
      <c r="DL153" s="2">
        <f>37.8864886870502*(1/14151.6638359215)</f>
        <v>2.6771755693406202E-3</v>
      </c>
      <c r="DM153" s="2">
        <f>29.2844448222002*(1/14151.6638359215)</f>
        <v>2.069328749024324E-3</v>
      </c>
      <c r="DN153" s="2">
        <f>21.6982778374162*(1/14151.6638359215)</f>
        <v>1.5332669069158464E-3</v>
      </c>
      <c r="DO153" s="2">
        <f>15.3352685788978*(1/14151.6638359215)</f>
        <v>1.083637143780361E-3</v>
      </c>
      <c r="DP153" s="2">
        <f>10.3026369846524*(1/14151.6638359215)</f>
        <v>7.2801594950983614E-4</v>
      </c>
      <c r="DQ153" s="2">
        <f>6.41508217379646*(1/14151.6638359215)</f>
        <v>4.5330939514779219E-4</v>
      </c>
      <c r="DR153" s="2">
        <f>3.5208075700788*(1/14151.6638359215)</f>
        <v>2.4879106873227529E-4</v>
      </c>
      <c r="DS153" s="2">
        <f>1.47126032159191*(1/14151.6638359215)</f>
        <v>1.0396376981887991E-4</v>
      </c>
      <c r="DT153" s="2">
        <f>0.117887576428121*(1/14151.6638359215)</f>
        <v>8.3302979631896151E-6</v>
      </c>
      <c r="DU153" s="2">
        <f>-0.687863517319563*(1/14151.6638359215)</f>
        <v>-4.8606547279164649E-5</v>
      </c>
      <c r="DV153" s="2">
        <f>-1.09454581155891*(1/14151.6638359215)</f>
        <v>-7.734396635260645E-5</v>
      </c>
      <c r="DW153" s="2">
        <f>-1.25071215819742*(1/14151.6638359215)</f>
        <v>-8.8379159701540406E-5</v>
      </c>
      <c r="DX153" s="2">
        <f>-1.30491540914256*(1/14151.6638359215)</f>
        <v>-9.22093277703688E-5</v>
      </c>
      <c r="DY153" s="2">
        <f>-1.40570841630183*(1/14151.6638359215)</f>
        <v>-9.9331671003496244E-5</v>
      </c>
      <c r="DZ153" s="2">
        <f>-1.67614521421976*(1/14151.6638359215)</f>
        <v>-1.1844156515117052E-4</v>
      </c>
      <c r="EA153" s="2">
        <f>-1.6863730432815*(1/14151.6638359215)</f>
        <v>-1.1916429494325183E-4</v>
      </c>
      <c r="EB153" s="2">
        <f>-1.29479332833602*(1/14151.6638359215)</f>
        <v>-9.1494070474555487E-5</v>
      </c>
      <c r="EC153" s="2">
        <f>-0.583021463864864*(1/14151.6638359215)</f>
        <v>-4.1198086007736206E-5</v>
      </c>
      <c r="ED153" s="2">
        <f>0.367327155650428*(1/14151.6638359215)</f>
        <v>2.595646419455166E-5</v>
      </c>
      <c r="EE153" s="2">
        <f>1.47463713572853*(1/14151.6638359215)</f>
        <v>1.0420238586966883E-4</v>
      </c>
      <c r="EF153" s="2">
        <f>2.65729308188748*(1/14151.6638359215)</f>
        <v>1.8777248475493113E-4</v>
      </c>
      <c r="EG153" s="2">
        <f>3.83367959964592*(1/14151.6638359215)</f>
        <v>2.7089956658769702E-4</v>
      </c>
      <c r="EH153" s="2">
        <f>4.92218129452232*(1/14151.6638359215)</f>
        <v>3.4781643710531275E-4</v>
      </c>
      <c r="EI153" s="2">
        <f>5.84118277203513*(1/14151.6638359215)</f>
        <v>4.1275590204512344E-4</v>
      </c>
      <c r="EJ153" s="2">
        <f>6.50906863770291*(1/14151.6638359215)</f>
        <v>4.5995076714448155E-4</v>
      </c>
      <c r="EK153" s="2">
        <f>6.90157898937147*(1/14151.6638359215)</f>
        <v>4.876867532602796E-4</v>
      </c>
      <c r="EL153" s="2">
        <f>7.15845843987124*(1/14151.6638359215)</f>
        <v>5.058386436300697E-4</v>
      </c>
      <c r="EM153" s="2">
        <f>7.3091652589107*(1/14151.6638359215)</f>
        <v>5.1648805000283256E-4</v>
      </c>
      <c r="EN153" s="2">
        <f>7.37294909145091*(1/14151.6638359215)</f>
        <v>5.2099521137125807E-4</v>
      </c>
      <c r="EO153" s="2">
        <f>7.36905958245291*(1/14151.6638359215)</f>
        <v>5.2072036672803478E-4</v>
      </c>
      <c r="EP153" s="2">
        <f>7.31674637687774*(1/14151.6638359215)</f>
        <v>5.1702375506585112E-4</v>
      </c>
      <c r="EQ153" s="2">
        <f>7.23525911968644*(1/14151.6638359215)</f>
        <v>5.1126561537739564E-4</v>
      </c>
      <c r="ER153" s="2">
        <f>7.14384745584009*(1/14151.6638359215)</f>
        <v>5.0480618665535958E-4</v>
      </c>
      <c r="ES153" s="2">
        <f>7.06176103029971*(1/14151.6638359215)</f>
        <v>4.9900570789243007E-4</v>
      </c>
      <c r="ET153" s="2">
        <f>7.00824948802636*(1/14151.6638359215)</f>
        <v>4.9522441808129696E-4</v>
      </c>
      <c r="EU153" s="2">
        <f>7.0020027324413*(1/14151.6638359215)</f>
        <v>4.9478300315952618E-4</v>
      </c>
      <c r="EV153" s="2">
        <f>7.01473623011033*(1/14151.6638359215)</f>
        <v>4.9568279118563155E-4</v>
      </c>
      <c r="EW153" s="2">
        <f>7.02224879266472*(1/14151.6638359215)</f>
        <v>4.9621365191278646E-4</v>
      </c>
      <c r="EX153" s="2">
        <f>7.02542283167313*(1/14151.6638359215)</f>
        <v>4.964379392506721E-4</v>
      </c>
      <c r="EY153" s="2">
        <f>7.02514075870423*(1/14151.6638359215)</f>
        <v>4.9641800710896976E-4</v>
      </c>
      <c r="EZ153" s="2">
        <f>7.02228498532671*(1/14151.6638359215)</f>
        <v>4.962162093973629E-4</v>
      </c>
      <c r="FA153" s="2">
        <f>7.01773792310924*(1/14151.6638359215)</f>
        <v>4.9589490002553281E-4</v>
      </c>
      <c r="FB153" s="2">
        <f>7.01238198362047*(1/14151.6638359215)</f>
        <v>4.9551643290315992E-4</v>
      </c>
      <c r="FC153" s="2">
        <f>7.0070995784291*(1/14151.6638359215)</f>
        <v>4.9514316193992791E-4</v>
      </c>
      <c r="FD153" s="2">
        <f>7.00277311910379*(1/14151.6638359215)</f>
        <v>4.9483744104551774E-4</v>
      </c>
      <c r="FE153" s="2">
        <f>7.00028501721322*(1/14151.6638359215)</f>
        <v>4.9466162412961168E-4</v>
      </c>
      <c r="FF153" s="2">
        <f t="shared" si="24"/>
        <v>4.9464148393856954E-4</v>
      </c>
      <c r="FG153" s="2">
        <f t="shared" si="24"/>
        <v>4.9464148393856954E-4</v>
      </c>
      <c r="FH153" s="2">
        <f t="shared" si="24"/>
        <v>4.9464148393856954E-4</v>
      </c>
      <c r="FI153" s="2">
        <f t="shared" si="24"/>
        <v>4.9464148393856954E-4</v>
      </c>
      <c r="FJ153" s="2">
        <f t="shared" si="24"/>
        <v>4.9464148393856954E-4</v>
      </c>
      <c r="FK153" s="2">
        <f t="shared" si="24"/>
        <v>4.9464148393856954E-4</v>
      </c>
      <c r="FL153" s="2">
        <f t="shared" si="24"/>
        <v>4.9464148393856954E-4</v>
      </c>
      <c r="FM153" s="2">
        <f t="shared" si="24"/>
        <v>4.9464148393856954E-4</v>
      </c>
      <c r="FN153" s="2">
        <f t="shared" si="24"/>
        <v>4.9464148393856954E-4</v>
      </c>
      <c r="FO153" s="2">
        <f t="shared" si="24"/>
        <v>4.9464148393856954E-4</v>
      </c>
      <c r="FP153" s="2">
        <f t="shared" si="24"/>
        <v>4.9464148393856954E-4</v>
      </c>
      <c r="FQ153" s="2"/>
    </row>
    <row r="154" spans="2:173">
      <c r="B154" s="2">
        <v>10.729585798816569</v>
      </c>
      <c r="C154" s="2">
        <f t="shared" si="21"/>
        <v>4.9464148393856954E-4</v>
      </c>
      <c r="D154" s="2">
        <f t="shared" si="21"/>
        <v>4.9464148393856954E-4</v>
      </c>
      <c r="E154" s="2">
        <f t="shared" si="21"/>
        <v>4.9464148393856954E-4</v>
      </c>
      <c r="F154" s="2">
        <f>7*(1/14151.6638359215)</f>
        <v>4.9464148393856954E-4</v>
      </c>
      <c r="G154" s="2">
        <f t="shared" si="21"/>
        <v>4.9464148393856954E-4</v>
      </c>
      <c r="H154" s="2">
        <f t="shared" si="21"/>
        <v>4.9464148393856954E-4</v>
      </c>
      <c r="I154" s="2">
        <f t="shared" si="21"/>
        <v>4.9464148393856954E-4</v>
      </c>
      <c r="J154" s="2">
        <f t="shared" si="22"/>
        <v>4.9464148393856954E-4</v>
      </c>
      <c r="K154" s="2">
        <f t="shared" si="22"/>
        <v>4.9464148393856954E-4</v>
      </c>
      <c r="L154" s="2">
        <f t="shared" si="22"/>
        <v>4.9464148393856954E-4</v>
      </c>
      <c r="M154" s="2">
        <f t="shared" si="22"/>
        <v>4.9464148393856954E-4</v>
      </c>
      <c r="N154" s="2">
        <f t="shared" si="22"/>
        <v>4.9464148393856954E-4</v>
      </c>
      <c r="O154" s="2">
        <f t="shared" si="22"/>
        <v>4.9464148393856954E-4</v>
      </c>
      <c r="P154" s="2">
        <f t="shared" si="22"/>
        <v>4.9464148393856954E-4</v>
      </c>
      <c r="Q154" s="2">
        <f t="shared" si="22"/>
        <v>4.9464148393856954E-4</v>
      </c>
      <c r="R154" s="2">
        <f t="shared" si="22"/>
        <v>4.9464148393856954E-4</v>
      </c>
      <c r="S154" s="2">
        <f t="shared" si="22"/>
        <v>4.9464148393856954E-4</v>
      </c>
      <c r="T154" s="2">
        <f t="shared" si="22"/>
        <v>4.9464148393856954E-4</v>
      </c>
      <c r="U154" s="2">
        <f t="shared" si="22"/>
        <v>4.9464148393856954E-4</v>
      </c>
      <c r="V154" s="2">
        <f t="shared" si="22"/>
        <v>4.9464148393856954E-4</v>
      </c>
      <c r="W154" s="2">
        <f t="shared" si="23"/>
        <v>4.9464148393856954E-4</v>
      </c>
      <c r="X154" s="2">
        <f t="shared" si="23"/>
        <v>4.9464148393856954E-4</v>
      </c>
      <c r="Y154" s="2">
        <f>7.01186409448231*(1/14151.6638359215)</f>
        <v>4.954798372671863E-4</v>
      </c>
      <c r="Z154" s="2">
        <f>7.04885445094592*(1/14151.6638359215)</f>
        <v>4.9809368938326869E-4</v>
      </c>
      <c r="AA154" s="2">
        <f>7.10164068935885*(1/14151.6638359215)</f>
        <v>5.0182372699756966E-4</v>
      </c>
      <c r="AB154" s="2">
        <f>7.16062531182784*(1/14151.6638359215)</f>
        <v>5.0599176145294357E-4</v>
      </c>
      <c r="AC154" s="2">
        <f>7.21621082045963*(1/14151.6638359215)</f>
        <v>5.0991960409224482E-4</v>
      </c>
      <c r="AD154" s="2">
        <f>7.25879971736098*(1/14151.6638359215)</f>
        <v>5.1292906625832919E-4</v>
      </c>
      <c r="AE154" s="2">
        <f>7.2787945046386*(1/14151.6638359215)</f>
        <v>5.143419592940489E-4</v>
      </c>
      <c r="AF154" s="2">
        <f>7.26659768439924*(1/14151.6638359215)</f>
        <v>5.1348009454225908E-4</v>
      </c>
      <c r="AG154" s="2">
        <f>7.21261175874966*(1/14151.6638359215)</f>
        <v>5.0966528334581542E-4</v>
      </c>
      <c r="AH154" s="2">
        <f>7.10723922979657*(1/14151.6638359215)</f>
        <v>5.0221933704757023E-4</v>
      </c>
      <c r="AI154" s="2">
        <f>6.94360772924947*(1/14151.6638359215)</f>
        <v>4.9065663301189704E-4</v>
      </c>
      <c r="AJ154" s="2">
        <f>6.75300485848407*(1/14151.6638359215)</f>
        <v>4.771880491778472E-4</v>
      </c>
      <c r="AK154" s="2">
        <f>6.54219671664976*(1/14151.6638359215)</f>
        <v>4.6229169887738206E-4</v>
      </c>
      <c r="AL154" s="2">
        <f>6.30503118928753*(1/14151.6638359215)</f>
        <v>4.45532854821164E-4</v>
      </c>
      <c r="AM154" s="2">
        <f>6.03535616193842*(1/14151.6638359215)</f>
        <v>4.2647678971985853E-4</v>
      </c>
      <c r="AN154" s="2">
        <f>5.72701952014342*(1/14151.6638359215)</f>
        <v>4.0468877628412796E-4</v>
      </c>
      <c r="AO154" s="2">
        <f>5.37386914944354*(1/14151.6638359215)</f>
        <v>3.7973408722463589E-4</v>
      </c>
      <c r="AP154" s="2">
        <f>4.96975293537972*(1/14151.6638359215)</f>
        <v>3.5117799525204098E-4</v>
      </c>
      <c r="AQ154" s="2">
        <f>4.50851876349312*(1/14151.6638359215)</f>
        <v>3.1858577307701736E-4</v>
      </c>
      <c r="AR154" s="2">
        <f>3.98401451932467*(1/14151.6638359215)</f>
        <v>2.815226934102231E-4</v>
      </c>
      <c r="AS154" s="2">
        <f>3.39008808841538*(1/14151.6638359215)</f>
        <v>2.3955402896232172E-4</v>
      </c>
      <c r="AT154" s="2">
        <f>2.62529304226044*(1/14151.6638359215)</f>
        <v>1.8551126374247227E-4</v>
      </c>
      <c r="AU154" s="2">
        <f>1.51016975947688*(1/14151.6638359215)</f>
        <v>1.0671323011811379E-4</v>
      </c>
      <c r="AV154" s="2">
        <f>0.143595097369608*(1/14151.6638359215)</f>
        <v>1.0146870292743754E-5</v>
      </c>
      <c r="AW154" s="2">
        <f>-1.36374880617901*(1/14151.6638359215)</f>
        <v>-9.636667617254831E-5</v>
      </c>
      <c r="AX154" s="2">
        <f>-2.90117981328639*(1/14151.6638359215)</f>
        <v>-2.0500626971665746E-4</v>
      </c>
      <c r="AY154" s="2">
        <f>-4.35801578607*(1/14151.6638359215)</f>
        <v>-3.0795077077848236E-4</v>
      </c>
      <c r="AZ154" s="2">
        <f>-5.62357458664727*(1/14151.6638359215)</f>
        <v>-3.9737903979691907E-4</v>
      </c>
      <c r="BA154" s="2">
        <f>-6.58717407713577*(1/14151.6638359215)</f>
        <v>-4.6546993721087351E-4</v>
      </c>
      <c r="BB154" s="2">
        <f>-7.1381321196526*(1/14151.6638359215)</f>
        <v>-5.0440232345921843E-4</v>
      </c>
      <c r="BC154" s="2">
        <f>-7.16576657631538*(1/14151.6638359215)</f>
        <v>-5.0635505898086327E-4</v>
      </c>
      <c r="BD154" s="2">
        <f>-6.58253853593137*(1/14151.6638359215)</f>
        <v>-4.6514237564227313E-4</v>
      </c>
      <c r="BE154" s="2">
        <f>-6.10012857229012*(1/14151.6638359215)</f>
        <v>-4.3105380703052182E-4</v>
      </c>
      <c r="BF154" s="2">
        <f>-5.90418738938079*(1/14151.6638359215)</f>
        <v>-4.1720800167638616E-4</v>
      </c>
      <c r="BG154" s="2">
        <f>-5.72869625247337*(1/14151.6638359215)</f>
        <v>-4.0480725933667863E-4</v>
      </c>
      <c r="BH154" s="2">
        <f>-5.30763642683796*(1/14151.6638359215)</f>
        <v>-3.7505387976821935E-4</v>
      </c>
      <c r="BI154" s="2">
        <f>-4.37498917774457*(1/14151.6638359215)</f>
        <v>-3.0915016272782238E-4</v>
      </c>
      <c r="BJ154" s="2">
        <f>-2.66473577046325*(1/14151.6638359215)</f>
        <v>-1.8829840797230421E-4</v>
      </c>
      <c r="BK154" s="2">
        <f>0.0891425297359497*(1/14151.6638359215)</f>
        <v>6.2990847415183172E-6</v>
      </c>
      <c r="BL154" s="2">
        <f>4.15266445758297*(1/14151.6638359215)</f>
        <v>2.9344001565682795E-4</v>
      </c>
      <c r="BM154" s="2">
        <f>9.79184874780898*(1/14151.6638359215)</f>
        <v>6.91922085016894E-4</v>
      </c>
      <c r="BN154" s="2">
        <f>17.2727141351419*(1/14151.6638359215)</f>
        <v>1.2205429930647565E-3</v>
      </c>
      <c r="BO154" s="2">
        <f>27.0942615086486*(1/14151.6638359215)</f>
        <v>1.9145636741225156E-3</v>
      </c>
      <c r="BP154" s="2">
        <f>39.9911575843793*(1/14151.6638359215)</f>
        <v>2.825897933136937E-3</v>
      </c>
      <c r="BQ154" s="2">
        <f>55.409378432278*(1/14151.6638359215)</f>
        <v>3.9153967388365369E-3</v>
      </c>
      <c r="BR154" s="2">
        <f>72.6893325569626*(1/14151.6638359215)</f>
        <v>5.1364513317828792E-3</v>
      </c>
      <c r="BS154" s="2">
        <f>91.1714284630411*(1/14151.6638359215)</f>
        <v>6.4424529525368267E-3</v>
      </c>
      <c r="BT154" s="2">
        <f>110.196074655131*(1/14151.6638359215)</f>
        <v>7.7867928416599135E-3</v>
      </c>
      <c r="BU154" s="2">
        <f>129.103679637847*(1/14151.6638359215)</f>
        <v>9.1228622397134754E-3</v>
      </c>
      <c r="BV154" s="2">
        <f>147.234651915804*(1/14151.6638359215)</f>
        <v>1.0404052387258863E-2</v>
      </c>
      <c r="BW154" s="2">
        <f>163.929399993617*(1/14151.6638359215)</f>
        <v>1.1583754524857435E-2</v>
      </c>
      <c r="BX154" s="2">
        <f>178.528332375899*(1/14151.6638359215)</f>
        <v>1.2615359893070407E-2</v>
      </c>
      <c r="BY154" s="2">
        <f>190.376536433525*(1/14151.6638359215)</f>
        <v>1.3452590355509136E-2</v>
      </c>
      <c r="BZ154" s="2">
        <f>200.273479265623*(1/14151.6638359215)</f>
        <v>1.4151938711069728E-2</v>
      </c>
      <c r="CA154" s="2">
        <f>209.160769750327*(1/14151.6638359215)</f>
        <v>1.4779941933005032E-2</v>
      </c>
      <c r="CB154" s="2">
        <f>217.021400370168*(1/14151.6638359215)</f>
        <v>1.5335398217932334E-2</v>
      </c>
      <c r="CC154" s="2">
        <f>223.83836360768*(1/14151.6638359215)</f>
        <v>1.5817105762469134E-2</v>
      </c>
      <c r="CD154" s="2">
        <f>229.594651945394*(1/14151.6638359215)</f>
        <v>1.6223862763232726E-2</v>
      </c>
      <c r="CE154" s="2">
        <f>234.27325786584*(1/14151.6638359215)</f>
        <v>1.6554467416840322E-2</v>
      </c>
      <c r="CF154" s="2">
        <f>237.857173851552*(1/14151.6638359215)</f>
        <v>1.680771791990943E-2</v>
      </c>
      <c r="CG154" s="2">
        <f>240.32939238506*(1/14151.6638359215)</f>
        <v>1.6982412469057264E-2</v>
      </c>
      <c r="CH154" s="2">
        <f>241.672905948898*(1/14151.6638359215)</f>
        <v>1.7077349260901323E-2</v>
      </c>
      <c r="CI154" s="2">
        <f>241.870707025596*(1/14151.6638359215)</f>
        <v>1.7091326492058828E-2</v>
      </c>
      <c r="CJ154" s="2">
        <f>240.793890527852*(1/14151.6638359215)</f>
        <v>1.7015235333434027E-2</v>
      </c>
      <c r="CK154" s="2">
        <f>237.867535276311*(1/14151.6638359215)</f>
        <v>1.6808450089983502E-2</v>
      </c>
      <c r="CL154" s="2">
        <f>233.252719562959*(1/14151.6638359215)</f>
        <v>1.6482353048189863E-2</v>
      </c>
      <c r="CM154" s="2">
        <f>227.235027222626*(1/14151.6638359215)</f>
        <v>1.6057124438317281E-2</v>
      </c>
      <c r="CN154" s="2">
        <f>220.100042090145*(1/14151.6638359215)</f>
        <v>1.5552944490630135E-2</v>
      </c>
      <c r="CO154" s="2">
        <f>212.133348000349*(1/14151.6638359215)</f>
        <v>1.4989993435392802E-2</v>
      </c>
      <c r="CP154" s="2">
        <f>203.620528788066*(1/14151.6638359215)</f>
        <v>1.4388451502869312E-2</v>
      </c>
      <c r="CQ154" s="2">
        <f>194.847168288132*(1/14151.6638359215)</f>
        <v>1.3768498923324258E-2</v>
      </c>
      <c r="CR154" s="2">
        <f>186.098850335377*(1/14151.6638359215)</f>
        <v>1.3150315927021806E-2</v>
      </c>
      <c r="CS154" s="2">
        <f>177.661158764634*(1/14151.6638359215)</f>
        <v>1.2554082744226338E-2</v>
      </c>
      <c r="CT154" s="2">
        <f>169.819677410734*(1/14151.6638359215)</f>
        <v>1.1999979605202091E-2</v>
      </c>
      <c r="CU154" s="2">
        <f>162.323622972113*(1/14151.6638359215)</f>
        <v>1.1470285392172978E-2</v>
      </c>
      <c r="CV154" s="2">
        <f>154.622652315001*(1/14151.6638359215)</f>
        <v>1.0926111170229942E-2</v>
      </c>
      <c r="CW154" s="2">
        <f>146.753750874188*(1/14151.6638359215)</f>
        <v>1.0370070443708501E-2</v>
      </c>
      <c r="CX154" s="2">
        <f>138.75612753804*(1/14151.6638359215)</f>
        <v>9.8049338329979311E-3</v>
      </c>
      <c r="CY154" s="2">
        <f>130.668991194927*(1/14151.6638359215)</f>
        <v>9.2334719584877961E-3</v>
      </c>
      <c r="CZ154" s="2">
        <f>122.531550733219*(1/14151.6638359215)</f>
        <v>8.6584554405676525E-3</v>
      </c>
      <c r="DA154" s="2">
        <f>114.383015041284*(1/14151.6638359215)</f>
        <v>8.0826548996269197E-3</v>
      </c>
      <c r="DB154" s="2">
        <f>106.262593007494*(1/14151.6638359215)</f>
        <v>7.5088409560553002E-3</v>
      </c>
      <c r="DC154" s="2">
        <f>98.2094935202173*(1/14151.6638359215)</f>
        <v>6.9397842302422307E-3</v>
      </c>
      <c r="DD154" s="2">
        <f>90.2629254678233*(1/14151.6638359215)</f>
        <v>6.3782553425772307E-3</v>
      </c>
      <c r="DE154" s="2">
        <f>82.410102596709*(1/14151.6638359215)</f>
        <v>5.8233507771379856E-3</v>
      </c>
      <c r="DF154" s="2">
        <f>74.1901720857245*(1/14151.6638359215)</f>
        <v>5.2425052591629434E-3</v>
      </c>
      <c r="DG154" s="2">
        <f>65.6254864165226*(1/14151.6638359215)</f>
        <v>4.6372982836084542E-3</v>
      </c>
      <c r="DH154" s="2">
        <f>56.8917130417926*(1/14151.6638359215)</f>
        <v>4.0201430518285088E-3</v>
      </c>
      <c r="DI154" s="2">
        <f>48.1645194142291*(1/14151.6638359215)</f>
        <v>3.4034527651774747E-3</v>
      </c>
      <c r="DJ154" s="2">
        <f>39.6195729865215*(1/14151.6638359215)</f>
        <v>2.7996406250093511E-3</v>
      </c>
      <c r="DK154" s="2">
        <f>31.4325412113609*(1/14151.6638359215)</f>
        <v>2.2211198326782568E-3</v>
      </c>
      <c r="DL154" s="2">
        <f>23.7790915414386*(1/14151.6638359215)</f>
        <v>1.6803035895383252E-3</v>
      </c>
      <c r="DM154" s="2">
        <f>16.8348914294445*(1/14151.6638359215)</f>
        <v>1.1896050969435906E-3</v>
      </c>
      <c r="DN154" s="2">
        <f>10.7756083280722*(1/14151.6638359215)</f>
        <v>7.6143755624834882E-4</v>
      </c>
      <c r="DO154" s="2">
        <f>5.7769096900116*(1/14151.6638359215)</f>
        <v>4.082141688066342E-4</v>
      </c>
      <c r="DP154" s="2">
        <f>1.94580329467841*(1/14151.6638359215)</f>
        <v>1.3749643273318379E-4</v>
      </c>
      <c r="DQ154" s="2">
        <f>-0.851089684427497*(1/14151.6638359215)</f>
        <v>-6.0140609210003709E-5</v>
      </c>
      <c r="DR154" s="2">
        <f>-2.75651271546384*(1/14151.6638359215)</f>
        <v>-1.9478364858179569E-4</v>
      </c>
      <c r="DS154" s="2">
        <f>-3.91140796879389*(1/14151.6638359215)</f>
        <v>-2.7639209171047941E-4</v>
      </c>
      <c r="DT154" s="2">
        <f>-4.45671761478094*(1/14151.6638359215)</f>
        <v>-3.1492534492434378E-4</v>
      </c>
      <c r="DU154" s="2">
        <f>-4.53338382378805*(1/14151.6638359215)</f>
        <v>-3.2034281455166108E-4</v>
      </c>
      <c r="DV154" s="2">
        <f>-4.28234876617861*(1/14151.6638359215)</f>
        <v>-3.0260390692072719E-4</v>
      </c>
      <c r="DW154" s="2">
        <f>-3.84455461231589*(1/14151.6638359215)</f>
        <v>-2.7166802835982911E-4</v>
      </c>
      <c r="DX154" s="2">
        <f>-3.36094353256312*(1/14151.6638359215)</f>
        <v>-2.374945851972514E-4</v>
      </c>
      <c r="DY154" s="2">
        <f>-2.97245769728348*(1/14151.6638359215)</f>
        <v>-2.1004298376127485E-4</v>
      </c>
      <c r="DZ154" s="2">
        <f>-2.79698116035678*(1/14151.6638359215)</f>
        <v>-1.9764327310101427E-4</v>
      </c>
      <c r="EA154" s="2">
        <f>-2.4488890404538*(1/14151.6638359215)</f>
        <v>-1.7304601556728105E-4</v>
      </c>
      <c r="EB154" s="2">
        <f>-1.79447651768106*(1/14151.6638359215)</f>
        <v>-1.2680321822838232E-4</v>
      </c>
      <c r="EC154" s="2">
        <f>-0.900617964438441*(1/14151.6638359215)</f>
        <v>-6.3640429484509189E-5</v>
      </c>
      <c r="ED154" s="2">
        <f>0.165812246874199*(1/14151.6638359215)</f>
        <v>1.171680226414889E-5</v>
      </c>
      <c r="EE154" s="2">
        <f>1.33793974385721*(1/14151.6638359215)</f>
        <v>9.4542928617417151E-5</v>
      </c>
      <c r="EF154" s="2">
        <f>2.54889015411028*(1/14151.6638359215)</f>
        <v>1.8011240117507402E-4</v>
      </c>
      <c r="EG154" s="2">
        <f>3.73178910523374*(1/14151.6638359215)</f>
        <v>2.636996715369434E-4</v>
      </c>
      <c r="EH154" s="2">
        <f>4.81976222482772*(1/14151.6638359215)</f>
        <v>3.4057919130283499E-4</v>
      </c>
      <c r="EI154" s="2">
        <f>5.74593514049236*(1/14151.6638359215)</f>
        <v>4.0602541207255914E-4</v>
      </c>
      <c r="EJ154" s="2">
        <f>6.44343347982789*(1/14151.6638359215)</f>
        <v>4.5531278544593267E-4</v>
      </c>
      <c r="EK154" s="2">
        <f>6.88753813188812*(1/14151.6638359215)</f>
        <v>4.8669458317723185E-4</v>
      </c>
      <c r="EL154" s="2">
        <f>7.1810643078364*(1/14151.6638359215)</f>
        <v>5.0743604364092768E-4</v>
      </c>
      <c r="EM154" s="2">
        <f>7.3532711394686*(1/14151.6638359215)</f>
        <v>5.1960470688991488E-4</v>
      </c>
      <c r="EN154" s="2">
        <f>7.42615444880467*(1/14151.6638359215)</f>
        <v>5.2475486521625031E-4</v>
      </c>
      <c r="EO154" s="2">
        <f>7.42171005786456*(1/14151.6638359215)</f>
        <v>5.2444081091199038E-4</v>
      </c>
      <c r="EP154" s="2">
        <f>7.36193378866825*(1/14151.6638359215)</f>
        <v>5.2021683626919408E-4</v>
      </c>
      <c r="EQ154" s="2">
        <f>7.26882146323567*(1/14151.6638359215)</f>
        <v>5.1363723357991664E-4</v>
      </c>
      <c r="ER154" s="2">
        <f>7.16436890358683*(1/14151.6638359215)</f>
        <v>5.0625629513621892E-4</v>
      </c>
      <c r="ES154" s="2">
        <f>7.07057193174165*(1/14151.6638359215)</f>
        <v>4.9962831323015547E-4</v>
      </c>
      <c r="ET154" s="2">
        <f>7.0094263697201*(1/14151.6638359215)</f>
        <v>4.9530758015378445E-4</v>
      </c>
      <c r="EU154" s="2">
        <f>7.002288444614*(1/14151.6638359215)</f>
        <v>4.9480319245853819E-4</v>
      </c>
      <c r="EV154" s="2">
        <f>7.01683851808218*(1/14151.6638359215)</f>
        <v>4.9583134530592607E-4</v>
      </c>
      <c r="EW154" s="2">
        <f>7.02542283167313*(1/14151.6638359215)</f>
        <v>4.964379392506721E-4</v>
      </c>
      <c r="EX154" s="2">
        <f>7.02904968283088*(1/14151.6638359215)</f>
        <v>4.9669422368477122E-4</v>
      </c>
      <c r="EY154" s="2">
        <f>7.02872736899949*(1/14151.6638359215)</f>
        <v>4.9667144800022076E-4</v>
      </c>
      <c r="EZ154" s="2">
        <f>7.02546418762298*(1/14151.6638359215)</f>
        <v>4.9644086158901542E-4</v>
      </c>
      <c r="FA154" s="2">
        <f>7.0202684361454*(1/14151.6638359215)</f>
        <v>4.9607371384315167E-4</v>
      </c>
      <c r="FB154" s="2">
        <f>7.01414841201077*(1/14151.6638359215)</f>
        <v>4.9564125415462411E-4</v>
      </c>
      <c r="FC154" s="2">
        <f>7.00811241266316*(1/14151.6638359215)</f>
        <v>4.9521473191543061E-4</v>
      </c>
      <c r="FD154" s="2">
        <f>7.00316873554659*(1/14151.6638359215)</f>
        <v>4.9486539651756589E-4</v>
      </c>
      <c r="FE154" s="2">
        <f>7.00032567810509*(1/14151.6638359215)</f>
        <v>4.9466449735302499E-4</v>
      </c>
      <c r="FF154" s="2">
        <f t="shared" si="24"/>
        <v>4.9464148393856954E-4</v>
      </c>
      <c r="FG154" s="2">
        <f t="shared" si="24"/>
        <v>4.9464148393856954E-4</v>
      </c>
      <c r="FH154" s="2">
        <f t="shared" si="24"/>
        <v>4.9464148393856954E-4</v>
      </c>
      <c r="FI154" s="2">
        <f t="shared" si="24"/>
        <v>4.9464148393856954E-4</v>
      </c>
      <c r="FJ154" s="2">
        <f t="shared" si="24"/>
        <v>4.9464148393856954E-4</v>
      </c>
      <c r="FK154" s="2">
        <f t="shared" si="24"/>
        <v>4.9464148393856954E-4</v>
      </c>
      <c r="FL154" s="2">
        <f t="shared" si="24"/>
        <v>4.9464148393856954E-4</v>
      </c>
      <c r="FM154" s="2">
        <f t="shared" si="24"/>
        <v>4.9464148393856954E-4</v>
      </c>
      <c r="FN154" s="2">
        <f t="shared" si="24"/>
        <v>4.9464148393856954E-4</v>
      </c>
      <c r="FO154" s="2">
        <f t="shared" si="24"/>
        <v>4.9464148393856954E-4</v>
      </c>
      <c r="FP154" s="2">
        <f t="shared" si="24"/>
        <v>4.9464148393856954E-4</v>
      </c>
      <c r="FQ154" s="2"/>
    </row>
    <row r="155" spans="2:173">
      <c r="B155" s="2">
        <v>10.73905325443787</v>
      </c>
      <c r="C155" s="2">
        <f t="shared" si="21"/>
        <v>4.9464148393856954E-4</v>
      </c>
      <c r="D155" s="2">
        <f t="shared" si="21"/>
        <v>4.9464148393856954E-4</v>
      </c>
      <c r="E155" s="2">
        <f t="shared" si="21"/>
        <v>4.9464148393856954E-4</v>
      </c>
      <c r="F155" s="2">
        <f>7*(1/14151.6638359215)</f>
        <v>4.9464148393856954E-4</v>
      </c>
      <c r="G155" s="2">
        <f t="shared" si="21"/>
        <v>4.9464148393856954E-4</v>
      </c>
      <c r="H155" s="2">
        <f t="shared" si="21"/>
        <v>4.9464148393856954E-4</v>
      </c>
      <c r="I155" s="2">
        <f t="shared" si="21"/>
        <v>4.9464148393856954E-4</v>
      </c>
      <c r="J155" s="2">
        <f t="shared" si="22"/>
        <v>4.9464148393856954E-4</v>
      </c>
      <c r="K155" s="2">
        <f t="shared" si="22"/>
        <v>4.9464148393856954E-4</v>
      </c>
      <c r="L155" s="2">
        <f t="shared" si="22"/>
        <v>4.9464148393856954E-4</v>
      </c>
      <c r="M155" s="2">
        <f t="shared" si="22"/>
        <v>4.9464148393856954E-4</v>
      </c>
      <c r="N155" s="2">
        <f t="shared" si="22"/>
        <v>4.9464148393856954E-4</v>
      </c>
      <c r="O155" s="2">
        <f t="shared" si="22"/>
        <v>4.9464148393856954E-4</v>
      </c>
      <c r="P155" s="2">
        <f t="shared" si="22"/>
        <v>4.9464148393856954E-4</v>
      </c>
      <c r="Q155" s="2">
        <f t="shared" si="22"/>
        <v>4.9464148393856954E-4</v>
      </c>
      <c r="R155" s="2">
        <f t="shared" si="22"/>
        <v>4.9464148393856954E-4</v>
      </c>
      <c r="S155" s="2">
        <f t="shared" si="22"/>
        <v>4.9464148393856954E-4</v>
      </c>
      <c r="T155" s="2">
        <f t="shared" si="22"/>
        <v>4.9464148393856954E-4</v>
      </c>
      <c r="U155" s="2">
        <f t="shared" si="22"/>
        <v>4.9464148393856954E-4</v>
      </c>
      <c r="V155" s="2">
        <f t="shared" si="22"/>
        <v>4.9464148393856954E-4</v>
      </c>
      <c r="W155" s="2">
        <f t="shared" si="23"/>
        <v>4.9464148393856954E-4</v>
      </c>
      <c r="X155" s="2">
        <f t="shared" si="23"/>
        <v>4.9464148393856954E-4</v>
      </c>
      <c r="Y155" s="2">
        <f>7.01173245924998*(1/14151.6638359215)</f>
        <v>4.9547053551766366E-4</v>
      </c>
      <c r="Z155" s="2">
        <f>7.04831239803068*(1/14151.6638359215)</f>
        <v>4.9805538626064474E-4</v>
      </c>
      <c r="AA155" s="2">
        <f>7.10051295931774*(1/14151.6638359215)</f>
        <v>5.0174403813171018E-4</v>
      </c>
      <c r="AB155" s="2">
        <f>7.15884313196806*(1/14151.6638359215)</f>
        <v>5.0586582715430261E-4</v>
      </c>
      <c r="AC155" s="2">
        <f>7.21381190483852*(1/14151.6638359215)</f>
        <v>5.0975008935186359E-4</v>
      </c>
      <c r="AD155" s="2">
        <f>7.25592826678604*(1/14151.6638359215)</f>
        <v>5.1272616074783716E-4</v>
      </c>
      <c r="AE155" s="2">
        <f>7.27570120666749*(1/14151.6638359215)</f>
        <v>5.1412337736566401E-4</v>
      </c>
      <c r="AF155" s="2">
        <f>7.2636397133398*(1/14151.6638359215)</f>
        <v>5.1327107522878928E-4</v>
      </c>
      <c r="AG155" s="2">
        <f>7.21025277565985*(1/14151.6638359215)</f>
        <v>5.0949859036065396E-4</v>
      </c>
      <c r="AH155" s="2">
        <f>7.10604938248454*(1/14151.6638359215)</f>
        <v>5.0213525878470126E-4</v>
      </c>
      <c r="AI155" s="2">
        <f>6.94526443164562*(1/14151.6638359215)</f>
        <v>4.9077370068785074E-4</v>
      </c>
      <c r="AJ155" s="2">
        <f>6.77215809346947*(1/14151.6638359215)</f>
        <v>4.7854147554576176E-4</v>
      </c>
      <c r="AK155" s="2">
        <f>6.59271829325718*(1/14151.6638359215)</f>
        <v>4.6586170853795501E-4</v>
      </c>
      <c r="AL155" s="2">
        <f>6.39468111869316*(1/14151.6638359215)</f>
        <v>4.5186779398061948E-4</v>
      </c>
      <c r="AM155" s="2">
        <f>6.16578265746189*(1/14151.6638359215)</f>
        <v>4.3569312618994946E-4</v>
      </c>
      <c r="AN155" s="2">
        <f>5.8937589972478*(1/14151.6638359215)</f>
        <v>4.1647109948213533E-4</v>
      </c>
      <c r="AO155" s="2">
        <f>5.56634622573534*(1/14151.6638359215)</f>
        <v>3.9333510817336922E-4</v>
      </c>
      <c r="AP155" s="2">
        <f>5.17128043060888*(1/14151.6638359215)</f>
        <v>3.6541854657983738E-4</v>
      </c>
      <c r="AQ155" s="2">
        <f>4.69629769955302*(1/14151.6638359215)</f>
        <v>3.3185480901774236E-4</v>
      </c>
      <c r="AR155" s="2">
        <f>4.12913412025213*(1/14151.6638359215)</f>
        <v>2.9177728980327047E-4</v>
      </c>
      <c r="AS155" s="2">
        <f>3.45752578039066*(1/14151.6638359215)</f>
        <v>2.4431938325261384E-4</v>
      </c>
      <c r="AT155" s="2">
        <f>2.59458262802284*(1/14151.6638359215)</f>
        <v>1.8334117161806444E-4</v>
      </c>
      <c r="AU155" s="2">
        <f>1.40050375900042*(1/14151.6638359215)</f>
        <v>9.8963893944787492E-5</v>
      </c>
      <c r="AV155" s="2">
        <f>-0.0388617617387214*(1/14151.6638359215)</f>
        <v>-2.7460913564154682E-6</v>
      </c>
      <c r="AW155" s="2">
        <f>-1.62825302574891*(1/14151.6638359215)</f>
        <v>-1.150573561262724E-4</v>
      </c>
      <c r="AX155" s="2">
        <f>-3.27240912458424*(1/14151.6638359215)</f>
        <v>-2.3123847220549482E-4</v>
      </c>
      <c r="AY155" s="2">
        <f>-4.87606914979883*(1/14151.6638359215)</f>
        <v>-3.4455801143479611E-4</v>
      </c>
      <c r="AZ155" s="2">
        <f>-6.34397219294677*(1/14151.6638359215)</f>
        <v>-4.4828454565488734E-4</v>
      </c>
      <c r="BA155" s="2">
        <f>-7.58085734558237*(1/14151.6638359215)</f>
        <v>-5.3568664670649549E-4</v>
      </c>
      <c r="BB155" s="2">
        <f>-8.49146369925929*(1/14151.6638359215)</f>
        <v>-6.0003288643030147E-4</v>
      </c>
      <c r="BC155" s="2">
        <f>-8.98053034553185*(1/14151.6638359215)</f>
        <v>-6.3459183666703274E-4</v>
      </c>
      <c r="BD155" s="2">
        <f>-8.97389791464141*(1/14151.6638359215)</f>
        <v>-6.3412316874449461E-4</v>
      </c>
      <c r="BE155" s="2">
        <f>-9.12341255007529*(1/14151.6638359215)</f>
        <v>-6.4468833176471577E-4</v>
      </c>
      <c r="BF155" s="2">
        <f>-9.59375286415246*(1/14151.6638359215)</f>
        <v>-6.7792402189489637E-4</v>
      </c>
      <c r="BG155" s="2">
        <f>-10.1365068565362*(1/14151.6638359215)</f>
        <v>-7.1627668478150739E-4</v>
      </c>
      <c r="BH155" s="2">
        <f>-10.5032625268895*(1/14151.6638359215)</f>
        <v>-7.4219276607099887E-4</v>
      </c>
      <c r="BI155" s="2">
        <f>-10.4456078748756*(1/14151.6638359215)</f>
        <v>-7.3811871140983931E-4</v>
      </c>
      <c r="BJ155" s="2">
        <f>-9.71513090015778*(1/14151.6638359215)</f>
        <v>-6.8650096644449934E-4</v>
      </c>
      <c r="BK155" s="2">
        <f>-8.06341960239925*(1/14151.6638359215)</f>
        <v>-5.6978597682144508E-4</v>
      </c>
      <c r="BL155" s="2">
        <f>-5.24206198126324*(1/14151.6638359215)</f>
        <v>-3.7042018818714387E-4</v>
      </c>
      <c r="BM155" s="2">
        <f>-1.00264603641196*(1/14151.6638359215)</f>
        <v>-7.0850046187990987E-5</v>
      </c>
      <c r="BN155" s="2">
        <f>4.90324023248985*(1/14151.6638359215)</f>
        <v>3.4647800352943943E-4</v>
      </c>
      <c r="BO155" s="2">
        <f>12.9112588441843*(1/14151.6638359215)</f>
        <v>9.1234917631461462E-4</v>
      </c>
      <c r="BP155" s="2">
        <f>23.6140985924033*(1/14151.6638359215)</f>
        <v>1.6686446813740077E-3</v>
      </c>
      <c r="BQ155" s="2">
        <f>36.529245812941*(1/14151.6638359215)</f>
        <v>2.5812686222957022E-3</v>
      </c>
      <c r="BR155" s="2">
        <f>51.0876167788602*(1/14151.6638359215)</f>
        <v>3.6100077963400535E-3</v>
      </c>
      <c r="BS155" s="2">
        <f>66.7201277632156*(1/14151.6638359215)</f>
        <v>4.7146490007668454E-3</v>
      </c>
      <c r="BT155" s="2">
        <f>82.8576950390698*(1/14151.6638359215)</f>
        <v>5.8549790328364191E-3</v>
      </c>
      <c r="BU155" s="2">
        <f>98.9312348794833*(1/14151.6638359215)</f>
        <v>6.9907846898089702E-3</v>
      </c>
      <c r="BV155" s="2">
        <f>114.371663557516*(1/14151.6638359215)</f>
        <v>8.081852768944648E-3</v>
      </c>
      <c r="BW155" s="2">
        <f>128.609897346228*(1/14151.6638359215)</f>
        <v>9.0879700675036163E-3</v>
      </c>
      <c r="BX155" s="2">
        <f>141.07685251868*(1/14151.6638359215)</f>
        <v>9.9689233827460859E-3</v>
      </c>
      <c r="BY155" s="2">
        <f>151.207564150063*(1/14151.6638359215)</f>
        <v>1.0684790559131945E-2</v>
      </c>
      <c r="BZ155" s="2">
        <f>159.712982876358*(1/14151.6638359215)</f>
        <v>1.1285809550602439E-2</v>
      </c>
      <c r="CA155" s="2">
        <f>167.413719692746*(1/14151.6638359215)</f>
        <v>1.182996724864223E-2</v>
      </c>
      <c r="CB155" s="2">
        <f>174.283111220775*(1/14151.6638359215)</f>
        <v>1.2315379537096416E-2</v>
      </c>
      <c r="CC155" s="2">
        <f>180.294494081989*(1/14151.6638359215)</f>
        <v>1.2740162299809812E-2</v>
      </c>
      <c r="CD155" s="2">
        <f>185.421204897936*(1/14151.6638359215)</f>
        <v>1.3102431420627518E-2</v>
      </c>
      <c r="CE155" s="2">
        <f>189.636580290159*(1/14151.6638359215)</f>
        <v>1.3400302783394278E-2</v>
      </c>
      <c r="CF155" s="2">
        <f>192.913956880206*(1/14151.6638359215)</f>
        <v>1.3631892271955187E-2</v>
      </c>
      <c r="CG155" s="2">
        <f>195.226671289623*(1/14151.6638359215)</f>
        <v>1.3795315770155208E-2</v>
      </c>
      <c r="CH155" s="2">
        <f>196.548060139954*(1/14151.6638359215)</f>
        <v>1.3888689161839151E-2</v>
      </c>
      <c r="CI155" s="2">
        <f>196.851460052747*(1/14151.6638359215)</f>
        <v>1.3910128330852117E-2</v>
      </c>
      <c r="CJ155" s="2">
        <f>196.016929225362*(1/14151.6638359215)</f>
        <v>1.3851157821302088E-2</v>
      </c>
      <c r="CK155" s="2">
        <f>193.56255408394*(1/14151.6638359215)</f>
        <v>1.3677724141002816E-2</v>
      </c>
      <c r="CL155" s="2">
        <f>189.635244830629*(1/14151.6638359215)</f>
        <v>1.3400208415725184E-2</v>
      </c>
      <c r="CM155" s="2">
        <f>184.48679235284*(1/14151.6638359215)</f>
        <v>1.3036402962353647E-2</v>
      </c>
      <c r="CN155" s="2">
        <f>178.368987537984*(1/14151.6638359215)</f>
        <v>1.260410009777266E-2</v>
      </c>
      <c r="CO155" s="2">
        <f>171.533621273472*(1/14151.6638359215)</f>
        <v>1.2121092138866682E-2</v>
      </c>
      <c r="CP155" s="2">
        <f>164.232484446712*(1/14151.6638359215)</f>
        <v>1.1605171402519952E-2</v>
      </c>
      <c r="CQ155" s="2">
        <f>156.717367945119*(1/14151.6638359215)</f>
        <v>1.107413020561721E-2</v>
      </c>
      <c r="CR155" s="2">
        <f>149.240062656102*(1/14151.6638359215)</f>
        <v>1.054576086504277E-2</v>
      </c>
      <c r="CS155" s="2">
        <f>142.052359467072*(1/14151.6638359215)</f>
        <v>1.0037855697681087E-2</v>
      </c>
      <c r="CT155" s="2">
        <f>135.406049265439*(1/14151.6638359215)</f>
        <v>9.5682070204165439E-3</v>
      </c>
      <c r="CU155" s="2">
        <f>129.077351614448*(1/14151.6638359215)</f>
        <v>9.1210018207758675E-3</v>
      </c>
      <c r="CV155" s="2">
        <f>122.578834286414*(1/14151.6638359215)</f>
        <v>8.6617966415559744E-3</v>
      </c>
      <c r="CW155" s="2">
        <f>115.944988409721*(1/14151.6638359215)</f>
        <v>8.1930287317463785E-3</v>
      </c>
      <c r="CX155" s="2">
        <f>109.212278576687*(1/14151.6638359215)</f>
        <v>7.7172747913549864E-3</v>
      </c>
      <c r="CY155" s="2">
        <f>102.417169379632*(1/14151.6638359215)</f>
        <v>7.2371115203898571E-3</v>
      </c>
      <c r="CZ155" s="2">
        <f>95.5961254108767*(1/14151.6638359215)</f>
        <v>6.7551156188590923E-3</v>
      </c>
      <c r="DA155" s="2">
        <f>88.78561126274*(1/14151.6638359215)</f>
        <v>6.2738637867706696E-3</v>
      </c>
      <c r="DB155" s="2">
        <f>82.0220915275448*(1/14151.6638359215)</f>
        <v>5.7959327241328476E-3</v>
      </c>
      <c r="DC155" s="2">
        <f>75.3420307976099*(1/14151.6638359215)</f>
        <v>5.3238991309535952E-3</v>
      </c>
      <c r="DD155" s="2">
        <f>68.7818936652556*(1/14151.6638359215)</f>
        <v>4.8603397072409888E-3</v>
      </c>
      <c r="DE155" s="2">
        <f>62.3347374994305*(1/14151.6638359215)</f>
        <v>4.404763865377072E-3</v>
      </c>
      <c r="DF155" s="2">
        <f>55.6171208849081*(1/14151.6638359215)</f>
        <v>3.9300764581288216E-3</v>
      </c>
      <c r="DG155" s="2">
        <f>48.6442017095278*(1/14151.6638359215)</f>
        <v>3.4373485883725618E-3</v>
      </c>
      <c r="DH155" s="2">
        <f>41.5586263587631*(1/14151.6638359215)</f>
        <v>2.936660087506733E-3</v>
      </c>
      <c r="DI155" s="2">
        <f>34.5030412180914*(1/14151.6638359215)</f>
        <v>2.4380907869300515E-3</v>
      </c>
      <c r="DJ155" s="2">
        <f>27.6200926729864*(1/14151.6638359215)</f>
        <v>1.951720518040972E-3</v>
      </c>
      <c r="DK155" s="2">
        <f>21.0524271089226*(1/14151.6638359215)</f>
        <v>1.4876291122380063E-3</v>
      </c>
      <c r="DL155" s="2">
        <f>14.942690911375*(1/14151.6638359215)</f>
        <v>1.0558964009197008E-3</v>
      </c>
      <c r="DM155" s="2">
        <f>9.43353046581738*(1/14151.6638359215)</f>
        <v>6.6660221548451638E-4</v>
      </c>
      <c r="DN155" s="2">
        <f>4.6675921577266*(1/14151.6638359215)</f>
        <v>3.2982638733113073E-4</v>
      </c>
      <c r="DO155" s="2">
        <f>0.787522372576385*(1/14151.6638359215)</f>
        <v>5.5648747858000875E-5</v>
      </c>
      <c r="DP155" s="2">
        <f>-2.10742538316331*(1/14151.6638359215)</f>
        <v>-1.489171455453869E-4</v>
      </c>
      <c r="DQ155" s="2">
        <f>-4.10743833506812*(1/14151.6638359215)</f>
        <v>-2.9024419903489463E-4</v>
      </c>
      <c r="DR155" s="2">
        <f>-5.33922421614258*(1/14151.6638359215)</f>
        <v>-3.7728596990764453E-4</v>
      </c>
      <c r="DS155" s="2">
        <f>-5.92875382482436*(1/14151.6638359215)</f>
        <v>-4.1894394140251309E-4</v>
      </c>
      <c r="DT155" s="2">
        <f>-6.00199795955107*(1/14151.6638359215)</f>
        <v>-4.2411959675837252E-4</v>
      </c>
      <c r="DU155" s="2">
        <f>-5.68492741876033*(1/14151.6638359215)</f>
        <v>-4.017144192140959E-4</v>
      </c>
      <c r="DV155" s="2">
        <f>-5.10351300088984*(1/14151.6638359215)</f>
        <v>-3.606298920085618E-4</v>
      </c>
      <c r="DW155" s="2">
        <f>-4.38372550437723*(1/14151.6638359215)</f>
        <v>-3.097674983806439E-4</v>
      </c>
      <c r="DX155" s="2">
        <f>-3.65153572766014*(1/14151.6638359215)</f>
        <v>-2.5802872156921659E-4</v>
      </c>
      <c r="DY155" s="2">
        <f>-3.03291446917611*(1/14151.6638359215)</f>
        <v>-2.1431504481314714E-4</v>
      </c>
      <c r="DZ155" s="2">
        <f>-2.63385965302251*(1/14151.6638359215)</f>
        <v>-1.8611660675099719E-4</v>
      </c>
      <c r="EA155" s="2">
        <f>-2.12215760021888*(1/14151.6638359215)</f>
        <v>-1.4995816921768292E-4</v>
      </c>
      <c r="EB155" s="2">
        <f>-1.37866451823261*(1/14151.6638359215)</f>
        <v>-9.7420666164575907E-5</v>
      </c>
      <c r="EC155" s="2">
        <f>-0.457231236501872*(1/14151.6638359215)</f>
        <v>-3.2309362475193285E-5</v>
      </c>
      <c r="ED155" s="2">
        <f>0.588291415535195*(1/14151.6638359215)</f>
        <v>4.1570476966950077E-5</v>
      </c>
      <c r="EE155" s="2">
        <f>1.70405260844065*(1/14151.6638359215)</f>
        <v>1.2041358727835334E-4</v>
      </c>
      <c r="EF155" s="2">
        <f>2.83620151277591*(1/14151.6638359215)</f>
        <v>2.0041470357547029E-4</v>
      </c>
      <c r="EG155" s="2">
        <f>3.93088729910302*(1/14151.6638359215)</f>
        <v>2.7776856097479907E-4</v>
      </c>
      <c r="EH155" s="2">
        <f>4.93425913798384*(1/14151.6638359215)</f>
        <v>3.486698945928248E-4</v>
      </c>
      <c r="EI155" s="2">
        <f>5.79246619998021*(1/14151.6638359215)</f>
        <v>4.0931343954603115E-4</v>
      </c>
      <c r="EJ155" s="2">
        <f>6.45165765565408*(1/14151.6638359215)</f>
        <v>4.5589393095090959E-4</v>
      </c>
      <c r="EK155" s="2">
        <f>6.88878592573868*(1/14151.6638359215)</f>
        <v>4.8678275612035904E-4</v>
      </c>
      <c r="EL155" s="2">
        <f>7.17905535196837*(1/14151.6638359215)</f>
        <v>5.072940846535378E-4</v>
      </c>
      <c r="EM155" s="2">
        <f>7.34935150374843*(1/14151.6638359215)</f>
        <v>5.1932773340004012E-4</v>
      </c>
      <c r="EN155" s="2">
        <f>7.42142615369866*(1/14151.6638359215)</f>
        <v>5.2442074937228801E-4</v>
      </c>
      <c r="EO155" s="2">
        <f>7.41703107443884*(1/14151.6638359215)</f>
        <v>5.2411017958270151E-4</v>
      </c>
      <c r="EP155" s="2">
        <f>7.35791803858877*(1/14151.6638359215)</f>
        <v>5.1993307104370259E-4</v>
      </c>
      <c r="EQ155" s="2">
        <f>7.26583881876822*(1/14151.6638359215)</f>
        <v>5.1342647076771082E-4</v>
      </c>
      <c r="ER155" s="2">
        <f>7.16254518759702*(1/14151.6638359215)</f>
        <v>5.0612742576715004E-4</v>
      </c>
      <c r="ES155" s="2">
        <f>7.06978891769495*(1/14151.6638359215)</f>
        <v>4.9957298305444058E-4</v>
      </c>
      <c r="ET155" s="2">
        <f>7.0093217816818*(1/14151.6638359215)</f>
        <v>4.9530018964200344E-4</v>
      </c>
      <c r="EU155" s="2">
        <f>7.00226305372227*(1/14151.6638359215)</f>
        <v>4.9480139826020043E-4</v>
      </c>
      <c r="EV155" s="2">
        <f>7.01665169031853*(1/14151.6638359215)</f>
        <v>4.9581814348274714E-4</v>
      </c>
      <c r="EW155" s="2">
        <f>7.02514075870423*(1/14151.6638359215)</f>
        <v>4.9641800710896976E-4</v>
      </c>
      <c r="EX155" s="2">
        <f>7.02872736899949*(1/14151.6638359215)</f>
        <v>4.9667144800022076E-4</v>
      </c>
      <c r="EY155" s="2">
        <f>7.02840863132438*(1/14151.6638359215)</f>
        <v>4.9664892501784881E-4</v>
      </c>
      <c r="EZ155" s="2">
        <f>7.025181655799*(1/14151.6638359215)</f>
        <v>4.9642089702320487E-4</v>
      </c>
      <c r="FA155" s="2">
        <f>7.02004355254345*(1/14151.6638359215)</f>
        <v>4.9605782287763999E-4</v>
      </c>
      <c r="FB155" s="2">
        <f>7.01399143167781*(1/14151.6638359215)</f>
        <v>4.9563016144250341E-4</v>
      </c>
      <c r="FC155" s="2">
        <f>7.00802240332218*(1/14151.6638359215)</f>
        <v>4.9520837157914616E-4</v>
      </c>
      <c r="FD155" s="2">
        <f>7.00313357759665*(1/14151.6638359215)</f>
        <v>4.9486291214891856E-4</v>
      </c>
      <c r="FE155" s="2">
        <f>7.00032206462131*(1/14151.6638359215)</f>
        <v>4.9466424201317081E-4</v>
      </c>
      <c r="FF155" s="2">
        <f t="shared" si="24"/>
        <v>4.9464148393856954E-4</v>
      </c>
      <c r="FG155" s="2">
        <f t="shared" si="24"/>
        <v>4.9464148393856954E-4</v>
      </c>
      <c r="FH155" s="2">
        <f t="shared" si="24"/>
        <v>4.9464148393856954E-4</v>
      </c>
      <c r="FI155" s="2">
        <f t="shared" si="24"/>
        <v>4.9464148393856954E-4</v>
      </c>
      <c r="FJ155" s="2">
        <f t="shared" si="24"/>
        <v>4.9464148393856954E-4</v>
      </c>
      <c r="FK155" s="2">
        <f t="shared" si="24"/>
        <v>4.9464148393856954E-4</v>
      </c>
      <c r="FL155" s="2">
        <f t="shared" si="24"/>
        <v>4.9464148393856954E-4</v>
      </c>
      <c r="FM155" s="2">
        <f t="shared" si="24"/>
        <v>4.9464148393856954E-4</v>
      </c>
      <c r="FN155" s="2">
        <f t="shared" si="24"/>
        <v>4.9464148393856954E-4</v>
      </c>
      <c r="FO155" s="2">
        <f t="shared" si="24"/>
        <v>4.9464148393856954E-4</v>
      </c>
      <c r="FP155" s="2">
        <f t="shared" si="24"/>
        <v>4.9464148393856954E-4</v>
      </c>
      <c r="FQ155" s="2"/>
    </row>
    <row r="156" spans="2:173">
      <c r="B156" s="2">
        <v>10.748520710059172</v>
      </c>
      <c r="C156" s="2">
        <f t="shared" si="21"/>
        <v>4.9464148393856954E-4</v>
      </c>
      <c r="D156" s="2">
        <f t="shared" si="21"/>
        <v>4.9464148393856954E-4</v>
      </c>
      <c r="E156" s="2">
        <f t="shared" si="21"/>
        <v>4.9464148393856954E-4</v>
      </c>
      <c r="F156" s="2">
        <f t="shared" si="21"/>
        <v>4.9464148393856954E-4</v>
      </c>
      <c r="G156" s="2">
        <f t="shared" si="21"/>
        <v>4.9464148393856954E-4</v>
      </c>
      <c r="H156" s="2">
        <f t="shared" si="21"/>
        <v>4.9464148393856954E-4</v>
      </c>
      <c r="I156" s="2">
        <f t="shared" si="21"/>
        <v>4.9464148393856954E-4</v>
      </c>
      <c r="J156" s="2">
        <f t="shared" si="22"/>
        <v>4.9464148393856954E-4</v>
      </c>
      <c r="K156" s="2">
        <f t="shared" si="22"/>
        <v>4.9464148393856954E-4</v>
      </c>
      <c r="L156" s="2">
        <f t="shared" si="22"/>
        <v>4.9464148393856954E-4</v>
      </c>
      <c r="M156" s="2">
        <f t="shared" si="22"/>
        <v>4.9464148393856954E-4</v>
      </c>
      <c r="N156" s="2">
        <f t="shared" si="22"/>
        <v>4.9464148393856954E-4</v>
      </c>
      <c r="O156" s="2">
        <f t="shared" si="22"/>
        <v>4.9464148393856954E-4</v>
      </c>
      <c r="P156" s="2">
        <f t="shared" si="22"/>
        <v>4.9464148393856954E-4</v>
      </c>
      <c r="Q156" s="2">
        <f t="shared" si="22"/>
        <v>4.9464148393856954E-4</v>
      </c>
      <c r="R156" s="2">
        <f t="shared" si="22"/>
        <v>4.9464148393856954E-4</v>
      </c>
      <c r="S156" s="2">
        <f t="shared" si="22"/>
        <v>4.9464148393856954E-4</v>
      </c>
      <c r="T156" s="2">
        <f t="shared" si="22"/>
        <v>4.9464148393856954E-4</v>
      </c>
      <c r="U156" s="2">
        <f t="shared" si="22"/>
        <v>4.9464148393856954E-4</v>
      </c>
      <c r="V156" s="2">
        <f t="shared" si="22"/>
        <v>4.9464148393856954E-4</v>
      </c>
      <c r="W156" s="2">
        <f t="shared" si="23"/>
        <v>4.9464148393856954E-4</v>
      </c>
      <c r="X156" s="2">
        <f t="shared" si="23"/>
        <v>4.9464148393856954E-4</v>
      </c>
      <c r="Y156" s="2">
        <f>7.01039975305869*(1/14151.6638359215)</f>
        <v>4.9537636240793315E-4</v>
      </c>
      <c r="Z156" s="2">
        <f>7.04282452625548*(1/14151.6638359215)</f>
        <v>4.9766759639799482E-4</v>
      </c>
      <c r="AA156" s="2">
        <f>7.08909555395252*(1/14151.6638359215)</f>
        <v>5.0093724922705579E-4</v>
      </c>
      <c r="AB156" s="2">
        <f>7.14079992202308*(1/14151.6638359215)</f>
        <v>5.0459083856255974E-4</v>
      </c>
      <c r="AC156" s="2">
        <f>7.18952471634042*(1/14151.6638359215)</f>
        <v>5.0803388207194984E-4</v>
      </c>
      <c r="AD156" s="2">
        <f>7.22685702277782*(1/14151.6638359215)</f>
        <v>5.1067189742267055E-4</v>
      </c>
      <c r="AE156" s="2">
        <f>7.24438392720851*(1/14151.6638359215)</f>
        <v>5.1191040228216285E-4</v>
      </c>
      <c r="AF156" s="2">
        <f>7.23369251550578*(1/14151.6638359215)</f>
        <v>5.1115491431787184E-4</v>
      </c>
      <c r="AG156" s="2">
        <f>7.18636987354289*(1/14151.6638359215)</f>
        <v>5.078109511972408E-4</v>
      </c>
      <c r="AH156" s="2">
        <f>7.09400308719311*(1/14151.6638359215)</f>
        <v>5.0128403058771341E-4</v>
      </c>
      <c r="AI156" s="2">
        <f>6.951931407792*(1/14151.6638359215)</f>
        <v>4.9124480968419767E-4</v>
      </c>
      <c r="AJ156" s="2">
        <f>6.80519437347536*(1/14151.6638359215)</f>
        <v>4.8087592048375087E-4</v>
      </c>
      <c r="AK156" s="2">
        <f>6.65879320424197*(1/14151.6638359215)</f>
        <v>4.7053076454090149E-4</v>
      </c>
      <c r="AL156" s="2">
        <f>6.49916276790867*(1/14151.6638359215)</f>
        <v>4.5925078798237794E-4</v>
      </c>
      <c r="AM156" s="2">
        <f>6.31273793229231*(1/14151.6638359215)</f>
        <v>4.4607743693490939E-4</v>
      </c>
      <c r="AN156" s="2">
        <f>6.08595356520975*(1/14151.6638359215)</f>
        <v>4.3005215752522555E-4</v>
      </c>
      <c r="AO156" s="2">
        <f>5.80524453447782*(1/14151.6638359215)</f>
        <v>4.1021639588005419E-4</v>
      </c>
      <c r="AP156" s="2">
        <f>5.45704570791331*(1/14151.6638359215)</f>
        <v>3.856115981261202E-4</v>
      </c>
      <c r="AQ156" s="2">
        <f>5.02779195333319*(1/14151.6638359215)</f>
        <v>3.552792103901612E-4</v>
      </c>
      <c r="AR156" s="2">
        <f>4.50391813855426*(1/14151.6638359215)</f>
        <v>3.1826067879890273E-4</v>
      </c>
      <c r="AS156" s="2">
        <f>3.87185913139335*(1/14151.6638359215)</f>
        <v>2.7359744947907255E-4</v>
      </c>
      <c r="AT156" s="2">
        <f>3.06045021288174*(1/14151.6638359215)</f>
        <v>2.1626080497427644E-4</v>
      </c>
      <c r="AU156" s="2">
        <f>1.96219243233577*(1/14151.6638359215)</f>
        <v>1.3865453950051378E-4</v>
      </c>
      <c r="AV156" s="2">
        <f>0.647981750116147*(1/14151.6638359215)</f>
        <v>4.578837920608033E-5</v>
      </c>
      <c r="AW156" s="2">
        <f>-0.803929487259985*(1/14151.6638359215)</f>
        <v>-5.6808124937178904E-5</v>
      </c>
      <c r="AX156" s="2">
        <f>-2.31528893327527*(1/14151.6638359215)</f>
        <v>-1.636054219574039E-4</v>
      </c>
      <c r="AY156" s="2">
        <f>-3.80784424141237*(1/14151.6638359215)</f>
        <v>-2.6907396088273589E-4</v>
      </c>
      <c r="AZ156" s="2">
        <f>-5.20334306515394*(1/14151.6638359215)</f>
        <v>-3.6768419074131571E-4</v>
      </c>
      <c r="BA156" s="2">
        <f>-6.42353305798283*(1/14151.6638359215)</f>
        <v>-4.5390656056129781E-4</v>
      </c>
      <c r="BB156" s="2">
        <f>-7.39016187338125*(1/14151.6638359215)</f>
        <v>-5.2221151937079156E-4</v>
      </c>
      <c r="BC156" s="2">
        <f>-8.02497716483209*(1/14151.6638359215)</f>
        <v>-5.6706951619795419E-4</v>
      </c>
      <c r="BD156" s="2">
        <f>-8.26794744571131*(1/14151.6638359215)</f>
        <v>-5.8423854195324969E-4</v>
      </c>
      <c r="BE156" s="2">
        <f>-8.68401991648225*(1/14151.6638359215)</f>
        <v>-6.1363949972012468E-4</v>
      </c>
      <c r="BF156" s="2">
        <f>-9.41214035293116*(1/14151.6638359215)</f>
        <v>-6.6509072445885154E-4</v>
      </c>
      <c r="BG156" s="2">
        <f>-10.2336600132046*(1/14151.6638359215)</f>
        <v>-7.2314182500776074E-4</v>
      </c>
      <c r="BH156" s="2">
        <f>-10.9299301554486*(1/14151.6638359215)</f>
        <v>-7.7234241020514511E-4</v>
      </c>
      <c r="BI156" s="2">
        <f>-11.2823020378098*(1/14151.6638359215)</f>
        <v>-7.9724208888934096E-4</v>
      </c>
      <c r="BJ156" s="2">
        <f>-11.0721269184345*(1/14151.6638359215)</f>
        <v>-7.8239046989866034E-4</v>
      </c>
      <c r="BK156" s="2">
        <f>-10.0807560554691*(1/14151.6638359215)</f>
        <v>-7.1233716207142242E-4</v>
      </c>
      <c r="BL156" s="2">
        <f>-8.08954070706018*(1/14151.6638359215)</f>
        <v>-5.7163177424595897E-4</v>
      </c>
      <c r="BM156" s="2">
        <f>-4.87983213135326*(1/14151.6638359215)</f>
        <v>-3.4482391526052705E-4</v>
      </c>
      <c r="BN156" s="2">
        <f>-0.232981586495921*(1/14151.6638359215)</f>
        <v>-1.6463193953529223E-5</v>
      </c>
      <c r="BO156" s="2">
        <f>6.217712223543*(1/14151.6638359215)</f>
        <v>4.3936262870804174E-4</v>
      </c>
      <c r="BP156" s="2">
        <f>14.9423020379958*(1/14151.6638359215)</f>
        <v>1.055868921933222E-3</v>
      </c>
      <c r="BQ156" s="2">
        <f>25.5353532556592*(1/14151.6638359215)</f>
        <v>1.8044064324678356E-3</v>
      </c>
      <c r="BR156" s="2">
        <f>37.5218751815267*(1/14151.6638359215)</f>
        <v>2.6514108599925931E-3</v>
      </c>
      <c r="BS156" s="2">
        <f>50.4268771205853*(1/14151.6638359215)</f>
        <v>3.5633179041877449E-3</v>
      </c>
      <c r="BT156" s="2">
        <f>63.7753683778285*(1/14151.6638359215)</f>
        <v>4.506563264734002E-3</v>
      </c>
      <c r="BU156" s="2">
        <f>77.0923582582477*(1/14151.6638359215)</f>
        <v>5.4475826413119257E-3</v>
      </c>
      <c r="BV156" s="2">
        <f>89.9028560668344*(1/14151.6638359215)</f>
        <v>6.3528117336020861E-3</v>
      </c>
      <c r="BW156" s="2">
        <f>101.73187110858*(1/14151.6638359215)</f>
        <v>7.1886862412850428E-3</v>
      </c>
      <c r="BX156" s="2">
        <f>112.104412688475*(1/14151.6638359215)</f>
        <v>7.9216418640412969E-3</v>
      </c>
      <c r="BY156" s="2">
        <f>120.549001051415*(1/14151.6638359215)</f>
        <v>8.5183623953405847E-3</v>
      </c>
      <c r="BZ156" s="2">
        <f>127.677943789666*(1/14151.6638359215)</f>
        <v>9.0221153689065223E-3</v>
      </c>
      <c r="CA156" s="2">
        <f>134.183496054129*(1/14151.6638359215)</f>
        <v>9.481817658325651E-3</v>
      </c>
      <c r="CB156" s="2">
        <f>140.032702839665*(1/14151.6638359215)</f>
        <v>9.8951405617915197E-3</v>
      </c>
      <c r="CC156" s="2">
        <f>145.192609141137*(1/14151.6638359215)</f>
        <v>1.0259755377497818E-2</v>
      </c>
      <c r="CD156" s="2">
        <f>149.630259953406*(1/14151.6638359215)</f>
        <v>1.0573333403638096E-2</v>
      </c>
      <c r="CE156" s="2">
        <f>153.312700271334*(1/14151.6638359215)</f>
        <v>1.0833545938405969E-2</v>
      </c>
      <c r="CF156" s="2">
        <f>156.206975089784*(1/14151.6638359215)</f>
        <v>1.1038064279995133E-2</v>
      </c>
      <c r="CG156" s="2">
        <f>158.280129403616*(1/14151.6638359215)</f>
        <v>1.1184559726599062E-2</v>
      </c>
      <c r="CH156" s="2">
        <f>159.499208207694*(1/14151.6638359215)</f>
        <v>1.1270703576411519E-2</v>
      </c>
      <c r="CI156" s="2">
        <f>159.831256496879*(1/14151.6638359215)</f>
        <v>1.1294167127626053E-2</v>
      </c>
      <c r="CJ156" s="2">
        <f>159.167361422443*(1/14151.6638359215)</f>
        <v>1.1247254264083406E-2</v>
      </c>
      <c r="CK156" s="2">
        <f>157.112702758568*(1/14151.6638359215)</f>
        <v>1.1102065776871065E-2</v>
      </c>
      <c r="CL156" s="2">
        <f>153.798287916497*(1/14151.6638359215)</f>
        <v>1.0867859051746778E-2</v>
      </c>
      <c r="CM156" s="2">
        <f>149.441513466714*(1/14151.6638359215)</f>
        <v>1.0559995997600163E-2</v>
      </c>
      <c r="CN156" s="2">
        <f>144.259775979703*(1/14151.6638359215)</f>
        <v>1.0193838523320843E-2</v>
      </c>
      <c r="CO156" s="2">
        <f>138.470472025948*(1/14151.6638359215)</f>
        <v>9.7847485377984423E-3</v>
      </c>
      <c r="CP156" s="2">
        <f>132.290998175931*(1/14151.6638359215)</f>
        <v>9.3480879499224442E-3</v>
      </c>
      <c r="CQ156" s="2">
        <f>125.938751000138*(1/14151.6638359215)</f>
        <v>8.8992186685826098E-3</v>
      </c>
      <c r="CR156" s="2">
        <f>119.631127069053*(1/14151.6638359215)</f>
        <v>8.4535026026685643E-3</v>
      </c>
      <c r="CS156" s="2">
        <f>113.585522953158*(1/14151.6638359215)</f>
        <v>8.0263016610697905E-3</v>
      </c>
      <c r="CT156" s="2">
        <f>108.019335222938*(1/14151.6638359215)</f>
        <v>7.632977752675978E-3</v>
      </c>
      <c r="CU156" s="2">
        <f>102.735325645774*(1/14151.6638359215)</f>
        <v>7.2595934186196901E-3</v>
      </c>
      <c r="CV156" s="2">
        <f>97.3093137371981*(1/14151.6638359215)</f>
        <v>6.8761747640016429E-3</v>
      </c>
      <c r="CW156" s="2">
        <f>91.7739148699218*(1/14151.6638359215)</f>
        <v>6.4850264911585813E-3</v>
      </c>
      <c r="CX156" s="2">
        <f>86.1634680599039*(1/14151.6638359215)</f>
        <v>6.0885751003492009E-3</v>
      </c>
      <c r="CY156" s="2">
        <f>80.5123123231048*(1/14151.6638359215)</f>
        <v>5.6892470918323054E-3</v>
      </c>
      <c r="CZ156" s="2">
        <f>74.8547866754846*(1/14151.6638359215)</f>
        <v>5.2894689658666812E-3</v>
      </c>
      <c r="DA156" s="2">
        <f>69.2252301330026*(1/14151.6638359215)</f>
        <v>4.891667222711055E-3</v>
      </c>
      <c r="DB156" s="2">
        <f>63.657981711621*(1/14151.6638359215)</f>
        <v>4.4982683626243617E-3</v>
      </c>
      <c r="DC156" s="2">
        <f>58.1873804272992*(1/14151.6638359215)</f>
        <v>4.1116988858653364E-3</v>
      </c>
      <c r="DD156" s="2">
        <f>52.8477652959973*(1/14151.6638359215)</f>
        <v>3.734385292692763E-3</v>
      </c>
      <c r="DE156" s="2">
        <f>47.6385707714456*(1/14151.6638359215)</f>
        <v>3.3662876198714883E-3</v>
      </c>
      <c r="DF156" s="2">
        <f>42.2532033362376*(1/14151.6638359215)</f>
        <v>2.9857410284849545E-3</v>
      </c>
      <c r="DG156" s="2">
        <f>36.6991425398117*(1/14151.6638359215)</f>
        <v>2.5932740464522206E-3</v>
      </c>
      <c r="DH156" s="2">
        <f>31.0857065009146*(1/14151.6638359215)</f>
        <v>2.1966114275558911E-3</v>
      </c>
      <c r="DI156" s="2">
        <f>25.5222133382965*(1/14151.6638359215)</f>
        <v>1.803477925578819E-3</v>
      </c>
      <c r="DJ156" s="2">
        <f>20.1179811707042*(1/14151.6638359215)</f>
        <v>1.4215982943036182E-3</v>
      </c>
      <c r="DK156" s="2">
        <f>14.9823281168857*(1/14151.6638359215)</f>
        <v>1.0586972875129854E-3</v>
      </c>
      <c r="DL156" s="2">
        <f>10.2245722955889*(1/14151.6638359215)</f>
        <v>7.224996589896114E-4</v>
      </c>
      <c r="DM156" s="2">
        <f>5.95403182556109*(1/14151.6638359215)</f>
        <v>4.2073016251614401E-4</v>
      </c>
      <c r="DN156" s="2">
        <f>2.28002482555169*(1/14151.6638359215)</f>
        <v>1.611135518753809E-4</v>
      </c>
      <c r="DO156" s="2">
        <f>-0.688130585692138*(1/14151.6638359215)</f>
        <v>-4.8625419150039448E-5</v>
      </c>
      <c r="DP156" s="2">
        <f>-2.86441806221796*(1/14151.6638359215)</f>
        <v>-2.0240857155941907E-4</v>
      </c>
      <c r="DQ156" s="2">
        <f>-4.30336323531451*(1/14151.6638359215)</f>
        <v>-3.0408885380609326E-4</v>
      </c>
      <c r="DR156" s="2">
        <f>-5.11076282716249*(1/14151.6638359215)</f>
        <v>-3.6114218698367616E-4</v>
      </c>
      <c r="DS156" s="2">
        <f>-5.39243319067598*(1/14151.6638359215)</f>
        <v>-3.8104587935365174E-4</v>
      </c>
      <c r="DT156" s="2">
        <f>-5.25419067876899*(1/14151.6638359215)</f>
        <v>-3.7127723917749903E-4</v>
      </c>
      <c r="DU156" s="2">
        <f>-4.80185164435564*(1/14151.6638359215)</f>
        <v>-3.3931357471670489E-4</v>
      </c>
      <c r="DV156" s="2">
        <f>-4.14123244034999*(1/14151.6638359215)</f>
        <v>-2.9263219423275182E-4</v>
      </c>
      <c r="DW156" s="2">
        <f>-3.3781494196661*(1/14151.6638359215)</f>
        <v>-2.3871040598712247E-4</v>
      </c>
      <c r="DX156" s="2">
        <f>-2.61841893521804*(1/14151.6638359215)</f>
        <v>-1.8502551824130006E-4</v>
      </c>
      <c r="DY156" s="2">
        <f>-1.96785733991974*(1/14151.6638359215)</f>
        <v>-1.3905483925675806E-4</v>
      </c>
      <c r="DZ156" s="2">
        <f>-1.51581038345621*(1/14151.6638359215)</f>
        <v>-1.0711181392032456E-4</v>
      </c>
      <c r="EA156" s="2">
        <f>-0.989221133926335*(1/14151.6638359215)</f>
        <v>-6.9901401375530977E-5</v>
      </c>
      <c r="EB156" s="2">
        <f>-0.288180867260483*(1/14151.6638359215)</f>
        <v>-2.0363744546347032E-5</v>
      </c>
      <c r="EC156" s="2">
        <f>0.54493091650441*(1/14151.6638359215)</f>
        <v>3.8506491026249439E-5</v>
      </c>
      <c r="ED156" s="2">
        <f>1.46773471733141*(1/14151.6638359215)</f>
        <v>1.0371463980128079E-4</v>
      </c>
      <c r="EE156" s="2">
        <f>2.43785103518375*(1/14151.6638359215)</f>
        <v>1.7226603623778113E-4</v>
      </c>
      <c r="EF156" s="2">
        <f>3.41290037002415*(1/14151.6638359215)</f>
        <v>2.4116601479474839E-4</v>
      </c>
      <c r="EG156" s="2">
        <f>4.35050322181582*(1/14151.6638359215)</f>
        <v>3.0741990993121498E-4</v>
      </c>
      <c r="EH156" s="2">
        <f>5.20828009052185*(1/14151.6638359215)</f>
        <v>3.68033056106205E-4</v>
      </c>
      <c r="EI156" s="2">
        <f>5.9438514761053*(1/14151.6638359215)</f>
        <v>4.2001078777874037E-4</v>
      </c>
      <c r="EJ156" s="2">
        <f>6.51483787852931*(1/14151.6638359215)</f>
        <v>4.6035843940784861E-4</v>
      </c>
      <c r="EK156" s="2">
        <f>6.90141888547619*(1/14151.6638359215)</f>
        <v>4.8767543982765875E-4</v>
      </c>
      <c r="EL156" s="2">
        <f>7.15871620813943*(1/14151.6638359215)</f>
        <v>5.058568583270254E-4</v>
      </c>
      <c r="EM156" s="2">
        <f>7.30966818569353*(1/14151.6638359215)</f>
        <v>5.1652358835285706E-4</v>
      </c>
      <c r="EN156" s="2">
        <f>7.37355577697367*(1/14151.6638359215)</f>
        <v>5.2103808163229547E-4</v>
      </c>
      <c r="EO156" s="2">
        <f>7.36965994081506*(1/14151.6638359215)</f>
        <v>5.2076278989248456E-4</v>
      </c>
      <c r="EP156" s="2">
        <f>7.31726163605291*(1/14151.6638359215)</f>
        <v>5.1706016486056808E-4</v>
      </c>
      <c r="EQ156" s="2">
        <f>7.23564182152239*(1/14151.6638359215)</f>
        <v>5.1129265826368704E-4</v>
      </c>
      <c r="ER156" s="2">
        <f>7.14408145605874*(1/14151.6638359215)</f>
        <v>5.0482272182898736E-4</v>
      </c>
      <c r="ES156" s="2">
        <f>7.06186149849715*(1/14151.6638359215)</f>
        <v>4.9901280728361155E-4</v>
      </c>
      <c r="ET156" s="2">
        <f>7.00826290767282*(1/14151.6638359215)</f>
        <v>4.952253663547025E-4</v>
      </c>
      <c r="EU156" s="2">
        <f>7.00200599033576*(1/14151.6638359215)</f>
        <v>4.9478323337234765E-4</v>
      </c>
      <c r="EV156" s="2">
        <f>7.01476020190078*(1/14151.6638359215)</f>
        <v>4.9568448510591738E-4</v>
      </c>
      <c r="EW156" s="2">
        <f>7.02228498532671*(1/14151.6638359215)</f>
        <v>4.962162093973629E-4</v>
      </c>
      <c r="EX156" s="2">
        <f>7.02546418762298*(1/14151.6638359215)</f>
        <v>4.9644086158901542E-4</v>
      </c>
      <c r="EY156" s="2">
        <f>7.025181655799*(1/14151.6638359215)</f>
        <v>4.9642089702320487E-4</v>
      </c>
      <c r="EZ156" s="2">
        <f>7.02232123686421*(1/14151.6638359215)</f>
        <v>4.9621877104226344E-4</v>
      </c>
      <c r="FA156" s="2">
        <f>7.01776677782802*(1/14151.6638359215)</f>
        <v>4.9589693898852074E-4</v>
      </c>
      <c r="FB156" s="2">
        <f>7.01240212569986*(1/14151.6638359215)</f>
        <v>4.9551785620430831E-4</v>
      </c>
      <c r="FC156" s="2">
        <f>7.00711112748915*(1/14151.6638359215)</f>
        <v>4.9514397803195661E-4</v>
      </c>
      <c r="FD156" s="2">
        <f>7.00277763020531*(1/14151.6638359215)</f>
        <v>4.9483775981379633E-4</v>
      </c>
      <c r="FE156" s="2">
        <f>7.00028548085778*(1/14151.6638359215)</f>
        <v>4.9466165689215935E-4</v>
      </c>
      <c r="FF156" s="2">
        <f t="shared" si="24"/>
        <v>4.9464148393856954E-4</v>
      </c>
      <c r="FG156" s="2">
        <f t="shared" si="24"/>
        <v>4.9464148393856954E-4</v>
      </c>
      <c r="FH156" s="2">
        <f t="shared" si="24"/>
        <v>4.9464148393856954E-4</v>
      </c>
      <c r="FI156" s="2">
        <f t="shared" si="24"/>
        <v>4.9464148393856954E-4</v>
      </c>
      <c r="FJ156" s="2">
        <f t="shared" si="24"/>
        <v>4.9464148393856954E-4</v>
      </c>
      <c r="FK156" s="2">
        <f t="shared" si="24"/>
        <v>4.9464148393856954E-4</v>
      </c>
      <c r="FL156" s="2">
        <f t="shared" si="24"/>
        <v>4.9464148393856954E-4</v>
      </c>
      <c r="FM156" s="2">
        <f t="shared" si="24"/>
        <v>4.9464148393856954E-4</v>
      </c>
      <c r="FN156" s="2">
        <f t="shared" si="24"/>
        <v>4.9464148393856954E-4</v>
      </c>
      <c r="FO156" s="2">
        <f t="shared" si="24"/>
        <v>4.9464148393856954E-4</v>
      </c>
      <c r="FP156" s="2">
        <f t="shared" si="24"/>
        <v>4.9464148393856954E-4</v>
      </c>
      <c r="FQ156" s="2"/>
    </row>
    <row r="157" spans="2:173">
      <c r="B157" s="2">
        <v>10.757988165680473</v>
      </c>
      <c r="C157" s="2">
        <f t="shared" si="21"/>
        <v>4.9464148393856954E-4</v>
      </c>
      <c r="D157" s="2">
        <f t="shared" si="21"/>
        <v>4.9464148393856954E-4</v>
      </c>
      <c r="E157" s="2">
        <f t="shared" si="21"/>
        <v>4.9464148393856954E-4</v>
      </c>
      <c r="F157" s="2">
        <f t="shared" si="21"/>
        <v>4.9464148393856954E-4</v>
      </c>
      <c r="G157" s="2">
        <f t="shared" si="21"/>
        <v>4.9464148393856954E-4</v>
      </c>
      <c r="H157" s="2">
        <f t="shared" si="21"/>
        <v>4.9464148393856954E-4</v>
      </c>
      <c r="I157" s="2">
        <f t="shared" si="21"/>
        <v>4.9464148393856954E-4</v>
      </c>
      <c r="J157" s="2">
        <f t="shared" si="22"/>
        <v>4.9464148393856954E-4</v>
      </c>
      <c r="K157" s="2">
        <f t="shared" si="22"/>
        <v>4.9464148393856954E-4</v>
      </c>
      <c r="L157" s="2">
        <f t="shared" si="22"/>
        <v>4.9464148393856954E-4</v>
      </c>
      <c r="M157" s="2">
        <f t="shared" si="22"/>
        <v>4.9464148393856954E-4</v>
      </c>
      <c r="N157" s="2">
        <f t="shared" si="22"/>
        <v>4.9464148393856954E-4</v>
      </c>
      <c r="O157" s="2">
        <f t="shared" si="22"/>
        <v>4.9464148393856954E-4</v>
      </c>
      <c r="P157" s="2">
        <f t="shared" si="22"/>
        <v>4.9464148393856954E-4</v>
      </c>
      <c r="Q157" s="2">
        <f t="shared" si="22"/>
        <v>4.9464148393856954E-4</v>
      </c>
      <c r="R157" s="2">
        <f t="shared" si="22"/>
        <v>4.9464148393856954E-4</v>
      </c>
      <c r="S157" s="2">
        <f t="shared" si="22"/>
        <v>4.9464148393856954E-4</v>
      </c>
      <c r="T157" s="2">
        <f t="shared" si="22"/>
        <v>4.9464148393856954E-4</v>
      </c>
      <c r="U157" s="2">
        <f t="shared" si="22"/>
        <v>4.9464148393856954E-4</v>
      </c>
      <c r="V157" s="2">
        <f t="shared" si="22"/>
        <v>4.9464148393856954E-4</v>
      </c>
      <c r="W157" s="2">
        <f t="shared" si="23"/>
        <v>4.9464148393856954E-4</v>
      </c>
      <c r="X157" s="2">
        <f t="shared" si="23"/>
        <v>4.9464148393856954E-4</v>
      </c>
      <c r="Y157" s="2">
        <f>7.00827777166579*(1/14151.6638359215)</f>
        <v>4.9522641669006535E-4</v>
      </c>
      <c r="Z157" s="2">
        <f>7.03408654494372*(1/14151.6638359215)</f>
        <v>4.9705014382046961E-4</v>
      </c>
      <c r="AA157" s="2">
        <f>7.07091636194574*(1/14151.6638359215)</f>
        <v>4.9965265172547887E-4</v>
      </c>
      <c r="AB157" s="2">
        <f>7.11207089230784*(1/14151.6638359215)</f>
        <v>5.025607571496367E-4</v>
      </c>
      <c r="AC157" s="2">
        <f>7.15085380566602*(1/14151.6638359215)</f>
        <v>5.0530127683748674E-4</v>
      </c>
      <c r="AD157" s="2">
        <f>7.18056877165629*(1/14151.6638359215)</f>
        <v>5.0740102753357415E-4</v>
      </c>
      <c r="AE157" s="2">
        <f>7.19451945991463*(1/14151.6638359215)</f>
        <v>5.0838682598244118E-4</v>
      </c>
      <c r="AF157" s="2">
        <f>7.18600954007704*(1/14151.6638359215)</f>
        <v>5.0778548892863214E-4</v>
      </c>
      <c r="AG157" s="2">
        <f>7.14834268177952*(1/14151.6638359215)</f>
        <v>5.0512383311669088E-4</v>
      </c>
      <c r="AH157" s="2">
        <f>7.07482255465807*(1/14151.6638359215)</f>
        <v>4.9992867529116128E-4</v>
      </c>
      <c r="AI157" s="2">
        <f>6.9618600470782*(1/14151.6638359215)</f>
        <v>4.9194639780848575E-4</v>
      </c>
      <c r="AJ157" s="2">
        <f>6.8468634521205*(1/14151.6638359215)</f>
        <v>4.8382038546880589E-4</v>
      </c>
      <c r="AK157" s="2">
        <f>6.73373125530631*(1/14151.6638359215)</f>
        <v>4.7582611722403429E-4</v>
      </c>
      <c r="AL157" s="2">
        <f>6.6109429760469*(1/14151.6638359215)</f>
        <v>4.6714952055787169E-4</v>
      </c>
      <c r="AM157" s="2">
        <f>6.46697813375354*(1/14151.6638359215)</f>
        <v>4.569765229540189E-4</v>
      </c>
      <c r="AN157" s="2">
        <f>6.29031624783752*(1/14151.6638359215)</f>
        <v>4.4449305189617796E-4</v>
      </c>
      <c r="AO157" s="2">
        <f>6.0694368377101*(1/14151.6638359215)</f>
        <v>4.2888503486804898E-4</v>
      </c>
      <c r="AP157" s="2">
        <f>5.79281942278252*(1/14151.6638359215)</f>
        <v>4.0933839935333049E-4</v>
      </c>
      <c r="AQ157" s="2">
        <f>5.44894352246613*(1/14151.6638359215)</f>
        <v>3.8503907283572898E-4</v>
      </c>
      <c r="AR157" s="2">
        <f>5.02628865617219*(1/14151.6638359215)</f>
        <v>3.5517298279894434E-4</v>
      </c>
      <c r="AS157" s="2">
        <f>4.51333434331195*(1/14151.6638359215)</f>
        <v>3.1892605672667601E-4</v>
      </c>
      <c r="AT157" s="2">
        <f>3.85500811255171*(1/14151.6638359215)</f>
        <v>2.7240670476968602E-4</v>
      </c>
      <c r="AU157" s="2">
        <f>2.97015317114049*(1/14151.6638359215)</f>
        <v>2.0988013887111146E-4</v>
      </c>
      <c r="AV157" s="2">
        <f>1.91380361039907*(1/14151.6638359215)</f>
        <v>1.3523523683068401E-4</v>
      </c>
      <c r="AW157" s="2">
        <f>0.746584144172551*(1/14151.6638359215)</f>
        <v>5.2755926994073942E-5</v>
      </c>
      <c r="AX157" s="2">
        <f>-0.470880513693809*(1/14151.6638359215)</f>
        <v>-3.3273862293037373E-5</v>
      </c>
      <c r="AY157" s="2">
        <f>-1.67796564935477*(1/14151.6638359215)</f>
        <v>-1.1857020268496985E-4</v>
      </c>
      <c r="AZ157" s="2">
        <f>-2.81404654896509*(1/14151.6638359215)</f>
        <v>-1.9884916583604324E-4</v>
      </c>
      <c r="BA157" s="2">
        <f>-3.81849849867969*(1/14151.6638359215)</f>
        <v>-2.6982682340058884E-4</v>
      </c>
      <c r="BB157" s="2">
        <f>-4.63069678465294*(1/14151.6638359215)</f>
        <v>-3.2721924703289903E-4</v>
      </c>
      <c r="BC157" s="2">
        <f>-5.19001669303979*(1/14151.6638359215)</f>
        <v>-3.66742508387307E-4</v>
      </c>
      <c r="BD157" s="2">
        <f>-5.45067017999003*(1/14151.6638359215)</f>
        <v>-3.8516108375571116E-4</v>
      </c>
      <c r="BE157" s="2">
        <f>-5.87428910268517*(1/14151.6638359215)</f>
        <v>-4.1509529697662296E-4</v>
      </c>
      <c r="BF157" s="2">
        <f>-6.57150017235734*(1/14151.6638359215)</f>
        <v>-4.6436237099391436E-4</v>
      </c>
      <c r="BG157" s="2">
        <f>-7.36105911540194*(1/14151.6638359215)</f>
        <v>-5.2015502917170705E-4</v>
      </c>
      <c r="BH157" s="2">
        <f>-8.06172165821388*(1/14151.6638359215)</f>
        <v>-5.6966599487408851E-4</v>
      </c>
      <c r="BI157" s="2">
        <f>-8.49224352718853*(1/14151.6638359215)</f>
        <v>-6.0008799146517799E-4</v>
      </c>
      <c r="BJ157" s="2">
        <f>-8.47138044872114*(1/14151.6638359215)</f>
        <v>-5.9861374230908715E-4</v>
      </c>
      <c r="BK157" s="2">
        <f>-7.81788814920693*(1/14151.6638359215)</f>
        <v>-5.5243597076992472E-4</v>
      </c>
      <c r="BL157" s="2">
        <f>-6.35052235504115*(1/14151.6638359215)</f>
        <v>-4.48747400211802E-4</v>
      </c>
      <c r="BM157" s="2">
        <f>-3.88803879261847*(1/14151.6638359215)</f>
        <v>-2.7474075399878917E-4</v>
      </c>
      <c r="BN157" s="2">
        <f>-0.249193188334979*(1/14151.6638359215)</f>
        <v>-1.7608755495056778E-5</v>
      </c>
      <c r="BO157" s="2">
        <f>4.86168059376597*(1/14151.6638359215)</f>
        <v>3.435412719051065E-4</v>
      </c>
      <c r="BP157" s="2">
        <f>11.8086511535597*(1/14151.6638359215)</f>
        <v>8.3443553284423869E-4</v>
      </c>
      <c r="BQ157" s="2">
        <f>20.2651859749541*(1/14151.6638359215)</f>
        <v>1.4320002375631977E-3</v>
      </c>
      <c r="BR157" s="2">
        <f>29.8503854235686*(1/14151.6638359215)</f>
        <v>2.1093198488646024E-3</v>
      </c>
      <c r="BS157" s="2">
        <f>40.1833498650175*(1/14151.6638359215)</f>
        <v>2.8394788295507106E-3</v>
      </c>
      <c r="BT157" s="2">
        <f>50.8831796649201*(1/14151.6638359215)</f>
        <v>3.5955616424241318E-3</v>
      </c>
      <c r="BU157" s="2">
        <f>61.5689751888943*(1/14151.6638359215)</f>
        <v>4.3506527502873782E-3</v>
      </c>
      <c r="BV157" s="2">
        <f>71.8598368025578*(1/14151.6638359215)</f>
        <v>5.0778366159429456E-3</v>
      </c>
      <c r="BW157" s="2">
        <f>81.3748648715284*(1/14151.6638359215)</f>
        <v>5.7501977021933402E-3</v>
      </c>
      <c r="BX157" s="2">
        <f>89.7331597614238*(1/14151.6638359215)</f>
        <v>6.3408204718410589E-3</v>
      </c>
      <c r="BY157" s="2">
        <f>96.5567071637459*(1/14151.6638359215)</f>
        <v>6.8229932736710254E-3</v>
      </c>
      <c r="BZ157" s="2">
        <f>102.354581987136*(1/14151.6638359215)</f>
        <v>7.2326889031469905E-3</v>
      </c>
      <c r="CA157" s="2">
        <f>107.688907237132*(1/14151.6638359215)</f>
        <v>7.6096286970711337E-3</v>
      </c>
      <c r="CB157" s="2">
        <f>112.523035109839*(1/14151.6638359215)</f>
        <v>7.9512230091432178E-3</v>
      </c>
      <c r="CC157" s="2">
        <f>116.820317801362*(1/14151.6638359215)</f>
        <v>8.2548821930629977E-3</v>
      </c>
      <c r="CD157" s="2">
        <f>120.544107507805*(1/14151.6638359215)</f>
        <v>8.518016602530161E-3</v>
      </c>
      <c r="CE157" s="2">
        <f>123.657756425272*(1/14151.6638359215)</f>
        <v>8.7380365912443896E-3</v>
      </c>
      <c r="CF157" s="2">
        <f>126.124616749868*(1/14151.6638359215)</f>
        <v>8.9123525129054387E-3</v>
      </c>
      <c r="CG157" s="2">
        <f>127.908040677698*(1/14151.6638359215)</f>
        <v>9.038374721213065E-3</v>
      </c>
      <c r="CH157" s="2">
        <f>128.971380404867*(1/14151.6638359215)</f>
        <v>9.1135135698670235E-3</v>
      </c>
      <c r="CI157" s="2">
        <f>129.277988127478*(1/14151.6638359215)</f>
        <v>9.1351794125669288E-3</v>
      </c>
      <c r="CJ157" s="2">
        <f>128.731222163047*(1/14151.6638359215)</f>
        <v>9.0965432514221768E-3</v>
      </c>
      <c r="CK157" s="2">
        <f>127.016982166948*(1/14151.6638359215)</f>
        <v>8.9754097920654256E-3</v>
      </c>
      <c r="CL157" s="2">
        <f>124.249487213216*(1/14151.6638359215)</f>
        <v>8.7798501048216415E-3</v>
      </c>
      <c r="CM157" s="2">
        <f>120.612118113453*(1/14151.6638359215)</f>
        <v>8.5228224406589167E-3</v>
      </c>
      <c r="CN157" s="2">
        <f>116.288255679264*(1/14151.6638359215)</f>
        <v>8.217285050545562E-3</v>
      </c>
      <c r="CO157" s="2">
        <f>111.461280722251*(1/14151.6638359215)</f>
        <v>7.8761961854496732E-3</v>
      </c>
      <c r="CP157" s="2">
        <f>106.314574054017*(1/14151.6638359215)</f>
        <v>7.5125140963394161E-3</v>
      </c>
      <c r="CQ157" s="2">
        <f>101.031516486168*(1/14151.6638359215)</f>
        <v>7.139197034183171E-3</v>
      </c>
      <c r="CR157" s="2">
        <f>95.7954888303061*(1/14151.6638359215)</f>
        <v>6.7692032499490386E-3</v>
      </c>
      <c r="CS157" s="2">
        <f>90.7898718980343*(1/14151.6638359215)</f>
        <v>6.4154909946051893E-3</v>
      </c>
      <c r="CT157" s="2">
        <f>86.1980465009564*(1/14151.6638359215)</f>
        <v>6.0910185191198419E-3</v>
      </c>
      <c r="CU157" s="2">
        <f>81.8484665600321*(1/14151.6638359215)</f>
        <v>5.7836638510500946E-3</v>
      </c>
      <c r="CV157" s="2">
        <f>77.3790455621409*(1/14151.6638359215)</f>
        <v>5.4678408460867942E-3</v>
      </c>
      <c r="CW157" s="2">
        <f>72.8209367422579*(1/14151.6638359215)</f>
        <v>5.1457508874267355E-3</v>
      </c>
      <c r="CX157" s="2">
        <f>68.2067726448*(1/14151.6638359215)</f>
        <v>4.8196998908120719E-3</v>
      </c>
      <c r="CY157" s="2">
        <f>63.5691858141848*(1/14151.6638359215)</f>
        <v>4.4919937719850051E-3</v>
      </c>
      <c r="CZ157" s="2">
        <f>58.94080879483*(1/14151.6638359215)</f>
        <v>4.1649384466877432E-3</v>
      </c>
      <c r="DA157" s="2">
        <f>54.3542741311524*(1/14151.6638359215)</f>
        <v>3.8408398306624325E-3</v>
      </c>
      <c r="DB157" s="2">
        <f>49.8422143675715*(1/14151.6638359215)</f>
        <v>3.5220038396514084E-3</v>
      </c>
      <c r="DC157" s="2">
        <f>45.4372620485041*(1/14151.6638359215)</f>
        <v>3.2107363893968169E-3</v>
      </c>
      <c r="DD157" s="2">
        <f>41.1720497183678*(1/14151.6638359215)</f>
        <v>2.909343395640859E-3</v>
      </c>
      <c r="DE157" s="2">
        <f>37.0525111741298*(1/14151.6638359215)</f>
        <v>2.6182441586888564E-3</v>
      </c>
      <c r="DF157" s="2">
        <f>32.846337408164*(1/14151.6638359215)</f>
        <v>2.3210230110744553E-3</v>
      </c>
      <c r="DG157" s="2">
        <f>28.5532739729466*(1/14151.6638359215)</f>
        <v>2.0176619727546915E-3</v>
      </c>
      <c r="DH157" s="2">
        <f>24.2501039951831*(1/14151.6638359215)</f>
        <v>1.7135867751202861E-3</v>
      </c>
      <c r="DI157" s="2">
        <f>20.0136106015818*(1/14151.6638359215)</f>
        <v>1.4142231495621585E-3</v>
      </c>
      <c r="DJ157" s="2">
        <f>15.9205769188482*(1/14151.6638359215)</f>
        <v>1.1249968274710303E-3</v>
      </c>
      <c r="DK157" s="2">
        <f>12.0477860736887*(1/14151.6638359215)</f>
        <v>8.5133354023768728E-4</v>
      </c>
      <c r="DL157" s="2">
        <f>8.47202119280996*(1/14151.6638359215)</f>
        <v>5.9865901925293266E-4</v>
      </c>
      <c r="DM157" s="2">
        <f>5.27006540291777*(1/14151.6638359215)</f>
        <v>3.7239899590750877E-4</v>
      </c>
      <c r="DN157" s="2">
        <f>2.51870183071981*(1/14151.6638359215)</f>
        <v>1.7797920159229124E-4</v>
      </c>
      <c r="DO157" s="2">
        <f>0.294713602921918*(1/14151.6638359215)</f>
        <v>2.0825367698025695E-5</v>
      </c>
      <c r="DP157" s="2">
        <f>-1.33254375583053*(1/14151.6638359215)</f>
        <v>-9.4161631542441181E-5</v>
      </c>
      <c r="DQ157" s="2">
        <f>-2.38826384235556*(1/14151.6638359215)</f>
        <v>-1.6876205300279774E-4</v>
      </c>
      <c r="DR157" s="2">
        <f>-2.95456444372841*(1/14151.6638359215)</f>
        <v>-2.0877859154827929E-4</v>
      </c>
      <c r="DS157" s="2">
        <f>-3.114102010525*(1/14151.6638359215)</f>
        <v>-2.2005200566030985E-4</v>
      </c>
      <c r="DT157" s="2">
        <f>-2.94953299332119*(1/14151.6638359215)</f>
        <v>-2.0842305382030919E-4</v>
      </c>
      <c r="DU157" s="2">
        <f>-2.54351384269298*(1/14151.6638359215)</f>
        <v>-1.7973249450970702E-4</v>
      </c>
      <c r="DV157" s="2">
        <f>-1.97870100921626*(1/14151.6638359215)</f>
        <v>-1.3982108620992515E-4</v>
      </c>
      <c r="DW157" s="2">
        <f>-1.33775094346697*(1/14151.6638359215)</f>
        <v>-9.4529587402389075E-5</v>
      </c>
      <c r="DX157" s="2">
        <f>-0.703320096021022*(1/14151.6638359215)</f>
        <v>-4.9698756568522218E-5</v>
      </c>
      <c r="DY157" s="2">
        <f>-0.158064917454231*(1/14151.6638359215)</f>
        <v>-1.116935218974119E-5</v>
      </c>
      <c r="DZ157" s="2">
        <f>0.228136957103042*(1/14151.6638359215)</f>
        <v>1.612085757181121E-5</v>
      </c>
      <c r="EA157" s="2">
        <f>0.666877947074402*(1/14151.6638359215)</f>
        <v>4.712364247811272E-5</v>
      </c>
      <c r="EB157" s="2">
        <f>1.23615089796568*(1/14151.6638359215)</f>
        <v>8.7350216363105596E-5</v>
      </c>
      <c r="EC157" s="2">
        <f>1.90366069114011*(1/14151.6638359215)</f>
        <v>1.3451850702586669E-4</v>
      </c>
      <c r="ED157" s="2">
        <f>2.63711220796093*(1/14151.6638359215)</f>
        <v>1.8634644226547315E-4</v>
      </c>
      <c r="EE157" s="2">
        <f>3.40421032979152*(1/14151.6638359215)</f>
        <v>2.405519498810121E-4</v>
      </c>
      <c r="EF157" s="2">
        <f>4.17265993799483*(1/14151.6638359215)</f>
        <v>2.9485295767154034E-4</v>
      </c>
      <c r="EG157" s="2">
        <f>4.91016591393423*(1/14151.6638359215)</f>
        <v>3.4696739343614429E-4</v>
      </c>
      <c r="EH157" s="2">
        <f>5.58443313897296*(1/14151.6638359215)</f>
        <v>3.9461318497390125E-4</v>
      </c>
      <c r="EI157" s="2">
        <f>6.16316649447426*(1/14151.6638359215)</f>
        <v>4.3550826008388854E-4</v>
      </c>
      <c r="EJ157" s="2">
        <f>6.61407086180144*(1/14151.6638359215)</f>
        <v>4.6737054656518828E-4</v>
      </c>
      <c r="EK157" s="2">
        <f>6.92153352565371*(1/14151.6638359215)</f>
        <v>4.8909680203713002E-4</v>
      </c>
      <c r="EL157" s="2">
        <f>7.12633151222191*(1/14151.6638359215)</f>
        <v>5.0356845632051938E-4</v>
      </c>
      <c r="EM157" s="2">
        <f>7.24648301924722*(1/14151.6638359215)</f>
        <v>5.1205873056801301E-4</v>
      </c>
      <c r="EN157" s="2">
        <f>7.29733488947049*(1/14151.6638359215)</f>
        <v>5.1565207978919729E-4</v>
      </c>
      <c r="EO157" s="2">
        <f>7.29423396563256*(1/14151.6638359215)</f>
        <v>5.1543295899365805E-4</v>
      </c>
      <c r="EP157" s="2">
        <f>7.25252709047428*(1/14151.6638359215)</f>
        <v>5.1248582319098198E-4</v>
      </c>
      <c r="EQ157" s="2">
        <f>7.18756110673648*(1/14151.6638359215)</f>
        <v>5.0789512739075426E-4</v>
      </c>
      <c r="ER157" s="2">
        <f>7.11468285716002*(1/14151.6638359215)</f>
        <v>5.0274532660256202E-4</v>
      </c>
      <c r="ES157" s="2">
        <f>7.04923918448577*(1/14151.6638359215)</f>
        <v>4.9812087583599326E-4</v>
      </c>
      <c r="ET157" s="2">
        <f>7.00657693145454*(1/14151.6638359215)</f>
        <v>4.9510623010063184E-4</v>
      </c>
      <c r="EU157" s="2">
        <f>7.00159668502411*(1/14151.6638359215)</f>
        <v>4.9475431060281357E-4</v>
      </c>
      <c r="EV157" s="2">
        <f>7.01174850791035*(1/14151.6638359215)</f>
        <v>4.9547166956526092E-4</v>
      </c>
      <c r="EW157" s="2">
        <f>7.01773792310924*(1/14151.6638359215)</f>
        <v>4.9589490002553281E-4</v>
      </c>
      <c r="EX157" s="2">
        <f>7.0202684361454*(1/14151.6638359215)</f>
        <v>4.9607371384315167E-4</v>
      </c>
      <c r="EY157" s="2">
        <f>7.02004355254345*(1/14151.6638359215)</f>
        <v>4.9605782287763999E-4</v>
      </c>
      <c r="EZ157" s="2">
        <f>7.01776677782802*(1/14151.6638359215)</f>
        <v>4.9589693898852074E-4</v>
      </c>
      <c r="FA157" s="2">
        <f>7.01414161752373*(1/14151.6638359215)</f>
        <v>4.9564077403531663E-4</v>
      </c>
      <c r="FB157" s="2">
        <f>7.0098715771552*(1/14151.6638359215)</f>
        <v>4.9533903987754985E-4</v>
      </c>
      <c r="FC157" s="2">
        <f>7.00566016224706*(1/14151.6638359215)</f>
        <v>4.9504144837474368E-4</v>
      </c>
      <c r="FD157" s="2">
        <f>7.00221087832392*(1/14151.6638359215)</f>
        <v>4.9479771138641977E-4</v>
      </c>
      <c r="FE157" s="2">
        <f>7.00022723091042*(1/14151.6638359215)</f>
        <v>4.9465754077210203E-4</v>
      </c>
      <c r="FF157" s="2">
        <f t="shared" si="24"/>
        <v>4.9464148393856954E-4</v>
      </c>
      <c r="FG157" s="2">
        <f t="shared" si="24"/>
        <v>4.9464148393856954E-4</v>
      </c>
      <c r="FH157" s="2">
        <f t="shared" si="24"/>
        <v>4.9464148393856954E-4</v>
      </c>
      <c r="FI157" s="2">
        <f t="shared" si="24"/>
        <v>4.9464148393856954E-4</v>
      </c>
      <c r="FJ157" s="2">
        <f t="shared" si="24"/>
        <v>4.9464148393856954E-4</v>
      </c>
      <c r="FK157" s="2">
        <f t="shared" si="24"/>
        <v>4.9464148393856954E-4</v>
      </c>
      <c r="FL157" s="2">
        <f t="shared" si="24"/>
        <v>4.9464148393856954E-4</v>
      </c>
      <c r="FM157" s="2">
        <f t="shared" si="24"/>
        <v>4.9464148393856954E-4</v>
      </c>
      <c r="FN157" s="2">
        <f t="shared" si="24"/>
        <v>4.9464148393856954E-4</v>
      </c>
      <c r="FO157" s="2">
        <f t="shared" si="24"/>
        <v>4.9464148393856954E-4</v>
      </c>
      <c r="FP157" s="2">
        <f t="shared" si="24"/>
        <v>4.9464148393856954E-4</v>
      </c>
      <c r="FQ157" s="2"/>
    </row>
    <row r="158" spans="2:173">
      <c r="B158" s="2">
        <v>10.767455621301776</v>
      </c>
      <c r="C158" s="2">
        <f t="shared" ref="C158:R172" si="25">7*(1/14151.6638359215)</f>
        <v>4.9464148393856954E-4</v>
      </c>
      <c r="D158" s="2">
        <f t="shared" si="25"/>
        <v>4.9464148393856954E-4</v>
      </c>
      <c r="E158" s="2">
        <f t="shared" si="25"/>
        <v>4.9464148393856954E-4</v>
      </c>
      <c r="F158" s="2">
        <f t="shared" si="25"/>
        <v>4.9464148393856954E-4</v>
      </c>
      <c r="G158" s="2">
        <f t="shared" si="25"/>
        <v>4.9464148393856954E-4</v>
      </c>
      <c r="H158" s="2">
        <f t="shared" si="25"/>
        <v>4.9464148393856954E-4</v>
      </c>
      <c r="I158" s="2">
        <f t="shared" si="25"/>
        <v>4.9464148393856954E-4</v>
      </c>
      <c r="J158" s="2">
        <f t="shared" si="25"/>
        <v>4.9464148393856954E-4</v>
      </c>
      <c r="K158" s="2">
        <f t="shared" si="25"/>
        <v>4.9464148393856954E-4</v>
      </c>
      <c r="L158" s="2">
        <f t="shared" si="25"/>
        <v>4.9464148393856954E-4</v>
      </c>
      <c r="M158" s="2">
        <f t="shared" si="25"/>
        <v>4.9464148393856954E-4</v>
      </c>
      <c r="N158" s="2">
        <f t="shared" si="25"/>
        <v>4.9464148393856954E-4</v>
      </c>
      <c r="O158" s="2">
        <f t="shared" si="25"/>
        <v>4.9464148393856954E-4</v>
      </c>
      <c r="P158" s="2">
        <f t="shared" si="25"/>
        <v>4.9464148393856954E-4</v>
      </c>
      <c r="Q158" s="2">
        <f t="shared" si="25"/>
        <v>4.9464148393856954E-4</v>
      </c>
      <c r="R158" s="2">
        <f t="shared" si="25"/>
        <v>4.9464148393856954E-4</v>
      </c>
      <c r="S158" s="2">
        <f t="shared" ref="S158:V166" si="26">7*(1/14151.6638359215)</f>
        <v>4.9464148393856954E-4</v>
      </c>
      <c r="T158" s="2">
        <f t="shared" si="26"/>
        <v>4.9464148393856954E-4</v>
      </c>
      <c r="U158" s="2">
        <f t="shared" si="26"/>
        <v>4.9464148393856954E-4</v>
      </c>
      <c r="V158" s="2">
        <f t="shared" si="26"/>
        <v>4.9464148393856954E-4</v>
      </c>
      <c r="W158" s="2">
        <f t="shared" si="23"/>
        <v>4.9464148393856954E-4</v>
      </c>
      <c r="X158" s="2">
        <f t="shared" si="23"/>
        <v>4.9464148393856954E-4</v>
      </c>
      <c r="Y158" s="2">
        <f>7.00577831082865*(1/14151.6638359215)</f>
        <v>4.9504979711613266E-4</v>
      </c>
      <c r="Z158" s="2">
        <f>7.02379416341883*(1/14151.6638359215)</f>
        <v>4.9632285255322203E-4</v>
      </c>
      <c r="AA158" s="2">
        <f>7.04950327197994*(1/14151.6638359215)</f>
        <v>4.9813953706885129E-4</v>
      </c>
      <c r="AB158" s="2">
        <f>7.07823125313725*(1/14151.6638359215)</f>
        <v>5.0016954438745294E-4</v>
      </c>
      <c r="AC158" s="2">
        <f>7.105303723516*(1/14151.6638359215)</f>
        <v>5.0208256823345686E-4</v>
      </c>
      <c r="AD158" s="2">
        <f>7.12604629974145*(1/14151.6638359215)</f>
        <v>5.035483023312948E-4</v>
      </c>
      <c r="AE158" s="2">
        <f>7.13578459843884*(1/14151.6638359215)</f>
        <v>5.0423644040539675E-4</v>
      </c>
      <c r="AF158" s="2">
        <f>7.12984423623343*(1/14151.6638359215)</f>
        <v>5.0381667618019444E-4</v>
      </c>
      <c r="AG158" s="2">
        <f>7.10355082975047*(1/14151.6638359215)</f>
        <v>5.0195870338011852E-4</v>
      </c>
      <c r="AH158" s="2">
        <f>7.05222999561521*(1/14151.6638359215)</f>
        <v>4.9833221572959997E-4</v>
      </c>
      <c r="AI158" s="2">
        <f>6.97330173889376*(1/14151.6638359215)</f>
        <v>4.9275490286825952E-4</v>
      </c>
      <c r="AJ158" s="2">
        <f>6.89191508302365*(1/14151.6638359215)</f>
        <v>4.8700387197791832E-4</v>
      </c>
      <c r="AK158" s="2">
        <f>6.81084225215235*(1/14151.6638359215)</f>
        <v>4.8127501692516394E-4</v>
      </c>
      <c r="AL158" s="2">
        <f>6.72248858222066*(1/14151.6638359215)</f>
        <v>4.7503167543853111E-4</v>
      </c>
      <c r="AM158" s="2">
        <f>6.61925940916939*(1/14151.6638359215)</f>
        <v>4.6773718524655521E-4</v>
      </c>
      <c r="AN158" s="2">
        <f>6.49356006893931*(1/14151.6638359215)</f>
        <v>4.5885488407776859E-4</v>
      </c>
      <c r="AO158" s="2">
        <f>6.33779589747123*(1/14151.6638359215)</f>
        <v>4.4784810966070677E-4</v>
      </c>
      <c r="AP158" s="2">
        <f>6.14437223070591*(1/14151.6638359215)</f>
        <v>4.3418019972390147E-4</v>
      </c>
      <c r="AQ158" s="2">
        <f>5.90569440458421*(1/14151.6638359215)</f>
        <v>4.1731449199589152E-4</v>
      </c>
      <c r="AR158" s="2">
        <f>5.61416775504689*(1/14151.6638359215)</f>
        <v>3.9671432420520874E-4</v>
      </c>
      <c r="AS158" s="2">
        <f>5.26219761803476*(1/14151.6638359215)</f>
        <v>3.7184303408038853E-4</v>
      </c>
      <c r="AT158" s="2">
        <f>4.81036864274706*(1/14151.6638359215)</f>
        <v>3.3991541196285265E-4</v>
      </c>
      <c r="AU158" s="2">
        <f>4.1993033670718*(1/14151.6638359215)</f>
        <v>2.9673566414237527E-4</v>
      </c>
      <c r="AV158" s="2">
        <f>3.4682817965745*(1/14151.6638359215)</f>
        <v>2.450794363678198E-4</v>
      </c>
      <c r="AW158" s="2">
        <f>2.660650203433*(1/14151.6638359215)</f>
        <v>1.8800970926679373E-4</v>
      </c>
      <c r="AX158" s="2">
        <f>1.81975485982524*(1/14151.6638359215)</f>
        <v>1.2858946346691147E-4</v>
      </c>
      <c r="AY158" s="2">
        <f>0.988942037929165*(1/14151.6638359215)</f>
        <v>6.9881679595787906E-5</v>
      </c>
      <c r="AZ158" s="2">
        <f>0.211558009922709*(1/14151.6638359215)</f>
        <v>1.4949338281037058E-5</v>
      </c>
      <c r="BA158" s="2">
        <f>-0.469050952016292*(1/14151.6638359215)</f>
        <v>-3.3144579849733922E-5</v>
      </c>
      <c r="BB158" s="2">
        <f>-1.00953857570965*(1/14151.6638359215)</f>
        <v>-7.1337094168893032E-5</v>
      </c>
      <c r="BC158" s="2">
        <f>-1.36655858897956*(1/14151.6638359215)</f>
        <v>-9.6565224048835319E-5</v>
      </c>
      <c r="BD158" s="2">
        <f>-1.50804916832744*(1/14151.6638359215)</f>
        <v>-1.0656338263911579E-4</v>
      </c>
      <c r="BE158" s="2">
        <f>-1.78655853985914*(1/14151.6638359215)</f>
        <v>-1.2624370961414986E-4</v>
      </c>
      <c r="BF158" s="2">
        <f>-2.28398263907239*(1/14151.6638359215)</f>
        <v>-1.613932231258139E-4</v>
      </c>
      <c r="BG158" s="2">
        <f>-2.85960755605257*(1/14151.6638359215)</f>
        <v>-2.0206864642968421E-4</v>
      </c>
      <c r="BH158" s="2">
        <f>-3.37271938088475*(1/14151.6638359215)</f>
        <v>-2.3832670278131518E-4</v>
      </c>
      <c r="BI158" s="2">
        <f>-3.68260420365431*(1/14151.6638359215)</f>
        <v>-2.6022411543628313E-4</v>
      </c>
      <c r="BJ158" s="2">
        <f>-3.64854811444654*(1/14151.6638359215)</f>
        <v>-2.5781760765015808E-4</v>
      </c>
      <c r="BK158" s="2">
        <f>-3.12983720334672*(1/14151.6638359215)</f>
        <v>-2.2116390267850917E-4</v>
      </c>
      <c r="BL158" s="2">
        <f>-1.98575756044014*(1/14151.6638359215)</f>
        <v>-1.4031972377690638E-4</v>
      </c>
      <c r="BM158" s="2">
        <f>-0.0755952758116458*(1/14151.6638359215)</f>
        <v>-5.3417942008882754E-6</v>
      </c>
      <c r="BN158" s="2">
        <f>2.74136356045281*(1/14151.6638359215)</f>
        <v>1.9371316279392836E-4</v>
      </c>
      <c r="BO158" s="2">
        <f>6.69122290189457*(1/14151.6638359215)</f>
        <v>4.7282234650812457E-4</v>
      </c>
      <c r="BP158" s="2">
        <f>12.0460291714988*(1/14151.6638359215)</f>
        <v>8.5120939213678053E-4</v>
      </c>
      <c r="BQ158" s="2">
        <f>18.5562291853488*(1/14151.6638359215)</f>
        <v>1.3112401057921606E-3</v>
      </c>
      <c r="BR158" s="2">
        <f>25.9314251635944*(1/14151.6638359215)</f>
        <v>1.8323940890803284E-3</v>
      </c>
      <c r="BS158" s="2">
        <f>33.8812193263818*(1/14151.6638359215)</f>
        <v>2.3941509436070912E-3</v>
      </c>
      <c r="BT158" s="2">
        <f>42.1152138938608*(1/14151.6638359215)</f>
        <v>2.9759902709785096E-3</v>
      </c>
      <c r="BU158" s="2">
        <f>50.3430110861804*(1/14151.6638359215)</f>
        <v>3.55739167280059E-3</v>
      </c>
      <c r="BV158" s="2">
        <f>58.274213123489*(1/14151.6638359215)</f>
        <v>4.1178347506792947E-3</v>
      </c>
      <c r="BW158" s="2">
        <f>65.6184222259355*(1/14151.6638359215)</f>
        <v>4.6367991062206213E-3</v>
      </c>
      <c r="BX158" s="2">
        <f>72.0852406136686*(1/14151.6638359215)</f>
        <v>5.0937643410305542E-3</v>
      </c>
      <c r="BY158" s="2">
        <f>77.3865425132262*(1/14151.6638359215)</f>
        <v>5.4683706036596294E-3</v>
      </c>
      <c r="BZ158" s="2">
        <f>81.9291174503603*(1/14151.6638359215)</f>
        <v>5.7893628904890811E-3</v>
      </c>
      <c r="CA158" s="2">
        <f>86.14876164442*(1/14151.6638359215)</f>
        <v>6.0875358998951478E-3</v>
      </c>
      <c r="CB158" s="2">
        <f>90.006967914304*(1/14151.6638359215)</f>
        <v>6.3601685962775068E-3</v>
      </c>
      <c r="CC158" s="2">
        <f>93.4652290789105*(1/14151.6638359215)</f>
        <v>6.6045399440358039E-3</v>
      </c>
      <c r="CD158" s="2">
        <f>96.4850379571387*(1/14151.6638359215)</f>
        <v>6.8179289075697563E-3</v>
      </c>
      <c r="CE158" s="2">
        <f>99.0278873678859*(1/14151.6638359215)</f>
        <v>6.997614451278944E-3</v>
      </c>
      <c r="CF158" s="2">
        <f>101.055270130051*(1/14151.6638359215)</f>
        <v>7.1408755395630614E-3</v>
      </c>
      <c r="CG158" s="2">
        <f>102.528679062533*(1/14151.6638359215)</f>
        <v>7.2449911368218101E-3</v>
      </c>
      <c r="CH158" s="2">
        <f>103.40960698423*(1/14151.6638359215)</f>
        <v>7.3072402074548272E-3</v>
      </c>
      <c r="CI158" s="2">
        <f>103.659546714041*(1/14151.6638359215)</f>
        <v>7.324901715861816E-3</v>
      </c>
      <c r="CJ158" s="2">
        <f>103.194546491138*(1/14151.6638359215)</f>
        <v>7.2920433729634576E-3</v>
      </c>
      <c r="CK158" s="2">
        <f>101.774393175844*(1/14151.6638359215)</f>
        <v>7.1916909810638427E-3</v>
      </c>
      <c r="CL158" s="2">
        <f>99.4964811134478*(1/14151.6638359215)</f>
        <v>7.0307267235173825E-3</v>
      </c>
      <c r="CM158" s="2">
        <f>96.5115338422704*(1/14151.6638359215)</f>
        <v>6.8198011881325862E-3</v>
      </c>
      <c r="CN158" s="2">
        <f>92.9702749006342*(1/14151.6638359215)</f>
        <v>6.5695649627180632E-3</v>
      </c>
      <c r="CO158" s="2">
        <f>89.0234278268614*(1/14151.6638359215)</f>
        <v>6.2906686350824095E-3</v>
      </c>
      <c r="CP158" s="2">
        <f>84.8217161592734*(1/14151.6638359215)</f>
        <v>5.9937627930341623E-3</v>
      </c>
      <c r="CQ158" s="2">
        <f>80.5158634361939*(1/14151.6638359215)</f>
        <v>5.6894980243820236E-3</v>
      </c>
      <c r="CR158" s="2">
        <f>76.2565931959445*(1/14151.6638359215)</f>
        <v>5.3885249169345452E-3</v>
      </c>
      <c r="CS158" s="2">
        <f>72.1946289768471*(1/14151.6638359215)</f>
        <v>5.1014940585002999E-3</v>
      </c>
      <c r="CT158" s="2">
        <f>68.4806943172242*(1/14151.6638359215)</f>
        <v>4.8390560368879072E-3</v>
      </c>
      <c r="CU158" s="2">
        <f>64.9676958511709*(1/14151.6638359215)</f>
        <v>4.5908167834132606E-3</v>
      </c>
      <c r="CV158" s="2">
        <f>61.3529846560367*(1/14151.6638359215)</f>
        <v>4.3353901963317544E-3</v>
      </c>
      <c r="CW158" s="2">
        <f>57.6664605142025*(1/14151.6638359215)</f>
        <v>4.0748890860328639E-3</v>
      </c>
      <c r="CX158" s="2">
        <f>53.9392689884885*(1/14151.6638359215)</f>
        <v>3.8115142935753739E-3</v>
      </c>
      <c r="CY158" s="2">
        <f>50.2025556417155*(1/14151.6638359215)</f>
        <v>3.5474666600181087E-3</v>
      </c>
      <c r="CZ158" s="2">
        <f>46.4874660367041*(1/14151.6638359215)</f>
        <v>3.2849470264198813E-3</v>
      </c>
      <c r="DA158" s="2">
        <f>42.8251457362745*(1/14151.6638359215)</f>
        <v>3.0261562338394746E-3</v>
      </c>
      <c r="DB158" s="2">
        <f>39.2467403032488*(1/14151.6638359215)</f>
        <v>2.7732951233358071E-3</v>
      </c>
      <c r="DC158" s="2">
        <f>35.783395300447*(1/14151.6638359215)</f>
        <v>2.5285645359676484E-3</v>
      </c>
      <c r="DD158" s="2">
        <f>32.46625629069*(1/14151.6638359215)</f>
        <v>2.2941653127938311E-3</v>
      </c>
      <c r="DE158" s="2">
        <f>29.3074674688614*(1/14151.6638359215)</f>
        <v>2.0709555998969938E-3</v>
      </c>
      <c r="DF158" s="2">
        <f>26.1444410691405*(1/14151.6638359215)</f>
        <v>1.8474464467405911E-3</v>
      </c>
      <c r="DG158" s="2">
        <f>22.969561074507*(1/14151.6638359215)</f>
        <v>1.6230996821873923E-3</v>
      </c>
      <c r="DH158" s="2">
        <f>19.8289693685064*(1/14151.6638359215)</f>
        <v>1.4011758333443494E-3</v>
      </c>
      <c r="DI158" s="2">
        <f>16.7688078346863*(1/14151.6638359215)</f>
        <v>1.1849354273185632E-3</v>
      </c>
      <c r="DJ158" s="2">
        <f>13.8352183565923*(1/14151.6638359215)</f>
        <v>9.7763899121699332E-4</v>
      </c>
      <c r="DK158" s="2">
        <f>11.0743428177708*(1/14151.6638359215)</f>
        <v>7.8254705214665546E-4</v>
      </c>
      <c r="DL158" s="2">
        <f>8.53232310176795*(1/14151.6638359215)</f>
        <v>6.0292013721454827E-4</v>
      </c>
      <c r="DM158" s="2">
        <f>6.25530109212967*(1/14151.6638359215)</f>
        <v>4.4201877352765357E-4</v>
      </c>
      <c r="DN158" s="2">
        <f>4.28941867240309*(1/14151.6638359215)</f>
        <v>3.0310348819303904E-4</v>
      </c>
      <c r="DO158" s="2">
        <f>2.68081772613404*(1/14151.6638359215)</f>
        <v>1.8943480831768047E-4</v>
      </c>
      <c r="DP158" s="2">
        <f>1.48082852265343*(1/14151.6638359215)</f>
        <v>1.0463988827197889E-4</v>
      </c>
      <c r="DQ158" s="2">
        <f>0.688460386619167*(1/14151.6638359215)</f>
        <v>4.8648723895746581E-5</v>
      </c>
      <c r="DR158" s="2">
        <f>0.24593503895411*(1/14151.6638359215)</f>
        <v>1.7378524660107269E-5</v>
      </c>
      <c r="DS158" s="2">
        <f>0.0945837714516283*(1/14151.6638359215)</f>
        <v>6.6835795810485623E-6</v>
      </c>
      <c r="DT158" s="2">
        <f>0.175737875905125*(1/14151.6638359215)</f>
        <v>1.2418177674560459E-5</v>
      </c>
      <c r="DU158" s="2">
        <f>0.430728644107945*(1/14151.6638359215)</f>
        <v>3.0436607956628845E-5</v>
      </c>
      <c r="DV158" s="2">
        <f>0.800887367853464*(1/14151.6638359215)</f>
        <v>5.6593159443241784E-5</v>
      </c>
      <c r="DW158" s="2">
        <f>1.22754533893505*(1/14151.6638359215)</f>
        <v>8.6742121150386778E-5</v>
      </c>
      <c r="DX158" s="2">
        <f>1.65203384914609*(1/14151.6638359215)</f>
        <v>1.1673778209405271E-4</v>
      </c>
      <c r="DY158" s="2">
        <f>2.01568419028002*(1/14151.6638359215)</f>
        <v>1.4243443129023187E-4</v>
      </c>
      <c r="DZ158" s="2">
        <f>2.26895267741564*(1/14151.6638359215)</f>
        <v>1.6033115990618039E-4</v>
      </c>
      <c r="EA158" s="2">
        <f>2.56309723143341*(1/14151.6638359215)</f>
        <v>1.8111631686215161E-4</v>
      </c>
      <c r="EB158" s="2">
        <f>2.95350724017576*(1/14151.6638359215)</f>
        <v>2.0870388630054958E-4</v>
      </c>
      <c r="EC158" s="2">
        <f>3.41675028396453*(1/14151.6638359215)</f>
        <v>2.4143806152967772E-4</v>
      </c>
      <c r="ED158" s="2">
        <f>3.92939394312153*(1/14151.6638359215)</f>
        <v>2.7766303585783725E-4</v>
      </c>
      <c r="EE158" s="2">
        <f>4.46800579796867*(1/14151.6638359215)</f>
        <v>3.1572300259333647E-4</v>
      </c>
      <c r="EF158" s="2">
        <f>5.00915342882758*(1/14151.6638359215)</f>
        <v>3.5396215504446401E-4</v>
      </c>
      <c r="EG158" s="2">
        <f>5.52940441602017*(1/14151.6638359215)</f>
        <v>3.9072468651952808E-4</v>
      </c>
      <c r="EH158" s="2">
        <f>6.00532633986827*(1/14151.6638359215)</f>
        <v>4.2435479032683132E-4</v>
      </c>
      <c r="EI158" s="2">
        <f>6.41348678069368*(1/14151.6638359215)</f>
        <v>4.5319665977467446E-4</v>
      </c>
      <c r="EJ158" s="2">
        <f>6.73045331881828*(1/14151.6638359215)</f>
        <v>4.755944881713635E-4</v>
      </c>
      <c r="EK158" s="2">
        <f>6.94522636082426*(1/14151.6638359215)</f>
        <v>4.9077101048676899E-4</v>
      </c>
      <c r="EL158" s="2">
        <f>7.08818590008811*(1/14151.6638359215)</f>
        <v>5.0087297029314691E-4</v>
      </c>
      <c r="EM158" s="2">
        <f>7.17205783835287*(1/14151.6638359215)</f>
        <v>5.0679961886515904E-4</v>
      </c>
      <c r="EN158" s="2">
        <f>7.20755506202993*(1/14151.6638359215)</f>
        <v>5.0930796163591897E-4</v>
      </c>
      <c r="EO158" s="2">
        <f>7.20539045753068*(1/14151.6638359215)</f>
        <v>5.0915500403854062E-4</v>
      </c>
      <c r="EP158" s="2">
        <f>7.1762769112665*(1/14151.6638359215)</f>
        <v>5.0709775150613659E-4</v>
      </c>
      <c r="EQ158" s="2">
        <f>7.13092730964879*(1/14151.6638359215)</f>
        <v>5.0389320947182123E-4</v>
      </c>
      <c r="ER158" s="2">
        <f>7.08005453908893*(1/14151.6638359215)</f>
        <v>5.0029838336870759E-4</v>
      </c>
      <c r="ES158" s="2">
        <f>7.03437148599832*(1/14151.6638359215)</f>
        <v>4.970702786299099E-4</v>
      </c>
      <c r="ET158" s="2">
        <f>7.00459103678833*(1/14151.6638359215)</f>
        <v>4.9496590068854045E-4</v>
      </c>
      <c r="EU158" s="2">
        <f>7.00111456835695*(1/14151.6638359215)</f>
        <v>4.9472024275943141E-4</v>
      </c>
      <c r="EV158" s="2">
        <f>7.00820106342863*(1/14151.6638359215)</f>
        <v>4.952209962505998E-4</v>
      </c>
      <c r="EW158" s="2">
        <f>7.01238198362048*(1/14151.6638359215)</f>
        <v>4.9551643290316057E-4</v>
      </c>
      <c r="EX158" s="2">
        <f>7.01414841201078*(1/14151.6638359215)</f>
        <v>4.9564125415462476E-4</v>
      </c>
      <c r="EY158" s="2">
        <f>7.01399143167781*(1/14151.6638359215)</f>
        <v>4.9563016144250341E-4</v>
      </c>
      <c r="EZ158" s="2">
        <f>7.01240212569986*(1/14151.6638359215)</f>
        <v>4.9551785620430831E-4</v>
      </c>
      <c r="FA158" s="2">
        <f>7.0098715771552*(1/14151.6638359215)</f>
        <v>4.9533903987754985E-4</v>
      </c>
      <c r="FB158" s="2">
        <f>7.00689086912212*(1/14151.6638359215)</f>
        <v>4.9512841389973985E-4</v>
      </c>
      <c r="FC158" s="2">
        <f>7.00395108467889*(1/14151.6638359215)</f>
        <v>4.9492067970838857E-4</v>
      </c>
      <c r="FD158" s="2">
        <f>7.00154330690381*(1/14151.6638359215)</f>
        <v>4.9475053874100858E-4</v>
      </c>
      <c r="FE158" s="2">
        <f>7.00015861887514*(1/14151.6638359215)</f>
        <v>4.9465269243510951E-4</v>
      </c>
      <c r="FF158" s="2">
        <f t="shared" si="24"/>
        <v>4.9464148393856954E-4</v>
      </c>
      <c r="FG158" s="2">
        <f t="shared" si="24"/>
        <v>4.9464148393856954E-4</v>
      </c>
      <c r="FH158" s="2">
        <f t="shared" si="24"/>
        <v>4.9464148393856954E-4</v>
      </c>
      <c r="FI158" s="2">
        <f t="shared" si="24"/>
        <v>4.9464148393856954E-4</v>
      </c>
      <c r="FJ158" s="2">
        <f t="shared" si="24"/>
        <v>4.9464148393856954E-4</v>
      </c>
      <c r="FK158" s="2">
        <f t="shared" si="24"/>
        <v>4.9464148393856954E-4</v>
      </c>
      <c r="FL158" s="2">
        <f t="shared" si="24"/>
        <v>4.9464148393856954E-4</v>
      </c>
      <c r="FM158" s="2">
        <f t="shared" si="24"/>
        <v>4.9464148393856954E-4</v>
      </c>
      <c r="FN158" s="2">
        <f t="shared" si="24"/>
        <v>4.9464148393856954E-4</v>
      </c>
      <c r="FO158" s="2">
        <f t="shared" si="24"/>
        <v>4.9464148393856954E-4</v>
      </c>
      <c r="FP158" s="2">
        <f t="shared" si="24"/>
        <v>4.9464148393856954E-4</v>
      </c>
      <c r="FQ158" s="2"/>
    </row>
    <row r="159" spans="2:173">
      <c r="B159" s="2">
        <v>10.776923076923078</v>
      </c>
      <c r="C159" s="2">
        <f t="shared" si="25"/>
        <v>4.9464148393856954E-4</v>
      </c>
      <c r="D159" s="2">
        <f t="shared" si="25"/>
        <v>4.9464148393856954E-4</v>
      </c>
      <c r="E159" s="2">
        <f t="shared" si="25"/>
        <v>4.9464148393856954E-4</v>
      </c>
      <c r="F159" s="2">
        <f t="shared" si="25"/>
        <v>4.9464148393856954E-4</v>
      </c>
      <c r="G159" s="2">
        <f t="shared" si="25"/>
        <v>4.9464148393856954E-4</v>
      </c>
      <c r="H159" s="2">
        <f t="shared" si="25"/>
        <v>4.9464148393856954E-4</v>
      </c>
      <c r="I159" s="2">
        <f t="shared" si="25"/>
        <v>4.9464148393856954E-4</v>
      </c>
      <c r="J159" s="2">
        <f t="shared" si="25"/>
        <v>4.9464148393856954E-4</v>
      </c>
      <c r="K159" s="2">
        <f t="shared" si="25"/>
        <v>4.9464148393856954E-4</v>
      </c>
      <c r="L159" s="2">
        <f t="shared" si="25"/>
        <v>4.9464148393856954E-4</v>
      </c>
      <c r="M159" s="2">
        <f t="shared" si="25"/>
        <v>4.9464148393856954E-4</v>
      </c>
      <c r="N159" s="2">
        <f t="shared" si="25"/>
        <v>4.9464148393856954E-4</v>
      </c>
      <c r="O159" s="2">
        <f t="shared" si="25"/>
        <v>4.9464148393856954E-4</v>
      </c>
      <c r="P159" s="2">
        <f t="shared" si="25"/>
        <v>4.9464148393856954E-4</v>
      </c>
      <c r="Q159" s="2">
        <f t="shared" si="25"/>
        <v>4.9464148393856954E-4</v>
      </c>
      <c r="R159" s="2">
        <f t="shared" si="25"/>
        <v>4.9464148393856954E-4</v>
      </c>
      <c r="S159" s="2">
        <f t="shared" si="26"/>
        <v>4.9464148393856954E-4</v>
      </c>
      <c r="T159" s="2">
        <f t="shared" si="26"/>
        <v>4.9464148393856954E-4</v>
      </c>
      <c r="U159" s="2">
        <f t="shared" si="26"/>
        <v>4.9464148393856954E-4</v>
      </c>
      <c r="V159" s="2">
        <f t="shared" si="26"/>
        <v>4.9464148393856954E-4</v>
      </c>
      <c r="W159" s="2">
        <f t="shared" si="23"/>
        <v>4.9464148393856954E-4</v>
      </c>
      <c r="X159" s="2">
        <f t="shared" si="23"/>
        <v>4.9464148393856954E-4</v>
      </c>
      <c r="Y159" s="2">
        <f>7.00331316630462*(1/14151.6638359215)</f>
        <v>4.9487560243820564E-4</v>
      </c>
      <c r="Z159" s="2">
        <f>7.01364309100422*(1/14151.6638359215)</f>
        <v>4.9560554662140329E-4</v>
      </c>
      <c r="AA159" s="2">
        <f>7.02838417273769*(1/14151.6638359215)</f>
        <v>4.9664719669904661E-4</v>
      </c>
      <c r="AB159" s="2">
        <f>7.04485621482624*(1/14151.6638359215)</f>
        <v>4.9781116174792931E-4</v>
      </c>
      <c r="AC159" s="2">
        <f>7.06037902059103*(1/14151.6638359215)</f>
        <v>4.9890805084484163E-4</v>
      </c>
      <c r="AD159" s="2">
        <f>7.07227239335327*(1/14151.6638359215)</f>
        <v>4.9974847306657718E-4</v>
      </c>
      <c r="AE159" s="2">
        <f>7.07785613643413*(1/14151.6638359215)</f>
        <v>5.0014303748992695E-4</v>
      </c>
      <c r="AF159" s="2">
        <f>7.07445005315481*(1/14151.6638359215)</f>
        <v>4.9990235319168389E-4</v>
      </c>
      <c r="AG159" s="2">
        <f>7.05937394683648*(1/14151.6638359215)</f>
        <v>4.9883702924863901E-4</v>
      </c>
      <c r="AH159" s="2">
        <f>7.02994762080033*(1/14151.6638359215)</f>
        <v>4.967576747375845E-4</v>
      </c>
      <c r="AI159" s="2">
        <f>6.98450787262825*(1/14151.6638359215)</f>
        <v>4.935467626710656E-4</v>
      </c>
      <c r="AJ159" s="2">
        <f>6.93509901980357*(1/14151.6638359215)</f>
        <v>4.900553814880795E-4</v>
      </c>
      <c r="AK159" s="2">
        <f>6.88343600048228*(1/14151.6638359215)</f>
        <v>4.8640471398210387E-4</v>
      </c>
      <c r="AL159" s="2">
        <f>6.82626642554283*(1/14151.6638359215)</f>
        <v>4.8236493635579145E-4</v>
      </c>
      <c r="AM159" s="2">
        <f>6.76033790586372*(1/14151.6638359215)</f>
        <v>4.7770622481179889E-4</v>
      </c>
      <c r="AN159" s="2">
        <f>6.68239805232341*(1/14151.6638359215)</f>
        <v>4.7219875555277975E-4</v>
      </c>
      <c r="AO159" s="2">
        <f>6.58919447580036*(1/14151.6638359215)</f>
        <v>4.6561270478138783E-4</v>
      </c>
      <c r="AP159" s="2">
        <f>6.47747478717304*(1/14151.6638359215)</f>
        <v>4.5771824870027746E-4</v>
      </c>
      <c r="AQ159" s="2">
        <f>6.34398659731995*(1/14151.6638359215)</f>
        <v>4.4828556351210523E-4</v>
      </c>
      <c r="AR159" s="2">
        <f>6.18547751711955*(1/14151.6638359215)</f>
        <v>4.3708482541952474E-4</v>
      </c>
      <c r="AS159" s="2">
        <f>5.99869515745031*(1/14151.6638359215)</f>
        <v>4.2388621062519036E-4</v>
      </c>
      <c r="AT159" s="2">
        <f>5.75864411918241*(1/14151.6638359215)</f>
        <v>4.0692346751235772E-4</v>
      </c>
      <c r="AU159" s="2">
        <f>5.42456041178733*(1/14151.6638359215)</f>
        <v>3.8331608740012899E-4</v>
      </c>
      <c r="AV159" s="2">
        <f>5.02109428610738*(1/14151.6638359215)</f>
        <v>3.548059326679467E-4</v>
      </c>
      <c r="AW159" s="2">
        <f>4.57563102540624*(1/14151.6638359215)</f>
        <v>3.2332813148032875E-4</v>
      </c>
      <c r="AX159" s="2">
        <f>4.11555591294768*(1/14151.6638359215)</f>
        <v>2.9081781200179926E-4</v>
      </c>
      <c r="AY159" s="2">
        <f>3.66825423199546*(1/14151.6638359215)</f>
        <v>2.5921010239688172E-4</v>
      </c>
      <c r="AZ159" s="2">
        <f>3.26111126581333*(1/14151.6638359215)</f>
        <v>2.3044013083009895E-4</v>
      </c>
      <c r="BA159" s="2">
        <f>2.921512297665*(1/14151.6638359215)</f>
        <v>2.0644302546597081E-4</v>
      </c>
      <c r="BB159" s="2">
        <f>2.67684261081435*(1/14151.6638359215)</f>
        <v>1.8915391446902926E-4</v>
      </c>
      <c r="BC159" s="2">
        <f>2.55448748852509*(1/14151.6638359215)</f>
        <v>1.8050792600379431E-4</v>
      </c>
      <c r="BD159" s="2">
        <f>2.57393253842768*(1/14151.6638359215)</f>
        <v>1.8188197290937668E-4</v>
      </c>
      <c r="BE159" s="2">
        <f>2.48683334082185*(1/14151.6638359215)</f>
        <v>1.7572727628743293E-4</v>
      </c>
      <c r="BF159" s="2">
        <f>2.23826193028348*(1/14151.6638359215)</f>
        <v>1.5816245751980397E-4</v>
      </c>
      <c r="BG159" s="2">
        <f>1.92979127192037*(1/14151.6638359215)</f>
        <v>1.3636497406205591E-4</v>
      </c>
      <c r="BH159" s="2">
        <f>1.6629943308405*(1/14151.6638359215)</f>
        <v>1.1751228336976763E-4</v>
      </c>
      <c r="BI159" s="2">
        <f>1.53944407215165*(1/14151.6638359215)</f>
        <v>1.0878184289850379E-4</v>
      </c>
      <c r="BJ159" s="2">
        <f>1.66071346096167*(1/14151.6638359215)</f>
        <v>1.1735111010383402E-4</v>
      </c>
      <c r="BK159" s="2">
        <f>2.12837546237841*(1/14151.6638359215)</f>
        <v>1.5039754244132797E-4</v>
      </c>
      <c r="BL159" s="2">
        <f>3.04400304150969*(1/14151.6638359215)</f>
        <v>2.1509859736655316E-4</v>
      </c>
      <c r="BM159" s="2">
        <f>4.50916916346373*(1/14151.6638359215)</f>
        <v>3.1863173233510536E-4</v>
      </c>
      <c r="BN159" s="2">
        <f>6.62544679334782*(1/14151.6638359215)</f>
        <v>4.6817440480251466E-4</v>
      </c>
      <c r="BO159" s="2">
        <f>9.55439809496993*(1/14151.6638359215)</f>
        <v>6.7514309311939545E-4</v>
      </c>
      <c r="BP159" s="2">
        <f>13.487319324216*(1/14151.6638359215)</f>
        <v>9.5305537784050667E-4</v>
      </c>
      <c r="BQ159" s="2">
        <f>18.2459681013645*(1/14151.6638359215)</f>
        <v>1.2893161053649631E-3</v>
      </c>
      <c r="BR159" s="2">
        <f>23.6232720602101*(1/14151.6638359215)</f>
        <v>1.6692929067638389E-3</v>
      </c>
      <c r="BS159" s="2">
        <f>29.4121588345446*(1/14151.6638359215)</f>
        <v>2.0783534131080068E-3</v>
      </c>
      <c r="BT159" s="2">
        <f>35.4055560581627*(1/14151.6638359215)</f>
        <v>2.5018652554685441E-3</v>
      </c>
      <c r="BU159" s="2">
        <f>41.3963913648581*(1/14151.6638359215)</f>
        <v>2.9251960649164565E-3</v>
      </c>
      <c r="BV159" s="2">
        <f>47.1775923884245*(1/14151.6638359215)</f>
        <v>3.3337134725227513E-3</v>
      </c>
      <c r="BW159" s="2">
        <f>52.5420867626558*(1/14151.6638359215)</f>
        <v>3.7127851093584482E-3</v>
      </c>
      <c r="BX159" s="2">
        <f>57.2828021213457*(1/14151.6638359215)</f>
        <v>4.0477786064945544E-3</v>
      </c>
      <c r="BY159" s="2">
        <f>61.1943671260189*(1/14151.6638359215)</f>
        <v>4.3241817948422301E-3</v>
      </c>
      <c r="BZ159" s="2">
        <f>64.5877701609251*(1/14151.6638359215)</f>
        <v>4.5639700680976079E-3</v>
      </c>
      <c r="CA159" s="2">
        <f>67.7818676786485*(1/14151.6638359215)</f>
        <v>4.7896748018134939E-3</v>
      </c>
      <c r="CB159" s="2">
        <f>70.7373611360574*(1/14151.6638359215)</f>
        <v>4.9985190403197041E-3</v>
      </c>
      <c r="CC159" s="2">
        <f>73.4149519900202*(1/14151.6638359215)</f>
        <v>5.1877258279460613E-3</v>
      </c>
      <c r="CD159" s="2">
        <f>75.7753416974056*(1/14151.6638359215)</f>
        <v>5.3545182090224096E-3</v>
      </c>
      <c r="CE159" s="2">
        <f>77.7792317150809*(1/14151.6638359215)</f>
        <v>5.4961192278784954E-3</v>
      </c>
      <c r="CF159" s="2">
        <f>79.3873234999149*(1/14151.6638359215)</f>
        <v>5.6097519288441687E-3</v>
      </c>
      <c r="CG159" s="2">
        <f>80.560318508776*(1/14151.6638359215)</f>
        <v>5.6926393562492534E-3</v>
      </c>
      <c r="CH159" s="2">
        <f>81.2589181985323*(1/14151.6638359215)</f>
        <v>5.7420045544235498E-3</v>
      </c>
      <c r="CI159" s="2">
        <f>81.4438240260523*(1/14151.6638359215)</f>
        <v>5.7550705676968905E-3</v>
      </c>
      <c r="CJ159" s="2">
        <f>81.0433694506658*(1/14151.6638359215)</f>
        <v>5.7267732183512955E-3</v>
      </c>
      <c r="CK159" s="2">
        <f>79.8839366520081*(1/14151.6638359215)</f>
        <v>5.6448441383434248E-3</v>
      </c>
      <c r="CL159" s="2">
        <f>78.0469080098452*(1/14151.6638359215)</f>
        <v>5.5150340564009796E-3</v>
      </c>
      <c r="CM159" s="2">
        <f>75.6526882023695*(1/14151.6638359215)</f>
        <v>5.3458511366231377E-3</v>
      </c>
      <c r="CN159" s="2">
        <f>72.8216819077738*(1/14151.6638359215)</f>
        <v>5.145803543109102E-3</v>
      </c>
      <c r="CO159" s="2">
        <f>69.6742938042506*(1/14151.6638359215)</f>
        <v>4.9233994399580571E-3</v>
      </c>
      <c r="CP159" s="2">
        <f>66.330928569992*(1/14151.6638359215)</f>
        <v>4.6871469912691576E-3</v>
      </c>
      <c r="CQ159" s="2">
        <f>62.9119908831918*(1/14151.6638359215)</f>
        <v>4.4455543611416782E-3</v>
      </c>
      <c r="CR159" s="2">
        <f>59.5378854220421*(1/14151.6638359215)</f>
        <v>4.207129713674776E-3</v>
      </c>
      <c r="CS159" s="2">
        <f>56.3290168647353*(1/14151.6638359215)</f>
        <v>3.980381212967626E-3</v>
      </c>
      <c r="CT159" s="2">
        <f>53.4057898894643*(1/14151.6638359215)</f>
        <v>3.7738170231194396E-3</v>
      </c>
      <c r="CU159" s="2">
        <f>50.6439350131305*(1/14151.6638359215)</f>
        <v>3.5786558810547643E-3</v>
      </c>
      <c r="CV159" s="2">
        <f>47.7960859136722*(1/14151.6638359215)</f>
        <v>3.3774181232563111E-3</v>
      </c>
      <c r="CW159" s="2">
        <f>44.890892673222*(1/14151.6638359215)</f>
        <v>3.1721282524585126E-3</v>
      </c>
      <c r="CX159" s="2">
        <f>41.9580337480769*(1/14151.6638359215)</f>
        <v>2.9648834394704771E-3</v>
      </c>
      <c r="CY159" s="2">
        <f>39.0271875945346*(1/14151.6638359215)</f>
        <v>2.7577808551013613E-3</v>
      </c>
      <c r="CZ159" s="2">
        <f>36.1280326688928*(1/14151.6638359215)</f>
        <v>2.5529176701603218E-3</v>
      </c>
      <c r="DA159" s="2">
        <f>33.2902474274486*(1/14151.6638359215)</f>
        <v>2.3523910554564746E-3</v>
      </c>
      <c r="DB159" s="2">
        <f>30.5435103265007*(1/14151.6638359215)</f>
        <v>2.1582981817990471E-3</v>
      </c>
      <c r="DC159" s="2">
        <f>27.9174998223461*(1/14151.6638359215)</f>
        <v>1.9727362199971469E-3</v>
      </c>
      <c r="DD159" s="2">
        <f>25.4418943712826*(1/14151.6638359215)</f>
        <v>1.797802340859938E-3</v>
      </c>
      <c r="DE159" s="2">
        <f>23.134348417015*(1/14151.6638359215)</f>
        <v>1.6347440615634568E-3</v>
      </c>
      <c r="DF159" s="2">
        <f>20.8954322876172*(1/14151.6638359215)</f>
        <v>1.4765353763264101E-3</v>
      </c>
      <c r="DG159" s="2">
        <f>18.7109689100645*(1/14151.6638359215)</f>
        <v>1.322174489657535E-3</v>
      </c>
      <c r="DH159" s="2">
        <f>16.5994531478198*(1/14151.6638359215)</f>
        <v>1.1729683053723352E-3</v>
      </c>
      <c r="DI159" s="2">
        <f>14.5793798643472*(1/14151.6638359215)</f>
        <v>1.0302237272864E-3</v>
      </c>
      <c r="DJ159" s="2">
        <f>12.6692439231096*(1/14151.6638359215)</f>
        <v>8.9524765921523378E-4</v>
      </c>
      <c r="DK159" s="2">
        <f>10.8875401875702*(1/14151.6638359215)</f>
        <v>7.6934700497436226E-4</v>
      </c>
      <c r="DL159" s="2">
        <f>9.2527635211923*(1/14151.6638359215)</f>
        <v>6.5382866837931757E-4</v>
      </c>
      <c r="DM159" s="2">
        <f>7.78340878743892*(1/14151.6638359215)</f>
        <v>5.4999955324561286E-4</v>
      </c>
      <c r="DN159" s="2">
        <f>6.49797084977388*(1/14151.6638359215)</f>
        <v>4.5916656338881715E-4</v>
      </c>
      <c r="DO159" s="2">
        <f>5.41494457166016*(1/14151.6638359215)</f>
        <v>3.8263660262444053E-4</v>
      </c>
      <c r="DP159" s="2">
        <f>4.56832975988902*(1/14151.6638359215)</f>
        <v>3.2281220165031912E-4</v>
      </c>
      <c r="DQ159" s="2">
        <f>3.97740999442092*(1/14151.6638359215)</f>
        <v>2.8105599741035163E-4</v>
      </c>
      <c r="DR159" s="2">
        <f>3.60729972568038*(1/14151.6638359215)</f>
        <v>2.5490286990310543E-4</v>
      </c>
      <c r="DS159" s="2">
        <f>3.42196821107782*(1/14151.6638359215)</f>
        <v>2.4180677627402071E-4</v>
      </c>
      <c r="DT159" s="2">
        <f>3.38538470802365*(1/14151.6638359215)</f>
        <v>2.3922167366853704E-4</v>
      </c>
      <c r="DU159" s="2">
        <f>3.4615184739283*(1/14151.6638359215)</f>
        <v>2.4460151923209531E-4</v>
      </c>
      <c r="DV159" s="2">
        <f>3.61433876620217*(1/14151.6638359215)</f>
        <v>2.5540027011013432E-4</v>
      </c>
      <c r="DW159" s="2">
        <f>3.80781484225568*(1/14151.6638359215)</f>
        <v>2.6907188344809426E-4</v>
      </c>
      <c r="DX159" s="2">
        <f>4.00591595949923*(1/14151.6638359215)</f>
        <v>2.83070316391414E-4</v>
      </c>
      <c r="DY159" s="2">
        <f>4.17261137534329*(1/14151.6638359215)</f>
        <v>2.9484952608553719E-4</v>
      </c>
      <c r="DZ159" s="2">
        <f>4.27760708624264*(1/14151.6638359215)</f>
        <v>3.0226884526360001E-4</v>
      </c>
      <c r="EA159" s="2">
        <f>4.41639430780138*(1/14151.6638359215)</f>
        <v>3.1207597629553236E-4</v>
      </c>
      <c r="EB159" s="2">
        <f>4.62306462210023*(1/14151.6638359215)</f>
        <v>3.2667993500279429E-4</v>
      </c>
      <c r="EC159" s="2">
        <f>4.88199189153748*(1/14151.6638359215)</f>
        <v>3.4497653054373756E-4</v>
      </c>
      <c r="ED159" s="2">
        <f>5.17754997851138*(1/14151.6638359215)</f>
        <v>3.6586157207671113E-4</v>
      </c>
      <c r="EE159" s="2">
        <f>5.49411274542028*(1/14151.6638359215)</f>
        <v>3.8823086876007076E-4</v>
      </c>
      <c r="EF159" s="2">
        <f>5.8160540546623*(1/14151.6638359215)</f>
        <v>4.1098022975215634E-4</v>
      </c>
      <c r="EG159" s="2">
        <f>6.12774776863579*(1/14151.6638359215)</f>
        <v>4.3300546421132366E-4</v>
      </c>
      <c r="EH159" s="2">
        <f>6.41356774973899*(1/14151.6638359215)</f>
        <v>4.5320238129592088E-4</v>
      </c>
      <c r="EI159" s="2">
        <f>6.6578878603702*(1/14151.6638359215)</f>
        <v>4.7046679016430048E-4</v>
      </c>
      <c r="EJ159" s="2">
        <f>6.84508196292769*(1/14151.6638359215)</f>
        <v>4.8369449997481275E-4</v>
      </c>
      <c r="EK159" s="2">
        <f>6.9685939055409*(1/14151.6638359215)</f>
        <v>4.9242223291457474E-4</v>
      </c>
      <c r="EL159" s="2">
        <f>7.05056400761033*(1/14151.6638359215)</f>
        <v>4.9821449190403451E-4</v>
      </c>
      <c r="EM159" s="2">
        <f>7.09865447695378*(1/14151.6638359215)</f>
        <v>5.0161271206394114E-4</v>
      </c>
      <c r="EN159" s="2">
        <f>7.11900786549275*(1/14151.6638359215)</f>
        <v>5.0305094496538318E-4</v>
      </c>
      <c r="EO159" s="2">
        <f>7.11776672514873*(1/14151.6638359215)</f>
        <v>5.0296324217944863E-4</v>
      </c>
      <c r="EP159" s="2">
        <f>7.10107360784319*(1/14151.6638359215)</f>
        <v>5.0178365527722398E-4</v>
      </c>
      <c r="EQ159" s="2">
        <f>7.07507106549762*(1/14151.6638359215)</f>
        <v>4.9994623582979702E-4</v>
      </c>
      <c r="ER159" s="2">
        <f>7.0459016500335*(1/14151.6638359215)</f>
        <v>4.978850354082551E-4</v>
      </c>
      <c r="ES159" s="2">
        <f>7.01970791337233*(1/14151.6638359215)</f>
        <v>4.9603410558368699E-4</v>
      </c>
      <c r="ET159" s="2">
        <f>7.00263240743557*(1/14151.6638359215)</f>
        <v>4.9482749792717831E-4</v>
      </c>
      <c r="EU159" s="2">
        <f>7.00063907090393*(1/14151.6638359215)</f>
        <v>4.9468664265003555E-4</v>
      </c>
      <c r="EV159" s="2">
        <f>7.00470232353702*(1/14151.6638359215)</f>
        <v>4.9497376455175687E-4</v>
      </c>
      <c r="EW159" s="2">
        <f>7.0070995784291*(1/14151.6638359215)</f>
        <v>4.9514316193992791E-4</v>
      </c>
      <c r="EX159" s="2">
        <f>7.00811241266316*(1/14151.6638359215)</f>
        <v>4.9521473191543061E-4</v>
      </c>
      <c r="EY159" s="2">
        <f>7.00802240332218*(1/14151.6638359215)</f>
        <v>4.9520837157914616E-4</v>
      </c>
      <c r="EZ159" s="2">
        <f>7.00711112748915*(1/14151.6638359215)</f>
        <v>4.9514397803195661E-4</v>
      </c>
      <c r="FA159" s="2">
        <f>7.00566016224706*(1/14151.6638359215)</f>
        <v>4.9504144837474368E-4</v>
      </c>
      <c r="FB159" s="2">
        <f>7.00395108467889*(1/14151.6638359215)</f>
        <v>4.9492067970838857E-4</v>
      </c>
      <c r="FC159" s="2">
        <f>7.00226547186764*(1/14151.6638359215)</f>
        <v>4.9480156913377386E-4</v>
      </c>
      <c r="FD159" s="2">
        <f>7.0008849008963*(1/14151.6638359215)</f>
        <v>4.9470401375178161E-4</v>
      </c>
      <c r="FE159" s="2">
        <f>7.00009094884785*(1/14151.6638359215)</f>
        <v>4.946479106632929E-4</v>
      </c>
      <c r="FF159" s="2">
        <f t="shared" si="24"/>
        <v>4.9464148393856954E-4</v>
      </c>
      <c r="FG159" s="2">
        <f t="shared" si="24"/>
        <v>4.9464148393856954E-4</v>
      </c>
      <c r="FH159" s="2">
        <f t="shared" si="24"/>
        <v>4.9464148393856954E-4</v>
      </c>
      <c r="FI159" s="2">
        <f t="shared" si="24"/>
        <v>4.9464148393856954E-4</v>
      </c>
      <c r="FJ159" s="2">
        <f t="shared" si="24"/>
        <v>4.9464148393856954E-4</v>
      </c>
      <c r="FK159" s="2">
        <f t="shared" si="24"/>
        <v>4.9464148393856954E-4</v>
      </c>
      <c r="FL159" s="2">
        <f t="shared" si="24"/>
        <v>4.9464148393856954E-4</v>
      </c>
      <c r="FM159" s="2">
        <f t="shared" si="24"/>
        <v>4.9464148393856954E-4</v>
      </c>
      <c r="FN159" s="2">
        <f t="shared" si="24"/>
        <v>4.9464148393856954E-4</v>
      </c>
      <c r="FO159" s="2">
        <f t="shared" si="24"/>
        <v>4.9464148393856954E-4</v>
      </c>
      <c r="FP159" s="2">
        <f t="shared" si="24"/>
        <v>4.9464148393856954E-4</v>
      </c>
      <c r="FQ159" s="2"/>
    </row>
    <row r="160" spans="2:173">
      <c r="B160" s="2">
        <v>10.786390532544379</v>
      </c>
      <c r="C160" s="2">
        <f t="shared" si="25"/>
        <v>4.9464148393856954E-4</v>
      </c>
      <c r="D160" s="2">
        <f t="shared" si="25"/>
        <v>4.9464148393856954E-4</v>
      </c>
      <c r="E160" s="2">
        <f t="shared" si="25"/>
        <v>4.9464148393856954E-4</v>
      </c>
      <c r="F160" s="2">
        <f t="shared" si="25"/>
        <v>4.9464148393856954E-4</v>
      </c>
      <c r="G160" s="2">
        <f t="shared" si="25"/>
        <v>4.9464148393856954E-4</v>
      </c>
      <c r="H160" s="2">
        <f t="shared" si="25"/>
        <v>4.9464148393856954E-4</v>
      </c>
      <c r="I160" s="2">
        <f t="shared" si="25"/>
        <v>4.9464148393856954E-4</v>
      </c>
      <c r="J160" s="2">
        <f t="shared" si="25"/>
        <v>4.9464148393856954E-4</v>
      </c>
      <c r="K160" s="2">
        <f t="shared" si="25"/>
        <v>4.9464148393856954E-4</v>
      </c>
      <c r="L160" s="2">
        <f t="shared" si="25"/>
        <v>4.9464148393856954E-4</v>
      </c>
      <c r="M160" s="2">
        <f t="shared" si="25"/>
        <v>4.9464148393856954E-4</v>
      </c>
      <c r="N160" s="2">
        <f t="shared" si="25"/>
        <v>4.9464148393856954E-4</v>
      </c>
      <c r="O160" s="2">
        <f t="shared" si="25"/>
        <v>4.9464148393856954E-4</v>
      </c>
      <c r="P160" s="2">
        <f t="shared" si="25"/>
        <v>4.9464148393856954E-4</v>
      </c>
      <c r="Q160" s="2">
        <f t="shared" si="25"/>
        <v>4.9464148393856954E-4</v>
      </c>
      <c r="R160" s="2">
        <f t="shared" si="25"/>
        <v>4.9464148393856954E-4</v>
      </c>
      <c r="S160" s="2">
        <f t="shared" si="26"/>
        <v>4.9464148393856954E-4</v>
      </c>
      <c r="T160" s="2">
        <f t="shared" si="26"/>
        <v>4.9464148393856954E-4</v>
      </c>
      <c r="U160" s="2">
        <f t="shared" si="26"/>
        <v>4.9464148393856954E-4</v>
      </c>
      <c r="V160" s="2">
        <f t="shared" si="26"/>
        <v>4.9464148393856954E-4</v>
      </c>
      <c r="W160" s="2">
        <f t="shared" si="23"/>
        <v>4.9464148393856954E-4</v>
      </c>
      <c r="X160" s="2">
        <f t="shared" si="23"/>
        <v>4.9464148393856954E-4</v>
      </c>
      <c r="Y160" s="2">
        <f>7.00129413385107*(1/14151.6638359215)</f>
        <v>4.9473293140835648E-4</v>
      </c>
      <c r="Z160" s="2">
        <f>7.00532903702331*(1/14151.6638359215)</f>
        <v>4.9501805005016579E-4</v>
      </c>
      <c r="AA160" s="2">
        <f>7.01108695290155*(1/14151.6638359215)</f>
        <v>4.9542492205793809E-4</v>
      </c>
      <c r="AB160" s="2">
        <f>7.01752098768973*(1/14151.6638359215)</f>
        <v>4.9587957070298635E-4</v>
      </c>
      <c r="AC160" s="2">
        <f>7.02358424759181*(1/14151.6638359215)</f>
        <v>4.9630801925662493E-4</v>
      </c>
      <c r="AD160" s="2">
        <f>7.02822983881175*(1/14151.6638359215)</f>
        <v>4.9663629099016822E-4</v>
      </c>
      <c r="AE160" s="2">
        <f>7.0304108675535*(1/14151.6638359215)</f>
        <v>4.9679040917492993E-4</v>
      </c>
      <c r="AF160" s="2">
        <f>7.02908044002103*(1/14151.6638359215)</f>
        <v>4.966963970822251E-4</v>
      </c>
      <c r="AG160" s="2">
        <f>7.02319166241829*(1/14151.6638359215)</f>
        <v>4.9628027798336743E-4</v>
      </c>
      <c r="AH160" s="2">
        <f>7.01169764094924*(1/14151.6638359215)</f>
        <v>4.9546807514967142E-4</v>
      </c>
      <c r="AI160" s="2">
        <f>6.99372983767125*(1/14151.6638359215)</f>
        <v>4.9419841502445117E-4</v>
      </c>
      <c r="AJ160" s="2">
        <f>6.97116501607904*(1/14151.6638359215)</f>
        <v>4.9260391547628266E-4</v>
      </c>
      <c r="AK160" s="2">
        <f>6.94482230599825*(1/14151.6638359215)</f>
        <v>4.9074245873266477E-4</v>
      </c>
      <c r="AL160" s="2">
        <f>6.91474334512623*(1/14151.6638359215)</f>
        <v>4.8861698704108383E-4</v>
      </c>
      <c r="AM160" s="2">
        <f>6.88096977116036*(1/14151.6638359215)</f>
        <v>4.8623044264902853E-4</v>
      </c>
      <c r="AN160" s="2">
        <f>6.84354322179801*(1/14151.6638359215)</f>
        <v>4.8358576780398665E-4</v>
      </c>
      <c r="AO160" s="2">
        <f>6.80250533473654*(1/14151.6638359215)</f>
        <v>4.806859047534454E-4</v>
      </c>
      <c r="AP160" s="2">
        <f>6.75789774767332*(1/14151.6638359215)</f>
        <v>4.775337957448926E-4</v>
      </c>
      <c r="AQ160" s="2">
        <f>6.70976209830573*(1/14151.6638359215)</f>
        <v>4.7413238302581668E-4</v>
      </c>
      <c r="AR160" s="2">
        <f>6.65814002433113*(1/14151.6638359215)</f>
        <v>4.7048460884370485E-4</v>
      </c>
      <c r="AS160" s="2">
        <f>6.6030731634469*(1/14151.6638359215)</f>
        <v>4.6659341544604563E-4</v>
      </c>
      <c r="AT160" s="2">
        <f>6.53194685757204*(1/14151.6638359215)</f>
        <v>4.6156741237675858E-4</v>
      </c>
      <c r="AU160" s="2">
        <f>6.42084169694431*(1/14151.6638359215)</f>
        <v>4.5371638073016805E-4</v>
      </c>
      <c r="AV160" s="2">
        <f>6.28191905646213*(1/14151.6638359215)</f>
        <v>4.4389968058148672E-4</v>
      </c>
      <c r="AW160" s="2">
        <f>6.12888894497652*(1/14151.6638359215)</f>
        <v>4.3308610323398284E-4</v>
      </c>
      <c r="AX160" s="2">
        <f>5.97546137133854*(1/14151.6638359215)</f>
        <v>4.2224443999092787E-4</v>
      </c>
      <c r="AY160" s="2">
        <f>5.83534634439921*(1/14151.6638359215)</f>
        <v>4.1234348215559032E-4</v>
      </c>
      <c r="AZ160" s="2">
        <f>5.72225387300958*(1/14151.6638359215)</f>
        <v>4.0435202103124084E-4</v>
      </c>
      <c r="BA160" s="2">
        <f>5.6498939660207*(1/14151.6638359215)</f>
        <v>3.9923884792114991E-4</v>
      </c>
      <c r="BB160" s="2">
        <f>5.63197663228362*(1/14151.6638359215)</f>
        <v>3.9797275412858815E-4</v>
      </c>
      <c r="BC160" s="2">
        <f>5.68221188064937*(1/14151.6638359215)</f>
        <v>4.0152253095682492E-4</v>
      </c>
      <c r="BD160" s="2">
        <f>5.80929188942526*(1/14151.6638359215)</f>
        <v>4.1050239440251529E-4</v>
      </c>
      <c r="BE160" s="2">
        <f>5.85354810818244*(1/14151.6638359215)</f>
        <v>4.1362967464816691E-4</v>
      </c>
      <c r="BF160" s="2">
        <f>5.78308321906859*(1/14151.6638359215)</f>
        <v>4.0865040931718961E-4</v>
      </c>
      <c r="BG160" s="2">
        <f>5.66623397559224*(1/14151.6638359215)</f>
        <v>4.0039348314715518E-4</v>
      </c>
      <c r="BH160" s="2">
        <f>5.57133713126203*(1/14151.6638359215)</f>
        <v>3.9368778087564338E-4</v>
      </c>
      <c r="BI160" s="2">
        <f>5.56672943958652*(1/14151.6638359215)</f>
        <v>3.9336218724022822E-4</v>
      </c>
      <c r="BJ160" s="2">
        <f>5.72074765407425*(1/14151.6638359215)</f>
        <v>4.0424558697848255E-4</v>
      </c>
      <c r="BK160" s="2">
        <f>6.10172852823382*(1/14151.6638359215)</f>
        <v>4.3116686482798296E-4</v>
      </c>
      <c r="BL160" s="2">
        <f>6.77800881557378*(1/14151.6638359215)</f>
        <v>4.7895490552630294E-4</v>
      </c>
      <c r="BM160" s="2">
        <f>7.81792526960294*(1/14151.6638359215)</f>
        <v>5.5243859381103424E-4</v>
      </c>
      <c r="BN160" s="2">
        <f>9.2898146438295*(1/14151.6638359215)</f>
        <v>6.5644681441972543E-4</v>
      </c>
      <c r="BO160" s="2">
        <f>11.2992651200327*(1/14151.6638359215)</f>
        <v>7.9844075234118488E-4</v>
      </c>
      <c r="BP160" s="2">
        <f>13.9654048441141*(1/14151.6638359215)</f>
        <v>9.8683836798506958E-4</v>
      </c>
      <c r="BQ160" s="2">
        <f>17.1718879375233*(1/14151.6638359215)</f>
        <v>1.2134183044919069E-3</v>
      </c>
      <c r="BR160" s="2">
        <f>20.7842037720231*(1/14151.6638359215)</f>
        <v>1.4686756280393031E-3</v>
      </c>
      <c r="BS160" s="2">
        <f>24.6678417193746*(1/14151.6638359215)</f>
        <v>1.743105404804744E-3</v>
      </c>
      <c r="BT160" s="2">
        <f>28.6882911513407*(1/14151.6638359215)</f>
        <v>2.0272027009658423E-3</v>
      </c>
      <c r="BU160" s="2">
        <f>32.7110414396837*(1/14151.6638359215)</f>
        <v>2.3114625827001696E-3</v>
      </c>
      <c r="BV160" s="2">
        <f>36.601581956166*(1/14151.6638359215)</f>
        <v>2.5863801161853032E-3</v>
      </c>
      <c r="BW160" s="2">
        <f>40.2254020725499*(1/14151.6638359215)</f>
        <v>2.8424503675988132E-3</v>
      </c>
      <c r="BX160" s="2">
        <f>43.4479911605977*(1/14151.6638359215)</f>
        <v>3.0701684031182713E-3</v>
      </c>
      <c r="BY160" s="2">
        <f>46.1360410282941*(1/14151.6638359215)</f>
        <v>3.2601142567551603E-3</v>
      </c>
      <c r="BZ160" s="2">
        <f>48.516760100423*(1/14151.6638359215)</f>
        <v>3.4283431731378308E-3</v>
      </c>
      <c r="CA160" s="2">
        <f>50.8070337424806*(1/14151.6638359215)</f>
        <v>3.5901809378425112E-3</v>
      </c>
      <c r="CB160" s="2">
        <f>52.9670746581054*(1/14151.6638359215)</f>
        <v>3.7428160583957513E-3</v>
      </c>
      <c r="CC160" s="2">
        <f>54.957095550936*(1/14151.6638359215)</f>
        <v>3.883437042324106E-3</v>
      </c>
      <c r="CD160" s="2">
        <f>56.7373091246115*(1/14151.6638359215)</f>
        <v>4.0092323971541678E-3</v>
      </c>
      <c r="CE160" s="2">
        <f>58.2679280827697*(1/14151.6638359215)</f>
        <v>4.1173906304124361E-3</v>
      </c>
      <c r="CF160" s="2">
        <f>59.5091651290497*(1/14151.6638359215)</f>
        <v>4.2051002496255032E-3</v>
      </c>
      <c r="CG160" s="2">
        <f>60.42123296709*(1/14151.6638359215)</f>
        <v>4.2695497623199165E-3</v>
      </c>
      <c r="CH160" s="2">
        <f>60.9643443005293*(1/14151.6638359215)</f>
        <v>4.3079276760222412E-3</v>
      </c>
      <c r="CI160" s="2">
        <f>61.0987118330062*(1/14151.6638359215)</f>
        <v>4.3174224982590326E-3</v>
      </c>
      <c r="CJ160" s="2">
        <f>60.7637260855926*(1/14151.6638359215)</f>
        <v>4.2937513772306132E-3</v>
      </c>
      <c r="CK160" s="2">
        <f>59.8446134622011*(1/14151.6638359215)</f>
        <v>4.2288040583818931E-3</v>
      </c>
      <c r="CL160" s="2">
        <f>58.4084062950686*(1/14151.6638359215)</f>
        <v>4.1273172520399455E-3</v>
      </c>
      <c r="CM160" s="2">
        <f>56.5485087429625*(1/14151.6638359215)</f>
        <v>3.9958911827331633E-3</v>
      </c>
      <c r="CN160" s="2">
        <f>54.3583249646499*(1/14151.6638359215)</f>
        <v>3.8411260749899169E-3</v>
      </c>
      <c r="CO160" s="2">
        <f>51.9312591188982*(1/14151.6638359215)</f>
        <v>3.6696221533385966E-3</v>
      </c>
      <c r="CP160" s="2">
        <f>49.3607153644741*(1/14151.6638359215)</f>
        <v>3.4879796423075457E-3</v>
      </c>
      <c r="CQ160" s="2">
        <f>46.7400978601458*(1/14151.6638359215)</f>
        <v>3.3027987664252111E-3</v>
      </c>
      <c r="CR160" s="2">
        <f>44.1628107646802*(1/14151.6638359215)</f>
        <v>3.1206797502199499E-3</v>
      </c>
      <c r="CS160" s="2">
        <f>41.7222582368445*(1/14151.6638359215)</f>
        <v>2.9482228182201387E-3</v>
      </c>
      <c r="CT160" s="2">
        <f>39.511844435406*(1/14151.6638359215)</f>
        <v>2.792028194954162E-3</v>
      </c>
      <c r="CU160" s="2">
        <f>37.4281055398574*(1/14151.6638359215)</f>
        <v>2.6447848093206373E-3</v>
      </c>
      <c r="CV160" s="2">
        <f>35.2733042298402*(1/14151.6638359215)</f>
        <v>2.4925199353806825E-3</v>
      </c>
      <c r="CW160" s="2">
        <f>33.0746397067883*(1/14151.6638359215)</f>
        <v>2.3371555521856141E-3</v>
      </c>
      <c r="CX160" s="2">
        <f>30.8601435806776*(1/14151.6638359215)</f>
        <v>2.1806724593290984E-3</v>
      </c>
      <c r="CY160" s="2">
        <f>28.6578474614849*(1/14151.6638359215)</f>
        <v>2.0250514564048657E-3</v>
      </c>
      <c r="CZ160" s="2">
        <f>26.4957829591865*(1/14151.6638359215)</f>
        <v>1.8722733430066106E-3</v>
      </c>
      <c r="DA160" s="2">
        <f>24.4019816837587*(1/14151.6638359215)</f>
        <v>1.7243189187280282E-3</v>
      </c>
      <c r="DB160" s="2">
        <f>22.4044752451787*(1/14151.6638359215)</f>
        <v>1.5831689831628769E-3</v>
      </c>
      <c r="DC160" s="2">
        <f>20.5312952534228*(1/14151.6638359215)</f>
        <v>1.4508043359048519E-3</v>
      </c>
      <c r="DD160" s="2">
        <f>18.8104733184674*(1/14151.6638359215)</f>
        <v>1.3292057765476547E-3</v>
      </c>
      <c r="DE160" s="2">
        <f>17.2640627799682*(1/14151.6638359215)</f>
        <v>1.2199316617560138E-3</v>
      </c>
      <c r="DF160" s="2">
        <f>15.8472290320465*(1/14151.6638359215)</f>
        <v>1.1198138406751231E-3</v>
      </c>
      <c r="DG160" s="2">
        <f>14.5404625451929*(1/14151.6638359215)</f>
        <v>1.0274737100724866E-3</v>
      </c>
      <c r="DH160" s="2">
        <f>13.3387058600604*(1/14151.6638359215)</f>
        <v>9.4255389434862429E-4</v>
      </c>
      <c r="DI160" s="2">
        <f>12.2369015173029*(1/14151.6638359215)</f>
        <v>8.6469701790412002E-4</v>
      </c>
      <c r="DJ160" s="2">
        <f>11.2299920575735*(1/14151.6638359215)</f>
        <v>7.9354570513950093E-4</v>
      </c>
      <c r="DK160" s="2">
        <f>10.3129200215256*(1/14151.6638359215)</f>
        <v>7.2874258045531532E-4</v>
      </c>
      <c r="DL160" s="2">
        <f>9.48062794981245*(1/14151.6638359215)</f>
        <v>6.699302682521012E-4</v>
      </c>
      <c r="DM160" s="2">
        <f>8.72805838308738*(1/14151.6638359215)</f>
        <v>6.1675139293040188E-4</v>
      </c>
      <c r="DN160" s="2">
        <f>8.05015386200398*(1/14151.6638359215)</f>
        <v>5.6884857889077922E-4</v>
      </c>
      <c r="DO160" s="2">
        <f>7.44185692721548*(1/14151.6638359215)</f>
        <v>5.2586445053376982E-4</v>
      </c>
      <c r="DP160" s="2">
        <f>6.92259094253044*(1/14151.6638359215)</f>
        <v>4.89171522358994E-4</v>
      </c>
      <c r="DQ160" s="2">
        <f>6.52918552385992*(1/14151.6638359215)</f>
        <v>4.6137228806175678E-4</v>
      </c>
      <c r="DR160" s="2">
        <f>6.24609372124465*(1/14151.6638359215)</f>
        <v>4.4136815244226224E-4</v>
      </c>
      <c r="DS160" s="2">
        <f>6.05639536417642*(1/14151.6638359215)</f>
        <v>4.2796348432212826E-4</v>
      </c>
      <c r="DT160" s="2">
        <f>5.94317028214701*(1/14151.6638359215)</f>
        <v>4.1996265252297203E-4</v>
      </c>
      <c r="DU160" s="2">
        <f>5.88949830464824*(1/14151.6638359215)</f>
        <v>4.1617002586641355E-4</v>
      </c>
      <c r="DV160" s="2">
        <f>5.87845926117187*(1/14151.6638359215)</f>
        <v>4.1538997317406873E-4</v>
      </c>
      <c r="DW160" s="2">
        <f>5.89313298120971*(1/14151.6638359215)</f>
        <v>4.1642686326755679E-4</v>
      </c>
      <c r="DX160" s="2">
        <f>5.91659929425352*(1/14151.6638359215)</f>
        <v>4.1808506496849348E-4</v>
      </c>
      <c r="DY160" s="2">
        <f>5.93193802979512*(1/14151.6638359215)</f>
        <v>4.1916894709849895E-4</v>
      </c>
      <c r="DZ160" s="2">
        <f>5.9250704923444*(1/14151.6638359215)</f>
        <v>4.1868366582483785E-4</v>
      </c>
      <c r="EA160" s="2">
        <f>5.94372676482835*(1/14151.6638359215)</f>
        <v>4.2000197529715546E-4</v>
      </c>
      <c r="EB160" s="2">
        <f>6.00399950646895*(1/14151.6638359215)</f>
        <v>4.2426103220660581E-4</v>
      </c>
      <c r="EC160" s="2">
        <f>6.09717771041824*(1/14151.6638359215)</f>
        <v>4.3084529007406401E-4</v>
      </c>
      <c r="ED160" s="2">
        <f>6.21455036982825*(1/14151.6638359215)</f>
        <v>4.3913920242040451E-4</v>
      </c>
      <c r="EE160" s="2">
        <f>6.34740647785104*(1/14151.6638359215)</f>
        <v>4.4852722276650392E-4</v>
      </c>
      <c r="EF160" s="2">
        <f>6.4870350276386*(1/14151.6638359215)</f>
        <v>4.5839380463323382E-4</v>
      </c>
      <c r="EG160" s="2">
        <f>6.62472501234299*(1/14151.6638359215)</f>
        <v>4.6812340154147073E-4</v>
      </c>
      <c r="EH160" s="2">
        <f>6.75176542511624*(1/14151.6638359215)</f>
        <v>4.771004670120891E-4</v>
      </c>
      <c r="EI160" s="2">
        <f>6.8594452591104*(1/14151.6638359215)</f>
        <v>4.8470945456596484E-4</v>
      </c>
      <c r="EJ160" s="2">
        <f>6.9390535074775*(1/14151.6638359215)</f>
        <v>4.9033481772397234E-4</v>
      </c>
      <c r="EK160" s="2">
        <f>6.98773267435668*(1/14151.6638359215)</f>
        <v>4.9377463705854534E-4</v>
      </c>
      <c r="EL160" s="2">
        <f>7.01975047066088*(1/14151.6638359215)</f>
        <v>4.9603711281231001E-4</v>
      </c>
      <c r="EM160" s="2">
        <f>7.03853476899332*(1/14151.6638359215)</f>
        <v>4.973644689840104E-4</v>
      </c>
      <c r="EN160" s="2">
        <f>7.04648487069978*(1/14151.6638359215)</f>
        <v>4.9792624757051692E-4</v>
      </c>
      <c r="EO160" s="2">
        <f>7.04600007712607*(1/14151.6638359215)</f>
        <v>4.9789199056870213E-4</v>
      </c>
      <c r="EP160" s="2">
        <f>7.03947968961797*(1/14151.6638359215)</f>
        <v>4.9743123997543623E-4</v>
      </c>
      <c r="EQ160" s="2">
        <f>7.02932300952128*(1/14151.6638359215)</f>
        <v>4.9671353778759112E-4</v>
      </c>
      <c r="ER160" s="2">
        <f>7.0179293381818*(1/14151.6638359215)</f>
        <v>4.9590842600203842E-4</v>
      </c>
      <c r="ES160" s="2">
        <f>7.00769797694532*(1/14151.6638359215)</f>
        <v>4.9518544661564929E-4</v>
      </c>
      <c r="ET160" s="2">
        <f>7.00102822715763*(1/14151.6638359215)</f>
        <v>4.9471414162529476E-4</v>
      </c>
      <c r="EU160" s="2">
        <f>7.00024962323468*(1/14151.6638359215)</f>
        <v>4.946591230824592E-4</v>
      </c>
      <c r="EV160" s="2">
        <f>7.00183674331694*(1/14151.6638359215)</f>
        <v>4.9477127385855603E-4</v>
      </c>
      <c r="EW160" s="2">
        <f>7.00277311910379*(1/14151.6638359215)</f>
        <v>4.9483744104551774E-4</v>
      </c>
      <c r="EX160" s="2">
        <f>7.00316873554659*(1/14151.6638359215)</f>
        <v>4.9486539651756589E-4</v>
      </c>
      <c r="EY160" s="2">
        <f>7.00313357759665*(1/14151.6638359215)</f>
        <v>4.9486291214891856E-4</v>
      </c>
      <c r="EZ160" s="2">
        <f>7.00277763020532*(1/14151.6638359215)</f>
        <v>4.9483775981379698E-4</v>
      </c>
      <c r="FA160" s="2">
        <f>7.00221087832392*(1/14151.6638359215)</f>
        <v>4.9479771138641977E-4</v>
      </c>
      <c r="FB160" s="2">
        <f>7.00154330690381*(1/14151.6638359215)</f>
        <v>4.9475053874100858E-4</v>
      </c>
      <c r="FC160" s="2">
        <f>7.0008849008963*(1/14151.6638359215)</f>
        <v>4.9470401375178161E-4</v>
      </c>
      <c r="FD160" s="2">
        <f>7.00034564525274*(1/14151.6638359215)</f>
        <v>4.9466590829295976E-4</v>
      </c>
      <c r="FE160" s="2">
        <f>7.00003552492447*(1/14151.6638359215)</f>
        <v>4.9464399423876338E-4</v>
      </c>
      <c r="FF160" s="2">
        <f t="shared" si="24"/>
        <v>4.9464148393856954E-4</v>
      </c>
      <c r="FG160" s="2">
        <f t="shared" si="24"/>
        <v>4.9464148393856954E-4</v>
      </c>
      <c r="FH160" s="2">
        <f t="shared" si="24"/>
        <v>4.9464148393856954E-4</v>
      </c>
      <c r="FI160" s="2">
        <f t="shared" si="24"/>
        <v>4.9464148393856954E-4</v>
      </c>
      <c r="FJ160" s="2">
        <f t="shared" si="24"/>
        <v>4.9464148393856954E-4</v>
      </c>
      <c r="FK160" s="2">
        <f t="shared" si="24"/>
        <v>4.9464148393856954E-4</v>
      </c>
      <c r="FL160" s="2">
        <f t="shared" si="24"/>
        <v>4.9464148393856954E-4</v>
      </c>
      <c r="FM160" s="2">
        <f t="shared" si="24"/>
        <v>4.9464148393856954E-4</v>
      </c>
      <c r="FN160" s="2">
        <f t="shared" si="24"/>
        <v>4.9464148393856954E-4</v>
      </c>
      <c r="FO160" s="2">
        <f t="shared" si="24"/>
        <v>4.9464148393856954E-4</v>
      </c>
      <c r="FP160" s="2">
        <f t="shared" si="24"/>
        <v>4.9464148393856954E-4</v>
      </c>
      <c r="FQ160" s="2"/>
    </row>
    <row r="161" spans="2:173">
      <c r="B161" s="2">
        <v>10.795857988165681</v>
      </c>
      <c r="C161" s="2">
        <f t="shared" si="25"/>
        <v>4.9464148393856954E-4</v>
      </c>
      <c r="D161" s="2">
        <f t="shared" si="25"/>
        <v>4.9464148393856954E-4</v>
      </c>
      <c r="E161" s="2">
        <f t="shared" si="25"/>
        <v>4.9464148393856954E-4</v>
      </c>
      <c r="F161" s="2">
        <f t="shared" si="25"/>
        <v>4.9464148393856954E-4</v>
      </c>
      <c r="G161" s="2">
        <f t="shared" si="25"/>
        <v>4.9464148393856954E-4</v>
      </c>
      <c r="H161" s="2">
        <f t="shared" si="25"/>
        <v>4.9464148393856954E-4</v>
      </c>
      <c r="I161" s="2">
        <f t="shared" si="25"/>
        <v>4.9464148393856954E-4</v>
      </c>
      <c r="J161" s="2">
        <f t="shared" si="25"/>
        <v>4.9464148393856954E-4</v>
      </c>
      <c r="K161" s="2">
        <f t="shared" si="25"/>
        <v>4.9464148393856954E-4</v>
      </c>
      <c r="L161" s="2">
        <f t="shared" si="25"/>
        <v>4.9464148393856954E-4</v>
      </c>
      <c r="M161" s="2">
        <f t="shared" si="25"/>
        <v>4.9464148393856954E-4</v>
      </c>
      <c r="N161" s="2">
        <f t="shared" si="25"/>
        <v>4.9464148393856954E-4</v>
      </c>
      <c r="O161" s="2">
        <f t="shared" si="25"/>
        <v>4.9464148393856954E-4</v>
      </c>
      <c r="P161" s="2">
        <f t="shared" si="25"/>
        <v>4.9464148393856954E-4</v>
      </c>
      <c r="Q161" s="2">
        <f t="shared" si="25"/>
        <v>4.9464148393856954E-4</v>
      </c>
      <c r="R161" s="2">
        <f t="shared" si="25"/>
        <v>4.9464148393856954E-4</v>
      </c>
      <c r="S161" s="2">
        <f t="shared" si="26"/>
        <v>4.9464148393856954E-4</v>
      </c>
      <c r="T161" s="2">
        <f t="shared" si="26"/>
        <v>4.9464148393856954E-4</v>
      </c>
      <c r="U161" s="2">
        <f t="shared" si="26"/>
        <v>4.9464148393856954E-4</v>
      </c>
      <c r="V161" s="2">
        <f t="shared" si="26"/>
        <v>4.9464148393856954E-4</v>
      </c>
      <c r="W161" s="2">
        <f t="shared" si="23"/>
        <v>4.9464148393856954E-4</v>
      </c>
      <c r="X161" s="2">
        <f t="shared" si="23"/>
        <v>4.9464148393856954E-4</v>
      </c>
      <c r="Y161" s="2">
        <f>7.00013300922534*(1/14151.6638359215)</f>
        <v>4.946508827786552E-4</v>
      </c>
      <c r="Z161" s="2">
        <f>7.00054771079953*(1/14151.6638359215)</f>
        <v>4.9468018686466225E-4</v>
      </c>
      <c r="AA161" s="2">
        <f>7.00113950115406*(1/14151.6638359215)</f>
        <v>4.9472200458739726E-4</v>
      </c>
      <c r="AB161" s="2">
        <f>7.00180078204264*(1/14151.6638359215)</f>
        <v>4.9476873272454405E-4</v>
      </c>
      <c r="AC161" s="2">
        <f>7.00242395521899*(1/14151.6638359215)</f>
        <v>4.9481276805378698E-4</v>
      </c>
      <c r="AD161" s="2">
        <f>7.00290142243685*(1/14151.6638359215)</f>
        <v>4.9484650735281185E-4</v>
      </c>
      <c r="AE161" s="2">
        <f>7.00312558544993*(1/14151.6638359215)</f>
        <v>4.9486234739930246E-4</v>
      </c>
      <c r="AF161" s="2">
        <f>7.00298884601195*(1/14151.6638359215)</f>
        <v>4.9485268497094308E-4</v>
      </c>
      <c r="AG161" s="2">
        <f>7.00238360587664*(1/14151.6638359215)</f>
        <v>4.9480991684541895E-4</v>
      </c>
      <c r="AH161" s="2">
        <f>7.00120226679772*(1/14151.6638359215)</f>
        <v>4.9472643980041442E-4</v>
      </c>
      <c r="AI161" s="2">
        <f>6.9992190234123*(1/14151.6638359215)</f>
        <v>4.9458629773596076E-4</v>
      </c>
      <c r="AJ161" s="2">
        <f>6.99486282546881*(1/14151.6638359215)</f>
        <v>4.9427847541951822E-4</v>
      </c>
      <c r="AK161" s="2">
        <f>6.98831097440243*(1/14151.6638359215)</f>
        <v>4.9381550151465846E-4</v>
      </c>
      <c r="AL161" s="2">
        <f>6.9803861800837*(1/14151.6638359215)</f>
        <v>4.9325551122584058E-4</v>
      </c>
      <c r="AM161" s="2">
        <f>6.97191115238316*(1/14151.6638359215)</f>
        <v>4.9265663975752415E-4</v>
      </c>
      <c r="AN161" s="2">
        <f>6.96370860117138*(1/14151.6638359215)</f>
        <v>4.920770223141702E-4</v>
      </c>
      <c r="AO161" s="2">
        <f>6.9566012363189*(1/14151.6638359215)</f>
        <v>4.915747941002383E-4</v>
      </c>
      <c r="AP161" s="2">
        <f>6.95141176769627*(1/14151.6638359215)</f>
        <v>4.9120809032018832E-4</v>
      </c>
      <c r="AQ161" s="2">
        <f>6.94896290517405*(1/14151.6638359215)</f>
        <v>4.9103504617848076E-4</v>
      </c>
      <c r="AR161" s="2">
        <f>6.95007735862278*(1/14151.6638359215)</f>
        <v>4.9111379687957508E-4</v>
      </c>
      <c r="AS161" s="2">
        <f>6.95557783791302*(1/14151.6638359215)</f>
        <v>4.9150247762793189E-4</v>
      </c>
      <c r="AT161" s="2">
        <f>6.96238917363051*(1/14151.6638359215)</f>
        <v>4.9198378751463237E-4</v>
      </c>
      <c r="AU161" s="2">
        <f>6.96306461420028*(1/14151.6638359215)</f>
        <v>4.9203151621830994E-4</v>
      </c>
      <c r="AV161" s="2">
        <f>6.96043408510361*(1/14151.6638359215)</f>
        <v>4.9184563495889273E-4</v>
      </c>
      <c r="AW161" s="2">
        <f>6.95778629702864*(1/14151.6638359215)</f>
        <v>4.9165853412709874E-4</v>
      </c>
      <c r="AX161" s="2">
        <f>6.9584099606635*(1/14151.6638359215)</f>
        <v>4.9170260411364529E-4</v>
      </c>
      <c r="AY161" s="2">
        <f>6.96559378669632*(1/14151.6638359215)</f>
        <v>4.922102353092496E-4</v>
      </c>
      <c r="AZ161" s="2">
        <f>6.98262648581521*(1/14151.6638359215)</f>
        <v>4.9341381810462783E-4</v>
      </c>
      <c r="BA161" s="2">
        <f>7.01279676870832*(1/14151.6638359215)</f>
        <v>4.9554574289049837E-4</v>
      </c>
      <c r="BB161" s="2">
        <f>7.05939334606376*(1/14151.6638359215)</f>
        <v>4.9883840005757749E-4</v>
      </c>
      <c r="BC161" s="2">
        <f>7.12570492856966*(1/14151.6638359215)</f>
        <v>5.0352417999658219E-4</v>
      </c>
      <c r="BD161" s="2">
        <f>7.21204583381639*(1/14151.6638359215)</f>
        <v>5.0962529335313105E-4</v>
      </c>
      <c r="BE161" s="2">
        <f>7.22124733104855*(1/14151.6638359215)</f>
        <v>5.1027549938818426E-4</v>
      </c>
      <c r="BF161" s="2">
        <f>7.1383309106426*(1/14151.6638359215)</f>
        <v>5.04416370640688E-4</v>
      </c>
      <c r="BG161" s="2">
        <f>7.00881716203981*(1/14151.6638359215)</f>
        <v>4.9526453166935506E-4</v>
      </c>
      <c r="BH161" s="2">
        <f>6.87822667468153*(1/14151.6638359215)</f>
        <v>4.8603660703290351E-4</v>
      </c>
      <c r="BI161" s="2">
        <f>6.79208003800902*(1/14151.6638359215)</f>
        <v>4.7994922129004539E-4</v>
      </c>
      <c r="BJ161" s="2">
        <f>6.79589784146358*(1/14151.6638359215)</f>
        <v>4.8021899899949524E-4</v>
      </c>
      <c r="BK161" s="2">
        <f>6.9352006744865*(1/14151.6638359215)</f>
        <v>4.9006256471996728E-4</v>
      </c>
      <c r="BL161" s="2">
        <f>7.25550912651907*(1/14151.6638359215)</f>
        <v>5.1269654301017533E-4</v>
      </c>
      <c r="BM161" s="2">
        <f>7.80234378700271*(1/14151.6638359215)</f>
        <v>5.5133755842884271E-4</v>
      </c>
      <c r="BN161" s="2">
        <f>8.62122524537851*(1/14151.6638359215)</f>
        <v>6.0920223553466923E-4</v>
      </c>
      <c r="BO161" s="2">
        <f>9.77388292412433*(1/14151.6638359215)</f>
        <v>6.9065256477581481E-4</v>
      </c>
      <c r="BP161" s="2">
        <f>11.3131689635966*(1/14151.6638359215)</f>
        <v>7.9942324060017027E-4</v>
      </c>
      <c r="BQ161" s="2">
        <f>13.1714739083472*(1/14151.6638359215)</f>
        <v>9.3073677138328715E-4</v>
      </c>
      <c r="BR161" s="2">
        <f>15.2724979576404*(1/14151.6638359215)</f>
        <v>1.0792015790308601E-3</v>
      </c>
      <c r="BS161" s="2">
        <f>17.5399413107393*(1/14151.6638359215)</f>
        <v>1.239426085448501E-3</v>
      </c>
      <c r="BT161" s="2">
        <f>19.8975041669082*(1/14151.6638359215)</f>
        <v>1.4060187125419061E-3</v>
      </c>
      <c r="BU161" s="2">
        <f>22.2688867254111*(1/14151.6638359215)</f>
        <v>1.5735878822167512E-3</v>
      </c>
      <c r="BV161" s="2">
        <f>24.5777891855119*(1/14151.6638359215)</f>
        <v>1.7367420163787047E-3</v>
      </c>
      <c r="BW161" s="2">
        <f>26.7479117464745*(1/14151.6638359215)</f>
        <v>1.8900895369334345E-3</v>
      </c>
      <c r="BX161" s="2">
        <f>28.7029546075628*(1/14151.6638359215)</f>
        <v>2.0282388657866094E-3</v>
      </c>
      <c r="BY161" s="2">
        <f>30.3674242462168*(1/14151.6638359215)</f>
        <v>2.1458553989343963E-3</v>
      </c>
      <c r="BZ161" s="2">
        <f>31.9023072504419*(1/14151.6638359215)</f>
        <v>2.2543149427746811E-3</v>
      </c>
      <c r="CA161" s="2">
        <f>33.4430682385743*(1/14151.6638359215)</f>
        <v>2.3631898429981764E-3</v>
      </c>
      <c r="CB161" s="2">
        <f>34.9489683634481*(1/14151.6638359215)</f>
        <v>2.4696013676311556E-3</v>
      </c>
      <c r="CC161" s="2">
        <f>36.3792687778975*(1/14151.6638359215)</f>
        <v>2.570670784699899E-3</v>
      </c>
      <c r="CD161" s="2">
        <f>37.6932306347567*(1/14151.6638359215)</f>
        <v>2.6635193622306865E-3</v>
      </c>
      <c r="CE161" s="2">
        <f>38.8501150868594*(1/14151.6638359215)</f>
        <v>2.7452683682497631E-3</v>
      </c>
      <c r="CF161" s="2">
        <f>39.8091832870401*(1/14151.6638359215)</f>
        <v>2.813039070783431E-3</v>
      </c>
      <c r="CG161" s="2">
        <f>40.5296963881328*(1/14151.6638359215)</f>
        <v>2.8639527378579556E-3</v>
      </c>
      <c r="CH161" s="2">
        <f>40.9709155429716*(1/14151.6638359215)</f>
        <v>2.8951306374996114E-3</v>
      </c>
      <c r="CI161" s="2">
        <f>41.0921019043907*(1/14151.6638359215)</f>
        <v>2.9036940377346766E-3</v>
      </c>
      <c r="CJ161" s="2">
        <f>40.8416514398725*(1/14151.6638359215)</f>
        <v>2.8859964392457644E-3</v>
      </c>
      <c r="CK161" s="2">
        <f>40.1554244731782*(1/14151.6638359215)</f>
        <v>2.8375055356565739E-3</v>
      </c>
      <c r="CL161" s="2">
        <f>39.0886143617729*(1/14151.6638359215)</f>
        <v>2.7621214590014039E-3</v>
      </c>
      <c r="CM161" s="2">
        <f>37.7119230132554*(1/14151.6638359215)</f>
        <v>2.6648402230648204E-3</v>
      </c>
      <c r="CN161" s="2">
        <f>36.0960523352242*(1/14151.6638359215)</f>
        <v>2.5506578416313666E-3</v>
      </c>
      <c r="CO161" s="2">
        <f>34.311704235278*(1/14151.6638359215)</f>
        <v>2.4245703284856016E-3</v>
      </c>
      <c r="CP161" s="2">
        <f>32.4295806210151*(1/14151.6638359215)</f>
        <v>2.2915736974120551E-3</v>
      </c>
      <c r="CQ161" s="2">
        <f>30.5203834000348*(1/14151.6638359215)</f>
        <v>2.1566639621953283E-3</v>
      </c>
      <c r="CR161" s="2">
        <f>28.6548144799355*(1/14151.6638359215)</f>
        <v>2.0248371366199578E-3</v>
      </c>
      <c r="CS161" s="2">
        <f>26.9035757683158*(1/14151.6638359215)</f>
        <v>1.9010892344704957E-3</v>
      </c>
      <c r="CT161" s="2">
        <f>25.3373691727744*(1/14151.6638359215)</f>
        <v>1.7904162695314995E-3</v>
      </c>
      <c r="CU161" s="2">
        <f>23.871128925294*(1/14151.6638359215)</f>
        <v>1.6868072335566192E-3</v>
      </c>
      <c r="CV161" s="2">
        <f>22.3495944993296*(1/14151.6638359215)</f>
        <v>1.5792909412248122E-3</v>
      </c>
      <c r="CW161" s="2">
        <f>20.7981081023698*(1/14151.6638359215)</f>
        <v>1.4696581506958549E-3</v>
      </c>
      <c r="CX161" s="2">
        <f>19.2426751433999*(1/14151.6638359215)</f>
        <v>1.3597464839827363E-3</v>
      </c>
      <c r="CY161" s="2">
        <f>17.7093010314057*(1/14151.6638359215)</f>
        <v>1.2513935630984795E-3</v>
      </c>
      <c r="CZ161" s="2">
        <f>16.2239911753726*(1/14151.6638359215)</f>
        <v>1.14643701005608E-3</v>
      </c>
      <c r="DA161" s="2">
        <f>14.8127509842861*(1/14151.6638359215)</f>
        <v>1.0467144468685405E-3</v>
      </c>
      <c r="DB161" s="2">
        <f>13.5015858671323*(1/14151.6638359215)</f>
        <v>9.5406349554890562E-4</v>
      </c>
      <c r="DC161" s="2">
        <f>12.3165012328966*(1/14151.6638359215)</f>
        <v>8.7032177811017088E-4</v>
      </c>
      <c r="DD161" s="2">
        <f>11.2835024905645*(1/14151.6638359215)</f>
        <v>7.9732691656533849E-4</v>
      </c>
      <c r="DE161" s="2">
        <f>10.4275193190968*(1/14151.6638359215)</f>
        <v>7.3684051854230632E-4</v>
      </c>
      <c r="DF161" s="2">
        <f>9.74774927087966*(1/14151.6638359215)</f>
        <v>6.8880588062986072E-4</v>
      </c>
      <c r="DG161" s="2">
        <f>9.22100704546475*(1/14151.6638359215)</f>
        <v>6.5158465833952696E-4</v>
      </c>
      <c r="DH161" s="2">
        <f>8.82387803216439*(1/14151.6638359215)</f>
        <v>6.2352230341753421E-4</v>
      </c>
      <c r="DI161" s="2">
        <f>8.53294762029117*(1/14151.6638359215)</f>
        <v>6.0296426761013002E-4</v>
      </c>
      <c r="DJ161" s="2">
        <f>8.32480119915743*(1/14151.6638359215)</f>
        <v>5.8825600266354495E-4</v>
      </c>
      <c r="DK161" s="2">
        <f>8.1760241580756*(1/14151.6638359215)</f>
        <v>5.7774296032401553E-4</v>
      </c>
      <c r="DL161" s="2">
        <f>8.06320188635811*(1/14151.6638359215)</f>
        <v>5.6977059233777837E-4</v>
      </c>
      <c r="DM161" s="2">
        <f>7.96291977331738*(1/14151.6638359215)</f>
        <v>5.6268435045106957E-4</v>
      </c>
      <c r="DN161" s="2">
        <f>7.85176320826587*(1/14151.6638359215)</f>
        <v>5.5482968641012769E-4</v>
      </c>
      <c r="DO161" s="2">
        <f>7.70631758051599*(1/14151.6638359215)</f>
        <v>5.4455205196118808E-4</v>
      </c>
      <c r="DP161" s="2">
        <f>7.53624305723277*(1/14151.6638359215)</f>
        <v>5.3253406416447992E-4</v>
      </c>
      <c r="DQ161" s="2">
        <f>7.39438751774735*(1/14151.6638359215)</f>
        <v>5.2251011637076926E-4</v>
      </c>
      <c r="DR161" s="2">
        <f>7.27888113044216*(1/14151.6638359215)</f>
        <v>5.1434808053919465E-4</v>
      </c>
      <c r="DS161" s="2">
        <f>7.18620928657128*(1/14151.6638359215)</f>
        <v>5.0779960362896395E-4</v>
      </c>
      <c r="DT161" s="2">
        <f>7.11285737738879*(1/14151.6638359215)</f>
        <v>5.0261633259928481E-4</v>
      </c>
      <c r="DU161" s="2">
        <f>7.05531079414882*(1/14151.6638359215)</f>
        <v>4.9854991440936858E-4</v>
      </c>
      <c r="DV161" s="2">
        <f>7.01005492810543*(1/14151.6638359215)</f>
        <v>4.9535199601842181E-4</v>
      </c>
      <c r="DW161" s="2">
        <f>6.97357517051272*(1/14151.6638359215)</f>
        <v>4.9277422438565358E-4</v>
      </c>
      <c r="DX161" s="2">
        <f>6.94235691262477*(1/14151.6638359215)</f>
        <v>4.9056824647027175E-4</v>
      </c>
      <c r="DY161" s="2">
        <f>6.91288554569569*(1/14151.6638359215)</f>
        <v>4.8848570923148635E-4</v>
      </c>
      <c r="DZ161" s="2">
        <f>6.88231320448184*(1/14151.6638359215)</f>
        <v>4.8632537377070131E-4</v>
      </c>
      <c r="EA161" s="2">
        <f>6.86205219116491*(1/14151.6638359215)</f>
        <v>4.8489366838596053E-4</v>
      </c>
      <c r="EB161" s="2">
        <f>6.85548835601228*(1/14151.6638359215)</f>
        <v>4.8442984764878556E-4</v>
      </c>
      <c r="EC161" s="2">
        <f>6.86009993716652*(1/14151.6638359215)</f>
        <v>4.8475571612670504E-4</v>
      </c>
      <c r="ED161" s="2">
        <f>6.87336517277023*(1/14151.6638359215)</f>
        <v>4.8569307838724986E-4</v>
      </c>
      <c r="EE161" s="2">
        <f>6.89276230096597*(1/14151.6638359215)</f>
        <v>4.8706373899794805E-4</v>
      </c>
      <c r="EF161" s="2">
        <f>6.91576955989633*(1/14151.6638359215)</f>
        <v>4.8868950252632984E-4</v>
      </c>
      <c r="EG161" s="2">
        <f>6.93986518770389*(1/14151.6638359215)</f>
        <v>4.9039217353992449E-4</v>
      </c>
      <c r="EH161" s="2">
        <f>6.96252742253122*(1/14151.6638359215)</f>
        <v>4.91993556606261E-4</v>
      </c>
      <c r="EI161" s="2">
        <f>6.98123450252091*(1/14151.6638359215)</f>
        <v>4.9331545629286919E-4</v>
      </c>
      <c r="EJ161" s="2">
        <f>6.99346466581554*(1/14151.6638359215)</f>
        <v>4.9417967716727871E-4</v>
      </c>
      <c r="EK161" s="2">
        <f>6.99873918182463*(1/14151.6638359215)</f>
        <v>4.945523906566779E-4</v>
      </c>
      <c r="EL161" s="2">
        <f>7.00202992511208*(1/14151.6638359215)</f>
        <v>4.9478492467710145E-4</v>
      </c>
      <c r="EM161" s="2">
        <f>7.00396054841481*(1/14151.6638359215)</f>
        <v>4.9492134844501411E-4</v>
      </c>
      <c r="EN161" s="2">
        <f>7.00477764849179*(1/14151.6638359215)</f>
        <v>4.9497908724424329E-4</v>
      </c>
      <c r="EO161" s="2">
        <f>7.00472782210201*(1/14151.6638359215)</f>
        <v>4.9497556635861759E-4</v>
      </c>
      <c r="EP161" s="2">
        <f>7.00405766600445*(1/14151.6638359215)</f>
        <v>4.9492821107196508E-4</v>
      </c>
      <c r="EQ161" s="2">
        <f>7.00301377695808*(1/14151.6638359215)</f>
        <v>4.9485444666811306E-4</v>
      </c>
      <c r="ER161" s="2">
        <f>7.00184275172187*(1/14151.6638359215)</f>
        <v>4.9477169843088905E-4</v>
      </c>
      <c r="ES161" s="2">
        <f>7.00079118705482*(1/14151.6638359215)</f>
        <v>4.9469739164412229E-4</v>
      </c>
      <c r="ET161" s="2">
        <f>7.00010567971589*(1/14151.6638359215)</f>
        <v>4.9464895159163956E-4</v>
      </c>
      <c r="EU161" s="2">
        <f>7.00002565591886*(1/14151.6638359215)</f>
        <v>4.9464329686453763E-4</v>
      </c>
      <c r="EV161" s="2">
        <f>7.00018877784978*(1/14151.6638359215)</f>
        <v>4.9465482356081955E-4</v>
      </c>
      <c r="EW161" s="2">
        <f>7.00028501721322*(1/14151.6638359215)</f>
        <v>4.9466162412961168E-4</v>
      </c>
      <c r="EX161" s="2">
        <f>7.00032567810509*(1/14151.6638359215)</f>
        <v>4.9466449735302499E-4</v>
      </c>
      <c r="EY161" s="2">
        <f>7.00032206462131*(1/14151.6638359215)</f>
        <v>4.9466424201317081E-4</v>
      </c>
      <c r="EZ161" s="2">
        <f>7.00028548085778*(1/14151.6638359215)</f>
        <v>4.9466165689215935E-4</v>
      </c>
      <c r="FA161" s="2">
        <f>7.00022723091042*(1/14151.6638359215)</f>
        <v>4.9465754077210203E-4</v>
      </c>
      <c r="FB161" s="2">
        <f>7.00015861887514*(1/14151.6638359215)</f>
        <v>4.9465269243510951E-4</v>
      </c>
      <c r="FC161" s="2">
        <f>7.00009094884785*(1/14151.6638359215)</f>
        <v>4.946479106632929E-4</v>
      </c>
      <c r="FD161" s="2">
        <f>7.00003552492447*(1/14151.6638359215)</f>
        <v>4.9464399423876338E-4</v>
      </c>
      <c r="FE161" s="2">
        <f>7.0000036512009*(1/14151.6638359215)</f>
        <v>4.9464174194363119E-4</v>
      </c>
      <c r="FF161" s="2">
        <f t="shared" si="24"/>
        <v>4.9464148393856954E-4</v>
      </c>
      <c r="FG161" s="2">
        <f t="shared" si="24"/>
        <v>4.9464148393856954E-4</v>
      </c>
      <c r="FH161" s="2">
        <f t="shared" si="24"/>
        <v>4.9464148393856954E-4</v>
      </c>
      <c r="FI161" s="2">
        <f t="shared" si="24"/>
        <v>4.9464148393856954E-4</v>
      </c>
      <c r="FJ161" s="2">
        <f t="shared" si="24"/>
        <v>4.9464148393856954E-4</v>
      </c>
      <c r="FK161" s="2">
        <f t="shared" si="24"/>
        <v>4.9464148393856954E-4</v>
      </c>
      <c r="FL161" s="2">
        <f t="shared" si="24"/>
        <v>4.9464148393856954E-4</v>
      </c>
      <c r="FM161" s="2">
        <f t="shared" si="24"/>
        <v>4.9464148393856954E-4</v>
      </c>
      <c r="FN161" s="2">
        <f t="shared" si="24"/>
        <v>4.9464148393856954E-4</v>
      </c>
      <c r="FO161" s="2">
        <f t="shared" si="24"/>
        <v>4.9464148393856954E-4</v>
      </c>
      <c r="FP161" s="2">
        <f t="shared" si="24"/>
        <v>4.9464148393856954E-4</v>
      </c>
      <c r="FQ161" s="2"/>
    </row>
    <row r="162" spans="2:173">
      <c r="B162" s="2">
        <v>10.805325443786982</v>
      </c>
      <c r="C162" s="2">
        <f t="shared" si="25"/>
        <v>4.9464148393856954E-4</v>
      </c>
      <c r="D162" s="2">
        <f t="shared" si="25"/>
        <v>4.9464148393856954E-4</v>
      </c>
      <c r="E162" s="2">
        <f t="shared" si="25"/>
        <v>4.9464148393856954E-4</v>
      </c>
      <c r="F162" s="2">
        <f t="shared" si="25"/>
        <v>4.9464148393856954E-4</v>
      </c>
      <c r="G162" s="2">
        <f t="shared" si="25"/>
        <v>4.9464148393856954E-4</v>
      </c>
      <c r="H162" s="2">
        <f t="shared" si="25"/>
        <v>4.9464148393856954E-4</v>
      </c>
      <c r="I162" s="2">
        <f t="shared" si="25"/>
        <v>4.9464148393856954E-4</v>
      </c>
      <c r="J162" s="2">
        <f t="shared" si="25"/>
        <v>4.9464148393856954E-4</v>
      </c>
      <c r="K162" s="2">
        <f t="shared" si="25"/>
        <v>4.9464148393856954E-4</v>
      </c>
      <c r="L162" s="2">
        <f t="shared" si="25"/>
        <v>4.9464148393856954E-4</v>
      </c>
      <c r="M162" s="2">
        <f t="shared" si="25"/>
        <v>4.9464148393856954E-4</v>
      </c>
      <c r="N162" s="2">
        <f t="shared" si="25"/>
        <v>4.9464148393856954E-4</v>
      </c>
      <c r="O162" s="2">
        <f t="shared" si="25"/>
        <v>4.9464148393856954E-4</v>
      </c>
      <c r="P162" s="2">
        <f t="shared" si="25"/>
        <v>4.9464148393856954E-4</v>
      </c>
      <c r="Q162" s="2">
        <f t="shared" si="25"/>
        <v>4.9464148393856954E-4</v>
      </c>
      <c r="R162" s="2">
        <f t="shared" si="25"/>
        <v>4.9464148393856954E-4</v>
      </c>
      <c r="S162" s="2">
        <f t="shared" si="26"/>
        <v>4.9464148393856954E-4</v>
      </c>
      <c r="T162" s="2">
        <f t="shared" si="26"/>
        <v>4.9464148393856954E-4</v>
      </c>
      <c r="U162" s="2">
        <f t="shared" si="26"/>
        <v>4.9464148393856954E-4</v>
      </c>
      <c r="V162" s="2">
        <f t="shared" si="26"/>
        <v>4.9464148393856954E-4</v>
      </c>
      <c r="W162" s="2">
        <f t="shared" si="23"/>
        <v>4.9464148393856954E-4</v>
      </c>
      <c r="X162" s="2">
        <f t="shared" si="23"/>
        <v>4.9464148393856954E-4</v>
      </c>
      <c r="Y162" s="2">
        <f t="shared" si="23"/>
        <v>4.9464148393856954E-4</v>
      </c>
      <c r="Z162" s="2">
        <f t="shared" si="23"/>
        <v>4.9464148393856954E-4</v>
      </c>
      <c r="AA162" s="2">
        <f t="shared" si="23"/>
        <v>4.9464148393856954E-4</v>
      </c>
      <c r="AB162" s="2">
        <f t="shared" si="23"/>
        <v>4.9464148393856954E-4</v>
      </c>
      <c r="AC162" s="2">
        <f t="shared" si="23"/>
        <v>4.9464148393856954E-4</v>
      </c>
      <c r="AD162" s="2">
        <f t="shared" si="23"/>
        <v>4.9464148393856954E-4</v>
      </c>
      <c r="AE162" s="2">
        <f t="shared" si="23"/>
        <v>4.9464148393856954E-4</v>
      </c>
      <c r="AF162" s="2">
        <f t="shared" si="23"/>
        <v>4.9464148393856954E-4</v>
      </c>
      <c r="AG162" s="2">
        <f t="shared" si="23"/>
        <v>4.9464148393856954E-4</v>
      </c>
      <c r="AH162" s="2">
        <f t="shared" si="23"/>
        <v>4.9464148393856954E-4</v>
      </c>
      <c r="AI162" s="2">
        <f>7.00025267649118*(1/14151.6638359215)</f>
        <v>4.9465933883493433E-4</v>
      </c>
      <c r="AJ162" s="2">
        <f>7.00402236322596*(1/14151.6638359215)</f>
        <v>4.9492571646928799E-4</v>
      </c>
      <c r="AK162" s="2">
        <f>7.01113674716304*(1/14151.6638359215)</f>
        <v>4.9542844067328022E-4</v>
      </c>
      <c r="AL162" s="2">
        <f>7.02008124843722*(1/14151.6638359215)</f>
        <v>4.960604865851875E-4</v>
      </c>
      <c r="AM162" s="2">
        <f>7.02934128718331*(1/14151.6638359215)</f>
        <v>4.9671482934328674E-4</v>
      </c>
      <c r="AN162" s="2">
        <f>7.03740228353613*(1/14151.6638359215)</f>
        <v>4.9728444408585562E-4</v>
      </c>
      <c r="AO162" s="2">
        <f>7.04274965763048*(1/14151.6638359215)</f>
        <v>4.9766230595117049E-4</v>
      </c>
      <c r="AP162" s="2">
        <f>7.04386882960118*(1/14151.6638359215)</f>
        <v>4.9774139007750903E-4</v>
      </c>
      <c r="AQ162" s="2">
        <f>7.03924521958303*(1/14151.6638359215)</f>
        <v>4.9741467160314739E-4</v>
      </c>
      <c r="AR162" s="2">
        <f>7.02736424771084*(1/14151.6638359215)</f>
        <v>4.965751256663627E-4</v>
      </c>
      <c r="AS162" s="2">
        <f>7.00671133411943*(1/14151.6638359215)</f>
        <v>4.9511572740543273E-4</v>
      </c>
      <c r="AT162" s="2">
        <f>6.98057803769584*(1/14151.6638359215)</f>
        <v>4.9326906847355111E-4</v>
      </c>
      <c r="AU162" s="2">
        <f>6.95819575146439*(1/14151.6638359215)</f>
        <v>4.916874674341994E-4</v>
      </c>
      <c r="AV162" s="2">
        <f>6.93664054777586*(1/14151.6638359215)</f>
        <v>4.901643105857576E-4</v>
      </c>
      <c r="AW162" s="2">
        <f>6.91243402710933*(1/14151.6638359215)</f>
        <v>4.884538035424031E-4</v>
      </c>
      <c r="AX162" s="2">
        <f>6.8820977899439*(1/14151.6638359215)</f>
        <v>4.8631015191831441E-4</v>
      </c>
      <c r="AY162" s="2">
        <f>6.84215343675868*(1/14151.6638359215)</f>
        <v>4.8348756132767098E-4</v>
      </c>
      <c r="AZ162" s="2">
        <f>6.78912256803275*(1/14151.6638359215)</f>
        <v>4.7974023738465022E-4</v>
      </c>
      <c r="BA162" s="2">
        <f>6.7195267842452*(1/14151.6638359215)</f>
        <v>4.7482238570342998E-4</v>
      </c>
      <c r="BB162" s="2">
        <f>6.62988768587516*(1/14151.6638359215)</f>
        <v>4.6848821189819119E-4</v>
      </c>
      <c r="BC162" s="2">
        <f>6.51672687340171*(1/14151.6638359215)</f>
        <v>4.6049192158311098E-4</v>
      </c>
      <c r="BD162" s="2">
        <f>6.37465792016343*(1/14151.6638359215)</f>
        <v>4.5045289331862779E-4</v>
      </c>
      <c r="BE162" s="2">
        <f>6.13843468032366*(1/14151.6638359215)</f>
        <v>4.337606341907534E-4</v>
      </c>
      <c r="BF162" s="2">
        <f>5.8029868199289*(1/14151.6638359215)</f>
        <v>4.1005685884079878E-4</v>
      </c>
      <c r="BG162" s="2">
        <f>5.40330512710756*(1/14151.6638359215)</f>
        <v>3.8181412374933778E-4</v>
      </c>
      <c r="BH162" s="2">
        <f>4.97438038998827*(1/14151.6638359215)</f>
        <v>3.5150498539695976E-4</v>
      </c>
      <c r="BI162" s="2">
        <f>4.55120339669943*(1/14151.6638359215)</f>
        <v>3.2160200026423773E-4</v>
      </c>
      <c r="BJ162" s="2">
        <f>4.16876493536951*(1/14151.6638359215)</f>
        <v>2.9457772483174993E-4</v>
      </c>
      <c r="BK162" s="2">
        <f>3.86205579412701*(1/14151.6638359215)</f>
        <v>2.7290471558007645E-4</v>
      </c>
      <c r="BL162" s="2">
        <f>3.66606676110038*(1/14151.6638359215)</f>
        <v>2.5905552898979387E-4</v>
      </c>
      <c r="BM162" s="2">
        <f>3.61578862441812*(1/14151.6638359215)</f>
        <v>2.555027215414826E-4</v>
      </c>
      <c r="BN162" s="2">
        <f>3.74621217220873*(1/14151.6638359215)</f>
        <v>2.6471884971572258E-4</v>
      </c>
      <c r="BO162" s="2">
        <f>4.08878954370455*(1/14151.6638359215)</f>
        <v>2.889264182015036E-4</v>
      </c>
      <c r="BP162" s="2">
        <f>4.63487713980613*(1/14151.6638359215)</f>
        <v>3.2751464375809387E-4</v>
      </c>
      <c r="BQ162" s="2">
        <f>5.35089360860754*(1/14151.6638359215)</f>
        <v>3.7811056499414866E-4</v>
      </c>
      <c r="BR162" s="2">
        <f>6.20291635437128*(1/14151.6638359215)</f>
        <v>4.3831710718186172E-4</v>
      </c>
      <c r="BS162" s="2">
        <f>7.15702278135934*(1/14151.6638359215)</f>
        <v>5.0573719559339036E-4</v>
      </c>
      <c r="BT162" s="2">
        <f>8.17929029383419*(1/14151.6638359215)</f>
        <v>5.7797375550092611E-4</v>
      </c>
      <c r="BU162" s="2">
        <f>9.23579629605813*(1/14151.6638359215)</f>
        <v>6.5262971217664822E-4</v>
      </c>
      <c r="BV162" s="2">
        <f>10.2926181922935*(1/14151.6638359215)</f>
        <v>7.2730799089273913E-4</v>
      </c>
      <c r="BW162" s="2">
        <f>11.3158333868026*(1/14151.6638359215)</f>
        <v>7.9961151692137819E-4</v>
      </c>
      <c r="BX162" s="2">
        <f>12.2715192838478*(1/14151.6638359215)</f>
        <v>8.6714321553474968E-4</v>
      </c>
      <c r="BY162" s="2">
        <f>13.1262782603285*(1/14151.6638359215)</f>
        <v>9.2754310818278203E-4</v>
      </c>
      <c r="BZ162" s="2">
        <f>13.9947217742699*(1/14151.6638359215)</f>
        <v>9.8890999224746784E-4</v>
      </c>
      <c r="CA162" s="2">
        <f>14.9537511048448*(1/14151.6638359215)</f>
        <v>1.0566779481354937E-3</v>
      </c>
      <c r="CB162" s="2">
        <f>15.9608966910309*(1/14151.6638359215)</f>
        <v>1.1278459463202469E-3</v>
      </c>
      <c r="CC162" s="2">
        <f>16.9736889718063*(1/14151.6638359215)</f>
        <v>1.199412957275143E-3</v>
      </c>
      <c r="CD162" s="2">
        <f>17.9496583861489*(1/14151.6638359215)</f>
        <v>1.2683779514735831E-3</v>
      </c>
      <c r="CE162" s="2">
        <f>18.8463353730363*(1/14151.6638359215)</f>
        <v>1.3317398993889472E-3</v>
      </c>
      <c r="CF162" s="2">
        <f>19.6212503714464*(1/14151.6638359215)</f>
        <v>1.3864977714946366E-3</v>
      </c>
      <c r="CG162" s="2">
        <f>20.2319338203573*(1/14151.6638359215)</f>
        <v>1.4296505382640668E-3</v>
      </c>
      <c r="CH162" s="2">
        <f>20.6359161587467*(1/14151.6638359215)</f>
        <v>1.4581971701706248E-3</v>
      </c>
      <c r="CI162" s="2">
        <f>20.7907278255926*(1/14151.6638359215)</f>
        <v>1.469136637687719E-3</v>
      </c>
      <c r="CJ162" s="2">
        <f>20.6513782599448*(1/14151.6638359215)</f>
        <v>1.4592897696965442E-3</v>
      </c>
      <c r="CK162" s="2">
        <f>20.1959615959298*(1/14151.6638359215)</f>
        <v>1.4271086304824395E-3</v>
      </c>
      <c r="CL162" s="2">
        <f>19.4706942702034*(1/14151.6638359215)</f>
        <v>1.3758590153039446E-3</v>
      </c>
      <c r="CM162" s="2">
        <f>18.5282792409841*(1/14151.6638359215)</f>
        <v>1.3092650769412242E-3</v>
      </c>
      <c r="CN162" s="2">
        <f>17.4214194664906*(1/14151.6638359215)</f>
        <v>1.2310509681744562E-3</v>
      </c>
      <c r="CO162" s="2">
        <f>16.2028179049414*(1/14151.6638359215)</f>
        <v>1.1449408417838055E-3</v>
      </c>
      <c r="CP162" s="2">
        <f>14.925177514555*(1/14151.6638359215)</f>
        <v>1.0546588505494366E-3</v>
      </c>
      <c r="CQ162" s="2">
        <f>13.6412012535505*(1/14151.6638359215)</f>
        <v>9.6392914725155641E-4</v>
      </c>
      <c r="CR162" s="2">
        <f>12.4035920801462*(1/14151.6638359215)</f>
        <v>8.7647588467031502E-4</v>
      </c>
      <c r="CS162" s="2">
        <f>11.2650529525608*(1/14151.6638359215)</f>
        <v>7.9602321558589124E-4</v>
      </c>
      <c r="CT162" s="2">
        <f>10.2782868290129*(1/14151.6638359215)</f>
        <v>7.2629529277845649E-4</v>
      </c>
      <c r="CU162" s="2">
        <f>9.37405743732234*(1/14151.6638359215)</f>
        <v>6.6239966876035811E-4</v>
      </c>
      <c r="CV162" s="2">
        <f>8.4318094166904*(1/14151.6638359215)</f>
        <v>5.9581753173699201E-4</v>
      </c>
      <c r="CW162" s="2">
        <f>7.47453716252597*(1/14151.6638359215)</f>
        <v>5.2817373626083295E-4</v>
      </c>
      <c r="CX162" s="2">
        <f>6.52575802132322*(1/14151.6638359215)</f>
        <v>4.611300902130487E-4</v>
      </c>
      <c r="CY162" s="2">
        <f>5.60898933957649*(1/14151.6638359215)</f>
        <v>3.9634840147481886E-4</v>
      </c>
      <c r="CZ162" s="2">
        <f>4.7477484637801*(1/14151.6638359215)</f>
        <v>3.3549047792732182E-4</v>
      </c>
      <c r="DA162" s="2">
        <f>3.96555274042827*(1/14151.6638359215)</f>
        <v>2.8021812745172863E-4</v>
      </c>
      <c r="DB162" s="2">
        <f>3.28591951601561*(1/14151.6638359215)</f>
        <v>2.3219315792923824E-4</v>
      </c>
      <c r="DC162" s="2">
        <f>2.73236613703633*(1/14151.6638359215)</f>
        <v>1.9307737724102102E-4</v>
      </c>
      <c r="DD162" s="2">
        <f>2.32840994998474*(1/14151.6638359215)</f>
        <v>1.6453259326825462E-4</v>
      </c>
      <c r="DE162" s="2">
        <f>2.10016445359217*(1/14151.6638359215)</f>
        <v>1.4840406597712373E-4</v>
      </c>
      <c r="DF162" s="2">
        <f>2.07946984019734*(1/14151.6638359215)</f>
        <v>1.4694172108010179E-4</v>
      </c>
      <c r="DG162" s="2">
        <f>2.24129866478963*(1/14151.6638359215)</f>
        <v>1.5837704250015389E-4</v>
      </c>
      <c r="DH162" s="2">
        <f>2.54952919589497*(1/14151.6638359215)</f>
        <v>1.8015755782888515E-4</v>
      </c>
      <c r="DI162" s="2">
        <f>2.9680397020391*(1/14151.6638359215)</f>
        <v>2.0973079465788717E-4</v>
      </c>
      <c r="DJ162" s="2">
        <f>3.46070845174792*(1/14151.6638359215)</f>
        <v>2.4454428057876294E-4</v>
      </c>
      <c r="DK162" s="2">
        <f>3.99141371354729*(1/14151.6638359215)</f>
        <v>2.8204554318311256E-4</v>
      </c>
      <c r="DL162" s="2">
        <f>4.52403375596308*(1/14151.6638359215)</f>
        <v>3.1968211006253689E-4</v>
      </c>
      <c r="DM162" s="2">
        <f>5.02244684752123*(1/14151.6638359215)</f>
        <v>3.5490150880864167E-4</v>
      </c>
      <c r="DN162" s="2">
        <f>5.45053125674741*(1/14151.6638359215)</f>
        <v>3.8515126701301361E-4</v>
      </c>
      <c r="DO162" s="2">
        <f>5.77216525216758*(1/14151.6638359215)</f>
        <v>4.0787891226725992E-4</v>
      </c>
      <c r="DP162" s="2">
        <f>5.99291019100912*(1/14151.6638359215)</f>
        <v>4.234774271416182E-4</v>
      </c>
      <c r="DQ162" s="2">
        <f>6.1806006242712*(1/14151.6638359215)</f>
        <v>4.3674020920302228E-4</v>
      </c>
      <c r="DR162" s="2">
        <f>6.34051132568917*(1/14151.6638359215)</f>
        <v>4.4803999015259973E-4</v>
      </c>
      <c r="DS162" s="2">
        <f>6.47592816344512*(1/14151.6638359215)</f>
        <v>4.5760895952086709E-4</v>
      </c>
      <c r="DT162" s="2">
        <f>6.5901370057212*(1/14151.6638359215)</f>
        <v>4.6567930683834508E-4</v>
      </c>
      <c r="DU162" s="2">
        <f>6.68642372069946*(1/14151.6638359215)</f>
        <v>4.7248322163554748E-4</v>
      </c>
      <c r="DV162" s="2">
        <f>6.76807417656204*(1/14151.6638359215)</f>
        <v>4.7825289344299426E-4</v>
      </c>
      <c r="DW162" s="2">
        <f>6.83837424149103*(1/14151.6638359215)</f>
        <v>4.8322051179120184E-4</v>
      </c>
      <c r="DX162" s="2">
        <f>6.90060978366856*(1/14151.6638359215)</f>
        <v>4.8761826621068966E-4</v>
      </c>
      <c r="DY162" s="2">
        <f>6.95806667127673*(1/14151.6638359215)</f>
        <v>4.9167834623197501E-4</v>
      </c>
      <c r="DZ162" s="2">
        <f>7.01333735466956*(1/14151.6638359215)</f>
        <v>4.9558394235365048E-4</v>
      </c>
      <c r="EA162" s="2">
        <f>7.0543806448152*(1/14151.6638359215)</f>
        <v>4.9848418720270201E-4</v>
      </c>
      <c r="EB162" s="2">
        <f>7.07799155925611*(1/14151.6638359215)</f>
        <v>5.001526068821588E-4</v>
      </c>
      <c r="EC162" s="2">
        <f>7.08718000458878*(1/14151.6638359215)</f>
        <v>5.0080189062993606E-4</v>
      </c>
      <c r="ED162" s="2">
        <f>7.08495588740973*(1/14151.6638359215)</f>
        <v>5.0064472768395049E-4</v>
      </c>
      <c r="EE162" s="2">
        <f>7.07432911431544*(1/14151.6638359215)</f>
        <v>4.9989380728211654E-4</v>
      </c>
      <c r="EF162" s="2">
        <f>7.05830959190242*(1/14151.6638359215)</f>
        <v>4.9876181866235028E-4</v>
      </c>
      <c r="EG162" s="2">
        <f>7.03990722676718*(1/14151.6638359215)</f>
        <v>4.974614510625682E-4</v>
      </c>
      <c r="EH162" s="2">
        <f>7.0221319255062*(1/14151.6638359215)</f>
        <v>4.9620539372068452E-4</v>
      </c>
      <c r="EI162" s="2">
        <f>7.007993594716*(1/14151.6638359215)</f>
        <v>4.9520633587461609E-4</v>
      </c>
      <c r="EJ162" s="2">
        <f>7.00050214099307*(1/14151.6638359215)</f>
        <v>4.9467696676227786E-4</v>
      </c>
      <c r="EK162" s="2">
        <f t="shared" ref="EK162:FE172" si="27">7*(1/14151.6638359215)</f>
        <v>4.9464148393856954E-4</v>
      </c>
      <c r="EL162" s="2">
        <f t="shared" si="27"/>
        <v>4.9464148393856954E-4</v>
      </c>
      <c r="EM162" s="2">
        <f t="shared" si="27"/>
        <v>4.9464148393856954E-4</v>
      </c>
      <c r="EN162" s="2">
        <f t="shared" si="27"/>
        <v>4.9464148393856954E-4</v>
      </c>
      <c r="EO162" s="2">
        <f t="shared" si="27"/>
        <v>4.9464148393856954E-4</v>
      </c>
      <c r="EP162" s="2">
        <f t="shared" si="27"/>
        <v>4.9464148393856954E-4</v>
      </c>
      <c r="EQ162" s="2">
        <f t="shared" si="27"/>
        <v>4.9464148393856954E-4</v>
      </c>
      <c r="ER162" s="2">
        <f t="shared" si="27"/>
        <v>4.9464148393856954E-4</v>
      </c>
      <c r="ES162" s="2">
        <f t="shared" si="27"/>
        <v>4.9464148393856954E-4</v>
      </c>
      <c r="ET162" s="2">
        <f t="shared" si="27"/>
        <v>4.9464148393856954E-4</v>
      </c>
      <c r="EU162" s="2">
        <f t="shared" si="27"/>
        <v>4.9464148393856954E-4</v>
      </c>
      <c r="EV162" s="2">
        <f t="shared" si="27"/>
        <v>4.9464148393856954E-4</v>
      </c>
      <c r="EW162" s="2">
        <f t="shared" si="27"/>
        <v>4.9464148393856954E-4</v>
      </c>
      <c r="EX162" s="2">
        <f t="shared" si="27"/>
        <v>4.9464148393856954E-4</v>
      </c>
      <c r="EY162" s="2">
        <f t="shared" si="27"/>
        <v>4.9464148393856954E-4</v>
      </c>
      <c r="EZ162" s="2">
        <f t="shared" si="27"/>
        <v>4.9464148393856954E-4</v>
      </c>
      <c r="FA162" s="2">
        <f t="shared" si="27"/>
        <v>4.9464148393856954E-4</v>
      </c>
      <c r="FB162" s="2">
        <f t="shared" si="27"/>
        <v>4.9464148393856954E-4</v>
      </c>
      <c r="FC162" s="2">
        <f t="shared" si="27"/>
        <v>4.9464148393856954E-4</v>
      </c>
      <c r="FD162" s="2">
        <f t="shared" si="27"/>
        <v>4.9464148393856954E-4</v>
      </c>
      <c r="FE162" s="2">
        <f t="shared" si="27"/>
        <v>4.9464148393856954E-4</v>
      </c>
      <c r="FF162" s="2">
        <f t="shared" si="24"/>
        <v>4.9464148393856954E-4</v>
      </c>
      <c r="FG162" s="2">
        <f t="shared" si="24"/>
        <v>4.9464148393856954E-4</v>
      </c>
      <c r="FH162" s="2">
        <f t="shared" si="24"/>
        <v>4.9464148393856954E-4</v>
      </c>
      <c r="FI162" s="2">
        <f t="shared" si="24"/>
        <v>4.9464148393856954E-4</v>
      </c>
      <c r="FJ162" s="2">
        <f t="shared" si="24"/>
        <v>4.9464148393856954E-4</v>
      </c>
      <c r="FK162" s="2">
        <f t="shared" si="24"/>
        <v>4.9464148393856954E-4</v>
      </c>
      <c r="FL162" s="2">
        <f t="shared" si="24"/>
        <v>4.9464148393856954E-4</v>
      </c>
      <c r="FM162" s="2">
        <f t="shared" si="24"/>
        <v>4.9464148393856954E-4</v>
      </c>
      <c r="FN162" s="2">
        <f t="shared" si="24"/>
        <v>4.9464148393856954E-4</v>
      </c>
      <c r="FO162" s="2">
        <f t="shared" si="24"/>
        <v>4.9464148393856954E-4</v>
      </c>
      <c r="FP162" s="2">
        <f t="shared" si="24"/>
        <v>4.9464148393856954E-4</v>
      </c>
      <c r="FQ162" s="2"/>
    </row>
    <row r="163" spans="2:173">
      <c r="B163" s="2">
        <v>10.814792899408285</v>
      </c>
      <c r="C163" s="2">
        <f t="shared" si="25"/>
        <v>4.9464148393856954E-4</v>
      </c>
      <c r="D163" s="2">
        <f t="shared" si="25"/>
        <v>4.9464148393856954E-4</v>
      </c>
      <c r="E163" s="2">
        <f t="shared" si="25"/>
        <v>4.9464148393856954E-4</v>
      </c>
      <c r="F163" s="2">
        <f t="shared" si="25"/>
        <v>4.9464148393856954E-4</v>
      </c>
      <c r="G163" s="2">
        <f t="shared" si="25"/>
        <v>4.9464148393856954E-4</v>
      </c>
      <c r="H163" s="2">
        <f t="shared" si="25"/>
        <v>4.9464148393856954E-4</v>
      </c>
      <c r="I163" s="2">
        <f t="shared" si="25"/>
        <v>4.9464148393856954E-4</v>
      </c>
      <c r="J163" s="2">
        <f t="shared" si="25"/>
        <v>4.9464148393856954E-4</v>
      </c>
      <c r="K163" s="2">
        <f t="shared" si="25"/>
        <v>4.9464148393856954E-4</v>
      </c>
      <c r="L163" s="2">
        <f t="shared" si="25"/>
        <v>4.9464148393856954E-4</v>
      </c>
      <c r="M163" s="2">
        <f t="shared" si="25"/>
        <v>4.9464148393856954E-4</v>
      </c>
      <c r="N163" s="2">
        <f t="shared" si="25"/>
        <v>4.9464148393856954E-4</v>
      </c>
      <c r="O163" s="2">
        <f t="shared" si="25"/>
        <v>4.9464148393856954E-4</v>
      </c>
      <c r="P163" s="2">
        <f t="shared" si="25"/>
        <v>4.9464148393856954E-4</v>
      </c>
      <c r="Q163" s="2">
        <f t="shared" si="25"/>
        <v>4.9464148393856954E-4</v>
      </c>
      <c r="R163" s="2">
        <f t="shared" si="25"/>
        <v>4.9464148393856954E-4</v>
      </c>
      <c r="S163" s="2">
        <f t="shared" si="26"/>
        <v>4.9464148393856954E-4</v>
      </c>
      <c r="T163" s="2">
        <f t="shared" si="26"/>
        <v>4.9464148393856954E-4</v>
      </c>
      <c r="U163" s="2">
        <f t="shared" si="26"/>
        <v>4.9464148393856954E-4</v>
      </c>
      <c r="V163" s="2">
        <f t="shared" si="26"/>
        <v>4.9464148393856954E-4</v>
      </c>
      <c r="W163" s="2">
        <f t="shared" si="23"/>
        <v>4.9464148393856954E-4</v>
      </c>
      <c r="X163" s="2">
        <f t="shared" si="23"/>
        <v>4.9464148393856954E-4</v>
      </c>
      <c r="Y163" s="2">
        <f t="shared" si="23"/>
        <v>4.9464148393856954E-4</v>
      </c>
      <c r="Z163" s="2">
        <f t="shared" si="23"/>
        <v>4.9464148393856954E-4</v>
      </c>
      <c r="AA163" s="2">
        <f t="shared" si="23"/>
        <v>4.9464148393856954E-4</v>
      </c>
      <c r="AB163" s="2">
        <f t="shared" si="23"/>
        <v>4.9464148393856954E-4</v>
      </c>
      <c r="AC163" s="2">
        <f t="shared" si="23"/>
        <v>4.9464148393856954E-4</v>
      </c>
      <c r="AD163" s="2">
        <f t="shared" si="23"/>
        <v>4.9464148393856954E-4</v>
      </c>
      <c r="AE163" s="2">
        <f t="shared" si="23"/>
        <v>4.9464148393856954E-4</v>
      </c>
      <c r="AF163" s="2">
        <f t="shared" si="23"/>
        <v>4.9464148393856954E-4</v>
      </c>
      <c r="AG163" s="2">
        <f t="shared" si="23"/>
        <v>4.9464148393856954E-4</v>
      </c>
      <c r="AH163" s="2">
        <f t="shared" si="23"/>
        <v>4.9464148393856954E-4</v>
      </c>
      <c r="AI163" s="2">
        <f>7.00063169122796*(1/14151.6638359215)</f>
        <v>4.9468612117948229E-4</v>
      </c>
      <c r="AJ163" s="2">
        <f>7.01005590806491*(1/14151.6638359215)</f>
        <v>4.9535206526536626E-4</v>
      </c>
      <c r="AK163" s="2">
        <f>7.0278418679076*(1/14151.6638359215)</f>
        <v>4.9660887577534618E-4</v>
      </c>
      <c r="AL163" s="2">
        <f>7.05020312109305*(1/14151.6638359215)</f>
        <v>4.9818899055511438E-4</v>
      </c>
      <c r="AM163" s="2">
        <f>7.07335321795829*(1/14151.6638359215)</f>
        <v>4.9982484745036352E-4</v>
      </c>
      <c r="AN163" s="2">
        <f>7.09350570884033*(1/14151.6638359215)</f>
        <v>5.0124888430678506E-4</v>
      </c>
      <c r="AO163" s="2">
        <f>7.10687414407622*(1/14151.6638359215)</f>
        <v>5.0219353897007328E-4</v>
      </c>
      <c r="AP163" s="2">
        <f>7.10967207400296*(1/14151.6638359215)</f>
        <v>5.0239124928591877E-4</v>
      </c>
      <c r="AQ163" s="2">
        <f>7.09811304895758*(1/14151.6638359215)</f>
        <v>5.015744531000145E-4</v>
      </c>
      <c r="AR163" s="2">
        <f>7.06841061927712*(1/14151.6638359215)</f>
        <v>4.9947558825805401E-4</v>
      </c>
      <c r="AS163" s="2">
        <f>7.01677833529858*(1/14151.6638359215)</f>
        <v>4.9582709260572789E-4</v>
      </c>
      <c r="AT163" s="2">
        <f>6.95144509423959*(1/14151.6638359215)</f>
        <v>4.9121044527602293E-4</v>
      </c>
      <c r="AU163" s="2">
        <f>6.89548937866096*(1/14151.6638359215)</f>
        <v>4.8725644267764317E-4</v>
      </c>
      <c r="AV163" s="2">
        <f>6.84160136943962*(1/14151.6638359215)</f>
        <v>4.8344855055653763E-4</v>
      </c>
      <c r="AW163" s="2">
        <f>6.78108506777329*(1/14151.6638359215)</f>
        <v>4.7917228294815079E-4</v>
      </c>
      <c r="AX163" s="2">
        <f>6.70524447485971*(1/14151.6638359215)</f>
        <v>4.7381315388792878E-4</v>
      </c>
      <c r="AY163" s="2">
        <f>6.60538359189663*(1/14151.6638359215)</f>
        <v>4.6675667741131826E-4</v>
      </c>
      <c r="AZ163" s="2">
        <f>6.4728064200818*(1/14151.6638359215)</f>
        <v>4.5738836755376594E-4</v>
      </c>
      <c r="BA163" s="2">
        <f>6.29881696061291*(1/14151.6638359215)</f>
        <v>4.4509373835071431E-4</v>
      </c>
      <c r="BB163" s="2">
        <f>6.07471921468778*(1/14151.6638359215)</f>
        <v>4.2925830383761508E-4</v>
      </c>
      <c r="BC163" s="2">
        <f>5.79181718350412*(1/14151.6638359215)</f>
        <v>4.0926757804991208E-4</v>
      </c>
      <c r="BD163" s="2">
        <f>5.44032535616372*(1/14151.6638359215)</f>
        <v>3.8443008675449281E-4</v>
      </c>
      <c r="BE163" s="2">
        <f>4.97948837025513*(1/14151.6638359215)</f>
        <v>3.5186593095969234E-4</v>
      </c>
      <c r="BF163" s="2">
        <f>4.4118601068783*(1/14151.6638359215)</f>
        <v>3.1175557574223691E-4</v>
      </c>
      <c r="BG163" s="2">
        <f>3.76437313324607*(1/14151.6638359215)</f>
        <v>2.6600215896104554E-4</v>
      </c>
      <c r="BH163" s="2">
        <f>3.06396001657162*(1/14151.6638359215)</f>
        <v>2.1650881847506146E-4</v>
      </c>
      <c r="BI163" s="2">
        <f>2.33755332406781*(1/14151.6638359215)</f>
        <v>1.6517869214320536E-4</v>
      </c>
      <c r="BJ163" s="2">
        <f>1.61208562294757*(1/14151.6638359215)</f>
        <v>1.1391491782440276E-4</v>
      </c>
      <c r="BK163" s="2">
        <f>0.914489480423881*(1/14151.6638359215)</f>
        <v>6.4620633377582845E-5</v>
      </c>
      <c r="BL163" s="2">
        <f>0.271697463709681*(1/14151.6638359215)</f>
        <v>1.9198976661671752E-5</v>
      </c>
      <c r="BM163" s="2">
        <f>-0.289357859982168*(1/14151.6638359215)</f>
        <v>-2.0446914464409775E-5</v>
      </c>
      <c r="BN163" s="2">
        <f>-0.741743923438496*(1/14151.6638359215)</f>
        <v>-5.2413902141719199E-5</v>
      </c>
      <c r="BO163" s="2">
        <f>-1.07841528778531*(1/14151.6638359215)</f>
        <v>-7.6204134036023604E-5</v>
      </c>
      <c r="BP163" s="2">
        <f>-1.35888396852459*(1/14151.6638359215)</f>
        <v>-9.6022911813047941E-5</v>
      </c>
      <c r="BQ163" s="2">
        <f>-1.58926947210304*(1/14151.6638359215)</f>
        <v>-1.1230265857990212E-4</v>
      </c>
      <c r="BR163" s="2">
        <f>-1.76915336374435*(1/14151.6638359215)</f>
        <v>-1.250138064510596E-4</v>
      </c>
      <c r="BS163" s="2">
        <f>-1.89811720867216*(1/14151.6638359215)</f>
        <v>-1.3412678754099038E-4</v>
      </c>
      <c r="BT163" s="2">
        <f>-1.97574257211018*(1/14151.6638359215)</f>
        <v>-1.396120339641694E-4</v>
      </c>
      <c r="BU163" s="2">
        <f>-2.0016110192821*(1/14151.6638359215)</f>
        <v>-1.4143997783507009E-4</v>
      </c>
      <c r="BV163" s="2">
        <f>-1.97530411541161*(1/14151.6638359215)</f>
        <v>-1.3958105126816604E-4</v>
      </c>
      <c r="BW163" s="2">
        <f>-1.89640342572238*(1/14151.6638359215)</f>
        <v>-1.3400568637792927E-4</v>
      </c>
      <c r="BX163" s="2">
        <f>-1.76449051543812*(1/14151.6638359215)</f>
        <v>-1.2468431527883474E-4</v>
      </c>
      <c r="BY163" s="2">
        <f>-1.57885374080665*(1/14151.6638359215)</f>
        <v>-1.115666510392233E-4</v>
      </c>
      <c r="BZ163" s="2">
        <f>-1.26344552310158*(1/14151.6638359215)</f>
        <v>-8.9278938346072536E-5</v>
      </c>
      <c r="CA163" s="2">
        <f>-0.789203175883599*(1/14151.6638359215)</f>
        <v>-5.5767518578299331E-5</v>
      </c>
      <c r="CB163" s="2">
        <f>-0.199442399754886*(1/14151.6638359215)</f>
        <v>-1.4093212082146602E-5</v>
      </c>
      <c r="CC163" s="2">
        <f>0.462521104682362*(1/14151.6638359215)</f>
        <v>3.2683160796141429E-5</v>
      </c>
      <c r="CD163" s="2">
        <f>1.15337163682611*(1/14151.6638359215)</f>
        <v>8.1500779710332001E-5</v>
      </c>
      <c r="CE163" s="2">
        <f>1.82979349607391*(1/14151.6638359215)</f>
        <v>1.2929882431416315E-4</v>
      </c>
      <c r="CF163" s="2">
        <f>2.44847098182368*(1/14151.6638359215)</f>
        <v>1.7301647426139877E-4</v>
      </c>
      <c r="CG163" s="2">
        <f>2.96608839347329*(1/14151.6638359215)</f>
        <v>2.0959290920579942E-4</v>
      </c>
      <c r="CH163" s="2">
        <f>3.33933003042052*(1/14151.6638359215)</f>
        <v>2.3596730880111921E-4</v>
      </c>
      <c r="CI163" s="2">
        <f>3.52488019206321*(1/14151.6638359215)</f>
        <v>2.490788527011166E-4</v>
      </c>
      <c r="CJ163" s="2">
        <f>3.48375973395306*(1/14151.6638359215)</f>
        <v>2.4617315492685398E-4</v>
      </c>
      <c r="CK163" s="2">
        <f>3.22889465865477*(1/14151.6638359215)</f>
        <v>2.2816360649118809E-4</v>
      </c>
      <c r="CL163" s="2">
        <f>2.79854075767503*(1/14151.6638359215)</f>
        <v>1.9775347903413509E-4</v>
      </c>
      <c r="CM163" s="2">
        <f>2.22997530706024*(1/14151.6638359215)</f>
        <v>1.5757689929009206E-4</v>
      </c>
      <c r="CN163" s="2">
        <f>1.56047558285687*(1/14151.6638359215)</f>
        <v>1.1026799399346091E-4</v>
      </c>
      <c r="CO163" s="2">
        <f>0.827318861111319*(1/14151.6638359215)</f>
        <v>5.8460889878638597E-5</v>
      </c>
      <c r="CP163" s="2">
        <f>0.0677824178698776*(1/14151.6638359215)</f>
        <v>4.7897136800143527E-6</v>
      </c>
      <c r="CQ163" s="2">
        <f>-0.680856470820718*(1/14151.6638359215)</f>
        <v>-4.8111407867991043E-5</v>
      </c>
      <c r="CR163" s="2">
        <f>-1.38132052891421*(1/14151.6638359215)</f>
        <v>-9.7608348030990669E-5</v>
      </c>
      <c r="CS163" s="2">
        <f>-1.99633248036413*(1/14151.6638359215)</f>
        <v>-1.4106698007458266E-4</v>
      </c>
      <c r="CT163" s="2">
        <f>-2.48861504912407*(1/14151.6638359215)</f>
        <v>-1.7585317726436945E-4</v>
      </c>
      <c r="CU163" s="2">
        <f>-2.91329716488177*(1/14151.6638359215)</f>
        <v>-2.0586251897016376E-4</v>
      </c>
      <c r="CV163" s="2">
        <f>-3.36074317626839*(1/14151.6638359215)</f>
        <v>-2.3748042740654544E-4</v>
      </c>
      <c r="CW163" s="2">
        <f>-3.81035186276911*(1/14151.6638359215)</f>
        <v>-2.6925115710402936E-4</v>
      </c>
      <c r="CX163" s="2">
        <f>-4.2411219059482*(1/14151.6638359215)</f>
        <v>-2.9969069044608455E-4</v>
      </c>
      <c r="CY163" s="2">
        <f>-4.63205198736987*(1/14151.6638359215)</f>
        <v>-3.2731500981617609E-4</v>
      </c>
      <c r="CZ163" s="2">
        <f>-4.96214078859833*(1/14151.6638359215)</f>
        <v>-3.5064009759776883E-4</v>
      </c>
      <c r="DA163" s="2">
        <f>-5.21038699119781*(1/14151.6638359215)</f>
        <v>-3.6818193617432901E-4</v>
      </c>
      <c r="DB163" s="2">
        <f>-5.35578927673242*(1/14151.6638359215)</f>
        <v>-3.784565079293146E-4</v>
      </c>
      <c r="DC163" s="2">
        <f>-5.37734632676642*(1/14151.6638359215)</f>
        <v>-3.7997979524619405E-4</v>
      </c>
      <c r="DD163" s="2">
        <f>-5.254056822864*(1/14151.6638359215)</f>
        <v>-3.7126778050843072E-4</v>
      </c>
      <c r="DE163" s="2">
        <f>-4.95942214665352*(1/14151.6638359215)</f>
        <v>-3.504479900140719E-4</v>
      </c>
      <c r="DF163" s="2">
        <f>-4.43600191440674*(1/14151.6638359215)</f>
        <v>-3.1346150995664073E-4</v>
      </c>
      <c r="DG163" s="2">
        <f>-3.70976260508907*(1/14151.6638359215)</f>
        <v>-2.6214321143443875E-4</v>
      </c>
      <c r="DH163" s="2">
        <f>-2.82627510305094*(1/14151.6638359215)</f>
        <v>-1.9971327299882151E-4</v>
      </c>
      <c r="DI163" s="2">
        <f>-1.83111029264329*(1/14151.6638359215)</f>
        <v>-1.2939187320118076E-4</v>
      </c>
      <c r="DJ163" s="2">
        <f>-0.769839058216572*(1/14151.6638359215)</f>
        <v>-5.439919059287371E-5</v>
      </c>
      <c r="DK163" s="2">
        <f>0.311967715878615*(1/14151.6638359215)</f>
        <v>2.2044596274732024E-5</v>
      </c>
      <c r="DL163" s="2">
        <f>1.36873914529166*(1/14151.6638359215)</f>
        <v>9.6719308850267999E-5</v>
      </c>
      <c r="DM163" s="2">
        <f>2.35490434567215*(1/14151.6638359215)</f>
        <v>1.6640476858237978E-4</v>
      </c>
      <c r="DN163" s="2">
        <f>3.22489243266908*(1/14151.6638359215)</f>
        <v>2.2788079691967103E-4</v>
      </c>
      <c r="DO163" s="2">
        <f>3.93313252193206*(1/14151.6638359215)</f>
        <v>2.7792721531078892E-4</v>
      </c>
      <c r="DP163" s="2">
        <f>4.48227547752247*(1/14151.6638359215)</f>
        <v>3.1673134194616789E-4</v>
      </c>
      <c r="DQ163" s="2">
        <f>4.95150156067773*(1/14151.6638359215)</f>
        <v>3.4988829709968223E-4</v>
      </c>
      <c r="DR163" s="2">
        <f>5.35127831422269*(1/14151.6638359215)</f>
        <v>3.7813774947362836E-4</v>
      </c>
      <c r="DS163" s="2">
        <f>5.68982040861263*(1/14151.6638359215)</f>
        <v>4.0206017289430134E-4</v>
      </c>
      <c r="DT163" s="2">
        <f>5.97534251430286*(1/14151.6638359215)</f>
        <v>4.2223604118799858E-4</v>
      </c>
      <c r="DU163" s="2">
        <f>6.21605930174855*(1/14151.6638359215)</f>
        <v>4.3924582818100733E-4</v>
      </c>
      <c r="DV163" s="2">
        <f>6.42018544140501*(1/14151.6638359215)</f>
        <v>4.5367000769962494E-4</v>
      </c>
      <c r="DW163" s="2">
        <f>6.59593560372753*(1/14151.6638359215)</f>
        <v>4.6608905357014717E-4</v>
      </c>
      <c r="DX163" s="2">
        <f>6.75152445917136*(1/14151.6638359215)</f>
        <v>4.7708343961886713E-4</v>
      </c>
      <c r="DY163" s="2">
        <f>6.89516667819181*(1/14151.6638359215)</f>
        <v>4.8723363967208202E-4</v>
      </c>
      <c r="DZ163" s="2">
        <f>7.0333433866739*(1/14151.6638359215)</f>
        <v>4.9699762997627178E-4</v>
      </c>
      <c r="EA163" s="2">
        <f>7.13595161203801*(1/14151.6638359215)</f>
        <v>5.0424824209890126E-4</v>
      </c>
      <c r="EB163" s="2">
        <f>7.19497889814029*(1/14151.6638359215)</f>
        <v>5.0841929129754389E-4</v>
      </c>
      <c r="EC163" s="2">
        <f>7.21795001147198*(1/14151.6638359215)</f>
        <v>5.1004250066698784E-4</v>
      </c>
      <c r="ED163" s="2">
        <f>7.21238971852434*(1/14151.6638359215)</f>
        <v>5.0964959330202311E-4</v>
      </c>
      <c r="EE163" s="2">
        <f>7.18582278578862*(1/14151.6638359215)</f>
        <v>5.077722922974384E-4</v>
      </c>
      <c r="EF163" s="2">
        <f>7.14577397975607*(1/14151.6638359215)</f>
        <v>5.0494232074802295E-4</v>
      </c>
      <c r="EG163" s="2">
        <f>7.09976806691795*(1/14151.6638359215)</f>
        <v>5.0169140174856634E-4</v>
      </c>
      <c r="EH163" s="2">
        <f>7.05532981376551*(1/14151.6638359215)</f>
        <v>4.985512583938576E-4</v>
      </c>
      <c r="EI163" s="2">
        <f>7.01998398679*(1/14151.6638359215)</f>
        <v>4.9605361377868585E-4</v>
      </c>
      <c r="EJ163" s="2">
        <f>7.00125535248267*(1/14151.6638359215)</f>
        <v>4.9473019099784013E-4</v>
      </c>
      <c r="EK163" s="2">
        <f t="shared" si="27"/>
        <v>4.9464148393856954E-4</v>
      </c>
      <c r="EL163" s="2">
        <f t="shared" si="27"/>
        <v>4.9464148393856954E-4</v>
      </c>
      <c r="EM163" s="2">
        <f t="shared" si="27"/>
        <v>4.9464148393856954E-4</v>
      </c>
      <c r="EN163" s="2">
        <f t="shared" si="27"/>
        <v>4.9464148393856954E-4</v>
      </c>
      <c r="EO163" s="2">
        <f t="shared" si="27"/>
        <v>4.9464148393856954E-4</v>
      </c>
      <c r="EP163" s="2">
        <f t="shared" si="27"/>
        <v>4.9464148393856954E-4</v>
      </c>
      <c r="EQ163" s="2">
        <f t="shared" si="27"/>
        <v>4.9464148393856954E-4</v>
      </c>
      <c r="ER163" s="2">
        <f t="shared" si="27"/>
        <v>4.9464148393856954E-4</v>
      </c>
      <c r="ES163" s="2">
        <f t="shared" si="27"/>
        <v>4.9464148393856954E-4</v>
      </c>
      <c r="ET163" s="2">
        <f t="shared" si="27"/>
        <v>4.9464148393856954E-4</v>
      </c>
      <c r="EU163" s="2">
        <f t="shared" si="27"/>
        <v>4.9464148393856954E-4</v>
      </c>
      <c r="EV163" s="2">
        <f t="shared" si="27"/>
        <v>4.9464148393856954E-4</v>
      </c>
      <c r="EW163" s="2">
        <f t="shared" si="27"/>
        <v>4.9464148393856954E-4</v>
      </c>
      <c r="EX163" s="2">
        <f t="shared" si="27"/>
        <v>4.9464148393856954E-4</v>
      </c>
      <c r="EY163" s="2">
        <f t="shared" si="27"/>
        <v>4.9464148393856954E-4</v>
      </c>
      <c r="EZ163" s="2">
        <f t="shared" si="27"/>
        <v>4.9464148393856954E-4</v>
      </c>
      <c r="FA163" s="2">
        <f t="shared" si="27"/>
        <v>4.9464148393856954E-4</v>
      </c>
      <c r="FB163" s="2">
        <f t="shared" si="27"/>
        <v>4.9464148393856954E-4</v>
      </c>
      <c r="FC163" s="2">
        <f t="shared" si="27"/>
        <v>4.9464148393856954E-4</v>
      </c>
      <c r="FD163" s="2">
        <f t="shared" si="27"/>
        <v>4.9464148393856954E-4</v>
      </c>
      <c r="FE163" s="2">
        <f t="shared" si="27"/>
        <v>4.9464148393856954E-4</v>
      </c>
      <c r="FF163" s="2">
        <f t="shared" si="24"/>
        <v>4.9464148393856954E-4</v>
      </c>
      <c r="FG163" s="2">
        <f t="shared" si="24"/>
        <v>4.9464148393856954E-4</v>
      </c>
      <c r="FH163" s="2">
        <f t="shared" si="24"/>
        <v>4.9464148393856954E-4</v>
      </c>
      <c r="FI163" s="2">
        <f t="shared" si="24"/>
        <v>4.9464148393856954E-4</v>
      </c>
      <c r="FJ163" s="2">
        <f t="shared" si="24"/>
        <v>4.9464148393856954E-4</v>
      </c>
      <c r="FK163" s="2">
        <f t="shared" si="24"/>
        <v>4.9464148393856954E-4</v>
      </c>
      <c r="FL163" s="2">
        <f t="shared" si="24"/>
        <v>4.9464148393856954E-4</v>
      </c>
      <c r="FM163" s="2">
        <f t="shared" si="24"/>
        <v>4.9464148393856954E-4</v>
      </c>
      <c r="FN163" s="2">
        <f t="shared" si="24"/>
        <v>4.9464148393856954E-4</v>
      </c>
      <c r="FO163" s="2">
        <f t="shared" si="24"/>
        <v>4.9464148393856954E-4</v>
      </c>
      <c r="FP163" s="2">
        <f t="shared" si="24"/>
        <v>4.9464148393856954E-4</v>
      </c>
      <c r="FQ163" s="2"/>
    </row>
    <row r="164" spans="2:173">
      <c r="B164" s="2">
        <v>10.824260355029587</v>
      </c>
      <c r="C164" s="2">
        <f t="shared" si="25"/>
        <v>4.9464148393856954E-4</v>
      </c>
      <c r="D164" s="2">
        <f t="shared" si="25"/>
        <v>4.9464148393856954E-4</v>
      </c>
      <c r="E164" s="2">
        <f t="shared" si="25"/>
        <v>4.9464148393856954E-4</v>
      </c>
      <c r="F164" s="2">
        <f t="shared" si="25"/>
        <v>4.9464148393856954E-4</v>
      </c>
      <c r="G164" s="2">
        <f t="shared" si="25"/>
        <v>4.9464148393856954E-4</v>
      </c>
      <c r="H164" s="2">
        <f t="shared" si="25"/>
        <v>4.9464148393856954E-4</v>
      </c>
      <c r="I164" s="2">
        <f t="shared" si="25"/>
        <v>4.9464148393856954E-4</v>
      </c>
      <c r="J164" s="2">
        <f t="shared" si="25"/>
        <v>4.9464148393856954E-4</v>
      </c>
      <c r="K164" s="2">
        <f t="shared" si="25"/>
        <v>4.9464148393856954E-4</v>
      </c>
      <c r="L164" s="2">
        <f t="shared" si="25"/>
        <v>4.9464148393856954E-4</v>
      </c>
      <c r="M164" s="2">
        <f t="shared" si="25"/>
        <v>4.9464148393856954E-4</v>
      </c>
      <c r="N164" s="2">
        <f t="shared" si="25"/>
        <v>4.9464148393856954E-4</v>
      </c>
      <c r="O164" s="2">
        <f t="shared" si="25"/>
        <v>4.9464148393856954E-4</v>
      </c>
      <c r="P164" s="2">
        <f t="shared" si="25"/>
        <v>4.9464148393856954E-4</v>
      </c>
      <c r="Q164" s="2">
        <f t="shared" si="25"/>
        <v>4.9464148393856954E-4</v>
      </c>
      <c r="R164" s="2">
        <f t="shared" si="25"/>
        <v>4.9464148393856954E-4</v>
      </c>
      <c r="S164" s="2">
        <f t="shared" si="26"/>
        <v>4.9464148393856954E-4</v>
      </c>
      <c r="T164" s="2">
        <f t="shared" si="26"/>
        <v>4.9464148393856954E-4</v>
      </c>
      <c r="U164" s="2">
        <f t="shared" si="26"/>
        <v>4.9464148393856954E-4</v>
      </c>
      <c r="V164" s="2">
        <f t="shared" si="26"/>
        <v>4.9464148393856954E-4</v>
      </c>
      <c r="W164" s="2">
        <f t="shared" si="23"/>
        <v>4.9464148393856954E-4</v>
      </c>
      <c r="X164" s="2">
        <f t="shared" si="23"/>
        <v>4.9464148393856954E-4</v>
      </c>
      <c r="Y164" s="2">
        <f t="shared" si="23"/>
        <v>4.9464148393856954E-4</v>
      </c>
      <c r="Z164" s="2">
        <f t="shared" si="23"/>
        <v>4.9464148393856954E-4</v>
      </c>
      <c r="AA164" s="2">
        <f t="shared" si="23"/>
        <v>4.9464148393856954E-4</v>
      </c>
      <c r="AB164" s="2">
        <f t="shared" si="23"/>
        <v>4.9464148393856954E-4</v>
      </c>
      <c r="AC164" s="2">
        <f t="shared" si="23"/>
        <v>4.9464148393856954E-4</v>
      </c>
      <c r="AD164" s="2">
        <f t="shared" si="23"/>
        <v>4.9464148393856954E-4</v>
      </c>
      <c r="AE164" s="2">
        <f t="shared" si="23"/>
        <v>4.9464148393856954E-4</v>
      </c>
      <c r="AF164" s="2">
        <f t="shared" si="23"/>
        <v>4.9464148393856954E-4</v>
      </c>
      <c r="AG164" s="2">
        <f t="shared" si="23"/>
        <v>4.9464148393856954E-4</v>
      </c>
      <c r="AH164" s="2">
        <f t="shared" si="23"/>
        <v>4.9464148393856954E-4</v>
      </c>
      <c r="AI164" s="2">
        <f>7.00092086543453*(1/14151.6638359215)</f>
        <v>4.9470655511643289E-4</v>
      </c>
      <c r="AJ164" s="2">
        <f>7.0146592793124*(1/14151.6638359215)</f>
        <v>4.956773536060775E-4</v>
      </c>
      <c r="AK164" s="2">
        <f>7.04058725632752*(1/14151.6638359215)</f>
        <v>4.9750950403840372E-4</v>
      </c>
      <c r="AL164" s="2">
        <f>7.07318499430453*(1/14151.6638359215)</f>
        <v>4.9981296025068786E-4</v>
      </c>
      <c r="AM164" s="2">
        <f>7.10693269106808*(1/14151.6638359215)</f>
        <v>5.0219767608020659E-4</v>
      </c>
      <c r="AN164" s="2">
        <f>7.1363105444428*(1/14151.6638359215)</f>
        <v>5.0427360536423537E-4</v>
      </c>
      <c r="AO164" s="2">
        <f>7.15579875225333*(1/14151.6638359215)</f>
        <v>5.0565070194005021E-4</v>
      </c>
      <c r="AP164" s="2">
        <f>7.15987751232432*(1/14151.6638359215)</f>
        <v>5.0593891964492786E-4</v>
      </c>
      <c r="AQ164" s="2">
        <f>7.14302702248039*(1/14151.6638359215)</f>
        <v>5.0474821231614314E-4</v>
      </c>
      <c r="AR164" s="2">
        <f>7.0997274805462*(1/14151.6638359215)</f>
        <v>5.0168853379097347E-4</v>
      </c>
      <c r="AS164" s="2">
        <f>7.02445908434638*(1/14151.6638359215)</f>
        <v>4.9636983790669409E-4</v>
      </c>
      <c r="AT164" s="2">
        <f>6.92921773738038*(1/14151.6638359215)</f>
        <v>4.8963979202161262E-4</v>
      </c>
      <c r="AU164" s="2">
        <f>6.8476467386702*(1/14151.6638359215)</f>
        <v>4.838757349004191E-4</v>
      </c>
      <c r="AV164" s="2">
        <f>6.76908999633864*(1/14151.6638359215)</f>
        <v>4.7832467438609593E-4</v>
      </c>
      <c r="AW164" s="2">
        <f>6.68087067657616*(1/14151.6638359215)</f>
        <v>4.7209082649475815E-4</v>
      </c>
      <c r="AX164" s="2">
        <f>6.57031194557326*(1/14151.6638359215)</f>
        <v>4.6427840724252393E-4</v>
      </c>
      <c r="AY164" s="2">
        <f>6.42473696952041*(1/14151.6638359215)</f>
        <v>4.5399163264550911E-4</v>
      </c>
      <c r="AZ164" s="2">
        <f>6.23146891460812*(1/14151.6638359215)</f>
        <v>4.4033471871983258E-4</v>
      </c>
      <c r="BA164" s="2">
        <f>5.9778309470268*(1/14151.6638359215)</f>
        <v>4.2241188148160584E-4</v>
      </c>
      <c r="BB164" s="2">
        <f>5.65114623296705*(1/14151.6638359215)</f>
        <v>3.9932733694695411E-4</v>
      </c>
      <c r="BC164" s="2">
        <f>5.2387379386193*(1/14151.6638359215)</f>
        <v>3.7018530113199047E-4</v>
      </c>
      <c r="BD164" s="2">
        <f>4.72751874149366*(1/14151.6638359215)</f>
        <v>3.3406098366283181E-4</v>
      </c>
      <c r="BE164" s="2">
        <f>4.0972315806391*(1/14151.6638359215)</f>
        <v>2.895229584410422E-4</v>
      </c>
      <c r="BF164" s="2">
        <f>3.356472956285*(1/14151.6638359215)</f>
        <v>2.3717868055664142E-4</v>
      </c>
      <c r="BG164" s="2">
        <f>2.5251303574181*(1/14151.6638359215)</f>
        <v>1.7843346101880278E-4</v>
      </c>
      <c r="BH164" s="2">
        <f>1.62309127302563*(1/14151.6638359215)</f>
        <v>1.1469261083673423E-4</v>
      </c>
      <c r="BI164" s="2">
        <f>0.670243192094373*(1/14151.6638359215)</f>
        <v>4.7361441019612054E-5</v>
      </c>
      <c r="BJ164" s="2">
        <f>-0.313526396388771*(1/14151.6638359215)</f>
        <v>-2.2154737423379123E-5</v>
      </c>
      <c r="BK164" s="2">
        <f>-1.30833000343688*(1/14151.6638359215)</f>
        <v>-9.2450613483053174E-5</v>
      </c>
      <c r="BL164" s="2">
        <f>-2.29428014006304*(1/14151.6638359215)</f>
        <v>-1.6212087615022447E-4</v>
      </c>
      <c r="BM164" s="2">
        <f>-3.25148931728051*(1/14151.6638359215)</f>
        <v>-2.2976021441571971E-4</v>
      </c>
      <c r="BN164" s="2">
        <f>-4.16007004610202*(1/14151.6638359215)</f>
        <v>-2.9396331727032812E-4</v>
      </c>
      <c r="BO164" s="2">
        <f>-5.03265881324855*(1/14151.6638359215)</f>
        <v>-3.5562311764882618E-4</v>
      </c>
      <c r="BP164" s="2">
        <f>-5.96813987811075*(1/14151.6638359215)</f>
        <v>-4.2172708080880788E-4</v>
      </c>
      <c r="BQ164" s="2">
        <f>-6.95052728173578*(1/14151.6638359215)</f>
        <v>-4.9114558982761407E-4</v>
      </c>
      <c r="BR164" s="2">
        <f>-7.95193906348687*(1/14151.6638359215)</f>
        <v>-5.619084197931749E-4</v>
      </c>
      <c r="BS164" s="2">
        <f>-8.94449326272674*(1/14151.6638359215)</f>
        <v>-6.3204534579338462E-4</v>
      </c>
      <c r="BT164" s="2">
        <f>-9.90030791881864*(1/14151.6638359215)</f>
        <v>-6.9958614291617475E-4</v>
      </c>
      <c r="BU164" s="2">
        <f>-10.7915010711257*(1/14151.6638359215)</f>
        <v>-7.6256058624946837E-4</v>
      </c>
      <c r="BV164" s="2">
        <f>-11.5901907590108*(1/14151.6638359215)</f>
        <v>-8.1899845088117119E-4</v>
      </c>
      <c r="BW164" s="2">
        <f>-12.2684950218373*(1/14151.6638359215)</f>
        <v>-8.6692951189922213E-4</v>
      </c>
      <c r="BX164" s="2">
        <f>-12.7985318989681*(1/14151.6638359215)</f>
        <v>-9.0438354439152852E-4</v>
      </c>
      <c r="BY164" s="2">
        <f>-13.1523181474745*(1/14151.6638359215)</f>
        <v>-9.2938316652842353E-4</v>
      </c>
      <c r="BZ164" s="2">
        <f>-13.286347238263*(1/14151.6638359215)</f>
        <v>-9.3885407343678934E-4</v>
      </c>
      <c r="CA164" s="2">
        <f>-13.2104731965576*(1/14151.6638359215)</f>
        <v>-9.3349258078227857E-4</v>
      </c>
      <c r="CB164" s="2">
        <f>-12.9677260634999*(1/14151.6638359215)</f>
        <v>-9.1633932333692219E-4</v>
      </c>
      <c r="CC164" s="2">
        <f>-12.6011358802317*(1/14151.6638359215)</f>
        <v>-8.9043493587276585E-4</v>
      </c>
      <c r="CD164" s="2">
        <f>-12.1537326878947*(1/14151.6638359215)</f>
        <v>-8.5882005316184769E-4</v>
      </c>
      <c r="CE164" s="2">
        <f>-11.6685465276308*(1/14151.6638359215)</f>
        <v>-8.245353099762203E-4</v>
      </c>
      <c r="CF164" s="2">
        <f>-11.1886074405815*(1/14151.6638359215)</f>
        <v>-7.9062134108790762E-4</v>
      </c>
      <c r="CG164" s="2">
        <f>-10.7569454678887*(1/14151.6638359215)</f>
        <v>-7.6011878126896245E-4</v>
      </c>
      <c r="CH164" s="2">
        <f>-10.416590650694*(1/14151.6638359215)</f>
        <v>-7.3606826529141567E-4</v>
      </c>
      <c r="CI164" s="2">
        <f>-10.2105730301392*(1/14151.6638359215)</f>
        <v>-7.2151042792731291E-4</v>
      </c>
      <c r="CJ164" s="2">
        <f>-10.1721964142613*(1/14151.6638359215)</f>
        <v>-7.187986184664008E-4</v>
      </c>
      <c r="CK164" s="2">
        <f>-10.2609565502463*(1/14151.6638359215)</f>
        <v>-7.2507068209185931E-4</v>
      </c>
      <c r="CL164" s="2">
        <f>-10.4458162914069*(1/14151.6638359215)</f>
        <v>-7.3813343876159918E-4</v>
      </c>
      <c r="CM164" s="2">
        <f>-10.7026672913466*(1/14151.6638359215)</f>
        <v>-7.5628331872749617E-4</v>
      </c>
      <c r="CN164" s="2">
        <f>-11.0074012036689*(1/14151.6638359215)</f>
        <v>-7.7781675224142591E-4</v>
      </c>
      <c r="CO164" s="2">
        <f>-11.3359096819773*(1/14151.6638359215)</f>
        <v>-8.0103016955526424E-4</v>
      </c>
      <c r="CP164" s="2">
        <f>-11.6640843798752*(1/14151.6638359215)</f>
        <v>-8.2422000092087987E-4</v>
      </c>
      <c r="CQ164" s="2">
        <f>-11.967816950966*(1/14151.6638359215)</f>
        <v>-8.4568267659014128E-4</v>
      </c>
      <c r="CR164" s="2">
        <f>-12.2229990488532*(1/14151.6638359215)</f>
        <v>-8.6371462681492442E-4</v>
      </c>
      <c r="CS164" s="2">
        <f>-12.4055223271403*(1/14151.6638359215)</f>
        <v>-8.7661228184710493E-4</v>
      </c>
      <c r="CT164" s="2">
        <f>-12.4912784394307*(1/14151.6638359215)</f>
        <v>-8.8267207193855151E-4</v>
      </c>
      <c r="CU164" s="2">
        <f>-12.522885354092*(1/14151.6638359215)</f>
        <v>-8.8490551353437807E-4</v>
      </c>
      <c r="CV164" s="2">
        <f>-12.5645465133849*(1/14151.6638359215)</f>
        <v>-8.8784941891369823E-4</v>
      </c>
      <c r="CW164" s="2">
        <f>-12.5980330416101*(1/14151.6638359215)</f>
        <v>-8.902156797727358E-4</v>
      </c>
      <c r="CX164" s="2">
        <f>-12.6048231387441*(1/14151.6638359215)</f>
        <v>-8.9069548887594282E-4</v>
      </c>
      <c r="CY164" s="2">
        <f>-12.566395004763*(1/14151.6638359215)</f>
        <v>-8.8798003898774263E-4</v>
      </c>
      <c r="CZ164" s="2">
        <f>-12.4642268396432*(1/14151.6638359215)</f>
        <v>-8.8076052287257983E-4</v>
      </c>
      <c r="DA164" s="2">
        <f>-12.2797968433608*(1/14151.6638359215)</f>
        <v>-8.6772813329487829E-4</v>
      </c>
      <c r="DB164" s="2">
        <f>-11.9945832158922*(1/14151.6638359215)</f>
        <v>-8.475740630190826E-4</v>
      </c>
      <c r="DC164" s="2">
        <f>-11.5900641572137*(1/14151.6638359215)</f>
        <v>-8.1898950480963008E-4</v>
      </c>
      <c r="DD164" s="2">
        <f>-11.0477178673015*(1/14151.6638359215)</f>
        <v>-7.8066565143095187E-4</v>
      </c>
      <c r="DE164" s="2">
        <f>-10.3413264902577*(1/14151.6638359215)</f>
        <v>-7.307498687191868E-4</v>
      </c>
      <c r="DF164" s="2">
        <f>-9.3942459422142*(1/14151.6638359215)</f>
        <v>-6.6382625047724535E-4</v>
      </c>
      <c r="DG164" s="2">
        <f>-8.23261689643441*(1/14151.6638359215)</f>
        <v>-5.8174197690715108E-4</v>
      </c>
      <c r="DH164" s="2">
        <f>-6.9085568732509*(1/14151.6638359215)</f>
        <v>-4.8817983195126134E-4</v>
      </c>
      <c r="DI164" s="2">
        <f>-5.47418339299705*(1/14151.6638359215)</f>
        <v>-3.8682259955199062E-4</v>
      </c>
      <c r="DJ164" s="2">
        <f>-3.9816139760055*(1/14151.6638359215)</f>
        <v>-2.8135306365170123E-4</v>
      </c>
      <c r="DK164" s="2">
        <f>-2.48296614260912*(1/14151.6638359215)</f>
        <v>-1.7545400819277157E-4</v>
      </c>
      <c r="DL164" s="2">
        <f>-1.03035741314079*(1/14151.6638359215)</f>
        <v>-7.2808217117580884E-5</v>
      </c>
      <c r="DM164" s="2">
        <f>0.324094692066873*(1/14151.6638359215)</f>
        <v>2.2901525631510258E-5</v>
      </c>
      <c r="DN164" s="2">
        <f>1.52827265268047*(1/14151.6638359215)</f>
        <v>1.0799243611208597E-4</v>
      </c>
      <c r="DO164" s="2">
        <f>2.5300589483674*(1/14151.6638359215)</f>
        <v>1.787817303817868E-4</v>
      </c>
      <c r="DP164" s="2">
        <f>3.32971714056601*(1/14151.6638359215)</f>
        <v>2.3528803250075168E-4</v>
      </c>
      <c r="DQ164" s="2">
        <f>4.01374449734347*(1/14151.6638359215)</f>
        <v>2.836235049023203E-4</v>
      </c>
      <c r="DR164" s="2">
        <f>4.59653016473347*(1/14151.6638359215)</f>
        <v>3.2480492880745157E-4</v>
      </c>
      <c r="DS164" s="2">
        <f>5.09004930677748*(1/14151.6638359215)</f>
        <v>3.5967850606070001E-4</v>
      </c>
      <c r="DT164" s="2">
        <f>5.50627708751703*(1/14151.6638359215)</f>
        <v>3.8909043850662405E-4</v>
      </c>
      <c r="DU164" s="2">
        <f>5.85718867099341*(1/14151.6638359215)</f>
        <v>4.1388692798976546E-4</v>
      </c>
      <c r="DV164" s="2">
        <f>6.15475922124818*(1/14151.6638359215)</f>
        <v>4.3491417635468493E-4</v>
      </c>
      <c r="DW164" s="2">
        <f>6.41096390232278*(1/14151.6638359215)</f>
        <v>4.5301838544593463E-4</v>
      </c>
      <c r="DX164" s="2">
        <f>6.63777787825869*(1/14151.6638359215)</f>
        <v>4.6904575710806973E-4</v>
      </c>
      <c r="DY164" s="2">
        <f>6.8471763130974*(1/14151.6638359215)</f>
        <v>4.8384249318564592E-4</v>
      </c>
      <c r="DZ164" s="2">
        <f>7.04860724812906*(1/14151.6638359215)</f>
        <v>4.9807622127353082E-4</v>
      </c>
      <c r="EA164" s="2">
        <f>7.19818723888208*(1/14151.6638359215)</f>
        <v>5.0864600250118673E-4</v>
      </c>
      <c r="EB164" s="2">
        <f>7.28423590484452*(1/14151.6638359215)</f>
        <v>5.1472646533298608E-4</v>
      </c>
      <c r="EC164" s="2">
        <f>7.31772268339027*(1/14151.6638359215)</f>
        <v>5.1709274388044208E-4</v>
      </c>
      <c r="ED164" s="2">
        <f>7.30961701189327*(1/14151.6638359215)</f>
        <v>5.1651997225507138E-4</v>
      </c>
      <c r="EE164" s="2">
        <f>7.27088832772742*(1/14151.6638359215)</f>
        <v>5.1378328456838792E-4</v>
      </c>
      <c r="EF164" s="2">
        <f>7.21250606826664*(1/14151.6638359215)</f>
        <v>5.0965781493190695E-4</v>
      </c>
      <c r="EG164" s="2">
        <f>7.14543967088484*(1/14151.6638359215)</f>
        <v>5.0491869745714307E-4</v>
      </c>
      <c r="EH164" s="2">
        <f>7.08065857295595*(1/14151.6638359215)</f>
        <v>5.0034106625561217E-4</v>
      </c>
      <c r="EI164" s="2">
        <f>7.02913221185387*(1/14151.6638359215)</f>
        <v>4.9670005543882832E-4</v>
      </c>
      <c r="EJ164" s="2">
        <f>7.00183002495251*(1/14151.6638359215)</f>
        <v>4.9477079911830588E-4</v>
      </c>
      <c r="EK164" s="2">
        <f t="shared" si="27"/>
        <v>4.9464148393856954E-4</v>
      </c>
      <c r="EL164" s="2">
        <f t="shared" si="27"/>
        <v>4.9464148393856954E-4</v>
      </c>
      <c r="EM164" s="2">
        <f t="shared" si="27"/>
        <v>4.9464148393856954E-4</v>
      </c>
      <c r="EN164" s="2">
        <f t="shared" si="27"/>
        <v>4.9464148393856954E-4</v>
      </c>
      <c r="EO164" s="2">
        <f t="shared" si="27"/>
        <v>4.9464148393856954E-4</v>
      </c>
      <c r="EP164" s="2">
        <f t="shared" si="27"/>
        <v>4.9464148393856954E-4</v>
      </c>
      <c r="EQ164" s="2">
        <f t="shared" si="27"/>
        <v>4.9464148393856954E-4</v>
      </c>
      <c r="ER164" s="2">
        <f t="shared" si="27"/>
        <v>4.9464148393856954E-4</v>
      </c>
      <c r="ES164" s="2">
        <f t="shared" si="27"/>
        <v>4.9464148393856954E-4</v>
      </c>
      <c r="ET164" s="2">
        <f t="shared" si="27"/>
        <v>4.9464148393856954E-4</v>
      </c>
      <c r="EU164" s="2">
        <f t="shared" si="27"/>
        <v>4.9464148393856954E-4</v>
      </c>
      <c r="EV164" s="2">
        <f t="shared" si="27"/>
        <v>4.9464148393856954E-4</v>
      </c>
      <c r="EW164" s="2">
        <f t="shared" si="27"/>
        <v>4.9464148393856954E-4</v>
      </c>
      <c r="EX164" s="2">
        <f t="shared" si="27"/>
        <v>4.9464148393856954E-4</v>
      </c>
      <c r="EY164" s="2">
        <f t="shared" si="27"/>
        <v>4.9464148393856954E-4</v>
      </c>
      <c r="EZ164" s="2">
        <f t="shared" si="27"/>
        <v>4.9464148393856954E-4</v>
      </c>
      <c r="FA164" s="2">
        <f t="shared" si="27"/>
        <v>4.9464148393856954E-4</v>
      </c>
      <c r="FB164" s="2">
        <f t="shared" si="27"/>
        <v>4.9464148393856954E-4</v>
      </c>
      <c r="FC164" s="2">
        <f t="shared" si="27"/>
        <v>4.9464148393856954E-4</v>
      </c>
      <c r="FD164" s="2">
        <f t="shared" si="27"/>
        <v>4.9464148393856954E-4</v>
      </c>
      <c r="FE164" s="2">
        <f t="shared" si="27"/>
        <v>4.9464148393856954E-4</v>
      </c>
      <c r="FF164" s="2">
        <f t="shared" si="24"/>
        <v>4.9464148393856954E-4</v>
      </c>
      <c r="FG164" s="2">
        <f t="shared" si="24"/>
        <v>4.9464148393856954E-4</v>
      </c>
      <c r="FH164" s="2">
        <f t="shared" si="24"/>
        <v>4.9464148393856954E-4</v>
      </c>
      <c r="FI164" s="2">
        <f t="shared" si="24"/>
        <v>4.9464148393856954E-4</v>
      </c>
      <c r="FJ164" s="2">
        <f t="shared" si="24"/>
        <v>4.9464148393856954E-4</v>
      </c>
      <c r="FK164" s="2">
        <f t="shared" si="24"/>
        <v>4.9464148393856954E-4</v>
      </c>
      <c r="FL164" s="2">
        <f t="shared" si="24"/>
        <v>4.9464148393856954E-4</v>
      </c>
      <c r="FM164" s="2">
        <f t="shared" si="24"/>
        <v>4.9464148393856954E-4</v>
      </c>
      <c r="FN164" s="2">
        <f t="shared" si="24"/>
        <v>4.9464148393856954E-4</v>
      </c>
      <c r="FO164" s="2">
        <f t="shared" si="24"/>
        <v>4.9464148393856954E-4</v>
      </c>
      <c r="FP164" s="2">
        <f t="shared" si="24"/>
        <v>4.9464148393856954E-4</v>
      </c>
      <c r="FQ164" s="2"/>
    </row>
    <row r="165" spans="2:173">
      <c r="B165" s="2">
        <v>10.833727810650888</v>
      </c>
      <c r="C165" s="2">
        <f t="shared" si="25"/>
        <v>4.9464148393856954E-4</v>
      </c>
      <c r="D165" s="2">
        <f t="shared" si="25"/>
        <v>4.9464148393856954E-4</v>
      </c>
      <c r="E165" s="2">
        <f t="shared" si="25"/>
        <v>4.9464148393856954E-4</v>
      </c>
      <c r="F165" s="2">
        <f t="shared" si="25"/>
        <v>4.9464148393856954E-4</v>
      </c>
      <c r="G165" s="2">
        <f t="shared" si="25"/>
        <v>4.9464148393856954E-4</v>
      </c>
      <c r="H165" s="2">
        <f t="shared" si="25"/>
        <v>4.9464148393856954E-4</v>
      </c>
      <c r="I165" s="2">
        <f t="shared" si="25"/>
        <v>4.9464148393856954E-4</v>
      </c>
      <c r="J165" s="2">
        <f t="shared" si="25"/>
        <v>4.9464148393856954E-4</v>
      </c>
      <c r="K165" s="2">
        <f t="shared" si="25"/>
        <v>4.9464148393856954E-4</v>
      </c>
      <c r="L165" s="2">
        <f t="shared" si="25"/>
        <v>4.9464148393856954E-4</v>
      </c>
      <c r="M165" s="2">
        <f t="shared" si="25"/>
        <v>4.9464148393856954E-4</v>
      </c>
      <c r="N165" s="2">
        <f t="shared" si="25"/>
        <v>4.9464148393856954E-4</v>
      </c>
      <c r="O165" s="2">
        <f t="shared" si="25"/>
        <v>4.9464148393856954E-4</v>
      </c>
      <c r="P165" s="2">
        <f t="shared" si="25"/>
        <v>4.9464148393856954E-4</v>
      </c>
      <c r="Q165" s="2">
        <f t="shared" si="25"/>
        <v>4.9464148393856954E-4</v>
      </c>
      <c r="R165" s="2">
        <f t="shared" si="25"/>
        <v>4.9464148393856954E-4</v>
      </c>
      <c r="S165" s="2">
        <f t="shared" si="26"/>
        <v>4.9464148393856954E-4</v>
      </c>
      <c r="T165" s="2">
        <f t="shared" si="26"/>
        <v>4.9464148393856954E-4</v>
      </c>
      <c r="U165" s="2">
        <f t="shared" si="26"/>
        <v>4.9464148393856954E-4</v>
      </c>
      <c r="V165" s="2">
        <f t="shared" si="26"/>
        <v>4.9464148393856954E-4</v>
      </c>
      <c r="W165" s="2">
        <f t="shared" si="23"/>
        <v>4.9464148393856954E-4</v>
      </c>
      <c r="X165" s="2">
        <f t="shared" si="23"/>
        <v>4.9464148393856954E-4</v>
      </c>
      <c r="Y165" s="2">
        <f t="shared" si="23"/>
        <v>4.9464148393856954E-4</v>
      </c>
      <c r="Z165" s="2">
        <f t="shared" si="23"/>
        <v>4.9464148393856954E-4</v>
      </c>
      <c r="AA165" s="2">
        <f t="shared" si="23"/>
        <v>4.9464148393856954E-4</v>
      </c>
      <c r="AB165" s="2">
        <f t="shared" si="23"/>
        <v>4.9464148393856954E-4</v>
      </c>
      <c r="AC165" s="2">
        <f t="shared" si="23"/>
        <v>4.9464148393856954E-4</v>
      </c>
      <c r="AD165" s="2">
        <f t="shared" si="23"/>
        <v>4.9464148393856954E-4</v>
      </c>
      <c r="AE165" s="2">
        <f t="shared" si="23"/>
        <v>4.9464148393856954E-4</v>
      </c>
      <c r="AF165" s="2">
        <f t="shared" si="23"/>
        <v>4.9464148393856954E-4</v>
      </c>
      <c r="AG165" s="2">
        <f t="shared" si="23"/>
        <v>4.9464148393856954E-4</v>
      </c>
      <c r="AH165" s="2">
        <f t="shared" si="23"/>
        <v>4.9464148393856954E-4</v>
      </c>
      <c r="AI165" s="2">
        <f>7.00112019911091*(1/14151.6638359215)</f>
        <v>4.9472064064578776E-4</v>
      </c>
      <c r="AJ165" s="2">
        <f>7.01783247696843*(1/14151.6638359215)</f>
        <v>4.9590158149142162E-4</v>
      </c>
      <c r="AK165" s="2">
        <f>7.04937291242281*(1/14151.6638359215)</f>
        <v>4.9813032546245349E-4</v>
      </c>
      <c r="AL165" s="2">
        <f>7.08902686807167*(1/14151.6638359215)</f>
        <v>5.009323956719087E-4</v>
      </c>
      <c r="AM165" s="2">
        <f>7.13007970651269*(1/14151.6638359215)</f>
        <v>5.0383331523281682E-4</v>
      </c>
      <c r="AN165" s="2">
        <f>7.16581679034353*(1/14151.6638359215)</f>
        <v>5.063586072582059E-4</v>
      </c>
      <c r="AO165" s="2">
        <f>7.18952348216182*(1/14151.6638359215)</f>
        <v>5.0803379486110203E-4</v>
      </c>
      <c r="AP165" s="2">
        <f>7.19448514456525*(1/14151.6638359215)</f>
        <v>5.0838440115453566E-4</v>
      </c>
      <c r="AQ165" s="2">
        <f>7.17398714015145*(1/14151.6638359215)</f>
        <v>5.0693594925153255E-4</v>
      </c>
      <c r="AR165" s="2">
        <f>7.12131483151809*(1/14151.6638359215)</f>
        <v>5.0321396226512172E-4</v>
      </c>
      <c r="AS165" s="2">
        <f>7.02975358126282*(1/14151.6638359215)</f>
        <v>4.9674396330833068E-4</v>
      </c>
      <c r="AT165" s="2">
        <f>6.9138959671182*(1/14151.6638359215)</f>
        <v>4.8855710871031964E-4</v>
      </c>
      <c r="AU165" s="2">
        <f>6.81466783149211*(1/14151.6638359215)</f>
        <v>4.8154534410252729E-4</v>
      </c>
      <c r="AV165" s="2">
        <f>6.71910642847292*(1/14151.6638359215)</f>
        <v>4.747926820744325E-4</v>
      </c>
      <c r="AW165" s="2">
        <f>6.61179085351796*(1/14151.6638359215)</f>
        <v>4.6720943418222647E-4</v>
      </c>
      <c r="AX165" s="2">
        <f>6.47730020208455*(1/14151.6638359215)</f>
        <v>4.5770591198209974E-4</v>
      </c>
      <c r="AY165" s="2">
        <f>6.30021356963002*(1/14151.6638359215)</f>
        <v>4.4519242703024365E-4</v>
      </c>
      <c r="AZ165" s="2">
        <f>6.06511005161171*(1/14151.6638359215)</f>
        <v>4.2857929088285009E-4</v>
      </c>
      <c r="BA165" s="2">
        <f>5.75656874348688*(1/14151.6638359215)</f>
        <v>4.0677681509610527E-4</v>
      </c>
      <c r="BB165" s="2">
        <f>5.35916874071298*(1/14151.6638359215)</f>
        <v>3.786953112262091E-4</v>
      </c>
      <c r="BC165" s="2">
        <f>4.85748913874728*(1/14151.6638359215)</f>
        <v>3.4324509082934838E-4</v>
      </c>
      <c r="BD165" s="2">
        <f>4.23623807615329*(1/14151.6638359215)</f>
        <v>2.9934558404364777E-4</v>
      </c>
      <c r="BE165" s="2">
        <f>3.49166431147561*(1/14151.6638359215)</f>
        <v>2.4673171663480562E-4</v>
      </c>
      <c r="BF165" s="2">
        <f>2.63682536814903*(1/14151.6638359215)</f>
        <v>1.8632617328401445E-4</v>
      </c>
      <c r="BG165" s="2">
        <f>1.68557679962371*(1/14151.6638359215)</f>
        <v>1.1910802992261384E-4</v>
      </c>
      <c r="BH165" s="2">
        <f>0.651774159350371*(1/14151.6638359215)</f>
        <v>4.6056362481983029E-5</v>
      </c>
      <c r="BI165" s="2">
        <f>-0.450726999220794*(1/14151.6638359215)</f>
        <v>-3.1849753106536002E-5</v>
      </c>
      <c r="BJ165" s="2">
        <f>-1.60807112263943*(1/14151.6638359215)</f>
        <v>-1.1363124091158987E-4</v>
      </c>
      <c r="BK165" s="2">
        <f>-2.80640265745517*(1/14151.6638359215)</f>
        <v>-1.9830902500182434E-4</v>
      </c>
      <c r="BL165" s="2">
        <f>-4.03186605021765*(1/14151.6638359215)</f>
        <v>-2.849040294458854E-4</v>
      </c>
      <c r="BM165" s="2">
        <f>-5.27060574747676*(1/14151.6638359215)</f>
        <v>-3.724371783124369E-4</v>
      </c>
      <c r="BN165" s="2">
        <f>-6.50876619578167*(1/14151.6638359215)</f>
        <v>-4.5992939567009189E-4</v>
      </c>
      <c r="BO165" s="2">
        <f>-7.77394103268499*(1/14151.6638359215)</f>
        <v>-5.493305326368913E-4</v>
      </c>
      <c r="BP165" s="2">
        <f>-9.19289058895212*(1/14151.6638359215)</f>
        <v>-6.4959786322916959E-4</v>
      </c>
      <c r="BQ165" s="2">
        <f>-10.7328798202904*(1/14151.6638359215)</f>
        <v>-7.5841822874896732E-4</v>
      </c>
      <c r="BR165" s="2">
        <f>-12.3454407448559*(1/14151.6638359215)</f>
        <v>-8.7236673284445739E-4</v>
      </c>
      <c r="BS165" s="2">
        <f>-13.982105380804*(1/14151.6638359215)</f>
        <v>-9.8801847916376423E-4</v>
      </c>
      <c r="BT165" s="2">
        <f>-15.5944057462908*(1/14151.6638359215)</f>
        <v>-1.1019485713550624E-3</v>
      </c>
      <c r="BU165" s="2">
        <f>-17.133873859472*(1/14151.6638359215)</f>
        <v>-1.2107321130664995E-3</v>
      </c>
      <c r="BV165" s="2">
        <f>-18.5520417385037*(1/14151.6638359215)</f>
        <v>-1.3109442079462499E-3</v>
      </c>
      <c r="BW165" s="2">
        <f>-19.8004414015415*(1/14151.6638359215)</f>
        <v>-1.3991599596424541E-3</v>
      </c>
      <c r="BX165" s="2">
        <f>-20.8306048667414*(1/14151.6638359215)</f>
        <v>-1.4719544718032793E-3</v>
      </c>
      <c r="BY165" s="2">
        <f>-21.5941149596743*(1/14151.6638359215)</f>
        <v>-1.5259064382847657E-3</v>
      </c>
      <c r="BZ165" s="2">
        <f>-22.0739833712137*(1/14151.6638359215)</f>
        <v>-1.5598154130246362E-3</v>
      </c>
      <c r="CA165" s="2">
        <f>-22.3100589571764*(1/14151.6638359215)</f>
        <v>-1.5764972384763871E-3</v>
      </c>
      <c r="CB165" s="2">
        <f>-22.3439543002034*(1/14151.6638359215)</f>
        <v>-1.5788923874440275E-3</v>
      </c>
      <c r="CC165" s="2">
        <f>-22.2172819829353*(1/14151.6638359215)</f>
        <v>-1.5699413327315375E-3</v>
      </c>
      <c r="CD165" s="2">
        <f>-21.9716545880128*(1/14151.6638359215)</f>
        <v>-1.5525845471429044E-3</v>
      </c>
      <c r="CE165" s="2">
        <f>-21.6486846980769*(1/14151.6638359215)</f>
        <v>-1.5297625034821373E-3</v>
      </c>
      <c r="CF165" s="2">
        <f>-21.2899848957683*(1/14151.6638359215)</f>
        <v>-1.5044156745532234E-3</v>
      </c>
      <c r="CG165" s="2">
        <f>-20.9371677637278*(1/14151.6638359215)</f>
        <v>-1.4794845331601572E-3</v>
      </c>
      <c r="CH165" s="2">
        <f>-20.6318458845961*(1/14151.6638359215)</f>
        <v>-1.4579095521069262E-3</v>
      </c>
      <c r="CI165" s="2">
        <f>-20.415631841014*(1/14151.6638359215)</f>
        <v>-1.4426312041975252E-3</v>
      </c>
      <c r="CJ165" s="2">
        <f>-20.3164901846976*(1/14151.6638359215)</f>
        <v>-1.4356255504831719E-3</v>
      </c>
      <c r="CK165" s="2">
        <f>-20.2735920307726*(1/14151.6638359215)</f>
        <v>-1.4325942352666453E-3</v>
      </c>
      <c r="CL165" s="2">
        <f>-20.2623768770417*(1/14151.6638359215)</f>
        <v>-1.4318017380832093E-3</v>
      </c>
      <c r="CM165" s="2">
        <f>-20.2696485542358*(1/14151.6638359215)</f>
        <v>-1.4323155771114968E-3</v>
      </c>
      <c r="CN165" s="2">
        <f>-20.2822108930861*(1/14151.6638359215)</f>
        <v>-1.4332032705301611E-3</v>
      </c>
      <c r="CO165" s="2">
        <f>-20.2868677243237*(1/14151.6638359215)</f>
        <v>-1.4335323365178493E-3</v>
      </c>
      <c r="CP165" s="2">
        <f>-20.2704228786794*(1/14151.6638359215)</f>
        <v>-1.432370293253187E-3</v>
      </c>
      <c r="CQ165" s="2">
        <f>-20.2196801868846*(1/14151.6638359215)</f>
        <v>-1.4287846589148415E-3</v>
      </c>
      <c r="CR165" s="2">
        <f>-20.1214434796701*(1/14151.6638359215)</f>
        <v>-1.4218429516814389E-3</v>
      </c>
      <c r="CS165" s="2">
        <f>-19.962516587767*(1/14151.6638359215)</f>
        <v>-1.4106126897316254E-3</v>
      </c>
      <c r="CT165" s="2">
        <f>-19.7297033419065*(1/14151.6638359215)</f>
        <v>-1.3941613912440553E-3</v>
      </c>
      <c r="CU165" s="2">
        <f>-19.4547071303077*(1/14151.6638359215)</f>
        <v>-1.3747293149322386E-3</v>
      </c>
      <c r="CV165" s="2">
        <f>-19.1796005946585*(1/14151.6638359215)</f>
        <v>-1.3552894427844215E-3</v>
      </c>
      <c r="CW165" s="2">
        <f>-18.8885063739967*(1/14151.6638359215)</f>
        <v>-1.3347198317452654E-3</v>
      </c>
      <c r="CX165" s="2">
        <f>-18.5653456770641*(1/14151.6638359215)</f>
        <v>-1.3118843050764991E-3</v>
      </c>
      <c r="CY165" s="2">
        <f>-18.1940397126026*(1/14151.6638359215)</f>
        <v>-1.2856466860398594E-3</v>
      </c>
      <c r="CZ165" s="2">
        <f>-17.7585096893541*(1/14151.6638359215)</f>
        <v>-1.2548707978970826E-3</v>
      </c>
      <c r="DA165" s="2">
        <f>-17.2426768160604*(1/14151.6638359215)</f>
        <v>-1.2184204639098979E-3</v>
      </c>
      <c r="DB165" s="2">
        <f>-16.6304623014634*(1/14151.6638359215)</f>
        <v>-1.175159507340042E-3</v>
      </c>
      <c r="DC165" s="2">
        <f>-15.9057873543052*(1/14151.6638359215)</f>
        <v>-1.1239517514492654E-3</v>
      </c>
      <c r="DD165" s="2">
        <f>-15.0525731833273*(1/14151.6638359215)</f>
        <v>-1.0636610194992761E-3</v>
      </c>
      <c r="DE165" s="2">
        <f>-14.04554857722*(1/14151.6638359215)</f>
        <v>-9.9250157013819492E-4</v>
      </c>
      <c r="DF165" s="2">
        <f>-12.7952622432248*(1/14151.6638359215)</f>
        <v>-9.0415250048169501E-4</v>
      </c>
      <c r="DG165" s="2">
        <f>-11.3272642092462*(1/14151.6638359215)</f>
        <v>-8.0041925391796979E-4</v>
      </c>
      <c r="DH165" s="2">
        <f>-9.6973161147047*(1/14151.6638359215)</f>
        <v>-6.8524211902841947E-4</v>
      </c>
      <c r="DI165" s="2">
        <f>-7.96117959902201*(1/14151.6638359215)</f>
        <v>-5.6256138439453047E-4</v>
      </c>
      <c r="DJ165" s="2">
        <f>-6.17461630161872*(1/14151.6638359215)</f>
        <v>-4.3631733859770936E-4</v>
      </c>
      <c r="DK165" s="2">
        <f>-4.39338786191579*(1/14151.6638359215)</f>
        <v>-3.1045027021938938E-4</v>
      </c>
      <c r="DL165" s="2">
        <f>-2.67325591933416*(1/14151.6638359215)</f>
        <v>-1.8890046784100198E-4</v>
      </c>
      <c r="DM165" s="2">
        <f>-1.06998211329449*(1/14151.6638359215)</f>
        <v>-7.5608220043959032E-5</v>
      </c>
      <c r="DN165" s="2">
        <f>0.360671916781667*(1/14151.6638359215)</f>
        <v>2.5486184590264575E-5</v>
      </c>
      <c r="DO165" s="2">
        <f>1.56294453147368*(1/14151.6638359215)</f>
        <v>1.1044245748025906E-4</v>
      </c>
      <c r="DP165" s="2">
        <f>2.53523518013979*(1/14151.6638359215)</f>
        <v>1.791474988053732E-4</v>
      </c>
      <c r="DQ165" s="2">
        <f>3.36732943426846*(1/14151.6638359215)</f>
        <v>2.3794583261093927E-4</v>
      </c>
      <c r="DR165" s="2">
        <f>4.07626687722154*(1/14151.6638359215)</f>
        <v>2.8804152815407164E-4</v>
      </c>
      <c r="DS165" s="2">
        <f>4.6766148579397*(1/14151.6638359215)</f>
        <v>3.3046395902006515E-4</v>
      </c>
      <c r="DT165" s="2">
        <f>5.18294072536372*(1/14151.6638359215)</f>
        <v>3.6624249879422231E-4</v>
      </c>
      <c r="DU165" s="2">
        <f>5.60981182843407*(1/14151.6638359215)</f>
        <v>3.9640652106182409E-4</v>
      </c>
      <c r="DV165" s="2">
        <f>5.97179551609154*(1/14151.6638359215)</f>
        <v>4.2198539940817363E-4</v>
      </c>
      <c r="DW165" s="2">
        <f>6.28345913727681*(1/14151.6638359215)</f>
        <v>4.440085074185665E-4</v>
      </c>
      <c r="DX165" s="2">
        <f>6.55937004093055*(1/14151.6638359215)</f>
        <v>4.6350521867829754E-4</v>
      </c>
      <c r="DY165" s="2">
        <f>6.81409557599348*(1/14151.6638359215)</f>
        <v>4.815049067726652E-4</v>
      </c>
      <c r="DZ165" s="2">
        <f>7.05912893903504*(1/14151.6638359215)</f>
        <v>4.9881971624542751E-4</v>
      </c>
      <c r="EA165" s="2">
        <f>7.24108752534741*(1/14151.6638359215)</f>
        <v>5.116774684095582E-4</v>
      </c>
      <c r="EB165" s="2">
        <f>7.34576257936878*(1/14151.6638359215)</f>
        <v>5.1907412898848397E-4</v>
      </c>
      <c r="EC165" s="2">
        <f>7.38649802034365*(1/14151.6638359215)</f>
        <v>5.2195262027029845E-4</v>
      </c>
      <c r="ED165" s="2">
        <f>7.37663776751651*(1/14151.6638359215)</f>
        <v>5.2125586454309476E-4</v>
      </c>
      <c r="EE165" s="2">
        <f>7.32952574013183*(1/14151.6638359215)</f>
        <v>5.1792678409496435E-4</v>
      </c>
      <c r="EF165" s="2">
        <f>7.25850585743411*(1/14151.6638359215)</f>
        <v>5.1290830121400108E-4</v>
      </c>
      <c r="EG165" s="2">
        <f>7.17692203866784*(1/14151.6638359215)</f>
        <v>5.0714333818829773E-4</v>
      </c>
      <c r="EH165" s="2">
        <f>7.09811820307751*(1/14151.6638359215)</f>
        <v>5.0157481730594749E-4</v>
      </c>
      <c r="EI165" s="2">
        <f>7.0354382699076*(1/14151.6638359215)</f>
        <v>4.9714566085504251E-4</v>
      </c>
      <c r="EJ165" s="2">
        <f>7.0022261584026*(1/14151.6638359215)</f>
        <v>4.9479879112367586E-4</v>
      </c>
      <c r="EK165" s="2">
        <f t="shared" si="27"/>
        <v>4.9464148393856954E-4</v>
      </c>
      <c r="EL165" s="2">
        <f t="shared" si="27"/>
        <v>4.9464148393856954E-4</v>
      </c>
      <c r="EM165" s="2">
        <f t="shared" si="27"/>
        <v>4.9464148393856954E-4</v>
      </c>
      <c r="EN165" s="2">
        <f t="shared" si="27"/>
        <v>4.9464148393856954E-4</v>
      </c>
      <c r="EO165" s="2">
        <f t="shared" si="27"/>
        <v>4.9464148393856954E-4</v>
      </c>
      <c r="EP165" s="2">
        <f t="shared" si="27"/>
        <v>4.9464148393856954E-4</v>
      </c>
      <c r="EQ165" s="2">
        <f t="shared" si="27"/>
        <v>4.9464148393856954E-4</v>
      </c>
      <c r="ER165" s="2">
        <f t="shared" si="27"/>
        <v>4.9464148393856954E-4</v>
      </c>
      <c r="ES165" s="2">
        <f t="shared" si="27"/>
        <v>4.9464148393856954E-4</v>
      </c>
      <c r="ET165" s="2">
        <f t="shared" si="27"/>
        <v>4.9464148393856954E-4</v>
      </c>
      <c r="EU165" s="2">
        <f t="shared" si="27"/>
        <v>4.9464148393856954E-4</v>
      </c>
      <c r="EV165" s="2">
        <f t="shared" si="27"/>
        <v>4.9464148393856954E-4</v>
      </c>
      <c r="EW165" s="2">
        <f t="shared" si="27"/>
        <v>4.9464148393856954E-4</v>
      </c>
      <c r="EX165" s="2">
        <f t="shared" si="27"/>
        <v>4.9464148393856954E-4</v>
      </c>
      <c r="EY165" s="2">
        <f t="shared" si="27"/>
        <v>4.9464148393856954E-4</v>
      </c>
      <c r="EZ165" s="2">
        <f t="shared" si="27"/>
        <v>4.9464148393856954E-4</v>
      </c>
      <c r="FA165" s="2">
        <f t="shared" si="27"/>
        <v>4.9464148393856954E-4</v>
      </c>
      <c r="FB165" s="2">
        <f t="shared" si="27"/>
        <v>4.9464148393856954E-4</v>
      </c>
      <c r="FC165" s="2">
        <f t="shared" si="27"/>
        <v>4.9464148393856954E-4</v>
      </c>
      <c r="FD165" s="2">
        <f t="shared" si="27"/>
        <v>4.9464148393856954E-4</v>
      </c>
      <c r="FE165" s="2">
        <f t="shared" si="27"/>
        <v>4.9464148393856954E-4</v>
      </c>
      <c r="FF165" s="2">
        <f t="shared" si="24"/>
        <v>4.9464148393856954E-4</v>
      </c>
      <c r="FG165" s="2">
        <f t="shared" si="24"/>
        <v>4.9464148393856954E-4</v>
      </c>
      <c r="FH165" s="2">
        <f t="shared" si="24"/>
        <v>4.9464148393856954E-4</v>
      </c>
      <c r="FI165" s="2">
        <f t="shared" si="24"/>
        <v>4.9464148393856954E-4</v>
      </c>
      <c r="FJ165" s="2">
        <f t="shared" si="24"/>
        <v>4.9464148393856954E-4</v>
      </c>
      <c r="FK165" s="2">
        <f t="shared" si="24"/>
        <v>4.9464148393856954E-4</v>
      </c>
      <c r="FL165" s="2">
        <f t="shared" si="24"/>
        <v>4.9464148393856954E-4</v>
      </c>
      <c r="FM165" s="2">
        <f t="shared" si="24"/>
        <v>4.9464148393856954E-4</v>
      </c>
      <c r="FN165" s="2">
        <f t="shared" si="24"/>
        <v>4.9464148393856954E-4</v>
      </c>
      <c r="FO165" s="2">
        <f t="shared" si="24"/>
        <v>4.9464148393856954E-4</v>
      </c>
      <c r="FP165" s="2">
        <f t="shared" si="24"/>
        <v>4.9464148393856954E-4</v>
      </c>
      <c r="FQ165" s="2"/>
    </row>
    <row r="166" spans="2:173">
      <c r="B166" s="2">
        <v>10.84319526627219</v>
      </c>
      <c r="C166" s="2">
        <f t="shared" si="25"/>
        <v>4.9464148393856954E-4</v>
      </c>
      <c r="D166" s="2">
        <f t="shared" si="25"/>
        <v>4.9464148393856954E-4</v>
      </c>
      <c r="E166" s="2">
        <f t="shared" si="25"/>
        <v>4.9464148393856954E-4</v>
      </c>
      <c r="F166" s="2">
        <f t="shared" si="25"/>
        <v>4.9464148393856954E-4</v>
      </c>
      <c r="G166" s="2">
        <f t="shared" si="25"/>
        <v>4.9464148393856954E-4</v>
      </c>
      <c r="H166" s="2">
        <f t="shared" si="25"/>
        <v>4.9464148393856954E-4</v>
      </c>
      <c r="I166" s="2">
        <f t="shared" si="25"/>
        <v>4.9464148393856954E-4</v>
      </c>
      <c r="J166" s="2">
        <f t="shared" si="25"/>
        <v>4.9464148393856954E-4</v>
      </c>
      <c r="K166" s="2">
        <f t="shared" si="25"/>
        <v>4.9464148393856954E-4</v>
      </c>
      <c r="L166" s="2">
        <f t="shared" si="25"/>
        <v>4.9464148393856954E-4</v>
      </c>
      <c r="M166" s="2">
        <f t="shared" si="25"/>
        <v>4.9464148393856954E-4</v>
      </c>
      <c r="N166" s="2">
        <f t="shared" si="25"/>
        <v>4.9464148393856954E-4</v>
      </c>
      <c r="O166" s="2">
        <f t="shared" si="25"/>
        <v>4.9464148393856954E-4</v>
      </c>
      <c r="P166" s="2">
        <f t="shared" si="25"/>
        <v>4.9464148393856954E-4</v>
      </c>
      <c r="Q166" s="2">
        <f t="shared" si="25"/>
        <v>4.9464148393856954E-4</v>
      </c>
      <c r="R166" s="2">
        <f t="shared" si="25"/>
        <v>4.9464148393856954E-4</v>
      </c>
      <c r="S166" s="2">
        <f t="shared" si="26"/>
        <v>4.9464148393856954E-4</v>
      </c>
      <c r="T166" s="2">
        <f t="shared" si="26"/>
        <v>4.9464148393856954E-4</v>
      </c>
      <c r="U166" s="2">
        <f t="shared" si="26"/>
        <v>4.9464148393856954E-4</v>
      </c>
      <c r="V166" s="2">
        <f t="shared" si="26"/>
        <v>4.9464148393856954E-4</v>
      </c>
      <c r="W166" s="2">
        <f t="shared" si="23"/>
        <v>4.9464148393856954E-4</v>
      </c>
      <c r="X166" s="2">
        <f t="shared" si="23"/>
        <v>4.9464148393856954E-4</v>
      </c>
      <c r="Y166" s="2">
        <f t="shared" si="23"/>
        <v>4.9464148393856954E-4</v>
      </c>
      <c r="Z166" s="2">
        <f t="shared" si="23"/>
        <v>4.9464148393856954E-4</v>
      </c>
      <c r="AA166" s="2">
        <f t="shared" si="23"/>
        <v>4.9464148393856954E-4</v>
      </c>
      <c r="AB166" s="2">
        <f t="shared" si="23"/>
        <v>4.9464148393856954E-4</v>
      </c>
      <c r="AC166" s="2">
        <f t="shared" si="23"/>
        <v>4.9464148393856954E-4</v>
      </c>
      <c r="AD166" s="2">
        <f t="shared" si="23"/>
        <v>4.9464148393856954E-4</v>
      </c>
      <c r="AE166" s="2">
        <f t="shared" si="23"/>
        <v>4.9464148393856954E-4</v>
      </c>
      <c r="AF166" s="2">
        <f t="shared" si="23"/>
        <v>4.9464148393856954E-4</v>
      </c>
      <c r="AG166" s="2">
        <f t="shared" si="23"/>
        <v>4.9464148393856954E-4</v>
      </c>
      <c r="AH166" s="2">
        <f t="shared" si="23"/>
        <v>4.9464148393856954E-4</v>
      </c>
      <c r="AI166" s="2">
        <f>7.00122969225708*(1/14151.6638359215)</f>
        <v>4.9472837776754516E-4</v>
      </c>
      <c r="AJ166" s="2">
        <f>7.01957550103302*(1/14151.6638359215)</f>
        <v>4.9602474892140012E-4</v>
      </c>
      <c r="AK166" s="2">
        <f>7.05419883619346*(1/14151.6638359215)</f>
        <v>4.9847134004749472E-4</v>
      </c>
      <c r="AL166" s="2">
        <f>7.09772874239447*(1/14151.6638359215)</f>
        <v>5.0154729681877689E-4</v>
      </c>
      <c r="AM166" s="2">
        <f>7.14279426429213*(1/14151.6638359215)</f>
        <v>5.0473176490819463E-4</v>
      </c>
      <c r="AN166" s="2">
        <f>7.18202444654252*(1/14151.6638359215)</f>
        <v>5.0750388998869653E-4</v>
      </c>
      <c r="AO166" s="2">
        <f>7.2080483338017*(1/14151.6638359215)</f>
        <v>5.0934281773322952E-4</v>
      </c>
      <c r="AP166" s="2">
        <f>7.21349497072576*(1/14151.6638359215)</f>
        <v>5.097276938147426E-4</v>
      </c>
      <c r="AQ166" s="2">
        <f>7.19099340197076*(1/14151.6638359215)</f>
        <v>5.0813766390618283E-4</v>
      </c>
      <c r="AR166" s="2">
        <f>7.13317267219279*(1/14151.6638359215)</f>
        <v>5.0405187368049908E-4</v>
      </c>
      <c r="AS166" s="2">
        <f>7.0326618260479*(1/14151.6638359215)</f>
        <v>4.9694946881063766E-4</v>
      </c>
      <c r="AT166" s="2">
        <f>6.90547978345307*(1/14151.6638359215)</f>
        <v>4.8796239534214551E-4</v>
      </c>
      <c r="AU166" s="2">
        <f>6.79655265712668*(1/14151.6638359215)</f>
        <v>4.8026527028396698E-4</v>
      </c>
      <c r="AV166" s="2">
        <f>6.69165066584246*(1/14151.6638359215)</f>
        <v>4.7285257362154735E-4</v>
      </c>
      <c r="AW166" s="2">
        <f>6.57384559859866*(1/14151.6638359215)</f>
        <v>4.645281060105536E-4</v>
      </c>
      <c r="AX166" s="2">
        <f>6.42620924439357*(1/14151.6638359215)</f>
        <v>4.5409566810665562E-4</v>
      </c>
      <c r="AY166" s="2">
        <f>6.23181339222544*(1/14151.6638359215)</f>
        <v>4.403590605655204E-4</v>
      </c>
      <c r="AZ166" s="2">
        <f>5.97372983109256*(1/14151.6638359215)</f>
        <v>4.2212208404281772E-4</v>
      </c>
      <c r="BA166" s="2">
        <f>5.63503034999312*(1/14151.6638359215)</f>
        <v>3.9818853919421055E-4</v>
      </c>
      <c r="BB166" s="2">
        <f>5.19878673792553*(1/14151.6638359215)</f>
        <v>3.6736222667537702E-4</v>
      </c>
      <c r="BC166" s="2">
        <f>4.648070783888*(1/14151.6638359215)</f>
        <v>3.2844694714198152E-4</v>
      </c>
      <c r="BD166" s="2">
        <f>3.96648336014253*(1/14151.6638359215)</f>
        <v>2.8028388789693494E-4</v>
      </c>
      <c r="BE166" s="2">
        <f>3.16278656276458*(1/14151.6638359215)</f>
        <v>2.2349220554097708E-4</v>
      </c>
      <c r="BF166" s="2">
        <f>2.25291734247029*(1/14151.6638359215)</f>
        <v>1.5919805392434897E-4</v>
      </c>
      <c r="BG166" s="2">
        <f>1.24571245986277*(1/14151.6638359215)</f>
        <v>8.802586567246947E-5</v>
      </c>
      <c r="BH166" s="2">
        <f>0.150008675545681*(1/14151.6638359215)</f>
        <v>1.0600073410796437E-5</v>
      </c>
      <c r="BI166" s="2">
        <f>-1.02535724987787*(1/14151.6638359215)</f>
        <v>-7.2454890235251464E-5</v>
      </c>
      <c r="BJ166" s="2">
        <f>-2.27154855580461*(1/14151.6638359215)</f>
        <v>-1.6051459264024385E-4</v>
      </c>
      <c r="BK166" s="2">
        <f>-3.57972848163122*(1/14151.6638359215)</f>
        <v>-2.5295460117874703E-4</v>
      </c>
      <c r="BL166" s="2">
        <f>-4.94106026675444*(1/14151.6638359215)</f>
        <v>-3.491504832253315E-4</v>
      </c>
      <c r="BM166" s="2">
        <f>-6.34670715057124*(1/14151.6638359215)</f>
        <v>-4.4847780615458408E-4</v>
      </c>
      <c r="BN166" s="2">
        <f>-7.78783237247781*(1/14151.6638359215)</f>
        <v>-5.503121373410364E-4</v>
      </c>
      <c r="BO166" s="2">
        <f>-9.30226194609503*(1/14151.6638359215)</f>
        <v>-6.5732637900024738E-4</v>
      </c>
      <c r="BP166" s="2">
        <f>-11.0331361010492*(1/14151.6638359215)</f>
        <v>-7.7963525907416857E-4</v>
      </c>
      <c r="BQ166" s="2">
        <f>-12.9363270877675*(1/14151.6638359215)</f>
        <v>-9.1412057534400435E-4</v>
      </c>
      <c r="BR166" s="2">
        <f>-14.9496584078522*(1/14151.6638359215)</f>
        <v>-1.0563887456049607E-3</v>
      </c>
      <c r="BS166" s="2">
        <f>-17.0109535629048*(1/14151.6638359215)</f>
        <v>-1.2020461876521896E-3</v>
      </c>
      <c r="BT166" s="2">
        <f>-19.0580360545274*(1/14151.6638359215)</f>
        <v>-1.3466993192808847E-3</v>
      </c>
      <c r="BU166" s="2">
        <f>-21.0287293843222*(1/14151.6638359215)</f>
        <v>-1.485954558286248E-3</v>
      </c>
      <c r="BV166" s="2">
        <f>-22.8608570538911*(1/14151.6638359215)</f>
        <v>-1.6154183224634583E-3</v>
      </c>
      <c r="BW166" s="2">
        <f>-24.4922425648361*(1/14151.6638359215)</f>
        <v>-1.7306970296077037E-3</v>
      </c>
      <c r="BX166" s="2">
        <f>-25.8607094187593*(1/14151.6638359215)</f>
        <v>-1.8273970975141774E-3</v>
      </c>
      <c r="BY166" s="2">
        <f>-26.9042441774073*(1/14151.6638359215)</f>
        <v>-1.901136466308338E-3</v>
      </c>
      <c r="BZ166" s="2">
        <f>-27.6263539219548*(1/14151.6638359215)</f>
        <v>-1.9521629571096918E-3</v>
      </c>
      <c r="CA166" s="2">
        <f>-28.0879604577415*(1/14151.6638359215)</f>
        <v>-1.9847814916607314E-3</v>
      </c>
      <c r="CB166" s="2">
        <f>-28.3281271098667*(1/14151.6638359215)</f>
        <v>-2.0017524044035552E-3</v>
      </c>
      <c r="CC166" s="2">
        <f>-28.3859172034296*(1/14151.6638359215)</f>
        <v>-2.0058360297802555E-3</v>
      </c>
      <c r="CD166" s="2">
        <f>-28.3003940635296*(1/14151.6638359215)</f>
        <v>-1.9997927022329378E-3</v>
      </c>
      <c r="CE166" s="2">
        <f>-28.1106210152661*(1/14151.6638359215)</f>
        <v>-1.9863827562037091E-3</v>
      </c>
      <c r="CF166" s="2">
        <f>-27.8556613837383*(1/14151.6638359215)</f>
        <v>-1.9683665261346602E-3</v>
      </c>
      <c r="CG166" s="2">
        <f>-27.5745784940456*(1/14151.6638359215)</f>
        <v>-1.9485043464678973E-3</v>
      </c>
      <c r="CH166" s="2">
        <f>-27.3064356712872*(1/14151.6638359215)</f>
        <v>-1.9295565516455129E-3</v>
      </c>
      <c r="CI166" s="2">
        <f>-27.0902962405626*(1/14151.6638359215)</f>
        <v>-1.9142834761096195E-3</v>
      </c>
      <c r="CJ166" s="2">
        <f>-26.9491215773571*(1/14151.6638359215)</f>
        <v>-1.9043076411235486E-3</v>
      </c>
      <c r="CK166" s="2">
        <f>-26.8090117829256*(1/14151.6638359215)</f>
        <v>-1.8944070530332736E-3</v>
      </c>
      <c r="CL166" s="2">
        <f>-26.6511409992307*(1/14151.6638359215)</f>
        <v>-1.8832514189307894E-3</v>
      </c>
      <c r="CM166" s="2">
        <f>-26.4709684816087*(1/14151.6638359215)</f>
        <v>-1.8705198758620044E-3</v>
      </c>
      <c r="CN166" s="2">
        <f>-26.2639534853961*(1/14151.6638359215)</f>
        <v>-1.8558915608728418E-3</v>
      </c>
      <c r="CO166" s="2">
        <f>-26.0255552659291*(1/14151.6638359215)</f>
        <v>-1.8390456110092034E-3</v>
      </c>
      <c r="CP166" s="2">
        <f>-25.7512330785442*(1/14151.6638359215)</f>
        <v>-1.8196611633170116E-3</v>
      </c>
      <c r="CQ166" s="2">
        <f>-25.4364461785777*(1/14151.6638359215)</f>
        <v>-1.7974173548421758E-3</v>
      </c>
      <c r="CR166" s="2">
        <f>-25.0766538213661*(1/14151.6638359215)</f>
        <v>-1.7719933226306183E-3</v>
      </c>
      <c r="CS166" s="2">
        <f>-24.6673152622455*(1/14151.6638359215)</f>
        <v>-1.7430682037282341E-3</v>
      </c>
      <c r="CT166" s="2">
        <f>-24.2038897565525*(1/14151.6638359215)</f>
        <v>-1.7103211351809529E-3</v>
      </c>
      <c r="CU166" s="2">
        <f>-23.7087624935301*(1/14151.6638359215)</f>
        <v>-1.6753339231638327E-3</v>
      </c>
      <c r="CV166" s="2">
        <f>-23.2059054200903*(1/14151.6638359215)</f>
        <v>-1.6398004990187942E-3</v>
      </c>
      <c r="CW166" s="2">
        <f>-22.6817718599296*(1/14151.6638359215)</f>
        <v>-1.6027636130216667E-3</v>
      </c>
      <c r="CX166" s="2">
        <f>-22.122689520909*(1/14151.6638359215)</f>
        <v>-1.5632571390478099E-3</v>
      </c>
      <c r="CY166" s="2">
        <f>-21.5149861108894*(1/14151.6638359215)</f>
        <v>-1.5203149509725781E-3</v>
      </c>
      <c r="CZ166" s="2">
        <f>-20.8449893377319*(1/14151.6638359215)</f>
        <v>-1.4729709226713381E-3</v>
      </c>
      <c r="DA166" s="2">
        <f>-20.0990269092972*(1/14151.6638359215)</f>
        <v>-1.4202589280194299E-3</v>
      </c>
      <c r="DB166" s="2">
        <f>-19.2634265334468*(1/14151.6638359215)</f>
        <v>-1.3612128408922485E-3</v>
      </c>
      <c r="DC166" s="2">
        <f>-18.3245159180415*(1/14151.6638359215)</f>
        <v>-1.2948665351651409E-3</v>
      </c>
      <c r="DD166" s="2">
        <f>-17.2686227709423*(1/14151.6638359215)</f>
        <v>-1.2202538847134676E-3</v>
      </c>
      <c r="DE166" s="2">
        <f>-16.0720884075411*(1/14151.6638359215)</f>
        <v>-1.1357030942711443E-3</v>
      </c>
      <c r="DF166" s="2">
        <f>-14.639050817439*(1/14151.6638359215)</f>
        <v>-1.0344402599700223E-3</v>
      </c>
      <c r="DG166" s="2">
        <f>-12.9937045435248*(1/14151.6638359215)</f>
        <v>-9.1817504246692009E-4</v>
      </c>
      <c r="DH166" s="2">
        <f>-11.1925528274128*(1/14151.6638359215)</f>
        <v>-7.9090013423032855E-4</v>
      </c>
      <c r="DI166" s="2">
        <f>-9.29209891071855*(1/14151.6638359215)</f>
        <v>-6.5660822772882705E-4</v>
      </c>
      <c r="DJ166" s="2">
        <f>-7.34884603505658*(1/14151.6638359215)</f>
        <v>-5.1929201543092279E-4</v>
      </c>
      <c r="DK166" s="2">
        <f>-5.41929744204169*(1/14151.6638359215)</f>
        <v>-3.8294418980514222E-4</v>
      </c>
      <c r="DL166" s="2">
        <f>-3.55995637328871*(1/14151.6638359215)</f>
        <v>-2.5155744332001369E-4</v>
      </c>
      <c r="DM166" s="2">
        <f>-1.82732607041216*(1/14151.6638359215)</f>
        <v>-1.2912446844404369E-4</v>
      </c>
      <c r="DN166" s="2">
        <f>-0.277909775027514*(1/14151.6638359215)</f>
        <v>-1.9637957645806223E-5</v>
      </c>
      <c r="DO166" s="2">
        <f>1.03178927125074*(1/14151.6638359215)</f>
        <v>7.2909396606194463E-5</v>
      </c>
      <c r="DP166" s="2">
        <f>2.09882959624369*(1/14151.6638359215)</f>
        <v>1.4830974086002394E-4</v>
      </c>
      <c r="DQ166" s="2">
        <f>3.0122563714526*(1/14151.6638359215)</f>
        <v>2.1285528022553214E-4</v>
      </c>
      <c r="DR166" s="2">
        <f>3.79048845168681*(1/14151.6638359215)</f>
        <v>2.6784754751348207E-4</v>
      </c>
      <c r="DS166" s="2">
        <f>4.44951706209923*(1/14151.6638359215)</f>
        <v>3.1441653177239248E-4</v>
      </c>
      <c r="DT166" s="2">
        <f>5.00533342784288*(1/14151.6638359215)</f>
        <v>3.5369222205078988E-4</v>
      </c>
      <c r="DU166" s="2">
        <f>5.47392877407049*(1/14151.6638359215)</f>
        <v>3.8680460739718033E-4</v>
      </c>
      <c r="DV166" s="2">
        <f>5.87129432593508*(1/14151.6638359215)</f>
        <v>4.1488367686009017E-4</v>
      </c>
      <c r="DW166" s="2">
        <f>6.21342130858958*(1/14151.6638359215)</f>
        <v>4.3905941948803979E-4</v>
      </c>
      <c r="DX166" s="2">
        <f>6.51630094718692*(1/14151.6638359215)</f>
        <v>4.6046182432954924E-4</v>
      </c>
      <c r="DY166" s="2">
        <f>6.79592446688006*(1/14151.6638359215)</f>
        <v>4.8022088043314073E-4</v>
      </c>
      <c r="DZ166" s="2">
        <f>7.06490845939185*(1/14151.6638359215)</f>
        <v>4.9922811489196259E-4</v>
      </c>
      <c r="EA166" s="2">
        <f>7.264652471434*(1/14151.6638359215)</f>
        <v>5.1334263982401578E-4</v>
      </c>
      <c r="EB166" s="2">
        <f>7.3795589217131*(1/14151.6638359215)</f>
        <v>5.2146228226403971E-4</v>
      </c>
      <c r="EC166" s="2">
        <f>7.42427602233213*(1/14151.6638359215)</f>
        <v>5.2462212983655793E-4</v>
      </c>
      <c r="ED166" s="2">
        <f>7.41345198539406*(1/14151.6638359215)</f>
        <v>5.2385727016609324E-4</v>
      </c>
      <c r="EE166" s="2">
        <f>7.36173502300185*(1/14151.6638359215)</f>
        <v>5.2020279087716778E-4</v>
      </c>
      <c r="EF166" s="2">
        <f>7.28377334725849*(1/14151.6638359215)</f>
        <v>5.1469377959430587E-4</v>
      </c>
      <c r="EG166" s="2">
        <f>7.19421517026695*(1/14151.6638359215)</f>
        <v>5.0836532394203042E-4</v>
      </c>
      <c r="EH166" s="2">
        <f>7.1077087041302*(1/14151.6638359215)</f>
        <v>5.0225251154486421E-4</v>
      </c>
      <c r="EI166" s="2">
        <f>7.0389021609512*(1/14151.6638359215)</f>
        <v>4.973904300273294E-4</v>
      </c>
      <c r="EJ166" s="2">
        <f>7.00244375283293*(1/14151.6638359215)</f>
        <v>4.9481416701394943E-4</v>
      </c>
      <c r="EK166" s="2">
        <f t="shared" si="27"/>
        <v>4.9464148393856954E-4</v>
      </c>
      <c r="EL166" s="2">
        <f t="shared" si="27"/>
        <v>4.9464148393856954E-4</v>
      </c>
      <c r="EM166" s="2">
        <f t="shared" si="27"/>
        <v>4.9464148393856954E-4</v>
      </c>
      <c r="EN166" s="2">
        <f t="shared" si="27"/>
        <v>4.9464148393856954E-4</v>
      </c>
      <c r="EO166" s="2">
        <f t="shared" si="27"/>
        <v>4.9464148393856954E-4</v>
      </c>
      <c r="EP166" s="2">
        <f t="shared" si="27"/>
        <v>4.9464148393856954E-4</v>
      </c>
      <c r="EQ166" s="2">
        <f t="shared" si="27"/>
        <v>4.9464148393856954E-4</v>
      </c>
      <c r="ER166" s="2">
        <f t="shared" si="27"/>
        <v>4.9464148393856954E-4</v>
      </c>
      <c r="ES166" s="2">
        <f t="shared" si="27"/>
        <v>4.9464148393856954E-4</v>
      </c>
      <c r="ET166" s="2">
        <f t="shared" si="27"/>
        <v>4.9464148393856954E-4</v>
      </c>
      <c r="EU166" s="2">
        <f t="shared" si="27"/>
        <v>4.9464148393856954E-4</v>
      </c>
      <c r="EV166" s="2">
        <f t="shared" si="27"/>
        <v>4.9464148393856954E-4</v>
      </c>
      <c r="EW166" s="2">
        <f t="shared" si="27"/>
        <v>4.9464148393856954E-4</v>
      </c>
      <c r="EX166" s="2">
        <f t="shared" si="27"/>
        <v>4.9464148393856954E-4</v>
      </c>
      <c r="EY166" s="2">
        <f t="shared" si="27"/>
        <v>4.9464148393856954E-4</v>
      </c>
      <c r="EZ166" s="2">
        <f t="shared" si="27"/>
        <v>4.9464148393856954E-4</v>
      </c>
      <c r="FA166" s="2">
        <f t="shared" si="27"/>
        <v>4.9464148393856954E-4</v>
      </c>
      <c r="FB166" s="2">
        <f t="shared" si="27"/>
        <v>4.9464148393856954E-4</v>
      </c>
      <c r="FC166" s="2">
        <f t="shared" si="27"/>
        <v>4.9464148393856954E-4</v>
      </c>
      <c r="FD166" s="2">
        <f t="shared" si="27"/>
        <v>4.9464148393856954E-4</v>
      </c>
      <c r="FE166" s="2">
        <f t="shared" si="27"/>
        <v>4.9464148393856954E-4</v>
      </c>
      <c r="FF166" s="2">
        <f t="shared" si="24"/>
        <v>4.9464148393856954E-4</v>
      </c>
      <c r="FG166" s="2">
        <f t="shared" si="24"/>
        <v>4.9464148393856954E-4</v>
      </c>
      <c r="FH166" s="2">
        <f t="shared" si="24"/>
        <v>4.9464148393856954E-4</v>
      </c>
      <c r="FI166" s="2">
        <f t="shared" si="24"/>
        <v>4.9464148393856954E-4</v>
      </c>
      <c r="FJ166" s="2">
        <f t="shared" si="24"/>
        <v>4.9464148393856954E-4</v>
      </c>
      <c r="FK166" s="2">
        <f t="shared" si="24"/>
        <v>4.9464148393856954E-4</v>
      </c>
      <c r="FL166" s="2">
        <f t="shared" si="24"/>
        <v>4.9464148393856954E-4</v>
      </c>
      <c r="FM166" s="2">
        <f t="shared" si="24"/>
        <v>4.9464148393856954E-4</v>
      </c>
      <c r="FN166" s="2">
        <f t="shared" si="24"/>
        <v>4.9464148393856954E-4</v>
      </c>
      <c r="FO166" s="2">
        <f t="shared" si="24"/>
        <v>4.9464148393856954E-4</v>
      </c>
      <c r="FP166" s="2">
        <f t="shared" si="24"/>
        <v>4.9464148393856954E-4</v>
      </c>
      <c r="FQ166" s="2"/>
    </row>
    <row r="167" spans="2:173">
      <c r="B167" s="2">
        <v>10.852662721893491</v>
      </c>
      <c r="C167" s="2">
        <f>7*(1/14151.6638359215)</f>
        <v>4.9464148393856954E-4</v>
      </c>
      <c r="D167" s="2">
        <f>7*(1/14151.6638359215)</f>
        <v>4.9464148393856954E-4</v>
      </c>
      <c r="E167" s="2">
        <f>7*(1/14151.6638359215)</f>
        <v>4.9464148393856954E-4</v>
      </c>
      <c r="F167" s="2">
        <f t="shared" si="25"/>
        <v>4.9464148393856954E-4</v>
      </c>
      <c r="G167" s="2">
        <f>7*(1/14151.6638359215)</f>
        <v>4.9464148393856954E-4</v>
      </c>
      <c r="H167" s="2">
        <f>7*(1/14151.6638359215)</f>
        <v>4.9464148393856954E-4</v>
      </c>
      <c r="I167" s="2">
        <f>7*(1/14151.6638359215)</f>
        <v>4.9464148393856954E-4</v>
      </c>
      <c r="J167" s="2">
        <f t="shared" si="25"/>
        <v>4.9464148393856954E-4</v>
      </c>
      <c r="K167" s="2">
        <f t="shared" si="25"/>
        <v>4.9464148393856954E-4</v>
      </c>
      <c r="L167" s="2">
        <f>7*(1/14151.6638359215)</f>
        <v>4.9464148393856954E-4</v>
      </c>
      <c r="M167" s="2">
        <f>7*(1/14151.6638359215)</f>
        <v>4.9464148393856954E-4</v>
      </c>
      <c r="N167" s="2">
        <f>7*(1/14151.6638359215)</f>
        <v>4.9464148393856954E-4</v>
      </c>
      <c r="O167" s="2">
        <f t="shared" si="25"/>
        <v>4.9464148393856954E-4</v>
      </c>
      <c r="P167" s="2">
        <f t="shared" si="25"/>
        <v>4.9464148393856954E-4</v>
      </c>
      <c r="Q167" s="2">
        <f t="shared" si="25"/>
        <v>4.9464148393856954E-4</v>
      </c>
      <c r="R167" s="2">
        <f t="shared" si="25"/>
        <v>4.9464148393856954E-4</v>
      </c>
      <c r="S167" s="2">
        <f>7*(1/14151.6638359215)</f>
        <v>4.9464148393856954E-4</v>
      </c>
      <c r="T167" s="2">
        <f>7*(1/14151.6638359215)</f>
        <v>4.9464148393856954E-4</v>
      </c>
      <c r="U167" s="2">
        <f>7*(1/14151.6638359215)</f>
        <v>4.9464148393856954E-4</v>
      </c>
      <c r="V167" s="2">
        <f>7*(1/14151.6638359215)</f>
        <v>4.9464148393856954E-4</v>
      </c>
      <c r="W167" s="2">
        <f t="shared" ref="W167:AA172" si="28">7*(1/14151.6638359215)</f>
        <v>4.9464148393856954E-4</v>
      </c>
      <c r="X167" s="2">
        <f t="shared" si="28"/>
        <v>4.9464148393856954E-4</v>
      </c>
      <c r="Y167" s="2">
        <f>7*(1/14151.6638359215)</f>
        <v>4.9464148393856954E-4</v>
      </c>
      <c r="Z167" s="2">
        <f>7*(1/14151.6638359215)</f>
        <v>4.9464148393856954E-4</v>
      </c>
      <c r="AA167" s="2">
        <f>7*(1/14151.6638359215)</f>
        <v>4.9464148393856954E-4</v>
      </c>
      <c r="AB167" s="2">
        <f t="shared" ref="AB167:AE172" si="29">7*(1/14151.6638359215)</f>
        <v>4.9464148393856954E-4</v>
      </c>
      <c r="AC167" s="2">
        <f>7*(1/14151.6638359215)</f>
        <v>4.9464148393856954E-4</v>
      </c>
      <c r="AD167" s="2">
        <f>7*(1/14151.6638359215)</f>
        <v>4.9464148393856954E-4</v>
      </c>
      <c r="AE167" s="2">
        <f>7*(1/14151.6638359215)</f>
        <v>4.9464148393856954E-4</v>
      </c>
      <c r="AF167" s="2">
        <f t="shared" ref="AF167:AU172" si="30">7*(1/14151.6638359215)</f>
        <v>4.9464148393856954E-4</v>
      </c>
      <c r="AG167" s="2">
        <f t="shared" si="30"/>
        <v>4.9464148393856954E-4</v>
      </c>
      <c r="AH167" s="2">
        <f t="shared" si="30"/>
        <v>4.9464148393856954E-4</v>
      </c>
      <c r="AI167" s="2">
        <f>7.00124934487307*(1/14151.6638359215)</f>
        <v>4.947297664817076E-4</v>
      </c>
      <c r="AJ167" s="2">
        <f>7.01988835150615*(1/14151.6638359215)</f>
        <v>4.960468558960116E-4</v>
      </c>
      <c r="AK167" s="2">
        <f>7.05506502763947*(1/14151.6638359215)</f>
        <v>4.9853254779352754E-4</v>
      </c>
      <c r="AL167" s="2">
        <f>7.09929061727292*(1/14151.6638359215)</f>
        <v>5.0165766369129146E-4</v>
      </c>
      <c r="AM167" s="2">
        <f>7.14507636440639*(1/14151.6638359215)</f>
        <v>5.048930251063395E-4</v>
      </c>
      <c r="AN167" s="2">
        <f>7.18493351303977*(1/14151.6638359215)</f>
        <v>5.0770945355570738E-4</v>
      </c>
      <c r="AO167" s="2">
        <f>7.21137330717296*(1/14151.6638359215)</f>
        <v>5.095777705564318E-4</v>
      </c>
      <c r="AP167" s="2">
        <f>7.21690699080585*(1/14151.6638359215)</f>
        <v>5.0996879762554891E-4</v>
      </c>
      <c r="AQ167" s="2">
        <f>7.19404580793833*(1/14151.6638359215)</f>
        <v>5.0835335628009442E-4</v>
      </c>
      <c r="AR167" s="2">
        <f>7.1353010025703*(1/14151.6638359215)</f>
        <v>5.0420226803710513E-4</v>
      </c>
      <c r="AS167" s="2">
        <f>7.03318381870164*(1/14151.6638359215)</f>
        <v>4.9698635441361634E-4</v>
      </c>
      <c r="AT167" s="2">
        <f>6.90396918638497*(1/14151.6638359215)</f>
        <v>4.878556519170886E-4</v>
      </c>
      <c r="AU167" s="2">
        <f>6.7933012155739*(1/14151.6638359215)</f>
        <v>4.8003551344473743E-4</v>
      </c>
      <c r="AV167" s="2">
        <f>6.68672270844725*(1/14151.6638359215)</f>
        <v>4.7250434902743982E-4</v>
      </c>
      <c r="AW167" s="2">
        <f>6.56703491181827*(1/14151.6638359215)</f>
        <v>4.6404684197974035E-4</v>
      </c>
      <c r="AX167" s="2">
        <f>6.41703907250031*(1/14151.6638359215)</f>
        <v>4.5344767561619076E-4</v>
      </c>
      <c r="AY167" s="2">
        <f>6.21953643730667*(1/14151.6638359215)</f>
        <v>4.3949153325133932E-4</v>
      </c>
      <c r="AZ167" s="2">
        <f>5.95732825305066*(1/14151.6638359215)</f>
        <v>4.2096309819973497E-4</v>
      </c>
      <c r="BA167" s="2">
        <f>5.61321576654552*(1/14151.6638359215)</f>
        <v>3.9664705377592157E-4</v>
      </c>
      <c r="BB167" s="2">
        <f>5.1700002246047*(1/14151.6638359215)</f>
        <v>3.6532808329445813E-4</v>
      </c>
      <c r="BC167" s="2">
        <f>4.61048287404146*(1/14151.6638359215)</f>
        <v>3.2579087006988984E-4</v>
      </c>
      <c r="BD167" s="2">
        <f>3.91825459346138*(1/14151.6638359215)</f>
        <v>2.7687589522269339E-4</v>
      </c>
      <c r="BE167" s="2">
        <f>3.11059833450599*(1/14151.6638359215)</f>
        <v>2.1980442515955512E-4</v>
      </c>
      <c r="BF167" s="2">
        <f>2.20474887924879*(1/14151.6638359215)</f>
        <v>1.5579432247764567E-4</v>
      </c>
      <c r="BG167" s="2">
        <f>1.20553733813529*(1/14151.6638359215)</f>
        <v>8.5186968268370424E-5</v>
      </c>
      <c r="BH167" s="2">
        <f>0.117794821611564*(1/14151.6638359215)</f>
        <v>8.3237436231747285E-6</v>
      </c>
      <c r="BI167" s="2">
        <f>-1.05364755987686*(1/14151.6638359215)</f>
        <v>-7.4453970366534697E-5</v>
      </c>
      <c r="BJ167" s="2">
        <f>-2.3039586958843*(1/14151.6638359215)</f>
        <v>-1.6280479260934023E-4</v>
      </c>
      <c r="BK167" s="2">
        <f>-3.62830747596505*(1/14151.6638359215)</f>
        <v>-2.563873420138226E-4</v>
      </c>
      <c r="BL167" s="2">
        <f>-5.0218627896734*(1/14151.6638359215)</f>
        <v>-3.5486023748856216E-4</v>
      </c>
      <c r="BM167" s="2">
        <f>-6.47979352656395*(1/14151.6638359215)</f>
        <v>-4.5788209794216128E-4</v>
      </c>
      <c r="BN167" s="2">
        <f>-7.99726857619044*(1/14151.6638359215)</f>
        <v>-5.6511154228316149E-4</v>
      </c>
      <c r="BO167" s="2">
        <f>-9.61762155347869*(1/14151.6638359215)</f>
        <v>-6.7961065673889567E-4</v>
      </c>
      <c r="BP167" s="2">
        <f>-11.488876414402*(1/14151.6638359215)</f>
        <v>-8.1183926834380536E-4</v>
      </c>
      <c r="BQ167" s="2">
        <f>-13.560869084167*(1/14151.6638359215)</f>
        <v>-9.5825262961271942E-4</v>
      </c>
      <c r="BR167" s="2">
        <f>-15.7645920524758*(1/14151.6638359215)</f>
        <v>-1.1139744580746871E-3</v>
      </c>
      <c r="BS167" s="2">
        <f>-18.031037809029*(1/14151.6638359215)</f>
        <v>-1.2741284712586513E-3</v>
      </c>
      <c r="BT167" s="2">
        <f>-20.2911988435286*(1/14151.6638359215)</f>
        <v>-1.4338383866936534E-3</v>
      </c>
      <c r="BU167" s="2">
        <f>-22.4760676456761*(1/14151.6638359215)</f>
        <v>-1.5882279219086996E-3</v>
      </c>
      <c r="BV167" s="2">
        <f>-24.5166367051731*(1/14151.6638359215)</f>
        <v>-1.7324207944328035E-3</v>
      </c>
      <c r="BW167" s="2">
        <f>-26.3438985117211*(1/14151.6638359215)</f>
        <v>-1.8615407217949713E-3</v>
      </c>
      <c r="BX167" s="2">
        <f>-27.8888455550218*(1/14151.6638359215)</f>
        <v>-1.9707114215242231E-3</v>
      </c>
      <c r="BY167" s="2">
        <f>-29.0827058006735*(1/14151.6638359215)</f>
        <v>-2.055073250599141E-3</v>
      </c>
      <c r="BZ167" s="2">
        <f>-29.9434588904865*(1/14151.6638359215)</f>
        <v>-2.1158967056919709E-3</v>
      </c>
      <c r="CA167" s="2">
        <f>-30.5441776982529*(1/14151.6638359215)</f>
        <v>-2.1583453403353106E-3</v>
      </c>
      <c r="CB167" s="2">
        <f>-30.9202444924898*(1/14151.6638359215)</f>
        <v>-2.1849193742155054E-3</v>
      </c>
      <c r="CC167" s="2">
        <f>-31.1070415417148*(1/14151.6638359215)</f>
        <v>-2.1981190270189336E-3</v>
      </c>
      <c r="CD167" s="2">
        <f>-31.1399511144451*(1/14151.6638359215)</f>
        <v>-2.2004445184319482E-3</v>
      </c>
      <c r="CE167" s="2">
        <f>-31.0543554791982*(1/14151.6638359215)</f>
        <v>-2.1943960681409208E-3</v>
      </c>
      <c r="CF167" s="2">
        <f>-30.8856369044913*(1/14151.6638359215)</f>
        <v>-2.1824738958322034E-3</v>
      </c>
      <c r="CG167" s="2">
        <f>-30.6691776588419*(1/14151.6638359215)</f>
        <v>-2.1671782211921688E-3</v>
      </c>
      <c r="CH167" s="2">
        <f>-30.4403600107673*(1/14151.6638359215)</f>
        <v>-2.1510092639071754E-3</v>
      </c>
      <c r="CI167" s="2">
        <f>-30.2345662287849*(1/14151.6638359215)</f>
        <v>-2.1364672436635888E-3</v>
      </c>
      <c r="CJ167" s="2">
        <f>-30.0700905922398*(1/14151.6638359215)</f>
        <v>-2.1248448903875305E-3</v>
      </c>
      <c r="CK167" s="2">
        <f>-29.8672158067052*(1/14151.6638359215)</f>
        <v>-2.1105091353917373E-3</v>
      </c>
      <c r="CL167" s="2">
        <f>-29.6121086579738*(1/14151.6638359215)</f>
        <v>-2.092482481304332E-3</v>
      </c>
      <c r="CM167" s="2">
        <f>-29.3066270734652*(1/14151.6638359215)</f>
        <v>-2.070896214979012E-3</v>
      </c>
      <c r="CN167" s="2">
        <f>-28.9526289805987*(1/14151.6638359215)</f>
        <v>-2.0458816232694537E-3</v>
      </c>
      <c r="CO167" s="2">
        <f>-28.5519723067937*(1/14151.6638359215)</f>
        <v>-2.0175699930293401E-3</v>
      </c>
      <c r="CP167" s="2">
        <f>-28.1065149794694*(1/14151.6638359215)</f>
        <v>-1.9860926111123396E-3</v>
      </c>
      <c r="CQ167" s="2">
        <f>-27.6181149260455*(1/14151.6638359215)</f>
        <v>-1.9515807643721577E-3</v>
      </c>
      <c r="CR167" s="2">
        <f>-27.0886300739411*(1/14151.6638359215)</f>
        <v>-1.9141657396624556E-3</v>
      </c>
      <c r="CS167" s="2">
        <f>-26.5199183505757*(1/14151.6638359215)</f>
        <v>-1.8739788238369237E-3</v>
      </c>
      <c r="CT167" s="2">
        <f>-25.9138376833687*(1/14151.6638359215)</f>
        <v>-1.8311513037492454E-3</v>
      </c>
      <c r="CU167" s="2">
        <f>-25.285051443759*(1/14151.6638359215)</f>
        <v>-1.7867193382291458E-3</v>
      </c>
      <c r="CV167" s="2">
        <f>-24.6434609896802*(1/14151.6638359215)</f>
        <v>-1.7413825876168092E-3</v>
      </c>
      <c r="CW167" s="2">
        <f>-23.977829499409*(1/14151.6638359215)</f>
        <v>-1.6943470236019539E-3</v>
      </c>
      <c r="CX167" s="2">
        <f>-23.2768546702788*(1/14151.6638359215)</f>
        <v>-1.6448139907898757E-3</v>
      </c>
      <c r="CY167" s="2">
        <f>-22.5292341996234*(1/14151.6638359215)</f>
        <v>-1.5919848337858985E-3</v>
      </c>
      <c r="CZ167" s="2">
        <f>-21.7236657847764*(1/14151.6638359215)</f>
        <v>-1.5350608971953328E-3</v>
      </c>
      <c r="DA167" s="2">
        <f>-20.8488471230714*(1/14151.6638359215)</f>
        <v>-1.4732435256234878E-3</v>
      </c>
      <c r="DB167" s="2">
        <f>-19.8934759118423*(1/14151.6638359215)</f>
        <v>-1.4057340636756948E-3</v>
      </c>
      <c r="DC167" s="2">
        <f>-18.8462498484227*(1/14151.6638359215)</f>
        <v>-1.3317338559572637E-3</v>
      </c>
      <c r="DD167" s="2">
        <f>-17.6958666301462*(1/14151.6638359215)</f>
        <v>-1.2504442470735043E-3</v>
      </c>
      <c r="DE167" s="2">
        <f>-16.4209459812209*(1/14151.6638359215)</f>
        <v>-1.1603544411180279E-3</v>
      </c>
      <c r="DF167" s="2">
        <f>-14.925611664857*(1/14151.6638359215)</f>
        <v>-1.0546895289422415E-3</v>
      </c>
      <c r="DG167" s="2">
        <f>-13.2319378992703*(1/14151.6638359215)</f>
        <v>-9.3500934255400848E-4</v>
      </c>
      <c r="DH167" s="2">
        <f>-11.3942670113752*(1/14151.6638359215)</f>
        <v>-8.0515387755698842E-4</v>
      </c>
      <c r="DI167" s="2">
        <f>-9.46694132808667*(1/14151.6638359215)</f>
        <v>-6.6896312955488034E-4</v>
      </c>
      <c r="DJ167" s="2">
        <f>-7.50430317631906*(1/14151.6638359215)</f>
        <v>-5.3027709415134016E-4</v>
      </c>
      <c r="DK167" s="2">
        <f>-5.56069488298681*(1/14151.6638359215)</f>
        <v>-3.9293576695002944E-4</v>
      </c>
      <c r="DL167" s="2">
        <f>-3.69045877500443*(1/14151.6638359215)</f>
        <v>-2.6077914355461523E-4</v>
      </c>
      <c r="DM167" s="2">
        <f>-1.94793717928613*(1/14151.6638359215)</f>
        <v>-1.3764721956874325E-4</v>
      </c>
      <c r="DN167" s="2">
        <f>-0.387472422747069*(1/14151.6638359215)</f>
        <v>-2.7379990596126137E-5</v>
      </c>
      <c r="DO167" s="2">
        <f>0.936593167698586*(1/14151.6638359215)</f>
        <v>6.6182547759593445E-5</v>
      </c>
      <c r="DP167" s="2">
        <f>2.02050038887771*(1/14151.6638359215)</f>
        <v>1.4277475866470392E-4</v>
      </c>
      <c r="DQ167" s="2">
        <f>2.94852530889591*(1/14151.6638359215)</f>
        <v>2.0835184774610027E-4</v>
      </c>
      <c r="DR167" s="2">
        <f>3.73919488812929*(1/14151.6638359215)</f>
        <v>2.6422298688568368E-4</v>
      </c>
      <c r="DS167" s="2">
        <f>4.40875591925606*(1/14151.6638359215)</f>
        <v>3.1153622431768141E-4</v>
      </c>
      <c r="DT167" s="2">
        <f>4.97345519495452*(1/14151.6638359215)</f>
        <v>3.514396082763273E-4</v>
      </c>
      <c r="DU167" s="2">
        <f>5.44953950790266*(1/14151.6638359215)</f>
        <v>3.8508118699583343E-4</v>
      </c>
      <c r="DV167" s="2">
        <f>5.85325565077879*(1/14151.6638359215)</f>
        <v>4.1360900871043402E-4</v>
      </c>
      <c r="DW167" s="2">
        <f>6.2008504162611*(1/14151.6638359215)</f>
        <v>4.3817112165435532E-4</v>
      </c>
      <c r="DX167" s="2">
        <f>6.5085705970278*(1/14151.6638359215)</f>
        <v>4.5991557406182469E-4</v>
      </c>
      <c r="DY167" s="2">
        <f>6.79266298575714*(1/14151.6638359215)</f>
        <v>4.7999041416707229E-4</v>
      </c>
      <c r="DZ167" s="2">
        <f>7.06594580919949*(1/14151.6638359215)</f>
        <v>4.9930141721313606E-4</v>
      </c>
      <c r="EA167" s="2">
        <f>7.26888207714185*(1/14151.6638359215)</f>
        <v>5.1364151674455948E-4</v>
      </c>
      <c r="EB167" s="2">
        <f>7.38562493187746*(1/14151.6638359215)</f>
        <v>5.2189092515965191E-4</v>
      </c>
      <c r="EC167" s="2">
        <f>7.4310566893557*(1/14151.6638359215)</f>
        <v>5.2510127257921965E-4</v>
      </c>
      <c r="ED167" s="2">
        <f>7.42005966552593*(1/14151.6638359215)</f>
        <v>5.2432418912406738E-4</v>
      </c>
      <c r="EE167" s="2">
        <f>7.3675161763375*(1/14151.6638359215)</f>
        <v>5.2061130491499953E-4</v>
      </c>
      <c r="EF167" s="2">
        <f>7.2883085377398*(1/14151.6638359215)</f>
        <v>5.1501425007282296E-4</v>
      </c>
      <c r="EG167" s="2">
        <f>7.19731906568218*(1/14151.6638359215)</f>
        <v>5.0858465471834179E-4</v>
      </c>
      <c r="EH167" s="2">
        <f>7.10943007611402*(1/14151.6638359215)</f>
        <v>5.0237414897236232E-4</v>
      </c>
      <c r="EI167" s="2">
        <f>7.03952388498467*(1/14151.6638359215)</f>
        <v>4.9743436295568877E-4</v>
      </c>
      <c r="EJ167" s="2">
        <f>7.0024828082435*(1/14151.6638359215)</f>
        <v>4.948169267891267E-4</v>
      </c>
      <c r="EK167" s="2">
        <f>7*(1/14151.6638359215)</f>
        <v>4.9464148393856954E-4</v>
      </c>
      <c r="EL167" s="2">
        <f>7*(1/14151.6638359215)</f>
        <v>4.9464148393856954E-4</v>
      </c>
      <c r="EM167" s="2">
        <f>7*(1/14151.6638359215)</f>
        <v>4.9464148393856954E-4</v>
      </c>
      <c r="EN167" s="2">
        <f t="shared" si="27"/>
        <v>4.9464148393856954E-4</v>
      </c>
      <c r="EO167" s="2">
        <f t="shared" si="27"/>
        <v>4.9464148393856954E-4</v>
      </c>
      <c r="EP167" s="2">
        <f t="shared" si="27"/>
        <v>4.9464148393856954E-4</v>
      </c>
      <c r="EQ167" s="2">
        <f t="shared" si="27"/>
        <v>4.9464148393856954E-4</v>
      </c>
      <c r="ER167" s="2">
        <f t="shared" si="27"/>
        <v>4.9464148393856954E-4</v>
      </c>
      <c r="ES167" s="2">
        <f t="shared" si="27"/>
        <v>4.9464148393856954E-4</v>
      </c>
      <c r="ET167" s="2">
        <f t="shared" si="27"/>
        <v>4.9464148393856954E-4</v>
      </c>
      <c r="EU167" s="2">
        <f t="shared" si="27"/>
        <v>4.9464148393856954E-4</v>
      </c>
      <c r="EV167" s="2">
        <f t="shared" si="27"/>
        <v>4.9464148393856954E-4</v>
      </c>
      <c r="EW167" s="2">
        <f t="shared" si="27"/>
        <v>4.9464148393856954E-4</v>
      </c>
      <c r="EX167" s="2">
        <f t="shared" si="27"/>
        <v>4.9464148393856954E-4</v>
      </c>
      <c r="EY167" s="2">
        <f t="shared" si="27"/>
        <v>4.9464148393856954E-4</v>
      </c>
      <c r="EZ167" s="2">
        <f t="shared" si="27"/>
        <v>4.9464148393856954E-4</v>
      </c>
      <c r="FA167" s="2">
        <f t="shared" si="27"/>
        <v>4.9464148393856954E-4</v>
      </c>
      <c r="FB167" s="2">
        <f t="shared" si="27"/>
        <v>4.9464148393856954E-4</v>
      </c>
      <c r="FC167" s="2">
        <f>7*(1/14151.6638359215)</f>
        <v>4.9464148393856954E-4</v>
      </c>
      <c r="FD167" s="2">
        <f>7*(1/14151.6638359215)</f>
        <v>4.9464148393856954E-4</v>
      </c>
      <c r="FE167" s="2">
        <f>7*(1/14151.6638359215)</f>
        <v>4.9464148393856954E-4</v>
      </c>
      <c r="FF167" s="2">
        <f t="shared" ref="FF167:FP172" si="31">7*(1/14151.6638359215)</f>
        <v>4.9464148393856954E-4</v>
      </c>
      <c r="FG167" s="2">
        <f t="shared" si="31"/>
        <v>4.9464148393856954E-4</v>
      </c>
      <c r="FH167" s="2">
        <f t="shared" si="31"/>
        <v>4.9464148393856954E-4</v>
      </c>
      <c r="FI167" s="2">
        <f t="shared" si="31"/>
        <v>4.9464148393856954E-4</v>
      </c>
      <c r="FJ167" s="2">
        <f t="shared" si="31"/>
        <v>4.9464148393856954E-4</v>
      </c>
      <c r="FK167" s="2">
        <f t="shared" si="31"/>
        <v>4.9464148393856954E-4</v>
      </c>
      <c r="FL167" s="2">
        <f t="shared" si="31"/>
        <v>4.9464148393856954E-4</v>
      </c>
      <c r="FM167" s="2">
        <f t="shared" si="31"/>
        <v>4.9464148393856954E-4</v>
      </c>
      <c r="FN167" s="2">
        <f t="shared" si="31"/>
        <v>4.9464148393856954E-4</v>
      </c>
      <c r="FO167" s="2">
        <f t="shared" si="31"/>
        <v>4.9464148393856954E-4</v>
      </c>
      <c r="FP167" s="2">
        <f t="shared" si="31"/>
        <v>4.9464148393856954E-4</v>
      </c>
      <c r="FQ167" s="2"/>
    </row>
    <row r="168" spans="2:173">
      <c r="B168" s="2">
        <v>10.862130177514793</v>
      </c>
      <c r="C168" s="2">
        <f t="shared" ref="C168:E172" si="32">7*(1/14151.6638359215)</f>
        <v>4.9464148393856954E-4</v>
      </c>
      <c r="D168" s="2">
        <f t="shared" si="32"/>
        <v>4.9464148393856954E-4</v>
      </c>
      <c r="E168" s="2">
        <f t="shared" si="32"/>
        <v>4.9464148393856954E-4</v>
      </c>
      <c r="F168" s="2">
        <f t="shared" si="25"/>
        <v>4.9464148393856954E-4</v>
      </c>
      <c r="G168" s="2">
        <f t="shared" si="25"/>
        <v>4.9464148393856954E-4</v>
      </c>
      <c r="H168" s="2">
        <f t="shared" si="25"/>
        <v>4.9464148393856954E-4</v>
      </c>
      <c r="I168" s="2">
        <f t="shared" si="25"/>
        <v>4.9464148393856954E-4</v>
      </c>
      <c r="J168" s="2">
        <f t="shared" si="25"/>
        <v>4.9464148393856954E-4</v>
      </c>
      <c r="K168" s="2">
        <f t="shared" si="25"/>
        <v>4.9464148393856954E-4</v>
      </c>
      <c r="L168" s="2">
        <f t="shared" si="25"/>
        <v>4.9464148393856954E-4</v>
      </c>
      <c r="M168" s="2">
        <f t="shared" si="25"/>
        <v>4.9464148393856954E-4</v>
      </c>
      <c r="N168" s="2">
        <f t="shared" si="25"/>
        <v>4.9464148393856954E-4</v>
      </c>
      <c r="O168" s="2">
        <f t="shared" si="25"/>
        <v>4.9464148393856954E-4</v>
      </c>
      <c r="P168" s="2">
        <f t="shared" si="25"/>
        <v>4.9464148393856954E-4</v>
      </c>
      <c r="Q168" s="2">
        <f t="shared" si="25"/>
        <v>4.9464148393856954E-4</v>
      </c>
      <c r="R168" s="2">
        <f t="shared" si="25"/>
        <v>4.9464148393856954E-4</v>
      </c>
      <c r="S168" s="2">
        <f t="shared" ref="S168:W172" si="33">7*(1/14151.6638359215)</f>
        <v>4.9464148393856954E-4</v>
      </c>
      <c r="T168" s="2">
        <f t="shared" si="33"/>
        <v>4.9464148393856954E-4</v>
      </c>
      <c r="U168" s="2">
        <f t="shared" si="33"/>
        <v>4.9464148393856954E-4</v>
      </c>
      <c r="V168" s="2">
        <f t="shared" si="33"/>
        <v>4.9464148393856954E-4</v>
      </c>
      <c r="W168" s="2">
        <f t="shared" si="28"/>
        <v>4.9464148393856954E-4</v>
      </c>
      <c r="X168" s="2">
        <f t="shared" si="28"/>
        <v>4.9464148393856954E-4</v>
      </c>
      <c r="Y168" s="2">
        <f t="shared" si="28"/>
        <v>4.9464148393856954E-4</v>
      </c>
      <c r="Z168" s="2">
        <f t="shared" si="28"/>
        <v>4.9464148393856954E-4</v>
      </c>
      <c r="AA168" s="2">
        <f t="shared" si="28"/>
        <v>4.9464148393856954E-4</v>
      </c>
      <c r="AB168" s="2">
        <f t="shared" si="29"/>
        <v>4.9464148393856954E-4</v>
      </c>
      <c r="AC168" s="2">
        <f t="shared" si="29"/>
        <v>4.9464148393856954E-4</v>
      </c>
      <c r="AD168" s="2">
        <f t="shared" si="29"/>
        <v>4.9464148393856954E-4</v>
      </c>
      <c r="AE168" s="2">
        <f t="shared" si="29"/>
        <v>4.9464148393856954E-4</v>
      </c>
      <c r="AF168" s="2">
        <f t="shared" si="30"/>
        <v>4.9464148393856954E-4</v>
      </c>
      <c r="AG168" s="2">
        <f t="shared" si="30"/>
        <v>4.9464148393856954E-4</v>
      </c>
      <c r="AH168" s="2">
        <f t="shared" si="30"/>
        <v>4.9464148393856954E-4</v>
      </c>
      <c r="AI168" s="2">
        <f>7.00117915695885*(1/14151.6638359215)</f>
        <v>4.9472480678827268E-4</v>
      </c>
      <c r="AJ168" s="2">
        <f>7.01877102838783*(1/14151.6638359215)</f>
        <v>4.9596790241525661E-4</v>
      </c>
      <c r="AK168" s="2">
        <f>7.05197148676085*(1/14151.6638359215)</f>
        <v>4.9831394870055248E-4</v>
      </c>
      <c r="AL168" s="2">
        <f>7.09371249270702*(1/14151.6638359215)</f>
        <v>5.0126349628945284E-4</v>
      </c>
      <c r="AM168" s="2">
        <f>7.13692600685547*(1/14151.6638359215)</f>
        <v>5.043170958272513E-4</v>
      </c>
      <c r="AN168" s="2">
        <f>7.17454398983529*(1/14151.6638359215)</f>
        <v>5.069752979592391E-4</v>
      </c>
      <c r="AO168" s="2">
        <f>7.19949840227561*(1/14151.6638359215)</f>
        <v>5.0873865333070974E-4</v>
      </c>
      <c r="AP168" s="2">
        <f>7.20472120480552*(1/14151.6638359215)</f>
        <v>5.0910771258695447E-4</v>
      </c>
      <c r="AQ168" s="2">
        <f>7.18314435805416*(1/14151.6638359215)</f>
        <v>5.0758302637326765E-4</v>
      </c>
      <c r="AR168" s="2">
        <f>7.12769982265062*(1/14151.6638359215)</f>
        <v>5.036651453349403E-4</v>
      </c>
      <c r="AS168" s="2">
        <f>7.03131955922402*(1/14151.6638359215)</f>
        <v>4.968546201172654E-4</v>
      </c>
      <c r="AT168" s="2">
        <f>6.9093641759139*(1/14151.6638359215)</f>
        <v>4.8823687843514908E-4</v>
      </c>
      <c r="AU168" s="2">
        <f>6.8049135068338*(1/14151.6638359215)</f>
        <v>4.8085607358484085E-4</v>
      </c>
      <c r="AV168" s="2">
        <f>6.70432255628729*(1/14151.6638359215)</f>
        <v>4.7374800829210991E-4</v>
      </c>
      <c r="AW168" s="2">
        <f>6.5913587931768*(1/14151.6638359215)</f>
        <v>4.6576564208978736E-4</v>
      </c>
      <c r="AX168" s="2">
        <f>6.44978968640479*(1/14151.6638359215)</f>
        <v>4.5576193451070661E-4</v>
      </c>
      <c r="AY168" s="2">
        <f>6.26338270487371*(1/14151.6638359215)</f>
        <v>4.4258984508770046E-4</v>
      </c>
      <c r="AZ168" s="2">
        <f>6.01590531748602*(1/14151.6638359215)</f>
        <v>4.2510233335360233E-4</v>
      </c>
      <c r="BA168" s="2">
        <f>5.69112499314409*(1/14151.6638359215)</f>
        <v>4.0215235884123913E-4</v>
      </c>
      <c r="BB168" s="2">
        <f>5.27280920075051*(1/14151.6638359215)</f>
        <v>3.7259288108345358E-4</v>
      </c>
      <c r="BC168" s="2">
        <f>4.74472540920767*(1/14151.6638359215)</f>
        <v>3.352768596130741E-4</v>
      </c>
      <c r="BD168" s="2">
        <f>4.09155177610987*(1/14151.6638359215)</f>
        <v>2.8912160602092511E-4</v>
      </c>
      <c r="BE168" s="2">
        <f>3.33509962669987*(1/14151.6638359215)</f>
        <v>2.3566837549054187E-4</v>
      </c>
      <c r="BF168" s="2">
        <f>2.49231997848455*(1/14151.6638359215)</f>
        <v>1.7611497894390595E-4</v>
      </c>
      <c r="BG168" s="2">
        <f>1.5650514344413*(1/14151.6638359215)</f>
        <v>1.1059133771031879E-4</v>
      </c>
      <c r="BH168" s="2">
        <f>0.555132597548077*(1/14151.6638359215)</f>
        <v>3.9227373119121932E-5</v>
      </c>
      <c r="BI168" s="2">
        <f>-0.5355979292177*(1/14151.6638359215)</f>
        <v>-3.7846993500381149E-5</v>
      </c>
      <c r="BJ168" s="2">
        <f>-1.70530154287844*(1/14151.6638359215)</f>
        <v>-1.2050184081887482E-4</v>
      </c>
      <c r="BK168" s="2">
        <f>-2.95213964045655*(1/14151.6638359215)</f>
        <v>-2.0860724750704329E-4</v>
      </c>
      <c r="BL168" s="2">
        <f>-4.27427361897444*(1/14151.6638359215)</f>
        <v>-3.0203329223557097E-4</v>
      </c>
      <c r="BM168" s="2">
        <f>-5.66986487545477*(1/14151.6638359215)</f>
        <v>-4.0065005367516003E-4</v>
      </c>
      <c r="BN168" s="2">
        <f>-7.13707480691945*(1/14151.6638359215)</f>
        <v>-5.0432761049645943E-4</v>
      </c>
      <c r="BO168" s="2">
        <f>-8.72001985483582*(1/14151.6638359215)</f>
        <v>-6.1618336585282576E-4</v>
      </c>
      <c r="BP168" s="2">
        <f>-10.5601115290103*(1/14151.6638359215)</f>
        <v>-7.4620989103806447E-4</v>
      </c>
      <c r="BQ168" s="2">
        <f>-12.6065058094888*(1/14151.6638359215)</f>
        <v>-8.9081439155510537E-4</v>
      </c>
      <c r="BR168" s="2">
        <f>-14.7902416787263*(1/14151.6638359215)</f>
        <v>-1.0451238702536081E-3</v>
      </c>
      <c r="BS168" s="2">
        <f>-17.0423581191765*(1/14151.6638359215)</f>
        <v>-1.2042653299831421E-3</v>
      </c>
      <c r="BT168" s="2">
        <f>-19.293894113294*(1/14151.6638359215)</f>
        <v>-1.3633657735933394E-3</v>
      </c>
      <c r="BU168" s="2">
        <f>-21.4758886435336*(1/14151.6638359215)</f>
        <v>-1.5175522039338478E-3</v>
      </c>
      <c r="BV168" s="2">
        <f>-23.5193806923495*(1/14151.6638359215)</f>
        <v>-1.6619516238542712E-3</v>
      </c>
      <c r="BW168" s="2">
        <f>-25.3554092421964*(1/14151.6638359215)</f>
        <v>-1.7916910362042499E-3</v>
      </c>
      <c r="BX168" s="2">
        <f>-26.9150132755286*(1/14151.6638359215)</f>
        <v>-1.9018974438333952E-3</v>
      </c>
      <c r="BY168" s="2">
        <f>-28.1294998294727*(1/14151.6638359215)</f>
        <v>-1.9877167911571594E-3</v>
      </c>
      <c r="BZ168" s="2">
        <f>-29.0252982768085*(1/14151.6638359215)</f>
        <v>-2.0510166587714516E-3</v>
      </c>
      <c r="CA168" s="2">
        <f>-29.6787106787102*(1/14151.6638359215)</f>
        <v>-2.0971887845000975E-3</v>
      </c>
      <c r="CB168" s="2">
        <f>-30.1203064480726*(1/14151.6638359215)</f>
        <v>-2.1283932968798711E-3</v>
      </c>
      <c r="CC168" s="2">
        <f>-30.3806549977906*(1/14151.6638359215)</f>
        <v>-2.1467903244475517E-3</v>
      </c>
      <c r="CD168" s="2">
        <f>-30.4903257407591*(1/14151.6638359215)</f>
        <v>-2.1545399957399211E-3</v>
      </c>
      <c r="CE168" s="2">
        <f>-30.479888089873*(1/14151.6638359215)</f>
        <v>-2.1538024392937592E-3</v>
      </c>
      <c r="CF168" s="2">
        <f>-30.3799114580272*(1/14151.6638359215)</f>
        <v>-2.1467377836458467E-3</v>
      </c>
      <c r="CG168" s="2">
        <f>-30.2209652581167*(1/14151.6638359215)</f>
        <v>-2.1355061573329714E-3</v>
      </c>
      <c r="CH168" s="2">
        <f>-30.0336189030362*(1/14151.6638359215)</f>
        <v>-2.1222676888918999E-3</v>
      </c>
      <c r="CI168" s="2">
        <f>-29.8484418056808*(1/14151.6638359215)</f>
        <v>-2.1091825068594266E-3</v>
      </c>
      <c r="CJ168" s="2">
        <f>-29.6793972293457*(1/14151.6638359215)</f>
        <v>-2.0972372982751182E-3</v>
      </c>
      <c r="CK168" s="2">
        <f>-29.4482041021112*(1/14151.6638359215)</f>
        <v>-2.0809004823420223E-3</v>
      </c>
      <c r="CL168" s="2">
        <f>-29.145279853271*(1/14151.6638359215)</f>
        <v>-2.0594949252038374E-3</v>
      </c>
      <c r="CM168" s="2">
        <f>-28.7766243298052*(1/14151.6638359215)</f>
        <v>-2.0334445944625123E-3</v>
      </c>
      <c r="CN168" s="2">
        <f>-28.3482373786939*(1/14151.6638359215)</f>
        <v>-2.0031734577199965E-3</v>
      </c>
      <c r="CO168" s="2">
        <f>-27.8661188469171*(1/14151.6638359215)</f>
        <v>-1.9691054825782309E-3</v>
      </c>
      <c r="CP168" s="2">
        <f>-27.3362685814549*(1/14151.6638359215)</f>
        <v>-1.9316646366391637E-3</v>
      </c>
      <c r="CQ168" s="2">
        <f>-26.7646864292876*(1/14151.6638359215)</f>
        <v>-1.891274887504759E-3</v>
      </c>
      <c r="CR168" s="2">
        <f>-26.157372237395*(1/14151.6638359215)</f>
        <v>-1.8483602027769433E-3</v>
      </c>
      <c r="CS168" s="2">
        <f>-25.5203258527574*(1/14151.6638359215)</f>
        <v>-1.8033445500576801E-3</v>
      </c>
      <c r="CT168" s="2">
        <f>-24.8595471223548*(1/14151.6638359215)</f>
        <v>-1.7566518969489107E-3</v>
      </c>
      <c r="CU168" s="2">
        <f>-24.1835739809943*(1/14151.6638359215)</f>
        <v>-1.7088855601281715E-3</v>
      </c>
      <c r="CV168" s="2">
        <f>-23.4922673034281*(1/14151.6638359215)</f>
        <v>-1.660035708578459E-3</v>
      </c>
      <c r="CW168" s="2">
        <f>-22.7766792924346*(1/14151.6638359215)</f>
        <v>-1.6094700634861057E-3</v>
      </c>
      <c r="CX168" s="2">
        <f>-22.0278411251734*(1/14151.6638359215)</f>
        <v>-1.5565548603026886E-3</v>
      </c>
      <c r="CY168" s="2">
        <f>-21.2367839788045*(1/14151.6638359215)</f>
        <v>-1.5006563344798138E-3</v>
      </c>
      <c r="CZ168" s="2">
        <f>-20.3945390304877*(1/14151.6638359215)</f>
        <v>-1.4411407214690731E-3</v>
      </c>
      <c r="DA168" s="2">
        <f>-19.4921374573827*(1/14151.6638359215)</f>
        <v>-1.3773742567220507E-3</v>
      </c>
      <c r="DB168" s="2">
        <f>-18.5206104366497*(1/14151.6638359215)</f>
        <v>-1.3087231756903667E-3</v>
      </c>
      <c r="DC168" s="2">
        <f>-17.4709891454486*(1/14151.6638359215)</f>
        <v>-1.2345537138256195E-3</v>
      </c>
      <c r="DD168" s="2">
        <f>-16.334304760939*(1/14151.6638359215)</f>
        <v>-1.1542321065793869E-3</v>
      </c>
      <c r="DE168" s="2">
        <f>-15.0921212982593*(1/14151.6638359215)</f>
        <v>-1.0664556106788387E-3</v>
      </c>
      <c r="DF168" s="2">
        <f>-13.6549447854783*(1/14151.6638359215)</f>
        <v>-9.6490030739831696E-4</v>
      </c>
      <c r="DG168" s="2">
        <f>-12.0419642764826*(1/14151.6638359215)</f>
        <v>-8.5092215417922803E-4</v>
      </c>
      <c r="DH168" s="2">
        <f>-10.3024586665916*(1/14151.6638359215)</f>
        <v>-7.2800334900837793E-4</v>
      </c>
      <c r="DI168" s="2">
        <f>-8.48570685112625*(1/14151.6638359215)</f>
        <v>-5.9962608987268213E-4</v>
      </c>
      <c r="DJ168" s="2">
        <f>-6.64098772540605*(1/14151.6638359215)</f>
        <v>-4.6927257475895345E-4</v>
      </c>
      <c r="DK168" s="2">
        <f>-4.81758018475105*(1/14151.6638359215)</f>
        <v>-3.4042500165404397E-4</v>
      </c>
      <c r="DL168" s="2">
        <f>-3.06476312448125*(1/14151.6638359215)</f>
        <v>-2.1656556854480178E-4</v>
      </c>
      <c r="DM168" s="2">
        <f>-1.43181543991634*(1/14151.6638359215)</f>
        <v>-1.0117647341805347E-4</v>
      </c>
      <c r="DN168" s="2">
        <f>0.031983973623058*(1/14151.6638359215)</f>
        <v>2.2600857393087823E-6</v>
      </c>
      <c r="DO168" s="2">
        <f>1.27735622081727*(1/14151.6638359215)</f>
        <v>9.0261910940459642E-5</v>
      </c>
      <c r="DP168" s="2">
        <f>2.3002475580419*(1/14151.6638359215)</f>
        <v>1.625425522194166E-4</v>
      </c>
      <c r="DQ168" s="2">
        <f>3.17613624659839*(1/14151.6638359215)</f>
        <v>2.2443553517264371E-4</v>
      </c>
      <c r="DR168" s="2">
        <f>3.922386186549*(1/14151.6638359215)</f>
        <v>2.7716784627067776E-4</v>
      </c>
      <c r="DS168" s="2">
        <f>4.55433142941023*(1/14151.6638359215)</f>
        <v>3.2182303665593469E-4</v>
      </c>
      <c r="DT168" s="2">
        <f>5.08730602669866*(1/14151.6638359215)</f>
        <v>3.5948465747083621E-4</v>
      </c>
      <c r="DU168" s="2">
        <f>5.53664402993061*(1/14151.6638359215)</f>
        <v>3.9123625985778556E-4</v>
      </c>
      <c r="DV168" s="2">
        <f>5.91767949062268*(1/14151.6638359215)</f>
        <v>4.1816139495920581E-4</v>
      </c>
      <c r="DW168" s="2">
        <f>6.24574646029138*(1/14151.6638359215)</f>
        <v>4.4134361391751374E-4</v>
      </c>
      <c r="DX168" s="2">
        <f>6.53617899045321*(1/14151.6638359215)</f>
        <v>4.6186646787512532E-4</v>
      </c>
      <c r="DY168" s="2">
        <f>6.80431113262472*(1/14151.6638359215)</f>
        <v>4.808135079744601E-4</v>
      </c>
      <c r="DZ168" s="2">
        <f>7.06224098845794*(1/14151.6638359215)</f>
        <v>4.9903962320894653E-4</v>
      </c>
      <c r="EA168" s="2">
        <f>7.25377634247096*(1/14151.6638359215)</f>
        <v>5.1257409917118929E-4</v>
      </c>
      <c r="EB168" s="2">
        <f>7.36396060986187*(1/14151.6638359215)</f>
        <v>5.2036005767532132E-4</v>
      </c>
      <c r="EC168" s="2">
        <f>7.40684002141437*(1/14151.6638359215)</f>
        <v>5.2339004849828426E-4</v>
      </c>
      <c r="ED168" s="2">
        <f>7.39646080791211*(1/14151.6638359215)</f>
        <v>5.2265662141701673E-4</v>
      </c>
      <c r="EE168" s="2">
        <f>7.34686920013876*(1/14151.6638359215)</f>
        <v>5.1915232620845819E-4</v>
      </c>
      <c r="EF168" s="2">
        <f>7.27211142887801*(1/14151.6638359215)</f>
        <v>5.1386971264955007E-4</v>
      </c>
      <c r="EG168" s="2">
        <f>7.18623372491352*(1/14151.6638359215)</f>
        <v>5.078013305172311E-4</v>
      </c>
      <c r="EH168" s="2">
        <f>7.10328231902896*(1/14151.6638359215)</f>
        <v>5.0193972958844117E-4</v>
      </c>
      <c r="EI168" s="2">
        <f>7.037303442008*(1/14151.6638359215)</f>
        <v>4.9727745964011998E-4</v>
      </c>
      <c r="EJ168" s="2">
        <f>7.00234332463432*(1/14151.6638359215)</f>
        <v>4.9480707044920809E-4</v>
      </c>
      <c r="EK168" s="2">
        <f t="shared" ref="EK168:EM172" si="34">7*(1/14151.6638359215)</f>
        <v>4.9464148393856954E-4</v>
      </c>
      <c r="EL168" s="2">
        <f t="shared" si="34"/>
        <v>4.9464148393856954E-4</v>
      </c>
      <c r="EM168" s="2">
        <f t="shared" si="34"/>
        <v>4.9464148393856954E-4</v>
      </c>
      <c r="EN168" s="2">
        <f t="shared" si="27"/>
        <v>4.9464148393856954E-4</v>
      </c>
      <c r="EO168" s="2">
        <f t="shared" si="27"/>
        <v>4.9464148393856954E-4</v>
      </c>
      <c r="EP168" s="2">
        <f t="shared" si="27"/>
        <v>4.9464148393856954E-4</v>
      </c>
      <c r="EQ168" s="2">
        <f t="shared" si="27"/>
        <v>4.9464148393856954E-4</v>
      </c>
      <c r="ER168" s="2">
        <f t="shared" si="27"/>
        <v>4.9464148393856954E-4</v>
      </c>
      <c r="ES168" s="2">
        <f t="shared" si="27"/>
        <v>4.9464148393856954E-4</v>
      </c>
      <c r="ET168" s="2">
        <f t="shared" si="27"/>
        <v>4.9464148393856954E-4</v>
      </c>
      <c r="EU168" s="2">
        <f t="shared" si="27"/>
        <v>4.9464148393856954E-4</v>
      </c>
      <c r="EV168" s="2">
        <f t="shared" si="27"/>
        <v>4.9464148393856954E-4</v>
      </c>
      <c r="EW168" s="2">
        <f t="shared" si="27"/>
        <v>4.9464148393856954E-4</v>
      </c>
      <c r="EX168" s="2">
        <f t="shared" si="27"/>
        <v>4.9464148393856954E-4</v>
      </c>
      <c r="EY168" s="2">
        <f t="shared" si="27"/>
        <v>4.9464148393856954E-4</v>
      </c>
      <c r="EZ168" s="2">
        <f t="shared" si="27"/>
        <v>4.9464148393856954E-4</v>
      </c>
      <c r="FA168" s="2">
        <f t="shared" si="27"/>
        <v>4.9464148393856954E-4</v>
      </c>
      <c r="FB168" s="2">
        <f t="shared" si="27"/>
        <v>4.9464148393856954E-4</v>
      </c>
      <c r="FC168" s="2">
        <f t="shared" si="27"/>
        <v>4.9464148393856954E-4</v>
      </c>
      <c r="FD168" s="2">
        <f t="shared" si="27"/>
        <v>4.9464148393856954E-4</v>
      </c>
      <c r="FE168" s="2">
        <f t="shared" si="27"/>
        <v>4.9464148393856954E-4</v>
      </c>
      <c r="FF168" s="2">
        <f t="shared" si="31"/>
        <v>4.9464148393856954E-4</v>
      </c>
      <c r="FG168" s="2">
        <f t="shared" si="31"/>
        <v>4.9464148393856954E-4</v>
      </c>
      <c r="FH168" s="2">
        <f t="shared" si="31"/>
        <v>4.9464148393856954E-4</v>
      </c>
      <c r="FI168" s="2">
        <f t="shared" si="31"/>
        <v>4.9464148393856954E-4</v>
      </c>
      <c r="FJ168" s="2">
        <f t="shared" si="31"/>
        <v>4.9464148393856954E-4</v>
      </c>
      <c r="FK168" s="2">
        <f t="shared" si="31"/>
        <v>4.9464148393856954E-4</v>
      </c>
      <c r="FL168" s="2">
        <f t="shared" si="31"/>
        <v>4.9464148393856954E-4</v>
      </c>
      <c r="FM168" s="2">
        <f t="shared" si="31"/>
        <v>4.9464148393856954E-4</v>
      </c>
      <c r="FN168" s="2">
        <f t="shared" si="31"/>
        <v>4.9464148393856954E-4</v>
      </c>
      <c r="FO168" s="2">
        <f t="shared" si="31"/>
        <v>4.9464148393856954E-4</v>
      </c>
      <c r="FP168" s="2">
        <f t="shared" si="31"/>
        <v>4.9464148393856954E-4</v>
      </c>
      <c r="FQ168" s="2"/>
    </row>
    <row r="169" spans="2:173">
      <c r="B169" s="2">
        <v>10.871597633136096</v>
      </c>
      <c r="C169" s="2">
        <f t="shared" si="32"/>
        <v>4.9464148393856954E-4</v>
      </c>
      <c r="D169" s="2">
        <f t="shared" si="32"/>
        <v>4.9464148393856954E-4</v>
      </c>
      <c r="E169" s="2">
        <f t="shared" si="32"/>
        <v>4.9464148393856954E-4</v>
      </c>
      <c r="F169" s="2">
        <f t="shared" si="25"/>
        <v>4.9464148393856954E-4</v>
      </c>
      <c r="G169" s="2">
        <f t="shared" si="25"/>
        <v>4.9464148393856954E-4</v>
      </c>
      <c r="H169" s="2">
        <f t="shared" si="25"/>
        <v>4.9464148393856954E-4</v>
      </c>
      <c r="I169" s="2">
        <f t="shared" si="25"/>
        <v>4.9464148393856954E-4</v>
      </c>
      <c r="J169" s="2">
        <f t="shared" si="25"/>
        <v>4.9464148393856954E-4</v>
      </c>
      <c r="K169" s="2">
        <f t="shared" si="25"/>
        <v>4.9464148393856954E-4</v>
      </c>
      <c r="L169" s="2">
        <f t="shared" si="25"/>
        <v>4.9464148393856954E-4</v>
      </c>
      <c r="M169" s="2">
        <f t="shared" si="25"/>
        <v>4.9464148393856954E-4</v>
      </c>
      <c r="N169" s="2">
        <f t="shared" si="25"/>
        <v>4.9464148393856954E-4</v>
      </c>
      <c r="O169" s="2">
        <f t="shared" si="25"/>
        <v>4.9464148393856954E-4</v>
      </c>
      <c r="P169" s="2">
        <f t="shared" si="25"/>
        <v>4.9464148393856954E-4</v>
      </c>
      <c r="Q169" s="2">
        <f t="shared" si="25"/>
        <v>4.9464148393856954E-4</v>
      </c>
      <c r="R169" s="2">
        <f t="shared" si="25"/>
        <v>4.9464148393856954E-4</v>
      </c>
      <c r="S169" s="2">
        <f t="shared" si="33"/>
        <v>4.9464148393856954E-4</v>
      </c>
      <c r="T169" s="2">
        <f t="shared" si="33"/>
        <v>4.9464148393856954E-4</v>
      </c>
      <c r="U169" s="2">
        <f t="shared" si="33"/>
        <v>4.9464148393856954E-4</v>
      </c>
      <c r="V169" s="2">
        <f t="shared" si="33"/>
        <v>4.9464148393856954E-4</v>
      </c>
      <c r="W169" s="2">
        <f t="shared" si="28"/>
        <v>4.9464148393856954E-4</v>
      </c>
      <c r="X169" s="2">
        <f t="shared" si="28"/>
        <v>4.9464148393856954E-4</v>
      </c>
      <c r="Y169" s="2">
        <f t="shared" si="28"/>
        <v>4.9464148393856954E-4</v>
      </c>
      <c r="Z169" s="2">
        <f t="shared" si="28"/>
        <v>4.9464148393856954E-4</v>
      </c>
      <c r="AA169" s="2">
        <f t="shared" si="28"/>
        <v>4.9464148393856954E-4</v>
      </c>
      <c r="AB169" s="2">
        <f t="shared" si="29"/>
        <v>4.9464148393856954E-4</v>
      </c>
      <c r="AC169" s="2">
        <f t="shared" si="29"/>
        <v>4.9464148393856954E-4</v>
      </c>
      <c r="AD169" s="2">
        <f t="shared" si="29"/>
        <v>4.9464148393856954E-4</v>
      </c>
      <c r="AE169" s="2">
        <f t="shared" si="29"/>
        <v>4.9464148393856954E-4</v>
      </c>
      <c r="AF169" s="2">
        <f t="shared" si="30"/>
        <v>4.9464148393856954E-4</v>
      </c>
      <c r="AG169" s="2">
        <f t="shared" si="30"/>
        <v>4.9464148393856954E-4</v>
      </c>
      <c r="AH169" s="2">
        <f t="shared" si="30"/>
        <v>4.9464148393856954E-4</v>
      </c>
      <c r="AI169" s="2">
        <f>7.00101912851443*(1/14151.6638359215)</f>
        <v>4.9471349868724116E-4</v>
      </c>
      <c r="AJ169" s="2">
        <f>7.01622353167805*(1/14151.6638359215)</f>
        <v>4.9578788847913459E-4</v>
      </c>
      <c r="AK169" s="2">
        <f>7.04491821355759*(1/14151.6638359215)</f>
        <v>4.97815542768569E-4</v>
      </c>
      <c r="AL169" s="2">
        <f>7.08099436869678*(1/14151.6638359215)</f>
        <v>5.0036479461326136E-4</v>
      </c>
      <c r="AM169" s="2">
        <f>7.11834319163937*(1/14151.6638359215)</f>
        <v>5.0300397707093015E-4</v>
      </c>
      <c r="AN169" s="2">
        <f>7.15085587692907*(1/14151.6638359215)</f>
        <v>5.0530142319929092E-4</v>
      </c>
      <c r="AO169" s="2">
        <f>7.17242361910963*(1/14151.6638359215)</f>
        <v>5.0682546605606183E-4</v>
      </c>
      <c r="AP169" s="2">
        <f>7.17693761272477*(1/14151.6638359215)</f>
        <v>5.0714443869895928E-4</v>
      </c>
      <c r="AQ169" s="2">
        <f>7.15828905231823*(1/14151.6638359215)</f>
        <v>5.0582667418570088E-4</v>
      </c>
      <c r="AR169" s="2">
        <f>7.11036913243375*(1/14151.6638359215)</f>
        <v>5.0244050557400415E-4</v>
      </c>
      <c r="AS169" s="2">
        <f>7.02706904761504*(1/14151.6638359215)</f>
        <v>4.9655426592158484E-4</v>
      </c>
      <c r="AT169" s="2">
        <f>6.92166475203987*(1/14151.6638359215)</f>
        <v>4.8910607489632753E-4</v>
      </c>
      <c r="AU169" s="2">
        <f>6.83138953090635*(1/14151.6638359215)</f>
        <v>4.8272695070427507E-4</v>
      </c>
      <c r="AV169" s="2">
        <f>6.74445020936258*(1/14151.6638359215)</f>
        <v>4.7658355141555752E-4</v>
      </c>
      <c r="AW169" s="2">
        <f>6.64681724267423*(1/14151.6638359215)</f>
        <v>4.6968450634069317E-4</v>
      </c>
      <c r="AX169" s="2">
        <f>6.52446108610699*(1/14151.6638359215)</f>
        <v>4.6103844479020178E-4</v>
      </c>
      <c r="AY169" s="2">
        <f>6.36335219492656*(1/14151.6638359215)</f>
        <v>4.4965399607460393E-4</v>
      </c>
      <c r="AZ169" s="2">
        <f>6.14946102439863*(1/14151.6638359215)</f>
        <v>4.3453978950441921E-4</v>
      </c>
      <c r="BA169" s="2">
        <f>5.86875802978882*(1/14151.6638359215)</f>
        <v>4.1470445439016255E-4</v>
      </c>
      <c r="BB169" s="2">
        <f>5.50721366636293*(1/14151.6638359215)</f>
        <v>3.8915662004236146E-4</v>
      </c>
      <c r="BC169" s="2">
        <f>5.05079838938663*(1/14151.6638359215)</f>
        <v>3.5690491577153424E-4</v>
      </c>
      <c r="BD169" s="2">
        <f>4.48637490808796*(1/14151.6638359215)</f>
        <v>3.1702102029162744E-4</v>
      </c>
      <c r="BE169" s="2">
        <f>3.8362904393462*(1/14151.6638359215)</f>
        <v>2.7108405653393589E-4</v>
      </c>
      <c r="BF169" s="2">
        <f>3.11563064017753*(1/14151.6638359215)</f>
        <v>2.2016002332312699E-4</v>
      </c>
      <c r="BG169" s="2">
        <f>2.32425474878075*(1/14151.6638359215)</f>
        <v>1.6423897399831105E-4</v>
      </c>
      <c r="BH169" s="2">
        <f>1.46202200335514*(1/14151.6638359215)</f>
        <v>1.033109618986324E-4</v>
      </c>
      <c r="BI169" s="2">
        <f>0.528791642099526*(1/14151.6638359215)</f>
        <v>3.7366040363203219E-5</v>
      </c>
      <c r="BJ169" s="2">
        <f>-0.475577096787131*(1/14151.6638359215)</f>
        <v>-3.3605737268854739E-5</v>
      </c>
      <c r="BK169" s="2">
        <f>-1.55122497510585*(1/14151.6638359215)</f>
        <v>-1.0961431765841833E-4</v>
      </c>
      <c r="BL169" s="2">
        <f>-2.69829275465767*(1/14151.6638359215)</f>
        <v>-1.9066964746636579E-4</v>
      </c>
      <c r="BM169" s="2">
        <f>-3.91692119724386*(1/14151.6638359215)</f>
        <v>-2.7678167335359161E-4</v>
      </c>
      <c r="BN169" s="2">
        <f>-5.20725106466498*(1/14151.6638359215)</f>
        <v>-3.6796034198094028E-4</v>
      </c>
      <c r="BO169" s="2">
        <f>-6.6094568501666*(1/14151.6638359215)</f>
        <v>-4.6704450634205011E-4</v>
      </c>
      <c r="BP169" s="2">
        <f>-8.24684144487433*(1/14151.6638359215)</f>
        <v>-5.8274712715696215E-4</v>
      </c>
      <c r="BQ169" s="2">
        <f>-10.0732372637331*(1/14151.6638359215)</f>
        <v>-7.1180586117117661E-4</v>
      </c>
      <c r="BR169" s="2">
        <f>-12.0266072866041*(1/14151.6638359215)</f>
        <v>-8.4983698214175223E-4</v>
      </c>
      <c r="BS169" s="2">
        <f>-14.0449144933474*(1/14151.6638359215)</f>
        <v>-9.924567638256688E-4</v>
      </c>
      <c r="BT169" s="2">
        <f>-16.066121863824*(1/14151.6638359215)</f>
        <v>-1.1352814799799715E-3</v>
      </c>
      <c r="BU169" s="2">
        <f>-18.0281923778948*(1/14151.6638359215)</f>
        <v>-1.2739274043616991E-3</v>
      </c>
      <c r="BV169" s="2">
        <f>-19.8690890154205*(1/14151.6638359215)</f>
        <v>-1.4040108107278755E-3</v>
      </c>
      <c r="BW169" s="2">
        <f>-21.526774756262*(1/14151.6638359215)</f>
        <v>-1.5211479728355392E-3</v>
      </c>
      <c r="BX169" s="2">
        <f>-22.9392125802799*(1/14151.6638359215)</f>
        <v>-1.6209551644417075E-3</v>
      </c>
      <c r="BY169" s="2">
        <f>-24.0446262638051*(1/14151.6638359215)</f>
        <v>-1.6990670879824083E-3</v>
      </c>
      <c r="BZ169" s="2">
        <f>-24.871872080921*(1/14151.6638359215)</f>
        <v>-1.7575228163481489E-3</v>
      </c>
      <c r="CA169" s="2">
        <f>-25.4915593991137*(1/14151.6638359215)</f>
        <v>-1.801311824155113E-3</v>
      </c>
      <c r="CB169" s="2">
        <f>-25.9283129766151*(1/14151.6638359215)</f>
        <v>-1.8321741723966519E-3</v>
      </c>
      <c r="CC169" s="2">
        <f>-26.2067575716571*(1/14151.6638359215)</f>
        <v>-1.851849922066116E-3</v>
      </c>
      <c r="CD169" s="2">
        <f>-26.3515179424717*(1/14151.6638359215)</f>
        <v>-1.8620791341568631E-3</v>
      </c>
      <c r="CE169" s="2">
        <f>-26.3872188472907*(1/14151.6638359215)</f>
        <v>-1.8646018696622376E-3</v>
      </c>
      <c r="CF169" s="2">
        <f>-26.3384850443462*(1/14151.6638359215)</f>
        <v>-1.8611581895756036E-3</v>
      </c>
      <c r="CG169" s="2">
        <f>-26.22994129187*(1/14151.6638359215)</f>
        <v>-1.8534881548903051E-3</v>
      </c>
      <c r="CH169" s="2">
        <f>-26.0862123480941*(1/14151.6638359215)</f>
        <v>-1.8433318265997005E-3</v>
      </c>
      <c r="CI169" s="2">
        <f>-25.9319229712503*(1/14151.6638359215)</f>
        <v>-1.8324292656971327E-3</v>
      </c>
      <c r="CJ169" s="2">
        <f>-25.7770414886747*(1/14151.6638359215)</f>
        <v>-1.8214848647863039E-3</v>
      </c>
      <c r="CK169" s="2">
        <f>-25.5519766691438*(1/14151.6638359215)</f>
        <v>-1.8055810938841425E-3</v>
      </c>
      <c r="CL169" s="2">
        <f>-25.2506545851223*(1/14151.6638359215)</f>
        <v>-1.7842887506293059E-3</v>
      </c>
      <c r="CM169" s="2">
        <f>-24.8809602506288*(1/14151.6638359215)</f>
        <v>-1.7581650143125133E-3</v>
      </c>
      <c r="CN169" s="2">
        <f>-24.4507786796817*(1/14151.6638359215)</f>
        <v>-1.7277670642244706E-3</v>
      </c>
      <c r="CO169" s="2">
        <f>-23.9679948862996*(1/14151.6638359215)</f>
        <v>-1.6936520796558972E-3</v>
      </c>
      <c r="CP169" s="2">
        <f>-23.4404938845008*(1/14151.6638359215)</f>
        <v>-1.6563772398974915E-3</v>
      </c>
      <c r="CQ169" s="2">
        <f>-22.8761606883042*(1/14151.6638359215)</f>
        <v>-1.6164997242399939E-3</v>
      </c>
      <c r="CR169" s="2">
        <f>-22.282880311728*(1/14151.6638359215)</f>
        <v>-1.5745767119740963E-3</v>
      </c>
      <c r="CS169" s="2">
        <f>-21.6685377687908*(1/14151.6638359215)</f>
        <v>-1.5311653823905174E-3</v>
      </c>
      <c r="CT169" s="2">
        <f>-21.0410180735112*(1/14151.6638359215)</f>
        <v>-1.4868229147799775E-3</v>
      </c>
      <c r="CU169" s="2">
        <f>-20.4043301052362*(1/14151.6638359215)</f>
        <v>-1.4418325888609232E-3</v>
      </c>
      <c r="CV169" s="2">
        <f>-19.7523243613342*(1/14151.6638359215)</f>
        <v>-1.3957598619037581E-3</v>
      </c>
      <c r="CW169" s="2">
        <f>-19.0783212390066*(1/14151.6638359215)</f>
        <v>-1.3481327326741361E-3</v>
      </c>
      <c r="CX169" s="2">
        <f>-18.3756488855929*(1/14151.6638359215)</f>
        <v>-1.2984797475862561E-3</v>
      </c>
      <c r="CY169" s="2">
        <f>-17.6376354484328*(1/14151.6638359215)</f>
        <v>-1.246329453054331E-3</v>
      </c>
      <c r="CZ169" s="2">
        <f>-16.8576090748657*(1/14151.6638359215)</f>
        <v>-1.1912103954925524E-3</v>
      </c>
      <c r="DA169" s="2">
        <f>-16.0288979122313*(1/14151.6638359215)</f>
        <v>-1.1326511213151328E-3</v>
      </c>
      <c r="DB169" s="2">
        <f>-15.1448301078693*(1/14151.6638359215)</f>
        <v>-1.0701801769362853E-3</v>
      </c>
      <c r="DC169" s="2">
        <f>-14.1987338091194*(1/14151.6638359215)</f>
        <v>-1.0033261087702226E-3</v>
      </c>
      <c r="DD169" s="2">
        <f>-13.1839371633209*(1/14151.6638359215)</f>
        <v>-9.3161746323112927E-4</v>
      </c>
      <c r="DE169" s="2">
        <f>-12.0856143586566*(1/14151.6638359215)</f>
        <v>-8.5400660295359768E-4</v>
      </c>
      <c r="DF169" s="2">
        <f>-10.8270501793035*(1/14151.6638359215)</f>
        <v>-7.6507259533829125E-4</v>
      </c>
      <c r="DG169" s="2">
        <f>-9.42378367516176*(1/14151.6638359215)</f>
        <v>-6.6591347734258274E-4</v>
      </c>
      <c r="DH169" s="2">
        <f>-7.91712779306247*(1/14151.6638359215)</f>
        <v>-5.5944854858453027E-4</v>
      </c>
      <c r="DI169" s="2">
        <f>-6.34839547983745*(1/14151.6638359215)</f>
        <v>-4.4859710868224334E-4</v>
      </c>
      <c r="DJ169" s="2">
        <f>-4.75889968231772*(1/14151.6638359215)</f>
        <v>-3.362784572537749E-4</v>
      </c>
      <c r="DK169" s="2">
        <f>-3.18995334733456*(1/14151.6638359215)</f>
        <v>-2.2541189391719627E-4</v>
      </c>
      <c r="DL169" s="2">
        <f>-1.68286942171926*(1/14151.6638359215)</f>
        <v>-1.1891671829057959E-4</v>
      </c>
      <c r="DM169" s="2">
        <f>-0.278960852302873*(1/14151.6638359215)</f>
        <v>-1.9712229991980173E-5</v>
      </c>
      <c r="DN169" s="2">
        <f>0.980459414082793*(1/14151.6638359215)</f>
        <v>6.9282271360493312E-5</v>
      </c>
      <c r="DO169" s="2">
        <f>2.05407843060672*(1/14151.6638359215)</f>
        <v>1.4514748614878801E-4</v>
      </c>
      <c r="DP169" s="2">
        <f>2.9380711037362*(1/14151.6638359215)</f>
        <v>2.0761312152415784E-4</v>
      </c>
      <c r="DQ169" s="2">
        <f>3.69508918456003*(1/14151.6638359215)</f>
        <v>2.6110634250516175E-4</v>
      </c>
      <c r="DR169" s="2">
        <f>4.34006234694591*(1/14151.6638359215)</f>
        <v>3.0668212566846225E-4</v>
      </c>
      <c r="DS169" s="2">
        <f>4.88624359256169*(1/14151.6638359215)</f>
        <v>3.452769687871488E-4</v>
      </c>
      <c r="DT169" s="2">
        <f>5.34688592307526*(1/14151.6638359215)</f>
        <v>3.7782736963431357E-4</v>
      </c>
      <c r="DU169" s="2">
        <f>5.7352423401543*(1/14151.6638359215)</f>
        <v>4.0526982598303385E-4</v>
      </c>
      <c r="DV169" s="2">
        <f>6.06456584546674*(1/14151.6638359215)</f>
        <v>4.2854083560640486E-4</v>
      </c>
      <c r="DW169" s="2">
        <f>6.3481094406804*(1/14151.6638359215)</f>
        <v>4.485768962775137E-4</v>
      </c>
      <c r="DX169" s="2">
        <f>6.59912612746313*(1/14151.6638359215)</f>
        <v>4.6631450576944977E-4</v>
      </c>
      <c r="DY169" s="2">
        <f>6.83086890748279*(1/14151.6638359215)</f>
        <v>4.8269016185530322E-4</v>
      </c>
      <c r="DZ169" s="2">
        <f>7.05379399716722*(1/14151.6638359215)</f>
        <v>4.9844273287939539E-4</v>
      </c>
      <c r="EA169" s="2">
        <f>7.21933526742133*(1/14151.6638359215)</f>
        <v>5.1014038710390521E-4</v>
      </c>
      <c r="EB169" s="2">
        <f>7.31456595566634*(1/14151.6638359215)</f>
        <v>5.1686967981104848E-4</v>
      </c>
      <c r="EC169" s="2">
        <f>7.35162601850813*(1/14151.6638359215)</f>
        <v>5.1948845759375133E-4</v>
      </c>
      <c r="ED169" s="2">
        <f>7.34265541255261*(1/14151.6638359215)</f>
        <v>5.1885456704494173E-4</v>
      </c>
      <c r="EE169" s="2">
        <f>7.29979409440565*(1/14151.6638359215)</f>
        <v>5.1582585475754526E-4</v>
      </c>
      <c r="EF169" s="2">
        <f>7.23518202067314*(1/14151.6638359215)</f>
        <v>5.1126016732448861E-4</v>
      </c>
      <c r="EG169" s="2">
        <f>7.16095914796097*(1/14151.6638359215)</f>
        <v>5.0601535133869844E-4</v>
      </c>
      <c r="EH169" s="2">
        <f>7.08926543287503*(1/14151.6638359215)</f>
        <v>5.0094925339310152E-4</v>
      </c>
      <c r="EI169" s="2">
        <f>7.0322408320212*(1/14151.6638359215)</f>
        <v>4.9691972008062389E-4</v>
      </c>
      <c r="EJ169" s="2">
        <f>7.00202530200538*(1/14151.6638359215)</f>
        <v>4.9478459799419318E-4</v>
      </c>
      <c r="EK169" s="2">
        <f t="shared" si="34"/>
        <v>4.9464148393856954E-4</v>
      </c>
      <c r="EL169" s="2">
        <f t="shared" si="34"/>
        <v>4.9464148393856954E-4</v>
      </c>
      <c r="EM169" s="2">
        <f t="shared" si="34"/>
        <v>4.9464148393856954E-4</v>
      </c>
      <c r="EN169" s="2">
        <f t="shared" si="27"/>
        <v>4.9464148393856954E-4</v>
      </c>
      <c r="EO169" s="2">
        <f t="shared" si="27"/>
        <v>4.9464148393856954E-4</v>
      </c>
      <c r="EP169" s="2">
        <f t="shared" si="27"/>
        <v>4.9464148393856954E-4</v>
      </c>
      <c r="EQ169" s="2">
        <f t="shared" si="27"/>
        <v>4.9464148393856954E-4</v>
      </c>
      <c r="ER169" s="2">
        <f t="shared" si="27"/>
        <v>4.9464148393856954E-4</v>
      </c>
      <c r="ES169" s="2">
        <f t="shared" si="27"/>
        <v>4.9464148393856954E-4</v>
      </c>
      <c r="ET169" s="2">
        <f t="shared" si="27"/>
        <v>4.9464148393856954E-4</v>
      </c>
      <c r="EU169" s="2">
        <f t="shared" si="27"/>
        <v>4.9464148393856954E-4</v>
      </c>
      <c r="EV169" s="2">
        <f t="shared" si="27"/>
        <v>4.9464148393856954E-4</v>
      </c>
      <c r="EW169" s="2">
        <f t="shared" si="27"/>
        <v>4.9464148393856954E-4</v>
      </c>
      <c r="EX169" s="2">
        <f t="shared" si="27"/>
        <v>4.9464148393856954E-4</v>
      </c>
      <c r="EY169" s="2">
        <f t="shared" si="27"/>
        <v>4.9464148393856954E-4</v>
      </c>
      <c r="EZ169" s="2">
        <f t="shared" si="27"/>
        <v>4.9464148393856954E-4</v>
      </c>
      <c r="FA169" s="2">
        <f t="shared" si="27"/>
        <v>4.9464148393856954E-4</v>
      </c>
      <c r="FB169" s="2">
        <f t="shared" si="27"/>
        <v>4.9464148393856954E-4</v>
      </c>
      <c r="FC169" s="2">
        <f t="shared" si="27"/>
        <v>4.9464148393856954E-4</v>
      </c>
      <c r="FD169" s="2">
        <f t="shared" si="27"/>
        <v>4.9464148393856954E-4</v>
      </c>
      <c r="FE169" s="2">
        <f t="shared" si="27"/>
        <v>4.9464148393856954E-4</v>
      </c>
      <c r="FF169" s="2">
        <f t="shared" si="31"/>
        <v>4.9464148393856954E-4</v>
      </c>
      <c r="FG169" s="2">
        <f t="shared" si="31"/>
        <v>4.9464148393856954E-4</v>
      </c>
      <c r="FH169" s="2">
        <f t="shared" si="31"/>
        <v>4.9464148393856954E-4</v>
      </c>
      <c r="FI169" s="2">
        <f t="shared" si="31"/>
        <v>4.9464148393856954E-4</v>
      </c>
      <c r="FJ169" s="2">
        <f t="shared" si="31"/>
        <v>4.9464148393856954E-4</v>
      </c>
      <c r="FK169" s="2">
        <f t="shared" si="31"/>
        <v>4.9464148393856954E-4</v>
      </c>
      <c r="FL169" s="2">
        <f t="shared" si="31"/>
        <v>4.9464148393856954E-4</v>
      </c>
      <c r="FM169" s="2">
        <f t="shared" si="31"/>
        <v>4.9464148393856954E-4</v>
      </c>
      <c r="FN169" s="2">
        <f t="shared" si="31"/>
        <v>4.9464148393856954E-4</v>
      </c>
      <c r="FO169" s="2">
        <f t="shared" si="31"/>
        <v>4.9464148393856954E-4</v>
      </c>
      <c r="FP169" s="2">
        <f t="shared" si="31"/>
        <v>4.9464148393856954E-4</v>
      </c>
      <c r="FQ169" s="2"/>
    </row>
    <row r="170" spans="2:173">
      <c r="B170" s="2">
        <v>10.881065088757397</v>
      </c>
      <c r="C170" s="2">
        <f t="shared" si="32"/>
        <v>4.9464148393856954E-4</v>
      </c>
      <c r="D170" s="2">
        <f t="shared" si="32"/>
        <v>4.9464148393856954E-4</v>
      </c>
      <c r="E170" s="2">
        <f t="shared" si="32"/>
        <v>4.9464148393856954E-4</v>
      </c>
      <c r="F170" s="2">
        <f t="shared" si="25"/>
        <v>4.9464148393856954E-4</v>
      </c>
      <c r="G170" s="2">
        <f t="shared" si="25"/>
        <v>4.9464148393856954E-4</v>
      </c>
      <c r="H170" s="2">
        <f t="shared" si="25"/>
        <v>4.9464148393856954E-4</v>
      </c>
      <c r="I170" s="2">
        <f t="shared" si="25"/>
        <v>4.9464148393856954E-4</v>
      </c>
      <c r="J170" s="2">
        <f t="shared" si="25"/>
        <v>4.9464148393856954E-4</v>
      </c>
      <c r="K170" s="2">
        <f t="shared" si="25"/>
        <v>4.9464148393856954E-4</v>
      </c>
      <c r="L170" s="2">
        <f t="shared" si="25"/>
        <v>4.9464148393856954E-4</v>
      </c>
      <c r="M170" s="2">
        <f t="shared" si="25"/>
        <v>4.9464148393856954E-4</v>
      </c>
      <c r="N170" s="2">
        <f t="shared" si="25"/>
        <v>4.9464148393856954E-4</v>
      </c>
      <c r="O170" s="2">
        <f t="shared" si="25"/>
        <v>4.9464148393856954E-4</v>
      </c>
      <c r="P170" s="2">
        <f t="shared" si="25"/>
        <v>4.9464148393856954E-4</v>
      </c>
      <c r="Q170" s="2">
        <f t="shared" si="25"/>
        <v>4.9464148393856954E-4</v>
      </c>
      <c r="R170" s="2">
        <f t="shared" si="25"/>
        <v>4.9464148393856954E-4</v>
      </c>
      <c r="S170" s="2">
        <f t="shared" si="33"/>
        <v>4.9464148393856954E-4</v>
      </c>
      <c r="T170" s="2">
        <f t="shared" si="33"/>
        <v>4.9464148393856954E-4</v>
      </c>
      <c r="U170" s="2">
        <f t="shared" si="33"/>
        <v>4.9464148393856954E-4</v>
      </c>
      <c r="V170" s="2">
        <f t="shared" si="33"/>
        <v>4.9464148393856954E-4</v>
      </c>
      <c r="W170" s="2">
        <f t="shared" si="28"/>
        <v>4.9464148393856954E-4</v>
      </c>
      <c r="X170" s="2">
        <f t="shared" si="28"/>
        <v>4.9464148393856954E-4</v>
      </c>
      <c r="Y170" s="2">
        <f t="shared" si="28"/>
        <v>4.9464148393856954E-4</v>
      </c>
      <c r="Z170" s="2">
        <f t="shared" si="28"/>
        <v>4.9464148393856954E-4</v>
      </c>
      <c r="AA170" s="2">
        <f t="shared" si="28"/>
        <v>4.9464148393856954E-4</v>
      </c>
      <c r="AB170" s="2">
        <f t="shared" si="29"/>
        <v>4.9464148393856954E-4</v>
      </c>
      <c r="AC170" s="2">
        <f t="shared" si="29"/>
        <v>4.9464148393856954E-4</v>
      </c>
      <c r="AD170" s="2">
        <f t="shared" si="29"/>
        <v>4.9464148393856954E-4</v>
      </c>
      <c r="AE170" s="2">
        <f t="shared" si="29"/>
        <v>4.9464148393856954E-4</v>
      </c>
      <c r="AF170" s="2">
        <f t="shared" si="30"/>
        <v>4.9464148393856954E-4</v>
      </c>
      <c r="AG170" s="2">
        <f t="shared" si="30"/>
        <v>4.9464148393856954E-4</v>
      </c>
      <c r="AH170" s="2">
        <f t="shared" si="30"/>
        <v>4.9464148393856954E-4</v>
      </c>
      <c r="AI170" s="2">
        <f>7.00076925953982*(1/14151.6638359215)</f>
        <v>4.9469584217861392E-4</v>
      </c>
      <c r="AJ170" s="2">
        <f>7.01224586137682*(1/14151.6638359215)</f>
        <v>4.9550681408764619E-4</v>
      </c>
      <c r="AK170" s="2">
        <f>7.0339052080297*(1/14151.6638359215)</f>
        <v>4.9703732999757764E-4</v>
      </c>
      <c r="AL170" s="2">
        <f>7.0611362452422*(1/14151.6638359215)</f>
        <v>4.9896155866271735E-4</v>
      </c>
      <c r="AM170" s="2">
        <f>7.08932791875809*(1/14151.6638359215)</f>
        <v>5.0095366883737605E-4</v>
      </c>
      <c r="AN170" s="2">
        <f>7.11386917432112*(1/14151.6638359215)</f>
        <v>5.0268782927586362E-4</v>
      </c>
      <c r="AO170" s="2">
        <f>7.13014895767504*(1/14151.6638359215)</f>
        <v>5.0383820873248957E-4</v>
      </c>
      <c r="AP170" s="2">
        <f>7.1335562145636*(1/14151.6638359215)</f>
        <v>5.0407897596156344E-4</v>
      </c>
      <c r="AQ170" s="2">
        <f>7.11947989073057*(1/14151.6638359215)</f>
        <v>5.030842997173963E-4</v>
      </c>
      <c r="AR170" s="2">
        <f>7.08330893191969*(1/14151.6638359215)</f>
        <v>5.0052834875429701E-4</v>
      </c>
      <c r="AS170" s="2">
        <f>7.02043228387472*(1/14151.6638359215)</f>
        <v>4.9608529182657609E-4</v>
      </c>
      <c r="AT170" s="2">
        <f>6.94087091476288*(1/14151.6638359215)</f>
        <v>4.9046324130062391E-4</v>
      </c>
      <c r="AU170" s="2">
        <f>6.87272928779157*(1/14151.6638359215)</f>
        <v>4.8564814480304145E-4</v>
      </c>
      <c r="AV170" s="2">
        <f>6.80710566767313*(1/14151.6638359215)</f>
        <v>4.810109783977835E-4</v>
      </c>
      <c r="AW170" s="2">
        <f>6.73341026031057*(1/14151.6638359215)</f>
        <v>4.7580343473245859E-4</v>
      </c>
      <c r="AX170" s="2">
        <f>6.64105327160693*(1/14151.6638359215)</f>
        <v>4.6927720645467772E-4</v>
      </c>
      <c r="AY170" s="2">
        <f>6.51944490746522*(1/14151.6638359215)</f>
        <v>4.6068398621204956E-4</v>
      </c>
      <c r="AZ170" s="2">
        <f>6.35799537378849*(1/14151.6638359215)</f>
        <v>4.4927546665218555E-4</v>
      </c>
      <c r="BA170" s="2">
        <f>6.1461148764797*(1/14151.6638359215)</f>
        <v>4.3430334042269099E-4</v>
      </c>
      <c r="BB170" s="2">
        <f>5.87321362144198*(1/14151.6638359215)</f>
        <v>4.1501930017118303E-4</v>
      </c>
      <c r="BC170" s="2">
        <f>5.52870181457832*(1/14151.6638359215)</f>
        <v>3.9067503854526891E-4</v>
      </c>
      <c r="BD170" s="2">
        <f>5.10272398939566*(1/14151.6638359215)</f>
        <v>3.6057413803480099E-4</v>
      </c>
      <c r="BE170" s="2">
        <f>4.61417077244497*(1/14151.6638359215)</f>
        <v>3.2605146828973652E-4</v>
      </c>
      <c r="BF170" s="2">
        <f>4.07468086432773*(1/14151.6638359215)</f>
        <v>2.879294556153088E-4</v>
      </c>
      <c r="BG170" s="2">
        <f>3.48314728115365*(1/14151.6638359215)</f>
        <v>2.4612987713234792E-4</v>
      </c>
      <c r="BH170" s="2">
        <f>2.83846303903278*(1/14151.6638359215)</f>
        <v>2.0057450996170803E-4</v>
      </c>
      <c r="BI170" s="2">
        <f>2.13952115407484*(1/14151.6638359215)</f>
        <v>1.5118513122421996E-4</v>
      </c>
      <c r="BJ170" s="2">
        <f>1.38521464238966*(1/14151.6638359215)</f>
        <v>9.788351804072235E-5</v>
      </c>
      <c r="BK170" s="2">
        <f>0.57443652008708*(1/14151.6638359215)</f>
        <v>4.0591447532054456E-5</v>
      </c>
      <c r="BL170" s="2">
        <f>-0.293920196723079*(1/14151.6638359215)</f>
        <v>-2.0769303180945725E-5</v>
      </c>
      <c r="BM170" s="2">
        <f>-1.22096249193116*(1/14151.6638359215)</f>
        <v>-8.6276956977451817E-5</v>
      </c>
      <c r="BN170" s="2">
        <f>-2.207797349427*(1/14151.6638359215)</f>
        <v>-1.5600973673660169E-4</v>
      </c>
      <c r="BO170" s="2">
        <f>-3.28593253947098*(1/14151.6638359215)</f>
        <v>-2.321940782065654E-4</v>
      </c>
      <c r="BP170" s="2">
        <f>-4.54906616199407*(1/14151.6638359215)</f>
        <v>-3.2145097670049715E-4</v>
      </c>
      <c r="BQ170" s="2">
        <f>-5.96106344689988*(1/14151.6638359215)</f>
        <v>-4.2122703846093158E-4</v>
      </c>
      <c r="BR170" s="2">
        <f>-7.47368887610915*(1/14151.6638359215)</f>
        <v>-5.2811379373911575E-4</v>
      </c>
      <c r="BS170" s="2">
        <f>-9.03870693154178*(1/14151.6638359215)</f>
        <v>-6.3870277278623724E-4</v>
      </c>
      <c r="BT170" s="2">
        <f>-10.6078820951185*(1/14151.6638359215)</f>
        <v>-7.4958550585354242E-4</v>
      </c>
      <c r="BU170" s="2">
        <f>-12.1329788487598*(1/14151.6638359215)</f>
        <v>-8.5735352319226061E-4</v>
      </c>
      <c r="BV170" s="2">
        <f>-13.5657616743862*(1/14151.6638359215)</f>
        <v>-9.585983550536234E-4</v>
      </c>
      <c r="BW170" s="2">
        <f>-14.857995053918*(1/14151.6638359215)</f>
        <v>-1.0499115316888465E-3</v>
      </c>
      <c r="BX170" s="2">
        <f>-15.9614434692758*(1/14151.6638359215)</f>
        <v>-1.1278845833491674E-3</v>
      </c>
      <c r="BY170" s="2">
        <f>-16.8280851036706*(1/14151.6638359215)</f>
        <v>-1.1891241410748802E-3</v>
      </c>
      <c r="BZ170" s="2">
        <f>-17.4831803028239*(1/14151.6638359215)</f>
        <v>-1.2354151784220548E-3</v>
      </c>
      <c r="CA170" s="2">
        <f>-17.9827238594634*(1/14151.6638359215)</f>
        <v>-1.2707144593003565E-3</v>
      </c>
      <c r="CB170" s="2">
        <f>-18.3442640781174*(1/14151.6638359215)</f>
        <v>-1.2962620007658553E-3</v>
      </c>
      <c r="CC170" s="2">
        <f>-18.5853492633144*(1/14151.6638359215)</f>
        <v>-1.3132978198746334E-3</v>
      </c>
      <c r="CD170" s="2">
        <f>-18.7235277195829*(1/14151.6638359215)</f>
        <v>-1.3230619336827754E-3</v>
      </c>
      <c r="CE170" s="2">
        <f>-18.7763477514514*(1/14151.6638359215)</f>
        <v>-1.3267943592463634E-3</v>
      </c>
      <c r="CF170" s="2">
        <f>-18.7613576634482*(1/14151.6638359215)</f>
        <v>-1.3257351136214675E-3</v>
      </c>
      <c r="CG170" s="2">
        <f>-18.6961057601019*(1/14151.6638359215)</f>
        <v>-1.3211242138641774E-3</v>
      </c>
      <c r="CH170" s="2">
        <f>-18.5981403459409*(1/14151.6638359215)</f>
        <v>-1.3142016770305699E-3</v>
      </c>
      <c r="CI170" s="2">
        <f>-18.4850097254936*(1/14151.6638359215)</f>
        <v>-1.3062075201767207E-3</v>
      </c>
      <c r="CJ170" s="2">
        <f>-18.363023370227*(1/14151.6638359215)</f>
        <v>-1.2975875899211024E-3</v>
      </c>
      <c r="CK170" s="2">
        <f>-18.1785335078031*(1/14151.6638359215)</f>
        <v>-1.2845509700181051E-3</v>
      </c>
      <c r="CL170" s="2">
        <f>-17.9282328535278*(1/14151.6638359215)</f>
        <v>-1.2668639575807437E-3</v>
      </c>
      <c r="CM170" s="2">
        <f>-17.619634835936*(1/14151.6638359215)</f>
        <v>-1.2450574745290139E-3</v>
      </c>
      <c r="CN170" s="2">
        <f>-17.2602528835622*(1/14151.6638359215)</f>
        <v>-1.2196624427828829E-3</v>
      </c>
      <c r="CO170" s="2">
        <f>-16.8576004249411*(1/14151.6638359215)</f>
        <v>-1.1912097842623323E-3</v>
      </c>
      <c r="CP170" s="2">
        <f>-16.4191908886072*(1/14151.6638359215)</f>
        <v>-1.1602304208873295E-3</v>
      </c>
      <c r="CQ170" s="2">
        <f>-15.9525377030953*(1/14151.6638359215)</f>
        <v>-1.1272552745778628E-3</v>
      </c>
      <c r="CR170" s="2">
        <f>-15.46515429694*(1/14151.6638359215)</f>
        <v>-1.0928152672539067E-3</v>
      </c>
      <c r="CS170" s="2">
        <f>-14.9645540986759*(1/14151.6638359215)</f>
        <v>-1.0574413208354358E-3</v>
      </c>
      <c r="CT170" s="2">
        <f>-14.4582505368377*(1/14151.6638359215)</f>
        <v>-1.0216643572424314E-3</v>
      </c>
      <c r="CU170" s="2">
        <f>-13.9473198164846*(1/14151.6638359215)</f>
        <v>-9.8556042442739418E-4</v>
      </c>
      <c r="CV170" s="2">
        <f>-13.4236321633983*(1/14151.6638359215)</f>
        <v>-9.4855504759269228E-4</v>
      </c>
      <c r="CW170" s="2">
        <f>-12.882755339125*(1/14151.6638359215)</f>
        <v>-9.1033503116604562E-4</v>
      </c>
      <c r="CX170" s="2">
        <f>-12.3202779515374*(1/14151.6638359215)</f>
        <v>-8.7058865264058572E-4</v>
      </c>
      <c r="CY170" s="2">
        <f>-11.7317886085083*(1/14151.6638359215)</f>
        <v>-8.2900418950945017E-4</v>
      </c>
      <c r="CZ170" s="2">
        <f>-11.1128759179107*(1/14151.6638359215)</f>
        <v>-7.8526991926579164E-4</v>
      </c>
      <c r="DA170" s="2">
        <f>-10.4591284876172*(1/14151.6638359215)</f>
        <v>-7.3907411940273406E-4</v>
      </c>
      <c r="DB170" s="2">
        <f>-9.76613492550107*(1/14151.6638359215)</f>
        <v>-6.9010506741344873E-4</v>
      </c>
      <c r="DC170" s="2">
        <f>-9.029483839435*(1/14151.6638359215)</f>
        <v>-6.3805104079106589E-4</v>
      </c>
      <c r="DD170" s="2">
        <f>-8.24476383729187*(1/14151.6638359215)</f>
        <v>-5.826003170287294E-4</v>
      </c>
      <c r="DE170" s="2">
        <f>-7.40142516241256*(1/14151.6638359215)</f>
        <v>-5.2300741794228812E-4</v>
      </c>
      <c r="DF170" s="2">
        <f>-6.44192784633223*(1/14151.6638359215)</f>
        <v>-4.5520639276213823E-4</v>
      </c>
      <c r="DG170" s="2">
        <f>-5.37739609530785*(1/14151.6638359215)</f>
        <v>-3.7998331204407778E-4</v>
      </c>
      <c r="DH170" s="2">
        <f>-4.23827439078758*(1/14151.6638359215)</f>
        <v>-2.9948947628542934E-4</v>
      </c>
      <c r="DI170" s="2">
        <f>-3.05500721422024*(1/14151.6638359215)</f>
        <v>-2.1587618598356215E-4</v>
      </c>
      <c r="DJ170" s="2">
        <f>-1.85803904705401*(1/14151.6638359215)</f>
        <v>-1.3129474163580017E-4</v>
      </c>
      <c r="DK170" s="2">
        <f>-0.677814370737289*(1/14151.6638359215)</f>
        <v>-4.7896443739482913E-5</v>
      </c>
      <c r="DL170" s="2">
        <f>0.455222333281545*(1/14151.6638359215)</f>
        <v>3.216740720805164E-5</v>
      </c>
      <c r="DM170" s="2">
        <f>1.51062658355429*(1/14151.6638359215)</f>
        <v>1.0674551070947793E-4</v>
      </c>
      <c r="DN170" s="2">
        <f>2.45795389863215*(1/14151.6638359215)</f>
        <v>1.7368656626742842E-4</v>
      </c>
      <c r="DO170" s="2">
        <f>3.26675979706696*(1/14151.6638359215)</f>
        <v>2.3083927338458021E-4</v>
      </c>
      <c r="DP170" s="2">
        <f>3.93397102596062*(1/14151.6638359215)</f>
        <v>2.779864665789283E-4</v>
      </c>
      <c r="DQ170" s="2">
        <f>4.50538412278082*(1/14151.6638359215)</f>
        <v>3.1836426974365359E-4</v>
      </c>
      <c r="DR170" s="2">
        <f>4.99222336932003*(1/14151.6638359215)</f>
        <v>3.5276582507903786E-4</v>
      </c>
      <c r="DS170" s="2">
        <f>5.40449240871046*(1/14151.6638359215)</f>
        <v>3.8189802071132516E-4</v>
      </c>
      <c r="DT170" s="2">
        <f>5.75219488408434*(1/14151.6638359215)</f>
        <v>4.0646774476676089E-4</v>
      </c>
      <c r="DU170" s="2">
        <f>6.04533443857376*(1/14151.6638359215)</f>
        <v>4.2718188537158058E-4</v>
      </c>
      <c r="DV170" s="2">
        <f>6.29391471531097*(1/14151.6638359215)</f>
        <v>4.4474733065203109E-4</v>
      </c>
      <c r="DW170" s="2">
        <f>6.50793935742818*(1/14151.6638359215)</f>
        <v>4.5987096873435654E-4</v>
      </c>
      <c r="DX170" s="2">
        <f>6.69741200805756*(1/14151.6638359215)</f>
        <v>4.7325968774479803E-4</v>
      </c>
      <c r="DY170" s="2">
        <f>6.87233631033136*(1/14151.6638359215)</f>
        <v>4.8562037580960254E-4</v>
      </c>
      <c r="DZ170" s="2">
        <f>7.04060483532732*(1/14151.6638359215)</f>
        <v>4.97510746224482E-4</v>
      </c>
      <c r="EA170" s="2">
        <f>7.16555885199296*(1/14151.6638359215)</f>
        <v>5.0634038054270724E-4</v>
      </c>
      <c r="EB170" s="2">
        <f>7.23744096929085*(1/14151.6638359215)</f>
        <v>5.114197915668322E-4</v>
      </c>
      <c r="EC170" s="2">
        <f>7.265414680637*(1/14151.6638359215)</f>
        <v>5.1339649986562204E-4</v>
      </c>
      <c r="ED170" s="2">
        <f>7.25864347944743*(1/14151.6638359215)</f>
        <v>5.129180260078427E-4</v>
      </c>
      <c r="EE170" s="2">
        <f>7.22629085913815*(1/14151.6638359215)</f>
        <v>5.1063189056225924E-4</v>
      </c>
      <c r="EF170" s="2">
        <f>7.17752031312518*(1/14151.6638359215)</f>
        <v>5.0718561409763792E-4</v>
      </c>
      <c r="EG170" s="2">
        <f>7.12149533482453*(1/14151.6638359215)</f>
        <v>5.032267171827437E-4</v>
      </c>
      <c r="EH170" s="2">
        <f>7.06737941765223*(1/14151.6638359215)</f>
        <v>4.9940272038634327E-4</v>
      </c>
      <c r="EI170" s="2">
        <f>7.02433605502427*(1/14151.6638359215)</f>
        <v>4.9636114427720039E-4</v>
      </c>
      <c r="EJ170" s="2">
        <f>7.00152874035667*(1/14151.6638359215)</f>
        <v>4.9474950942408099E-4</v>
      </c>
      <c r="EK170" s="2">
        <f t="shared" si="34"/>
        <v>4.9464148393856954E-4</v>
      </c>
      <c r="EL170" s="2">
        <f t="shared" si="34"/>
        <v>4.9464148393856954E-4</v>
      </c>
      <c r="EM170" s="2">
        <f t="shared" si="34"/>
        <v>4.9464148393856954E-4</v>
      </c>
      <c r="EN170" s="2">
        <f t="shared" si="27"/>
        <v>4.9464148393856954E-4</v>
      </c>
      <c r="EO170" s="2">
        <f t="shared" si="27"/>
        <v>4.9464148393856954E-4</v>
      </c>
      <c r="EP170" s="2">
        <f t="shared" si="27"/>
        <v>4.9464148393856954E-4</v>
      </c>
      <c r="EQ170" s="2">
        <f t="shared" si="27"/>
        <v>4.9464148393856954E-4</v>
      </c>
      <c r="ER170" s="2">
        <f t="shared" si="27"/>
        <v>4.9464148393856954E-4</v>
      </c>
      <c r="ES170" s="2">
        <f t="shared" si="27"/>
        <v>4.9464148393856954E-4</v>
      </c>
      <c r="ET170" s="2">
        <f t="shared" si="27"/>
        <v>4.9464148393856954E-4</v>
      </c>
      <c r="EU170" s="2">
        <f t="shared" si="27"/>
        <v>4.9464148393856954E-4</v>
      </c>
      <c r="EV170" s="2">
        <f t="shared" si="27"/>
        <v>4.9464148393856954E-4</v>
      </c>
      <c r="EW170" s="2">
        <f t="shared" si="27"/>
        <v>4.9464148393856954E-4</v>
      </c>
      <c r="EX170" s="2">
        <f t="shared" si="27"/>
        <v>4.9464148393856954E-4</v>
      </c>
      <c r="EY170" s="2">
        <f t="shared" si="27"/>
        <v>4.9464148393856954E-4</v>
      </c>
      <c r="EZ170" s="2">
        <f t="shared" si="27"/>
        <v>4.9464148393856954E-4</v>
      </c>
      <c r="FA170" s="2">
        <f t="shared" si="27"/>
        <v>4.9464148393856954E-4</v>
      </c>
      <c r="FB170" s="2">
        <f t="shared" si="27"/>
        <v>4.9464148393856954E-4</v>
      </c>
      <c r="FC170" s="2">
        <f t="shared" si="27"/>
        <v>4.9464148393856954E-4</v>
      </c>
      <c r="FD170" s="2">
        <f t="shared" si="27"/>
        <v>4.9464148393856954E-4</v>
      </c>
      <c r="FE170" s="2">
        <f t="shared" si="27"/>
        <v>4.9464148393856954E-4</v>
      </c>
      <c r="FF170" s="2">
        <f t="shared" si="31"/>
        <v>4.9464148393856954E-4</v>
      </c>
      <c r="FG170" s="2">
        <f t="shared" si="31"/>
        <v>4.9464148393856954E-4</v>
      </c>
      <c r="FH170" s="2">
        <f t="shared" si="31"/>
        <v>4.9464148393856954E-4</v>
      </c>
      <c r="FI170" s="2">
        <f t="shared" si="31"/>
        <v>4.9464148393856954E-4</v>
      </c>
      <c r="FJ170" s="2">
        <f t="shared" si="31"/>
        <v>4.9464148393856954E-4</v>
      </c>
      <c r="FK170" s="2">
        <f t="shared" si="31"/>
        <v>4.9464148393856954E-4</v>
      </c>
      <c r="FL170" s="2">
        <f t="shared" si="31"/>
        <v>4.9464148393856954E-4</v>
      </c>
      <c r="FM170" s="2">
        <f t="shared" si="31"/>
        <v>4.9464148393856954E-4</v>
      </c>
      <c r="FN170" s="2">
        <f t="shared" si="31"/>
        <v>4.9464148393856954E-4</v>
      </c>
      <c r="FO170" s="2">
        <f t="shared" si="31"/>
        <v>4.9464148393856954E-4</v>
      </c>
      <c r="FP170" s="2">
        <f t="shared" si="31"/>
        <v>4.9464148393856954E-4</v>
      </c>
      <c r="FQ170" s="2"/>
    </row>
    <row r="171" spans="2:173">
      <c r="B171" s="2">
        <v>10.890532544378699</v>
      </c>
      <c r="C171" s="2">
        <f t="shared" si="32"/>
        <v>4.9464148393856954E-4</v>
      </c>
      <c r="D171" s="2">
        <f t="shared" si="32"/>
        <v>4.9464148393856954E-4</v>
      </c>
      <c r="E171" s="2">
        <f t="shared" si="32"/>
        <v>4.9464148393856954E-4</v>
      </c>
      <c r="F171" s="2">
        <f t="shared" si="25"/>
        <v>4.9464148393856954E-4</v>
      </c>
      <c r="G171" s="2">
        <f t="shared" si="25"/>
        <v>4.9464148393856954E-4</v>
      </c>
      <c r="H171" s="2">
        <f t="shared" si="25"/>
        <v>4.9464148393856954E-4</v>
      </c>
      <c r="I171" s="2">
        <f t="shared" si="25"/>
        <v>4.9464148393856954E-4</v>
      </c>
      <c r="J171" s="2">
        <f t="shared" si="25"/>
        <v>4.9464148393856954E-4</v>
      </c>
      <c r="K171" s="2">
        <f t="shared" si="25"/>
        <v>4.9464148393856954E-4</v>
      </c>
      <c r="L171" s="2">
        <f t="shared" si="25"/>
        <v>4.9464148393856954E-4</v>
      </c>
      <c r="M171" s="2">
        <f t="shared" si="25"/>
        <v>4.9464148393856954E-4</v>
      </c>
      <c r="N171" s="2">
        <f t="shared" si="25"/>
        <v>4.9464148393856954E-4</v>
      </c>
      <c r="O171" s="2">
        <f t="shared" si="25"/>
        <v>4.9464148393856954E-4</v>
      </c>
      <c r="P171" s="2">
        <f t="shared" si="25"/>
        <v>4.9464148393856954E-4</v>
      </c>
      <c r="Q171" s="2">
        <f t="shared" si="25"/>
        <v>4.9464148393856954E-4</v>
      </c>
      <c r="R171" s="2">
        <f t="shared" si="25"/>
        <v>4.9464148393856954E-4</v>
      </c>
      <c r="S171" s="2">
        <f t="shared" si="33"/>
        <v>4.9464148393856954E-4</v>
      </c>
      <c r="T171" s="2">
        <f t="shared" si="33"/>
        <v>4.9464148393856954E-4</v>
      </c>
      <c r="U171" s="2">
        <f t="shared" si="33"/>
        <v>4.9464148393856954E-4</v>
      </c>
      <c r="V171" s="2">
        <f t="shared" si="33"/>
        <v>4.9464148393856954E-4</v>
      </c>
      <c r="W171" s="2">
        <f t="shared" si="33"/>
        <v>4.9464148393856954E-4</v>
      </c>
      <c r="X171" s="2">
        <f t="shared" si="28"/>
        <v>4.9464148393856954E-4</v>
      </c>
      <c r="Y171" s="2">
        <f t="shared" si="28"/>
        <v>4.9464148393856954E-4</v>
      </c>
      <c r="Z171" s="2">
        <f t="shared" si="28"/>
        <v>4.9464148393856954E-4</v>
      </c>
      <c r="AA171" s="2">
        <f t="shared" si="28"/>
        <v>4.9464148393856954E-4</v>
      </c>
      <c r="AB171" s="2">
        <f t="shared" si="29"/>
        <v>4.9464148393856954E-4</v>
      </c>
      <c r="AC171" s="2">
        <f t="shared" si="29"/>
        <v>4.9464148393856954E-4</v>
      </c>
      <c r="AD171" s="2">
        <f t="shared" si="29"/>
        <v>4.9464148393856954E-4</v>
      </c>
      <c r="AE171" s="2">
        <f t="shared" si="29"/>
        <v>4.9464148393856954E-4</v>
      </c>
      <c r="AF171" s="2">
        <f t="shared" si="30"/>
        <v>4.9464148393856954E-4</v>
      </c>
      <c r="AG171" s="2">
        <f t="shared" si="30"/>
        <v>4.9464148393856954E-4</v>
      </c>
      <c r="AH171" s="2">
        <f t="shared" si="30"/>
        <v>4.9464148393856954E-4</v>
      </c>
      <c r="AI171" s="2">
        <f>7.00042955003501*(1/14151.6638359215)</f>
        <v>4.9467183726238997E-4</v>
      </c>
      <c r="AJ171" s="2">
        <f>7.00683801748414*(1/14151.6638359215)</f>
        <v>4.9512467924079132E-4</v>
      </c>
      <c r="AK171" s="2">
        <f>7.01893247017717*(1/14151.6638359215)</f>
        <v>4.9597931038757785E-4</v>
      </c>
      <c r="AL171" s="2">
        <f>7.03413812234327*(1/14151.6638359215)</f>
        <v>4.9705378843781982E-4</v>
      </c>
      <c r="AM171" s="2">
        <f>7.04988018821163*(1/14151.6638359215)</f>
        <v>4.98166171126589E-4</v>
      </c>
      <c r="AN171" s="2">
        <f>7.06358388201143*(1/14151.6638359215)</f>
        <v>4.9913451618895652E-4</v>
      </c>
      <c r="AO171" s="2">
        <f>7.07267441797183*(1/14151.6638359215)</f>
        <v>4.997768813599921E-4</v>
      </c>
      <c r="AP171" s="2">
        <f>7.07457701032201*(1/14151.6638359215)</f>
        <v>4.9991132437476687E-4</v>
      </c>
      <c r="AQ171" s="2">
        <f>7.06671687329116*(1/14151.6638359215)</f>
        <v>4.9935590296835248E-4</v>
      </c>
      <c r="AR171" s="2">
        <f>7.04651922110844*(1/14151.6638359215)</f>
        <v>4.9792867487581888E-4</v>
      </c>
      <c r="AS171" s="2">
        <f>7.01140926800304*(1/14151.6638359215)</f>
        <v>4.9544769783223762E-4</v>
      </c>
      <c r="AT171" s="2">
        <f>6.96698266408292*(1/14151.6638359215)</f>
        <v>4.9230837764803774E-4</v>
      </c>
      <c r="AU171" s="2">
        <f>6.92893277748946*(1/14151.6638359215)</f>
        <v>4.8961965588114015E-4</v>
      </c>
      <c r="AV171" s="2">
        <f>6.89228893121894*(1/14151.6638359215)</f>
        <v>4.8703028923878771E-4</v>
      </c>
      <c r="AW171" s="2">
        <f>6.85113784608584*(1/14151.6638359215)</f>
        <v>4.8412242726508499E-4</v>
      </c>
      <c r="AX171" s="2">
        <f>6.79956624290461*(1/14151.6638359215)</f>
        <v>4.8047821950413433E-4</v>
      </c>
      <c r="AY171" s="2">
        <f>6.73166084248972*(1/14151.6638359215)</f>
        <v>4.7567981550003952E-4</v>
      </c>
      <c r="AZ171" s="2">
        <f>6.64150836565563*(1/14151.6638359215)</f>
        <v>4.6930936479690352E-4</v>
      </c>
      <c r="BA171" s="2">
        <f>6.52319553321679*(1/14151.6638359215)</f>
        <v>4.6094901693882881E-4</v>
      </c>
      <c r="BB171" s="2">
        <f>6.3708090659877*(1/14151.6638359215)</f>
        <v>4.501809214699212E-4</v>
      </c>
      <c r="BC171" s="2">
        <f>6.17843568478282*(1/14151.6638359215)</f>
        <v>4.3658722793428375E-4</v>
      </c>
      <c r="BD171" s="2">
        <f>5.94059902003306*(1/14151.6638359215)</f>
        <v>4.1978095925045215E-4</v>
      </c>
      <c r="BE171" s="2">
        <f>5.66874062599631*(1/14151.6638359215)</f>
        <v>4.0057061075795289E-4</v>
      </c>
      <c r="BF171" s="2">
        <f>5.36947065093531*(1/14151.6638359215)</f>
        <v>3.7942327582046265E-4</v>
      </c>
      <c r="BG171" s="2">
        <f>5.04172903156017*(1/14151.6638359215)</f>
        <v>3.5626404711244135E-4</v>
      </c>
      <c r="BH171" s="2">
        <f>4.68445570458118*(1/14151.6638359215)</f>
        <v>3.3101801730836176E-4</v>
      </c>
      <c r="BI171" s="2">
        <f>4.29659060670847*(1/14151.6638359215)</f>
        <v>3.0361027908268524E-4</v>
      </c>
      <c r="BJ171" s="2">
        <f>3.8770736746522*(1/14151.6638359215)</f>
        <v>2.739659251098753E-4</v>
      </c>
      <c r="BK171" s="2">
        <f>3.42484484512255*(1/14151.6638359215)</f>
        <v>2.4201004806439694E-4</v>
      </c>
      <c r="BL171" s="2">
        <f>2.93884405482969*(1/14151.6638359215)</f>
        <v>2.0766774062071439E-4</v>
      </c>
      <c r="BM171" s="2">
        <f>2.41801124048369*(1/14151.6638359215)</f>
        <v>1.7086409545328485E-4</v>
      </c>
      <c r="BN171" s="2">
        <f>1.86128633879492*(1/14151.6638359215)</f>
        <v>1.3152420523658662E-4</v>
      </c>
      <c r="BO171" s="2">
        <f>1.25055307725151*(1/14151.6638359215)</f>
        <v>8.8367918553661657E-5</v>
      </c>
      <c r="BP171" s="2">
        <f>0.533214319631028*(1/14151.6638359215)</f>
        <v>3.7678560331369493E-5</v>
      </c>
      <c r="BQ171" s="2">
        <f>-0.26998435898847*(1/14151.6638359215)</f>
        <v>-1.9077923424322898E-5</v>
      </c>
      <c r="BR171" s="2">
        <f>-1.13148644724069*(1/14151.6638359215)</f>
        <v>-7.9954305045644981E-5</v>
      </c>
      <c r="BS171" s="2">
        <f>-2.02373543375886*(1/14151.6638359215)</f>
        <v>-1.4300335686479244E-4</v>
      </c>
      <c r="BT171" s="2">
        <f>-2.91917480717667*(1/14151.6638359215)</f>
        <v>-2.0627785121399365E-4</v>
      </c>
      <c r="BU171" s="2">
        <f>-3.79024805612767*(1/14151.6638359215)</f>
        <v>-2.6783056042546704E-4</v>
      </c>
      <c r="BV171" s="2">
        <f>-4.6093986692454*(1/14151.6638359215)</f>
        <v>-3.2571425683143037E-4</v>
      </c>
      <c r="BW171" s="2">
        <f>-5.34907013516339*(1/14151.6638359215)</f>
        <v>-3.7798171276410056E-4</v>
      </c>
      <c r="BX171" s="2">
        <f>-5.98170594251521*(1/14151.6638359215)</f>
        <v>-4.2268570055569761E-4</v>
      </c>
      <c r="BY171" s="2">
        <f>-6.47987634906827*(1/14151.6638359215)</f>
        <v>-4.5788795043450993E-4</v>
      </c>
      <c r="BZ171" s="2">
        <f>-6.85922294251627*(1/14151.6638359215)</f>
        <v>-4.8469374499310422E-4</v>
      </c>
      <c r="CA171" s="2">
        <f>-7.15220405975812*(1/14151.6638359215)</f>
        <v>-5.0539668993574544E-4</v>
      </c>
      <c r="CB171" s="2">
        <f>-7.36815975257831*(1/14151.6638359215)</f>
        <v>-5.2065678198739702E-4</v>
      </c>
      <c r="CC171" s="2">
        <f>-7.51643007276133*(1/14151.6638359215)</f>
        <v>-5.3113401787302213E-4</v>
      </c>
      <c r="CD171" s="2">
        <f>-7.60635507209165*(1/14151.6638359215)</f>
        <v>-5.3748839431758274E-4</v>
      </c>
      <c r="CE171" s="2">
        <f>-7.64727480235374*(1/14151.6638359215)</f>
        <v>-5.4037990804604071E-4</v>
      </c>
      <c r="CF171" s="2">
        <f>-7.64852931533208*(1/14151.6638359215)</f>
        <v>-5.4046855578335879E-4</v>
      </c>
      <c r="CG171" s="2">
        <f>-7.61945866281117*(1/14151.6638359215)</f>
        <v>-5.3841433425450089E-4</v>
      </c>
      <c r="CH171" s="2">
        <f>-7.56940289657547*(1/14151.6638359215)</f>
        <v>-5.3487724018442813E-4</v>
      </c>
      <c r="CI171" s="2">
        <f>-7.50770206840946*(1/14151.6638359215)</f>
        <v>-5.3051727029810333E-4</v>
      </c>
      <c r="CJ171" s="2">
        <f>-7.43734287400143*(1/14151.6638359215)</f>
        <v>-5.2554547367943041E-4</v>
      </c>
      <c r="CK171" s="2">
        <f>-7.32787461808775*(1/14151.6638359215)</f>
        <v>-5.1781011074381478E-4</v>
      </c>
      <c r="CL171" s="2">
        <f>-7.17801465848636*(1/14151.6638359215)</f>
        <v>-5.0722054605807111E-4</v>
      </c>
      <c r="CM171" s="2">
        <f>-6.99264808572573*(1/14151.6638359215)</f>
        <v>-4.9412197511193893E-4</v>
      </c>
      <c r="CN171" s="2">
        <f>-6.77665999033431*(1/14151.6638359215)</f>
        <v>-4.7885959339515652E-4</v>
      </c>
      <c r="CO171" s="2">
        <f>-6.53493546284058*(1/14151.6638359215)</f>
        <v>-4.6177859639746389E-4</v>
      </c>
      <c r="CP171" s="2">
        <f>-6.27235959377294*(1/14151.6638359215)</f>
        <v>-4.4322417960859577E-4</v>
      </c>
      <c r="CQ171" s="2">
        <f>-5.99381747365996*(1/14151.6638359215)</f>
        <v>-4.2354153851829868E-4</v>
      </c>
      <c r="CR171" s="2">
        <f>-5.70419419303006*(1/14151.6638359215)</f>
        <v>-4.0307586861630857E-4</v>
      </c>
      <c r="CS171" s="2">
        <f>-5.4083748424117*(1/14151.6638359215)</f>
        <v>-3.8217236539236433E-4</v>
      </c>
      <c r="CT171" s="2">
        <f>-5.11124451233334*(1/14151.6638359215)</f>
        <v>-3.6117622433620483E-4</v>
      </c>
      <c r="CU171" s="2">
        <f>-4.81254311473862*(1/14151.6638359215)</f>
        <v>-3.4006906682752238E-4</v>
      </c>
      <c r="CV171" s="2">
        <f>-4.50619070961972*(1/14151.6638359215)</f>
        <v>-3.1842126564521339E-4</v>
      </c>
      <c r="CW171" s="2">
        <f>-4.18998159278893*(1/14151.6638359215)</f>
        <v>-2.9607695896177256E-4</v>
      </c>
      <c r="CX171" s="2">
        <f>-3.86172832300586*(1/14151.6638359215)</f>
        <v>-2.7288157546560317E-4</v>
      </c>
      <c r="CY171" s="2">
        <f>-3.51924345903019*(1/14151.6638359215)</f>
        <v>-2.4868054384511395E-4</v>
      </c>
      <c r="CZ171" s="2">
        <f>-3.16033955962157*(1/14151.6638359215)</f>
        <v>-2.2331929278871125E-4</v>
      </c>
      <c r="DA171" s="2">
        <f>-2.78282918353963*(1/14151.6638359215)</f>
        <v>-1.9664325098480009E-4</v>
      </c>
      <c r="DB171" s="2">
        <f>-2.38452488954415*(1/14151.6638359215)</f>
        <v>-1.6849784712179601E-4</v>
      </c>
      <c r="DC171" s="2">
        <f>-1.96323923639477*(1/14151.6638359215)</f>
        <v>-1.3872850988810474E-4</v>
      </c>
      <c r="DD171" s="2">
        <f>-1.51678478285113*(1/14151.6638359215)</f>
        <v>-1.0718066797213199E-4</v>
      </c>
      <c r="DE171" s="2">
        <f>-1.03955370952663*(1/14151.6638359215)</f>
        <v>-7.3458055644870995E-5</v>
      </c>
      <c r="DF171" s="2">
        <f>-0.49957778656403*(1/14151.6638359215)</f>
        <v>-3.53016996698254E-5</v>
      </c>
      <c r="DG171" s="2">
        <f>0.0971984630797564*(1/14151.6638359215)</f>
        <v>6.8683417163312814E-6</v>
      </c>
      <c r="DH171" s="2">
        <f>0.734101540233564*(1/14151.6638359215)</f>
        <v>5.1873867888959948E-5</v>
      </c>
      <c r="DI171" s="2">
        <f>1.39445794572586*(1/14151.6638359215)</f>
        <v>9.8536678223395515E-5</v>
      </c>
      <c r="DJ171" s="2">
        <f>2.06159418038548*(1/14151.6638359215)</f>
        <v>1.4567857209499897E-4</v>
      </c>
      <c r="DK171" s="2">
        <f>2.71883674504111*(1/14151.6638359215)</f>
        <v>1.9212134887912073E-4</v>
      </c>
      <c r="DL171" s="2">
        <f>3.34951214052148*(1/14151.6638359215)</f>
        <v>2.3668680795111419E-4</v>
      </c>
      <c r="DM171" s="2">
        <f>3.9369468676554*(1/14151.6638359215)</f>
        <v>2.781967486863386E-4</v>
      </c>
      <c r="DN171" s="2">
        <f>4.46446742727135*(1/14151.6638359215)</f>
        <v>3.1547297046012976E-4</v>
      </c>
      <c r="DO171" s="2">
        <f>4.91540032019816*(1/14151.6638359215)</f>
        <v>3.4733727264784828E-4</v>
      </c>
      <c r="DP171" s="2">
        <f>5.28794732471531*(1/14151.6638359215)</f>
        <v>3.7366258738373852E-4</v>
      </c>
      <c r="DQ171" s="2">
        <f>5.60702106126088*(1/14151.6638359215)</f>
        <v>3.9620931688812784E-4</v>
      </c>
      <c r="DR171" s="2">
        <f>5.87886925367145*(1/14151.6638359215)</f>
        <v>4.1541894450241099E-4</v>
      </c>
      <c r="DS171" s="2">
        <f>6.10907787785661*(1/14151.6638359215)</f>
        <v>4.3168619242846869E-4</v>
      </c>
      <c r="DT171" s="2">
        <f>6.30323290972596*(1/14151.6638359215)</f>
        <v>4.4540578286818234E-4</v>
      </c>
      <c r="DU171" s="2">
        <f>6.46692032518902*(1/14151.6638359215)</f>
        <v>4.5697243802342763E-4</v>
      </c>
      <c r="DV171" s="2">
        <f>6.60572610015542*(1/14151.6638359215)</f>
        <v>4.667808800960881E-4</v>
      </c>
      <c r="DW171" s="2">
        <f>6.72523621053472*(1/14151.6638359215)</f>
        <v>4.7522583128804233E-4</v>
      </c>
      <c r="DX171" s="2">
        <f>6.83103663223653*(1/14151.6638359215)</f>
        <v>4.8270201380117223E-4</v>
      </c>
      <c r="DY171" s="2">
        <f>6.92871334117044*(1/14151.6638359215)</f>
        <v>4.896041498373587E-4</v>
      </c>
      <c r="DZ171" s="2">
        <f>7.02267350293825*(1/14151.6638359215)</f>
        <v>4.962436632442069E-4</v>
      </c>
      <c r="EA171" s="2">
        <f>7.09244709618585*(1/14151.6638359215)</f>
        <v>5.0117407948759539E-4</v>
      </c>
      <c r="EB171" s="2">
        <f>7.1325856507354*(1/14151.6638359215)</f>
        <v>5.0401039294267226E-4</v>
      </c>
      <c r="EC171" s="2">
        <f>7.14820600780095*(1/14151.6638359215)</f>
        <v>5.0511417531389434E-4</v>
      </c>
      <c r="ED171" s="2">
        <f>7.14442500859655*(1/14151.6638359215)</f>
        <v>5.0484699830571792E-4</v>
      </c>
      <c r="EE171" s="2">
        <f>7.12635949433626*(1/14151.6638359215)</f>
        <v>5.0357043362260023E-4</v>
      </c>
      <c r="EF171" s="2">
        <f>7.09912630623413*(1/14151.6638359215)</f>
        <v>5.0164605296899802E-4</v>
      </c>
      <c r="EG171" s="2">
        <f>7.06784228550421*(1/14151.6638359215)</f>
        <v>4.9943542804936766E-4</v>
      </c>
      <c r="EH171" s="2">
        <f>7.03762427336055*(1/14151.6638359215)</f>
        <v>4.9730013056816565E-4</v>
      </c>
      <c r="EI171" s="2">
        <f>7.0135891110172*(1/14151.6638359215)</f>
        <v>4.9560173222984872E-4</v>
      </c>
      <c r="EJ171" s="2">
        <f>7.00085363968822*(1/14151.6638359215)</f>
        <v>4.947018047388738E-4</v>
      </c>
      <c r="EK171" s="2">
        <f t="shared" si="34"/>
        <v>4.9464148393856954E-4</v>
      </c>
      <c r="EL171" s="2">
        <f t="shared" si="34"/>
        <v>4.9464148393856954E-4</v>
      </c>
      <c r="EM171" s="2">
        <f t="shared" si="34"/>
        <v>4.9464148393856954E-4</v>
      </c>
      <c r="EN171" s="2">
        <f t="shared" si="27"/>
        <v>4.9464148393856954E-4</v>
      </c>
      <c r="EO171" s="2">
        <f t="shared" si="27"/>
        <v>4.9464148393856954E-4</v>
      </c>
      <c r="EP171" s="2">
        <f t="shared" si="27"/>
        <v>4.9464148393856954E-4</v>
      </c>
      <c r="EQ171" s="2">
        <f t="shared" si="27"/>
        <v>4.9464148393856954E-4</v>
      </c>
      <c r="ER171" s="2">
        <f t="shared" si="27"/>
        <v>4.9464148393856954E-4</v>
      </c>
      <c r="ES171" s="2">
        <f t="shared" si="27"/>
        <v>4.9464148393856954E-4</v>
      </c>
      <c r="ET171" s="2">
        <f t="shared" si="27"/>
        <v>4.9464148393856954E-4</v>
      </c>
      <c r="EU171" s="2">
        <f t="shared" si="27"/>
        <v>4.9464148393856954E-4</v>
      </c>
      <c r="EV171" s="2">
        <f t="shared" si="27"/>
        <v>4.9464148393856954E-4</v>
      </c>
      <c r="EW171" s="2">
        <f t="shared" si="27"/>
        <v>4.9464148393856954E-4</v>
      </c>
      <c r="EX171" s="2">
        <f t="shared" si="27"/>
        <v>4.9464148393856954E-4</v>
      </c>
      <c r="EY171" s="2">
        <f t="shared" si="27"/>
        <v>4.9464148393856954E-4</v>
      </c>
      <c r="EZ171" s="2">
        <f t="shared" si="27"/>
        <v>4.9464148393856954E-4</v>
      </c>
      <c r="FA171" s="2">
        <f t="shared" si="27"/>
        <v>4.9464148393856954E-4</v>
      </c>
      <c r="FB171" s="2">
        <f t="shared" si="27"/>
        <v>4.9464148393856954E-4</v>
      </c>
      <c r="FC171" s="2">
        <f t="shared" si="27"/>
        <v>4.9464148393856954E-4</v>
      </c>
      <c r="FD171" s="2">
        <f t="shared" si="27"/>
        <v>4.9464148393856954E-4</v>
      </c>
      <c r="FE171" s="2">
        <f t="shared" si="27"/>
        <v>4.9464148393856954E-4</v>
      </c>
      <c r="FF171" s="2">
        <f t="shared" si="31"/>
        <v>4.9464148393856954E-4</v>
      </c>
      <c r="FG171" s="2">
        <f t="shared" si="31"/>
        <v>4.9464148393856954E-4</v>
      </c>
      <c r="FH171" s="2">
        <f t="shared" si="31"/>
        <v>4.9464148393856954E-4</v>
      </c>
      <c r="FI171" s="2">
        <f t="shared" si="31"/>
        <v>4.9464148393856954E-4</v>
      </c>
      <c r="FJ171" s="2">
        <f t="shared" si="31"/>
        <v>4.9464148393856954E-4</v>
      </c>
      <c r="FK171" s="2">
        <f t="shared" si="31"/>
        <v>4.9464148393856954E-4</v>
      </c>
      <c r="FL171" s="2">
        <f t="shared" si="31"/>
        <v>4.9464148393856954E-4</v>
      </c>
      <c r="FM171" s="2">
        <f t="shared" si="31"/>
        <v>4.9464148393856954E-4</v>
      </c>
      <c r="FN171" s="2">
        <f t="shared" si="31"/>
        <v>4.9464148393856954E-4</v>
      </c>
      <c r="FO171" s="2">
        <f t="shared" si="31"/>
        <v>4.9464148393856954E-4</v>
      </c>
      <c r="FP171" s="2">
        <f t="shared" si="31"/>
        <v>4.9464148393856954E-4</v>
      </c>
      <c r="FQ171" s="2"/>
    </row>
    <row r="172" spans="2:173">
      <c r="B172" s="2">
        <v>10.9</v>
      </c>
      <c r="C172" s="2">
        <f t="shared" si="32"/>
        <v>4.9464148393856954E-4</v>
      </c>
      <c r="D172" s="2">
        <f t="shared" si="32"/>
        <v>4.9464148393856954E-4</v>
      </c>
      <c r="E172" s="2">
        <f t="shared" si="32"/>
        <v>4.9464148393856954E-4</v>
      </c>
      <c r="F172" s="2">
        <f t="shared" si="25"/>
        <v>4.9464148393856954E-4</v>
      </c>
      <c r="G172" s="2">
        <f t="shared" si="25"/>
        <v>4.9464148393856954E-4</v>
      </c>
      <c r="H172" s="2">
        <f t="shared" si="25"/>
        <v>4.9464148393856954E-4</v>
      </c>
      <c r="I172" s="2">
        <f t="shared" si="25"/>
        <v>4.9464148393856954E-4</v>
      </c>
      <c r="J172" s="2">
        <f t="shared" si="25"/>
        <v>4.9464148393856954E-4</v>
      </c>
      <c r="K172" s="2">
        <f t="shared" si="25"/>
        <v>4.9464148393856954E-4</v>
      </c>
      <c r="L172" s="2">
        <f t="shared" si="25"/>
        <v>4.9464148393856954E-4</v>
      </c>
      <c r="M172" s="2">
        <f t="shared" si="25"/>
        <v>4.9464148393856954E-4</v>
      </c>
      <c r="N172" s="2">
        <f t="shared" si="25"/>
        <v>4.9464148393856954E-4</v>
      </c>
      <c r="O172" s="2">
        <f t="shared" si="25"/>
        <v>4.9464148393856954E-4</v>
      </c>
      <c r="P172" s="2">
        <f t="shared" si="25"/>
        <v>4.9464148393856954E-4</v>
      </c>
      <c r="Q172" s="2">
        <f t="shared" si="25"/>
        <v>4.9464148393856954E-4</v>
      </c>
      <c r="R172" s="2">
        <f t="shared" si="25"/>
        <v>4.9464148393856954E-4</v>
      </c>
      <c r="S172" s="2">
        <f t="shared" si="33"/>
        <v>4.9464148393856954E-4</v>
      </c>
      <c r="T172" s="2">
        <f t="shared" si="33"/>
        <v>4.9464148393856954E-4</v>
      </c>
      <c r="U172" s="2">
        <f t="shared" si="33"/>
        <v>4.9464148393856954E-4</v>
      </c>
      <c r="V172" s="2">
        <f t="shared" si="33"/>
        <v>4.9464148393856954E-4</v>
      </c>
      <c r="W172" s="2">
        <f t="shared" si="33"/>
        <v>4.9464148393856954E-4</v>
      </c>
      <c r="X172" s="2">
        <f t="shared" si="28"/>
        <v>4.9464148393856954E-4</v>
      </c>
      <c r="Y172" s="2">
        <f t="shared" si="28"/>
        <v>4.9464148393856954E-4</v>
      </c>
      <c r="Z172" s="2">
        <f t="shared" si="28"/>
        <v>4.9464148393856954E-4</v>
      </c>
      <c r="AA172" s="2">
        <f t="shared" si="28"/>
        <v>4.9464148393856954E-4</v>
      </c>
      <c r="AB172" s="2">
        <f t="shared" si="29"/>
        <v>4.9464148393856954E-4</v>
      </c>
      <c r="AC172" s="2">
        <f t="shared" si="29"/>
        <v>4.9464148393856954E-4</v>
      </c>
      <c r="AD172" s="2">
        <f t="shared" si="29"/>
        <v>4.9464148393856954E-4</v>
      </c>
      <c r="AE172" s="2">
        <f t="shared" si="29"/>
        <v>4.9464148393856954E-4</v>
      </c>
      <c r="AF172" s="2">
        <f t="shared" si="30"/>
        <v>4.9464148393856954E-4</v>
      </c>
      <c r="AG172" s="2">
        <f t="shared" si="30"/>
        <v>4.9464148393856954E-4</v>
      </c>
      <c r="AH172" s="2">
        <f t="shared" si="30"/>
        <v>4.9464148393856954E-4</v>
      </c>
      <c r="AI172" s="2">
        <f t="shared" si="30"/>
        <v>4.9464148393856954E-4</v>
      </c>
      <c r="AJ172" s="2">
        <f t="shared" si="30"/>
        <v>4.9464148393856954E-4</v>
      </c>
      <c r="AK172" s="2">
        <f t="shared" si="30"/>
        <v>4.9464148393856954E-4</v>
      </c>
      <c r="AL172" s="2">
        <f t="shared" si="30"/>
        <v>4.9464148393856954E-4</v>
      </c>
      <c r="AM172" s="2">
        <f t="shared" si="30"/>
        <v>4.9464148393856954E-4</v>
      </c>
      <c r="AN172" s="2">
        <f t="shared" si="30"/>
        <v>4.9464148393856954E-4</v>
      </c>
      <c r="AO172" s="2">
        <f t="shared" si="30"/>
        <v>4.9464148393856954E-4</v>
      </c>
      <c r="AP172" s="2">
        <f t="shared" si="30"/>
        <v>4.9464148393856954E-4</v>
      </c>
      <c r="AQ172" s="2">
        <f t="shared" si="30"/>
        <v>4.9464148393856954E-4</v>
      </c>
      <c r="AR172" s="2">
        <f t="shared" si="30"/>
        <v>4.9464148393856954E-4</v>
      </c>
      <c r="AS172" s="2">
        <f t="shared" si="30"/>
        <v>4.9464148393856954E-4</v>
      </c>
      <c r="AT172" s="2">
        <f t="shared" si="30"/>
        <v>4.9464148393856954E-4</v>
      </c>
      <c r="AU172" s="2">
        <f t="shared" si="30"/>
        <v>4.9464148393856954E-4</v>
      </c>
      <c r="AV172" s="2">
        <f t="shared" ref="AV172:DG172" si="35">7*(1/14151.6638359215)</f>
        <v>4.9464148393856954E-4</v>
      </c>
      <c r="AW172" s="2">
        <f t="shared" si="35"/>
        <v>4.9464148393856954E-4</v>
      </c>
      <c r="AX172" s="2">
        <f t="shared" si="35"/>
        <v>4.9464148393856954E-4</v>
      </c>
      <c r="AY172" s="2">
        <f t="shared" si="35"/>
        <v>4.9464148393856954E-4</v>
      </c>
      <c r="AZ172" s="2">
        <f t="shared" si="35"/>
        <v>4.9464148393856954E-4</v>
      </c>
      <c r="BA172" s="2">
        <f t="shared" si="35"/>
        <v>4.9464148393856954E-4</v>
      </c>
      <c r="BB172" s="2">
        <f t="shared" si="35"/>
        <v>4.9464148393856954E-4</v>
      </c>
      <c r="BC172" s="2">
        <f t="shared" si="35"/>
        <v>4.9464148393856954E-4</v>
      </c>
      <c r="BD172" s="2">
        <f t="shared" si="35"/>
        <v>4.9464148393856954E-4</v>
      </c>
      <c r="BE172" s="2">
        <f t="shared" si="35"/>
        <v>4.9464148393856954E-4</v>
      </c>
      <c r="BF172" s="2">
        <f t="shared" si="35"/>
        <v>4.9464148393856954E-4</v>
      </c>
      <c r="BG172" s="2">
        <f t="shared" si="35"/>
        <v>4.9464148393856954E-4</v>
      </c>
      <c r="BH172" s="2">
        <f t="shared" si="35"/>
        <v>4.9464148393856954E-4</v>
      </c>
      <c r="BI172" s="2">
        <f t="shared" si="35"/>
        <v>4.9464148393856954E-4</v>
      </c>
      <c r="BJ172" s="2">
        <f t="shared" si="35"/>
        <v>4.9464148393856954E-4</v>
      </c>
      <c r="BK172" s="2">
        <f t="shared" si="35"/>
        <v>4.9464148393856954E-4</v>
      </c>
      <c r="BL172" s="2">
        <f t="shared" si="35"/>
        <v>4.9464148393856954E-4</v>
      </c>
      <c r="BM172" s="2">
        <f t="shared" si="35"/>
        <v>4.9464148393856954E-4</v>
      </c>
      <c r="BN172" s="2">
        <f t="shared" si="35"/>
        <v>4.9464148393856954E-4</v>
      </c>
      <c r="BO172" s="2">
        <f t="shared" si="35"/>
        <v>4.9464148393856954E-4</v>
      </c>
      <c r="BP172" s="2">
        <f t="shared" si="35"/>
        <v>4.9464148393856954E-4</v>
      </c>
      <c r="BQ172" s="2">
        <f t="shared" si="35"/>
        <v>4.9464148393856954E-4</v>
      </c>
      <c r="BR172" s="2">
        <f t="shared" si="35"/>
        <v>4.9464148393856954E-4</v>
      </c>
      <c r="BS172" s="2">
        <f t="shared" si="35"/>
        <v>4.9464148393856954E-4</v>
      </c>
      <c r="BT172" s="2">
        <f t="shared" si="35"/>
        <v>4.9464148393856954E-4</v>
      </c>
      <c r="BU172" s="2">
        <f t="shared" si="35"/>
        <v>4.9464148393856954E-4</v>
      </c>
      <c r="BV172" s="2">
        <f t="shared" si="35"/>
        <v>4.9464148393856954E-4</v>
      </c>
      <c r="BW172" s="2">
        <f t="shared" si="35"/>
        <v>4.9464148393856954E-4</v>
      </c>
      <c r="BX172" s="2">
        <f t="shared" si="35"/>
        <v>4.9464148393856954E-4</v>
      </c>
      <c r="BY172" s="2">
        <f t="shared" si="35"/>
        <v>4.9464148393856954E-4</v>
      </c>
      <c r="BZ172" s="2">
        <f t="shared" si="35"/>
        <v>4.9464148393856954E-4</v>
      </c>
      <c r="CA172" s="2">
        <f t="shared" si="35"/>
        <v>4.9464148393856954E-4</v>
      </c>
      <c r="CB172" s="2">
        <f t="shared" si="35"/>
        <v>4.9464148393856954E-4</v>
      </c>
      <c r="CC172" s="2">
        <f t="shared" si="35"/>
        <v>4.9464148393856954E-4</v>
      </c>
      <c r="CD172" s="2">
        <f t="shared" si="35"/>
        <v>4.9464148393856954E-4</v>
      </c>
      <c r="CE172" s="2">
        <f t="shared" si="35"/>
        <v>4.9464148393856954E-4</v>
      </c>
      <c r="CF172" s="2">
        <f t="shared" si="35"/>
        <v>4.9464148393856954E-4</v>
      </c>
      <c r="CG172" s="2">
        <f t="shared" si="35"/>
        <v>4.9464148393856954E-4</v>
      </c>
      <c r="CH172" s="2">
        <f t="shared" si="35"/>
        <v>4.9464148393856954E-4</v>
      </c>
      <c r="CI172" s="2">
        <f t="shared" si="35"/>
        <v>4.9464148393856954E-4</v>
      </c>
      <c r="CJ172" s="2">
        <f t="shared" si="35"/>
        <v>4.9464148393856954E-4</v>
      </c>
      <c r="CK172" s="2">
        <f t="shared" si="35"/>
        <v>4.9464148393856954E-4</v>
      </c>
      <c r="CL172" s="2">
        <f t="shared" si="35"/>
        <v>4.9464148393856954E-4</v>
      </c>
      <c r="CM172" s="2">
        <f t="shared" si="35"/>
        <v>4.9464148393856954E-4</v>
      </c>
      <c r="CN172" s="2">
        <f t="shared" si="35"/>
        <v>4.9464148393856954E-4</v>
      </c>
      <c r="CO172" s="2">
        <f t="shared" si="35"/>
        <v>4.9464148393856954E-4</v>
      </c>
      <c r="CP172" s="2">
        <f t="shared" si="35"/>
        <v>4.9464148393856954E-4</v>
      </c>
      <c r="CQ172" s="2">
        <f t="shared" si="35"/>
        <v>4.9464148393856954E-4</v>
      </c>
      <c r="CR172" s="2">
        <f t="shared" si="35"/>
        <v>4.9464148393856954E-4</v>
      </c>
      <c r="CS172" s="2">
        <f t="shared" si="35"/>
        <v>4.9464148393856954E-4</v>
      </c>
      <c r="CT172" s="2">
        <f t="shared" si="35"/>
        <v>4.9464148393856954E-4</v>
      </c>
      <c r="CU172" s="2">
        <f t="shared" si="35"/>
        <v>4.9464148393856954E-4</v>
      </c>
      <c r="CV172" s="2">
        <f t="shared" si="35"/>
        <v>4.9464148393856954E-4</v>
      </c>
      <c r="CW172" s="2">
        <f t="shared" si="35"/>
        <v>4.9464148393856954E-4</v>
      </c>
      <c r="CX172" s="2">
        <f t="shared" si="35"/>
        <v>4.9464148393856954E-4</v>
      </c>
      <c r="CY172" s="2">
        <f t="shared" si="35"/>
        <v>4.9464148393856954E-4</v>
      </c>
      <c r="CZ172" s="2">
        <f t="shared" si="35"/>
        <v>4.9464148393856954E-4</v>
      </c>
      <c r="DA172" s="2">
        <f t="shared" si="35"/>
        <v>4.9464148393856954E-4</v>
      </c>
      <c r="DB172" s="2">
        <f t="shared" si="35"/>
        <v>4.9464148393856954E-4</v>
      </c>
      <c r="DC172" s="2">
        <f t="shared" si="35"/>
        <v>4.9464148393856954E-4</v>
      </c>
      <c r="DD172" s="2">
        <f t="shared" si="35"/>
        <v>4.9464148393856954E-4</v>
      </c>
      <c r="DE172" s="2">
        <f t="shared" si="35"/>
        <v>4.9464148393856954E-4</v>
      </c>
      <c r="DF172" s="2">
        <f t="shared" si="35"/>
        <v>4.9464148393856954E-4</v>
      </c>
      <c r="DG172" s="2">
        <f t="shared" si="35"/>
        <v>4.9464148393856954E-4</v>
      </c>
      <c r="DH172" s="2">
        <f t="shared" ref="DH172:EJ172" si="36">7*(1/14151.6638359215)</f>
        <v>4.9464148393856954E-4</v>
      </c>
      <c r="DI172" s="2">
        <f t="shared" si="36"/>
        <v>4.9464148393856954E-4</v>
      </c>
      <c r="DJ172" s="2">
        <f t="shared" si="36"/>
        <v>4.9464148393856954E-4</v>
      </c>
      <c r="DK172" s="2">
        <f t="shared" si="36"/>
        <v>4.9464148393856954E-4</v>
      </c>
      <c r="DL172" s="2">
        <f t="shared" si="36"/>
        <v>4.9464148393856954E-4</v>
      </c>
      <c r="DM172" s="2">
        <f t="shared" si="36"/>
        <v>4.9464148393856954E-4</v>
      </c>
      <c r="DN172" s="2">
        <f t="shared" si="36"/>
        <v>4.9464148393856954E-4</v>
      </c>
      <c r="DO172" s="2">
        <f t="shared" si="36"/>
        <v>4.9464148393856954E-4</v>
      </c>
      <c r="DP172" s="2">
        <f t="shared" si="36"/>
        <v>4.9464148393856954E-4</v>
      </c>
      <c r="DQ172" s="2">
        <f t="shared" si="36"/>
        <v>4.9464148393856954E-4</v>
      </c>
      <c r="DR172" s="2">
        <f t="shared" si="36"/>
        <v>4.9464148393856954E-4</v>
      </c>
      <c r="DS172" s="2">
        <f t="shared" si="36"/>
        <v>4.9464148393856954E-4</v>
      </c>
      <c r="DT172" s="2">
        <f t="shared" si="36"/>
        <v>4.9464148393856954E-4</v>
      </c>
      <c r="DU172" s="2">
        <f t="shared" si="36"/>
        <v>4.9464148393856954E-4</v>
      </c>
      <c r="DV172" s="2">
        <f t="shared" si="36"/>
        <v>4.9464148393856954E-4</v>
      </c>
      <c r="DW172" s="2">
        <f t="shared" si="36"/>
        <v>4.9464148393856954E-4</v>
      </c>
      <c r="DX172" s="2">
        <f t="shared" si="36"/>
        <v>4.9464148393856954E-4</v>
      </c>
      <c r="DY172" s="2">
        <f t="shared" si="36"/>
        <v>4.9464148393856954E-4</v>
      </c>
      <c r="DZ172" s="2">
        <f t="shared" si="36"/>
        <v>4.9464148393856954E-4</v>
      </c>
      <c r="EA172" s="2">
        <f t="shared" si="36"/>
        <v>4.9464148393856954E-4</v>
      </c>
      <c r="EB172" s="2">
        <f t="shared" si="36"/>
        <v>4.9464148393856954E-4</v>
      </c>
      <c r="EC172" s="2">
        <f t="shared" si="36"/>
        <v>4.9464148393856954E-4</v>
      </c>
      <c r="ED172" s="2">
        <f t="shared" si="36"/>
        <v>4.9464148393856954E-4</v>
      </c>
      <c r="EE172" s="2">
        <f t="shared" si="36"/>
        <v>4.9464148393856954E-4</v>
      </c>
      <c r="EF172" s="2">
        <f t="shared" si="36"/>
        <v>4.9464148393856954E-4</v>
      </c>
      <c r="EG172" s="2">
        <f t="shared" si="36"/>
        <v>4.9464148393856954E-4</v>
      </c>
      <c r="EH172" s="2">
        <f t="shared" si="36"/>
        <v>4.9464148393856954E-4</v>
      </c>
      <c r="EI172" s="2">
        <f t="shared" si="36"/>
        <v>4.9464148393856954E-4</v>
      </c>
      <c r="EJ172" s="2">
        <f t="shared" si="36"/>
        <v>4.9464148393856954E-4</v>
      </c>
      <c r="EK172" s="2">
        <f t="shared" si="34"/>
        <v>4.9464148393856954E-4</v>
      </c>
      <c r="EL172" s="2">
        <f t="shared" si="34"/>
        <v>4.9464148393856954E-4</v>
      </c>
      <c r="EM172" s="2">
        <f t="shared" si="34"/>
        <v>4.9464148393856954E-4</v>
      </c>
      <c r="EN172" s="2">
        <f t="shared" si="27"/>
        <v>4.9464148393856954E-4</v>
      </c>
      <c r="EO172" s="2">
        <f t="shared" si="27"/>
        <v>4.9464148393856954E-4</v>
      </c>
      <c r="EP172" s="2">
        <f t="shared" si="27"/>
        <v>4.9464148393856954E-4</v>
      </c>
      <c r="EQ172" s="2">
        <f t="shared" si="27"/>
        <v>4.9464148393856954E-4</v>
      </c>
      <c r="ER172" s="2">
        <f t="shared" si="27"/>
        <v>4.9464148393856954E-4</v>
      </c>
      <c r="ES172" s="2">
        <f t="shared" si="27"/>
        <v>4.9464148393856954E-4</v>
      </c>
      <c r="ET172" s="2">
        <f t="shared" si="27"/>
        <v>4.9464148393856954E-4</v>
      </c>
      <c r="EU172" s="2">
        <f t="shared" si="27"/>
        <v>4.9464148393856954E-4</v>
      </c>
      <c r="EV172" s="2">
        <f t="shared" si="27"/>
        <v>4.9464148393856954E-4</v>
      </c>
      <c r="EW172" s="2">
        <f t="shared" si="27"/>
        <v>4.9464148393856954E-4</v>
      </c>
      <c r="EX172" s="2">
        <f t="shared" si="27"/>
        <v>4.9464148393856954E-4</v>
      </c>
      <c r="EY172" s="2">
        <f t="shared" si="27"/>
        <v>4.9464148393856954E-4</v>
      </c>
      <c r="EZ172" s="2">
        <f t="shared" si="27"/>
        <v>4.9464148393856954E-4</v>
      </c>
      <c r="FA172" s="2">
        <f t="shared" si="27"/>
        <v>4.9464148393856954E-4</v>
      </c>
      <c r="FB172" s="2">
        <f t="shared" si="27"/>
        <v>4.9464148393856954E-4</v>
      </c>
      <c r="FC172" s="2">
        <f t="shared" si="27"/>
        <v>4.9464148393856954E-4</v>
      </c>
      <c r="FD172" s="2">
        <f t="shared" si="27"/>
        <v>4.9464148393856954E-4</v>
      </c>
      <c r="FE172" s="2">
        <f t="shared" si="27"/>
        <v>4.9464148393856954E-4</v>
      </c>
      <c r="FF172" s="2">
        <f t="shared" si="31"/>
        <v>4.9464148393856954E-4</v>
      </c>
      <c r="FG172" s="2">
        <f t="shared" si="31"/>
        <v>4.9464148393856954E-4</v>
      </c>
      <c r="FH172" s="2">
        <f t="shared" si="31"/>
        <v>4.9464148393856954E-4</v>
      </c>
      <c r="FI172" s="2">
        <f t="shared" si="31"/>
        <v>4.9464148393856954E-4</v>
      </c>
      <c r="FJ172" s="2">
        <f t="shared" si="31"/>
        <v>4.9464148393856954E-4</v>
      </c>
      <c r="FK172" s="2">
        <f t="shared" si="31"/>
        <v>4.9464148393856954E-4</v>
      </c>
      <c r="FL172" s="2">
        <f t="shared" si="31"/>
        <v>4.9464148393856954E-4</v>
      </c>
      <c r="FM172" s="2">
        <f t="shared" si="31"/>
        <v>4.9464148393856954E-4</v>
      </c>
      <c r="FN172" s="2">
        <f t="shared" si="31"/>
        <v>4.9464148393856954E-4</v>
      </c>
      <c r="FO172" s="2">
        <f t="shared" si="31"/>
        <v>4.9464148393856954E-4</v>
      </c>
      <c r="FP172" s="2">
        <f t="shared" si="31"/>
        <v>4.9464148393856954E-4</v>
      </c>
      <c r="FQ172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22D4-5680-4E27-8E2F-1EF447BDFF40}">
  <dimension ref="C2:D8"/>
  <sheetViews>
    <sheetView workbookViewId="0">
      <selection activeCell="E17" sqref="E17"/>
    </sheetView>
  </sheetViews>
  <sheetFormatPr defaultRowHeight="14.25"/>
  <sheetData>
    <row r="2" spans="3:4">
      <c r="C2" s="3" t="s">
        <v>1</v>
      </c>
      <c r="D2" s="3" t="s">
        <v>2</v>
      </c>
    </row>
    <row r="3" spans="3:4">
      <c r="C3" s="3">
        <v>4.5123059999999997</v>
      </c>
      <c r="D3" s="3">
        <v>5.0789999999999997</v>
      </c>
    </row>
    <row r="4" spans="3:4">
      <c r="C4" s="3">
        <v>4.6236420000000003</v>
      </c>
      <c r="D4" s="3">
        <v>4.0663799999999997</v>
      </c>
    </row>
    <row r="5" spans="3:4">
      <c r="C5" s="3">
        <v>4.1821795000000002</v>
      </c>
      <c r="D5" s="3">
        <v>4.575215</v>
      </c>
    </row>
    <row r="6" spans="3:4">
      <c r="C6" s="3">
        <v>4.4093819999999999</v>
      </c>
      <c r="D6" s="3">
        <v>4.9370310000000002</v>
      </c>
    </row>
    <row r="7" spans="3:4">
      <c r="C7" s="3">
        <v>4.0372744000000003</v>
      </c>
      <c r="D7" s="3">
        <v>5.0509500000000003</v>
      </c>
    </row>
    <row r="8" spans="3:4">
      <c r="C8" s="3">
        <v>4.7121982999999998</v>
      </c>
      <c r="D8" s="3">
        <v>4.5422070000000003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A807-D175-4BE3-A6E3-78A2C32B9FD5}">
  <dimension ref="C2:D8"/>
  <sheetViews>
    <sheetView tabSelected="1" workbookViewId="0">
      <selection activeCell="I9" sqref="I9"/>
    </sheetView>
  </sheetViews>
  <sheetFormatPr defaultRowHeight="14.25"/>
  <sheetData>
    <row r="2" spans="3:4">
      <c r="C2" s="3" t="s">
        <v>1</v>
      </c>
      <c r="D2" s="3" t="s">
        <v>2</v>
      </c>
    </row>
    <row r="3" spans="3:4">
      <c r="C3" s="3">
        <v>3.5219562</v>
      </c>
      <c r="D3" s="3">
        <v>3.4554238000000002</v>
      </c>
    </row>
    <row r="4" spans="3:4">
      <c r="C4" s="3">
        <v>4.9626159999999997</v>
      </c>
      <c r="D4" s="3">
        <v>5.1053094999999997</v>
      </c>
    </row>
    <row r="5" spans="3:4">
      <c r="C5" s="3">
        <v>4.1320734000000003</v>
      </c>
      <c r="D5" s="3">
        <v>3.6703000000000001</v>
      </c>
    </row>
    <row r="6" spans="3:4">
      <c r="C6" s="3">
        <v>3.9755343999999999</v>
      </c>
      <c r="D6" s="3">
        <v>4.4077735000000002</v>
      </c>
    </row>
    <row r="7" spans="3:4">
      <c r="C7" s="3">
        <v>4.578055</v>
      </c>
      <c r="D7" s="3">
        <v>4.0495669999999997</v>
      </c>
    </row>
    <row r="8" spans="3:4">
      <c r="C8" s="3"/>
      <c r="D8" s="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Fig4-S1AB</vt:lpstr>
      <vt:lpstr>Fig4-S1C</vt:lpstr>
      <vt:lpstr>Fig4-S1D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</dc:creator>
  <cp:lastModifiedBy>Yan</cp:lastModifiedBy>
  <dcterms:created xsi:type="dcterms:W3CDTF">2015-06-05T18:19:34Z</dcterms:created>
  <dcterms:modified xsi:type="dcterms:W3CDTF">2022-12-10T04:46:34Z</dcterms:modified>
</cp:coreProperties>
</file>