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ch\Desktop\Johnson_Lab\manuscripts\SERV-K1 paper 1\data\"/>
    </mc:Choice>
  </mc:AlternateContent>
  <bookViews>
    <workbookView xWindow="5680" yWindow="3060" windowWidth="26320" windowHeight="14940"/>
  </bookViews>
  <sheets>
    <sheet name="Flow Scheme 2024.05.12" sheetId="1" r:id="rId1"/>
    <sheet name="Transfection 2024.05.02" sheetId="2" r:id="rId2"/>
  </sheets>
  <definedNames>
    <definedName name="_xlnm._FilterDatabase" localSheetId="1" hidden="1">'Transfection 2024.05.02'!$BT$1:$BV$4</definedName>
    <definedName name="_xlnm.Print_Area" localSheetId="0">'Flow Scheme 2024.05.12'!$A$1:$E$12</definedName>
    <definedName name="_xlnm.Print_Titles" localSheetId="0">'Flow Scheme 2024.05.12'!$2:$2</definedName>
    <definedName name="_xlnm.Print_Titles" localSheetId="1">'Transfection 2024.05.02'!$1:$1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" i="2" l="1"/>
  <c r="AX2" i="2"/>
  <c r="C3" i="2" s="1"/>
  <c r="BN2" i="2"/>
  <c r="BO2" i="2"/>
  <c r="BP2" i="2"/>
  <c r="BU2" i="2"/>
  <c r="BV2" i="2" s="1"/>
  <c r="H3" i="2"/>
  <c r="K3" i="2"/>
  <c r="N3" i="2"/>
  <c r="P3" i="2"/>
  <c r="A3" i="2" s="1"/>
  <c r="T3" i="2"/>
  <c r="U3" i="2"/>
  <c r="AV3" i="2"/>
  <c r="AV4" i="2" s="1"/>
  <c r="AV5" i="2" s="1"/>
  <c r="AV6" i="2" s="1"/>
  <c r="AV7" i="2" s="1"/>
  <c r="AV8" i="2" s="1"/>
  <c r="AV9" i="2" s="1"/>
  <c r="AV10" i="2" s="1"/>
  <c r="AV11" i="2" s="1"/>
  <c r="AV12" i="2" s="1"/>
  <c r="AV13" i="2" s="1"/>
  <c r="AV14" i="2" s="1"/>
  <c r="AV15" i="2" s="1"/>
  <c r="AV16" i="2" s="1"/>
  <c r="AV17" i="2" s="1"/>
  <c r="AV18" i="2" s="1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 s="1"/>
  <c r="AV47" i="2" s="1"/>
  <c r="AV48" i="2" s="1"/>
  <c r="AV49" i="2" s="1"/>
  <c r="AV50" i="2" s="1"/>
  <c r="AV51" i="2" s="1"/>
  <c r="AV52" i="2" s="1"/>
  <c r="AV53" i="2" s="1"/>
  <c r="AV54" i="2" s="1"/>
  <c r="AV55" i="2" s="1"/>
  <c r="AV56" i="2" s="1"/>
  <c r="AV57" i="2" s="1"/>
  <c r="AV58" i="2" s="1"/>
  <c r="AV59" i="2" s="1"/>
  <c r="AV60" i="2" s="1"/>
  <c r="AV61" i="2" s="1"/>
  <c r="AV62" i="2" s="1"/>
  <c r="AV63" i="2" s="1"/>
  <c r="AV64" i="2" s="1"/>
  <c r="AV65" i="2" s="1"/>
  <c r="BL3" i="2"/>
  <c r="BL4" i="2" s="1"/>
  <c r="BL5" i="2" s="1"/>
  <c r="BM3" i="2"/>
  <c r="BM4" i="2" s="1"/>
  <c r="BN3" i="2"/>
  <c r="BP3" i="2" s="1"/>
  <c r="BO3" i="2"/>
  <c r="BU3" i="2"/>
  <c r="BV3" i="2" s="1"/>
  <c r="H4" i="2"/>
  <c r="X2" i="2" s="1"/>
  <c r="K4" i="2"/>
  <c r="Y2" i="2" s="1"/>
  <c r="N4" i="2"/>
  <c r="Z2" i="2" s="1"/>
  <c r="P4" i="2"/>
  <c r="T4" i="2"/>
  <c r="U4" i="2"/>
  <c r="AN4" i="2"/>
  <c r="AO4" i="2"/>
  <c r="AP4" i="2"/>
  <c r="AQ4" i="2"/>
  <c r="AR4" i="2"/>
  <c r="AS4" i="2"/>
  <c r="AT4" i="2"/>
  <c r="BO4" i="2"/>
  <c r="BU4" i="2"/>
  <c r="BV4" i="2" s="1"/>
  <c r="H5" i="2"/>
  <c r="K5" i="2"/>
  <c r="N5" i="2"/>
  <c r="T5" i="2"/>
  <c r="U5" i="2"/>
  <c r="X5" i="2"/>
  <c r="AB5" i="2" s="1"/>
  <c r="Y5" i="2"/>
  <c r="Z5" i="2"/>
  <c r="AA5" i="2"/>
  <c r="AN5" i="2"/>
  <c r="AO5" i="2"/>
  <c r="AP5" i="2"/>
  <c r="AQ5" i="2"/>
  <c r="AR5" i="2"/>
  <c r="AS5" i="2"/>
  <c r="AT5" i="2"/>
  <c r="BO5" i="2"/>
  <c r="H6" i="2"/>
  <c r="BA5" i="2" s="1"/>
  <c r="AZ5" i="2" s="1"/>
  <c r="AY5" i="2" s="1"/>
  <c r="K6" i="2"/>
  <c r="BA4" i="2" s="1"/>
  <c r="AZ4" i="2" s="1"/>
  <c r="AY4" i="2" s="1"/>
  <c r="N6" i="2"/>
  <c r="Z3" i="2" s="1"/>
  <c r="T6" i="2"/>
  <c r="U6" i="2"/>
  <c r="X6" i="2"/>
  <c r="Y6" i="2"/>
  <c r="Z6" i="2"/>
  <c r="AA6" i="2" s="1"/>
  <c r="AB6" i="2"/>
  <c r="AC6" i="2"/>
  <c r="AD6" i="2"/>
  <c r="AN6" i="2"/>
  <c r="AO6" i="2"/>
  <c r="AP6" i="2"/>
  <c r="AQ6" i="2"/>
  <c r="AR6" i="2"/>
  <c r="AS6" i="2"/>
  <c r="AT6" i="2"/>
  <c r="BA6" i="2"/>
  <c r="AZ6" i="2" s="1"/>
  <c r="AY6" i="2" s="1"/>
  <c r="BL6" i="2"/>
  <c r="BO6" i="2"/>
  <c r="H7" i="2"/>
  <c r="X7" i="2" s="1"/>
  <c r="AD7" i="2" s="1"/>
  <c r="K7" i="2"/>
  <c r="Y7" i="2" s="1"/>
  <c r="N7" i="2"/>
  <c r="Z7" i="2" s="1"/>
  <c r="T7" i="2"/>
  <c r="U7" i="2"/>
  <c r="AN7" i="2"/>
  <c r="AO7" i="2"/>
  <c r="AP7" i="2"/>
  <c r="AQ7" i="2"/>
  <c r="AR7" i="2"/>
  <c r="AS7" i="2"/>
  <c r="AT7" i="2"/>
  <c r="BA7" i="2"/>
  <c r="AZ7" i="2" s="1"/>
  <c r="AY7" i="2" s="1"/>
  <c r="BO7" i="2"/>
  <c r="H8" i="2"/>
  <c r="X4" i="2" s="1"/>
  <c r="K8" i="2"/>
  <c r="Y4" i="2" s="1"/>
  <c r="N8" i="2"/>
  <c r="Z4" i="2" s="1"/>
  <c r="T8" i="2"/>
  <c r="U8" i="2"/>
  <c r="X8" i="2"/>
  <c r="Y8" i="2"/>
  <c r="Z8" i="2"/>
  <c r="AA8" i="2"/>
  <c r="AB8" i="2"/>
  <c r="AN8" i="2"/>
  <c r="AO8" i="2"/>
  <c r="AP8" i="2"/>
  <c r="AQ8" i="2"/>
  <c r="AR8" i="2"/>
  <c r="AS8" i="2"/>
  <c r="AT8" i="2"/>
  <c r="BA8" i="2"/>
  <c r="AZ8" i="2" s="1"/>
  <c r="AY8" i="2" s="1"/>
  <c r="BO8" i="2"/>
  <c r="X9" i="2"/>
  <c r="Y9" i="2"/>
  <c r="Z9" i="2"/>
  <c r="AN9" i="2"/>
  <c r="AO9" i="2"/>
  <c r="AP9" i="2"/>
  <c r="AQ9" i="2"/>
  <c r="AR9" i="2"/>
  <c r="AS9" i="2"/>
  <c r="AT9" i="2"/>
  <c r="BA9" i="2"/>
  <c r="AZ9" i="2" s="1"/>
  <c r="AY9" i="2" s="1"/>
  <c r="BO9" i="2"/>
  <c r="X10" i="2"/>
  <c r="AA10" i="2" s="1"/>
  <c r="Y10" i="2"/>
  <c r="Z10" i="2"/>
  <c r="AN10" i="2"/>
  <c r="AO10" i="2"/>
  <c r="AP10" i="2"/>
  <c r="AQ10" i="2"/>
  <c r="AR10" i="2"/>
  <c r="AS10" i="2"/>
  <c r="AT10" i="2"/>
  <c r="BA10" i="2"/>
  <c r="AZ10" i="2" s="1"/>
  <c r="AY10" i="2" s="1"/>
  <c r="BO10" i="2"/>
  <c r="X11" i="2"/>
  <c r="Y11" i="2"/>
  <c r="Z11" i="2"/>
  <c r="AN11" i="2"/>
  <c r="AO11" i="2"/>
  <c r="AP11" i="2"/>
  <c r="AQ11" i="2"/>
  <c r="AR11" i="2"/>
  <c r="AS11" i="2"/>
  <c r="AT11" i="2"/>
  <c r="AY11" i="2"/>
  <c r="BA11" i="2"/>
  <c r="AZ11" i="2" s="1"/>
  <c r="BO11" i="2"/>
  <c r="X12" i="2"/>
  <c r="AB12" i="2" s="1"/>
  <c r="Y12" i="2"/>
  <c r="Z12" i="2"/>
  <c r="AA12" i="2"/>
  <c r="AN12" i="2"/>
  <c r="AO12" i="2"/>
  <c r="AP12" i="2"/>
  <c r="AQ12" i="2"/>
  <c r="AR12" i="2"/>
  <c r="AS12" i="2"/>
  <c r="AT12" i="2"/>
  <c r="BA12" i="2"/>
  <c r="AZ12" i="2" s="1"/>
  <c r="AY12" i="2" s="1"/>
  <c r="BO12" i="2"/>
  <c r="X13" i="2"/>
  <c r="Y13" i="2"/>
  <c r="Z13" i="2"/>
  <c r="AN13" i="2"/>
  <c r="AO13" i="2"/>
  <c r="AP13" i="2"/>
  <c r="AQ13" i="2"/>
  <c r="AR13" i="2"/>
  <c r="AS13" i="2"/>
  <c r="AT13" i="2"/>
  <c r="AY13" i="2"/>
  <c r="BA13" i="2"/>
  <c r="AZ13" i="2" s="1"/>
  <c r="BO13" i="2"/>
  <c r="X14" i="2"/>
  <c r="Y14" i="2"/>
  <c r="Z14" i="2"/>
  <c r="AA14" i="2"/>
  <c r="AB14" i="2"/>
  <c r="AD14" i="2"/>
  <c r="AN14" i="2"/>
  <c r="AO14" i="2"/>
  <c r="AP14" i="2"/>
  <c r="AQ14" i="2"/>
  <c r="AR14" i="2"/>
  <c r="AS14" i="2"/>
  <c r="AT14" i="2"/>
  <c r="BA14" i="2"/>
  <c r="AZ14" i="2" s="1"/>
  <c r="AY14" i="2" s="1"/>
  <c r="BO14" i="2"/>
  <c r="X15" i="2"/>
  <c r="Y15" i="2"/>
  <c r="Z15" i="2"/>
  <c r="BA15" i="2"/>
  <c r="AZ15" i="2" s="1"/>
  <c r="AY15" i="2" s="1"/>
  <c r="BO15" i="2"/>
  <c r="X16" i="2"/>
  <c r="Y16" i="2"/>
  <c r="AA16" i="2" s="1"/>
  <c r="Z16" i="2"/>
  <c r="AC16" i="2"/>
  <c r="BA16" i="2"/>
  <c r="AZ16" i="2" s="1"/>
  <c r="AY16" i="2" s="1"/>
  <c r="BO16" i="2"/>
  <c r="X17" i="2"/>
  <c r="AA17" i="2" s="1"/>
  <c r="Y17" i="2"/>
  <c r="Z17" i="2"/>
  <c r="BA17" i="2"/>
  <c r="AZ17" i="2" s="1"/>
  <c r="AY17" i="2" s="1"/>
  <c r="BO17" i="2"/>
  <c r="X18" i="2"/>
  <c r="Y18" i="2"/>
  <c r="Z18" i="2"/>
  <c r="AA18" i="2"/>
  <c r="AD18" i="2"/>
  <c r="BA18" i="2"/>
  <c r="AZ18" i="2" s="1"/>
  <c r="AY18" i="2" s="1"/>
  <c r="BO18" i="2"/>
  <c r="X19" i="2"/>
  <c r="Y19" i="2"/>
  <c r="AD19" i="2" s="1"/>
  <c r="Z19" i="2"/>
  <c r="AB19" i="2"/>
  <c r="BA19" i="2"/>
  <c r="AZ19" i="2" s="1"/>
  <c r="AY19" i="2" s="1"/>
  <c r="X20" i="2"/>
  <c r="AA20" i="2" s="1"/>
  <c r="Y20" i="2"/>
  <c r="Z20" i="2"/>
  <c r="BA20" i="2"/>
  <c r="AZ20" i="2" s="1"/>
  <c r="AY20" i="2" s="1"/>
  <c r="X21" i="2"/>
  <c r="Y21" i="2"/>
  <c r="Z21" i="2"/>
  <c r="AA21" i="2"/>
  <c r="AB21" i="2"/>
  <c r="AC21" i="2"/>
  <c r="AD21" i="2"/>
  <c r="BA21" i="2"/>
  <c r="AZ21" i="2" s="1"/>
  <c r="AY21" i="2" s="1"/>
  <c r="X22" i="2"/>
  <c r="Y22" i="2"/>
  <c r="AA22" i="2" s="1"/>
  <c r="Z22" i="2"/>
  <c r="AB22" i="2"/>
  <c r="AD22" i="2"/>
  <c r="BA22" i="2"/>
  <c r="AZ22" i="2" s="1"/>
  <c r="AY22" i="2" s="1"/>
  <c r="X23" i="2"/>
  <c r="Y23" i="2"/>
  <c r="Z23" i="2"/>
  <c r="BA23" i="2"/>
  <c r="AZ23" i="2" s="1"/>
  <c r="AY23" i="2" s="1"/>
  <c r="X24" i="2"/>
  <c r="Y24" i="2"/>
  <c r="Z24" i="2"/>
  <c r="AC24" i="2"/>
  <c r="AD24" i="2"/>
  <c r="BA24" i="2"/>
  <c r="AZ24" i="2" s="1"/>
  <c r="AY24" i="2" s="1"/>
  <c r="X25" i="2"/>
  <c r="AD25" i="2" s="1"/>
  <c r="Y25" i="2"/>
  <c r="Z25" i="2"/>
  <c r="BA25" i="2"/>
  <c r="AZ25" i="2" s="1"/>
  <c r="AY25" i="2" s="1"/>
  <c r="X26" i="2"/>
  <c r="Y26" i="2"/>
  <c r="Z26" i="2"/>
  <c r="BA26" i="2"/>
  <c r="AZ26" i="2" s="1"/>
  <c r="AY26" i="2" s="1"/>
  <c r="X27" i="2"/>
  <c r="Y27" i="2"/>
  <c r="Z27" i="2"/>
  <c r="BA27" i="2"/>
  <c r="AZ27" i="2" s="1"/>
  <c r="AY27" i="2" s="1"/>
  <c r="X28" i="2"/>
  <c r="Y28" i="2"/>
  <c r="Z28" i="2"/>
  <c r="BA28" i="2"/>
  <c r="AZ28" i="2" s="1"/>
  <c r="AY28" i="2" s="1"/>
  <c r="X29" i="2"/>
  <c r="Y29" i="2"/>
  <c r="Z29" i="2"/>
  <c r="AA29" i="2"/>
  <c r="BA29" i="2"/>
  <c r="AZ29" i="2" s="1"/>
  <c r="AY29" i="2" s="1"/>
  <c r="X30" i="2"/>
  <c r="AB30" i="2" s="1"/>
  <c r="Y30" i="2"/>
  <c r="Z30" i="2"/>
  <c r="BA30" i="2"/>
  <c r="AZ30" i="2" s="1"/>
  <c r="AY30" i="2" s="1"/>
  <c r="X31" i="2"/>
  <c r="Y31" i="2"/>
  <c r="Z31" i="2"/>
  <c r="AA31" i="2" s="1"/>
  <c r="AB31" i="2"/>
  <c r="AC31" i="2"/>
  <c r="BA31" i="2"/>
  <c r="AZ31" i="2" s="1"/>
  <c r="AY31" i="2" s="1"/>
  <c r="X32" i="2"/>
  <c r="AD32" i="2" s="1"/>
  <c r="Y32" i="2"/>
  <c r="Z32" i="2"/>
  <c r="BA32" i="2"/>
  <c r="AZ32" i="2" s="1"/>
  <c r="AY32" i="2" s="1"/>
  <c r="X33" i="2"/>
  <c r="AB33" i="2" s="1"/>
  <c r="Y33" i="2"/>
  <c r="Z33" i="2"/>
  <c r="AA33" i="2"/>
  <c r="BA33" i="2"/>
  <c r="AZ33" i="2" s="1"/>
  <c r="AY33" i="2" s="1"/>
  <c r="X34" i="2"/>
  <c r="Y34" i="2"/>
  <c r="Z34" i="2"/>
  <c r="AA34" i="2"/>
  <c r="AB34" i="2"/>
  <c r="AC34" i="2"/>
  <c r="AD34" i="2"/>
  <c r="BA34" i="2"/>
  <c r="AZ34" i="2" s="1"/>
  <c r="AY34" i="2" s="1"/>
  <c r="X35" i="2"/>
  <c r="Y35" i="2"/>
  <c r="Z35" i="2"/>
  <c r="AB35" i="2" s="1"/>
  <c r="AD35" i="2"/>
  <c r="BA35" i="2"/>
  <c r="AZ35" i="2" s="1"/>
  <c r="AY35" i="2" s="1"/>
  <c r="X36" i="2"/>
  <c r="Y36" i="2"/>
  <c r="Z36" i="2"/>
  <c r="AC36" i="2"/>
  <c r="BA36" i="2"/>
  <c r="AZ36" i="2" s="1"/>
  <c r="AY36" i="2" s="1"/>
  <c r="X37" i="2"/>
  <c r="Y37" i="2"/>
  <c r="Z37" i="2"/>
  <c r="AD37" i="2"/>
  <c r="BA37" i="2"/>
  <c r="AZ37" i="2" s="1"/>
  <c r="AY37" i="2" s="1"/>
  <c r="X38" i="2"/>
  <c r="Y38" i="2"/>
  <c r="Z38" i="2"/>
  <c r="BA38" i="2"/>
  <c r="AZ38" i="2" s="1"/>
  <c r="AY38" i="2" s="1"/>
  <c r="X39" i="2"/>
  <c r="Y39" i="2"/>
  <c r="Z39" i="2"/>
  <c r="BA39" i="2"/>
  <c r="AZ39" i="2" s="1"/>
  <c r="AY39" i="2" s="1"/>
  <c r="X40" i="2"/>
  <c r="Y40" i="2"/>
  <c r="Z40" i="2"/>
  <c r="BA40" i="2"/>
  <c r="AZ40" i="2" s="1"/>
  <c r="AY40" i="2" s="1"/>
  <c r="X41" i="2"/>
  <c r="Y41" i="2"/>
  <c r="Z41" i="2"/>
  <c r="AA41" i="2"/>
  <c r="BA41" i="2"/>
  <c r="AZ41" i="2" s="1"/>
  <c r="AY41" i="2" s="1"/>
  <c r="X42" i="2"/>
  <c r="Y42" i="2"/>
  <c r="Z42" i="2"/>
  <c r="AA42" i="2" s="1"/>
  <c r="BA42" i="2"/>
  <c r="AZ42" i="2" s="1"/>
  <c r="AY42" i="2" s="1"/>
  <c r="X43" i="2"/>
  <c r="Y43" i="2"/>
  <c r="Z43" i="2"/>
  <c r="AA43" i="2"/>
  <c r="AB43" i="2"/>
  <c r="AC43" i="2"/>
  <c r="BA43" i="2"/>
  <c r="AZ43" i="2" s="1"/>
  <c r="AY43" i="2" s="1"/>
  <c r="X44" i="2"/>
  <c r="AB44" i="2" s="1"/>
  <c r="Y44" i="2"/>
  <c r="Z44" i="2"/>
  <c r="AA44" i="2"/>
  <c r="AC44" i="2"/>
  <c r="AD44" i="2"/>
  <c r="BA44" i="2"/>
  <c r="AZ44" i="2" s="1"/>
  <c r="AY44" i="2" s="1"/>
  <c r="X45" i="2"/>
  <c r="AA45" i="2" s="1"/>
  <c r="Y45" i="2"/>
  <c r="Z45" i="2"/>
  <c r="BA45" i="2"/>
  <c r="AZ45" i="2" s="1"/>
  <c r="AY45" i="2" s="1"/>
  <c r="X46" i="2"/>
  <c r="AC46" i="2" s="1"/>
  <c r="Y46" i="2"/>
  <c r="Z46" i="2"/>
  <c r="AA46" i="2"/>
  <c r="AB46" i="2"/>
  <c r="BA46" i="2"/>
  <c r="AZ46" i="2" s="1"/>
  <c r="AY46" i="2" s="1"/>
  <c r="X47" i="2"/>
  <c r="Y47" i="2"/>
  <c r="Z47" i="2"/>
  <c r="AB47" i="2" s="1"/>
  <c r="AC47" i="2"/>
  <c r="AD47" i="2"/>
  <c r="BA47" i="2"/>
  <c r="AZ47" i="2" s="1"/>
  <c r="AY47" i="2" s="1"/>
  <c r="X48" i="2"/>
  <c r="AA48" i="2" s="1"/>
  <c r="Y48" i="2"/>
  <c r="Z48" i="2"/>
  <c r="BA48" i="2"/>
  <c r="AZ48" i="2" s="1"/>
  <c r="AY48" i="2" s="1"/>
  <c r="X49" i="2"/>
  <c r="Y49" i="2"/>
  <c r="Z49" i="2"/>
  <c r="AD49" i="2"/>
  <c r="X50" i="2"/>
  <c r="Y50" i="2"/>
  <c r="Z50" i="2"/>
  <c r="BA50" i="2"/>
  <c r="AZ50" i="2" s="1"/>
  <c r="AY50" i="2" s="1"/>
  <c r="X51" i="2"/>
  <c r="Y51" i="2"/>
  <c r="Z51" i="2"/>
  <c r="BA51" i="2"/>
  <c r="AZ51" i="2" s="1"/>
  <c r="AY51" i="2" s="1"/>
  <c r="X52" i="2"/>
  <c r="Y52" i="2"/>
  <c r="Z52" i="2"/>
  <c r="BA52" i="2"/>
  <c r="AZ52" i="2" s="1"/>
  <c r="AY52" i="2" s="1"/>
  <c r="X53" i="2"/>
  <c r="AA53" i="2" s="1"/>
  <c r="Y53" i="2"/>
  <c r="Z53" i="2"/>
  <c r="BA53" i="2"/>
  <c r="AZ53" i="2" s="1"/>
  <c r="AY53" i="2" s="1"/>
  <c r="X54" i="2"/>
  <c r="AC54" i="2" s="1"/>
  <c r="Y54" i="2"/>
  <c r="Z54" i="2"/>
  <c r="AA54" i="2"/>
  <c r="AB54" i="2"/>
  <c r="BA54" i="2"/>
  <c r="AZ54" i="2" s="1"/>
  <c r="AY54" i="2" s="1"/>
  <c r="X55" i="2"/>
  <c r="Y55" i="2"/>
  <c r="Z55" i="2"/>
  <c r="AA55" i="2"/>
  <c r="AZ55" i="2"/>
  <c r="AY55" i="2" s="1"/>
  <c r="BA55" i="2"/>
  <c r="X56" i="2"/>
  <c r="Y56" i="2"/>
  <c r="Z56" i="2"/>
  <c r="AA56" i="2"/>
  <c r="AB56" i="2"/>
  <c r="AC56" i="2"/>
  <c r="AD56" i="2"/>
  <c r="AZ56" i="2"/>
  <c r="AY56" i="2" s="1"/>
  <c r="BA56" i="2"/>
  <c r="X57" i="2"/>
  <c r="Y57" i="2"/>
  <c r="AA57" i="2" s="1"/>
  <c r="Z57" i="2"/>
  <c r="AB57" i="2"/>
  <c r="AC57" i="2"/>
  <c r="AD57" i="2"/>
  <c r="BA57" i="2"/>
  <c r="AZ57" i="2" s="1"/>
  <c r="AY57" i="2" s="1"/>
  <c r="X58" i="2"/>
  <c r="AA58" i="2" s="1"/>
  <c r="Y58" i="2"/>
  <c r="Z58" i="2"/>
  <c r="BA58" i="2"/>
  <c r="AZ58" i="2" s="1"/>
  <c r="AY58" i="2" s="1"/>
  <c r="X59" i="2"/>
  <c r="Y59" i="2"/>
  <c r="Z59" i="2"/>
  <c r="AB59" i="2"/>
  <c r="AC59" i="2"/>
  <c r="AD59" i="2"/>
  <c r="AZ59" i="2"/>
  <c r="AY59" i="2" s="1"/>
  <c r="BA59" i="2"/>
  <c r="X60" i="2"/>
  <c r="Y60" i="2"/>
  <c r="AC60" i="2" s="1"/>
  <c r="Z60" i="2"/>
  <c r="AD60" i="2"/>
  <c r="BA60" i="2"/>
  <c r="AZ60" i="2" s="1"/>
  <c r="AY60" i="2" s="1"/>
  <c r="X61" i="2"/>
  <c r="Y61" i="2"/>
  <c r="Z61" i="2"/>
  <c r="AA61" i="2" s="1"/>
  <c r="AD61" i="2"/>
  <c r="BA61" i="2"/>
  <c r="AZ61" i="2" s="1"/>
  <c r="AY61" i="2" s="1"/>
  <c r="X62" i="2"/>
  <c r="Y62" i="2"/>
  <c r="Z62" i="2"/>
  <c r="BA62" i="2"/>
  <c r="AZ62" i="2" s="1"/>
  <c r="AY62" i="2" s="1"/>
  <c r="X63" i="2"/>
  <c r="Y63" i="2"/>
  <c r="Z63" i="2"/>
  <c r="BA63" i="2"/>
  <c r="AZ63" i="2" s="1"/>
  <c r="AY63" i="2" s="1"/>
  <c r="X64" i="2"/>
  <c r="Y64" i="2"/>
  <c r="Z64" i="2"/>
  <c r="BA64" i="2"/>
  <c r="AZ64" i="2" s="1"/>
  <c r="AY64" i="2" s="1"/>
  <c r="X65" i="2"/>
  <c r="Y65" i="2"/>
  <c r="Z65" i="2"/>
  <c r="AA65" i="2"/>
  <c r="BA65" i="2"/>
  <c r="AZ65" i="2" s="1"/>
  <c r="AY65" i="2" s="1"/>
  <c r="X66" i="2"/>
  <c r="Y66" i="2"/>
  <c r="Z66" i="2"/>
  <c r="AA66" i="2"/>
  <c r="AB66" i="2"/>
  <c r="X67" i="2"/>
  <c r="Y67" i="2"/>
  <c r="Z67" i="2"/>
  <c r="X68" i="2"/>
  <c r="Y68" i="2"/>
  <c r="Z68" i="2"/>
  <c r="X69" i="2"/>
  <c r="AC69" i="2" s="1"/>
  <c r="Y69" i="2"/>
  <c r="Z69" i="2"/>
  <c r="AA69" i="2"/>
  <c r="AB69" i="2"/>
  <c r="X70" i="2"/>
  <c r="Y70" i="2"/>
  <c r="Z70" i="2"/>
  <c r="X71" i="2"/>
  <c r="Y71" i="2"/>
  <c r="Z71" i="2"/>
  <c r="AA71" i="2"/>
  <c r="AB71" i="2"/>
  <c r="AC71" i="2"/>
  <c r="AD71" i="2"/>
  <c r="X72" i="2"/>
  <c r="Y72" i="2"/>
  <c r="Z72" i="2"/>
  <c r="AB72" i="2" s="1"/>
  <c r="X73" i="2"/>
  <c r="Y73" i="2"/>
  <c r="Z73" i="2"/>
  <c r="AA73" i="2"/>
  <c r="AB73" i="2"/>
  <c r="AC73" i="2"/>
  <c r="X74" i="2"/>
  <c r="AD74" i="2" s="1"/>
  <c r="Y74" i="2"/>
  <c r="Z74" i="2"/>
  <c r="X75" i="2"/>
  <c r="Y75" i="2"/>
  <c r="Z75" i="2"/>
  <c r="AA75" i="2"/>
  <c r="X76" i="2"/>
  <c r="Y76" i="2"/>
  <c r="Z76" i="2"/>
  <c r="AB76" i="2"/>
  <c r="AC76" i="2"/>
  <c r="AD76" i="2"/>
  <c r="X77" i="2"/>
  <c r="Y77" i="2"/>
  <c r="Z77" i="2"/>
  <c r="X78" i="2"/>
  <c r="Y78" i="2"/>
  <c r="Z78" i="2"/>
  <c r="AA78" i="2"/>
  <c r="AB78" i="2"/>
  <c r="AC78" i="2"/>
  <c r="AD78" i="2"/>
  <c r="X79" i="2"/>
  <c r="Y79" i="2"/>
  <c r="Z79" i="2"/>
  <c r="X80" i="2"/>
  <c r="Y80" i="2"/>
  <c r="AA80" i="2" s="1"/>
  <c r="Z80" i="2"/>
  <c r="AB80" i="2"/>
  <c r="AC80" i="2"/>
  <c r="AD80" i="2"/>
  <c r="X81" i="2"/>
  <c r="Y81" i="2"/>
  <c r="Z81" i="2"/>
  <c r="AA81" i="2" s="1"/>
  <c r="AD81" i="2"/>
  <c r="X82" i="2"/>
  <c r="Y82" i="2"/>
  <c r="Z82" i="2"/>
  <c r="AB82" i="2" s="1"/>
  <c r="AA82" i="2"/>
  <c r="X83" i="2"/>
  <c r="Y83" i="2"/>
  <c r="Z83" i="2"/>
  <c r="AC83" i="2"/>
  <c r="AD83" i="2"/>
  <c r="X84" i="2"/>
  <c r="AB84" i="2" s="1"/>
  <c r="Y84" i="2"/>
  <c r="Z84" i="2"/>
  <c r="X85" i="2"/>
  <c r="Y85" i="2"/>
  <c r="Z85" i="2"/>
  <c r="AB85" i="2"/>
  <c r="AC85" i="2"/>
  <c r="AD85" i="2"/>
  <c r="X86" i="2"/>
  <c r="Y86" i="2"/>
  <c r="Z86" i="2"/>
  <c r="X87" i="2"/>
  <c r="AA87" i="2" s="1"/>
  <c r="Y87" i="2"/>
  <c r="Z87" i="2"/>
  <c r="H64" i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52" i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40" i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28" i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F4" i="1"/>
  <c r="I4" i="1" s="1"/>
  <c r="I3" i="1"/>
  <c r="G3" i="1"/>
  <c r="J3" i="1" s="1"/>
  <c r="AA49" i="2" l="1"/>
  <c r="AD43" i="2"/>
  <c r="AC22" i="2"/>
  <c r="AC19" i="2"/>
  <c r="AD16" i="2"/>
  <c r="AB61" i="2"/>
  <c r="AA36" i="2"/>
  <c r="AC66" i="2"/>
  <c r="AD45" i="2"/>
  <c r="AC87" i="2"/>
  <c r="AC45" i="2"/>
  <c r="AB42" i="2"/>
  <c r="AC35" i="2"/>
  <c r="AC32" i="2"/>
  <c r="AA19" i="2"/>
  <c r="AB16" i="2"/>
  <c r="AB81" i="2"/>
  <c r="AB87" i="2"/>
  <c r="AD58" i="2"/>
  <c r="AD48" i="2"/>
  <c r="AA47" i="2"/>
  <c r="AB45" i="2"/>
  <c r="AA37" i="2"/>
  <c r="AB32" i="2"/>
  <c r="AD31" i="2"/>
  <c r="AD20" i="2"/>
  <c r="AD17" i="2"/>
  <c r="AB10" i="2"/>
  <c r="AA67" i="2"/>
  <c r="AA23" i="2"/>
  <c r="AD55" i="2"/>
  <c r="AA76" i="2"/>
  <c r="AA83" i="2"/>
  <c r="AD73" i="2"/>
  <c r="AD67" i="2"/>
  <c r="AA85" i="2"/>
  <c r="AC67" i="2"/>
  <c r="AC48" i="2"/>
  <c r="AD33" i="2"/>
  <c r="AA32" i="2"/>
  <c r="AD23" i="2"/>
  <c r="AC17" i="2"/>
  <c r="AC72" i="2"/>
  <c r="AD69" i="2"/>
  <c r="AB67" i="2"/>
  <c r="AA60" i="2"/>
  <c r="AB58" i="2"/>
  <c r="AC55" i="2"/>
  <c r="AD46" i="2"/>
  <c r="AC33" i="2"/>
  <c r="AC23" i="2"/>
  <c r="AB20" i="2"/>
  <c r="AB17" i="2"/>
  <c r="AA74" i="2"/>
  <c r="AC30" i="2"/>
  <c r="AA59" i="2"/>
  <c r="AA24" i="2"/>
  <c r="AB60" i="2"/>
  <c r="AC58" i="2"/>
  <c r="AC20" i="2"/>
  <c r="AC74" i="2"/>
  <c r="AB55" i="2"/>
  <c r="AC42" i="2"/>
  <c r="AD36" i="2"/>
  <c r="AA35" i="2"/>
  <c r="AA30" i="2"/>
  <c r="AA25" i="2"/>
  <c r="AB23" i="2"/>
  <c r="AC15" i="2"/>
  <c r="AA15" i="2"/>
  <c r="AB15" i="2"/>
  <c r="AD15" i="2"/>
  <c r="AA63" i="2"/>
  <c r="AB63" i="2"/>
  <c r="AC63" i="2"/>
  <c r="AD63" i="2"/>
  <c r="AA27" i="2"/>
  <c r="AB27" i="2"/>
  <c r="AC27" i="2"/>
  <c r="AD27" i="2"/>
  <c r="AA26" i="2"/>
  <c r="AB26" i="2"/>
  <c r="AC26" i="2"/>
  <c r="AD26" i="2"/>
  <c r="BM5" i="2"/>
  <c r="BM6" i="2" s="1"/>
  <c r="BM7" i="2" s="1"/>
  <c r="BM8" i="2" s="1"/>
  <c r="BM9" i="2" s="1"/>
  <c r="BM10" i="2" s="1"/>
  <c r="BM11" i="2" s="1"/>
  <c r="BM12" i="2" s="1"/>
  <c r="BM13" i="2" s="1"/>
  <c r="BM14" i="2" s="1"/>
  <c r="BM15" i="2" s="1"/>
  <c r="BM16" i="2" s="1"/>
  <c r="BM17" i="2" s="1"/>
  <c r="BM18" i="2" s="1"/>
  <c r="BN4" i="2"/>
  <c r="BP4" i="2" s="1"/>
  <c r="AB53" i="2"/>
  <c r="AA40" i="2"/>
  <c r="AA68" i="2"/>
  <c r="AA50" i="2"/>
  <c r="AB50" i="2"/>
  <c r="AC50" i="2"/>
  <c r="AD50" i="2"/>
  <c r="BA49" i="2"/>
  <c r="AZ49" i="2" s="1"/>
  <c r="AY49" i="2" s="1"/>
  <c r="AB65" i="2"/>
  <c r="AA52" i="2"/>
  <c r="AB29" i="2"/>
  <c r="AC70" i="2"/>
  <c r="AA70" i="2"/>
  <c r="AB70" i="2"/>
  <c r="AD70" i="2"/>
  <c r="AA62" i="2"/>
  <c r="AB62" i="2"/>
  <c r="AC62" i="2"/>
  <c r="AD62" i="2"/>
  <c r="AA39" i="2"/>
  <c r="AB39" i="2"/>
  <c r="AC39" i="2"/>
  <c r="AD39" i="2"/>
  <c r="AA79" i="2"/>
  <c r="AB79" i="2"/>
  <c r="AC79" i="2"/>
  <c r="AD79" i="2"/>
  <c r="AA86" i="2"/>
  <c r="AA64" i="2"/>
  <c r="AA51" i="2"/>
  <c r="AB51" i="2"/>
  <c r="AC51" i="2"/>
  <c r="AD51" i="2"/>
  <c r="AB41" i="2"/>
  <c r="AA38" i="2"/>
  <c r="AB38" i="2"/>
  <c r="AC38" i="2"/>
  <c r="AD38" i="2"/>
  <c r="AA28" i="2"/>
  <c r="AB77" i="2"/>
  <c r="AA7" i="2"/>
  <c r="AB7" i="2"/>
  <c r="AC7" i="2"/>
  <c r="AB83" i="2"/>
  <c r="AC81" i="2"/>
  <c r="AC61" i="2"/>
  <c r="AC49" i="2"/>
  <c r="AB48" i="2"/>
  <c r="AC37" i="2"/>
  <c r="AB36" i="2"/>
  <c r="AC25" i="2"/>
  <c r="AB24" i="2"/>
  <c r="AB18" i="2"/>
  <c r="AC18" i="2"/>
  <c r="AC13" i="2"/>
  <c r="AD13" i="2"/>
  <c r="AC9" i="2"/>
  <c r="AD9" i="2"/>
  <c r="BN6" i="2"/>
  <c r="BP6" i="2" s="1"/>
  <c r="X3" i="2"/>
  <c r="AB74" i="2"/>
  <c r="AD72" i="2"/>
  <c r="AD87" i="2"/>
  <c r="AB49" i="2"/>
  <c r="AB37" i="2"/>
  <c r="AB25" i="2"/>
  <c r="BL7" i="2"/>
  <c r="AC11" i="2"/>
  <c r="AD11" i="2"/>
  <c r="AA2" i="2"/>
  <c r="AB2" i="2"/>
  <c r="AC2" i="2"/>
  <c r="AC82" i="2"/>
  <c r="AD86" i="2"/>
  <c r="AD68" i="2"/>
  <c r="AD64" i="2"/>
  <c r="AD52" i="2"/>
  <c r="AD40" i="2"/>
  <c r="AD28" i="2"/>
  <c r="AC14" i="2"/>
  <c r="AC12" i="2"/>
  <c r="AD12" i="2"/>
  <c r="AC10" i="2"/>
  <c r="AD10" i="2"/>
  <c r="AC8" i="2"/>
  <c r="AD8" i="2"/>
  <c r="AA4" i="2"/>
  <c r="AB4" i="2"/>
  <c r="AC4" i="2"/>
  <c r="AD4" i="2"/>
  <c r="AA84" i="2"/>
  <c r="AC86" i="2"/>
  <c r="AD53" i="2"/>
  <c r="AD41" i="2"/>
  <c r="AC40" i="2"/>
  <c r="AD29" i="2"/>
  <c r="AC28" i="2"/>
  <c r="AC5" i="2"/>
  <c r="AD5" i="2"/>
  <c r="BA3" i="2"/>
  <c r="AZ3" i="2" s="1"/>
  <c r="AY3" i="2" s="1"/>
  <c r="AD75" i="2"/>
  <c r="AD65" i="2"/>
  <c r="AB86" i="2"/>
  <c r="AD84" i="2"/>
  <c r="AD54" i="2"/>
  <c r="AD30" i="2"/>
  <c r="AC29" i="2"/>
  <c r="AB28" i="2"/>
  <c r="AB13" i="2"/>
  <c r="AB11" i="2"/>
  <c r="AB9" i="2"/>
  <c r="Y3" i="2"/>
  <c r="AF2" i="2" s="1"/>
  <c r="AD77" i="2"/>
  <c r="AC68" i="2"/>
  <c r="AC64" i="2"/>
  <c r="AC52" i="2"/>
  <c r="AC77" i="2"/>
  <c r="AC75" i="2"/>
  <c r="AB68" i="2"/>
  <c r="AD66" i="2"/>
  <c r="AC65" i="2"/>
  <c r="AB64" i="2"/>
  <c r="AC53" i="2"/>
  <c r="AB52" i="2"/>
  <c r="AD42" i="2"/>
  <c r="AC41" i="2"/>
  <c r="AB40" i="2"/>
  <c r="AC84" i="2"/>
  <c r="AD82" i="2"/>
  <c r="AA77" i="2"/>
  <c r="AB75" i="2"/>
  <c r="AA72" i="2"/>
  <c r="AA13" i="2"/>
  <c r="AA11" i="2"/>
  <c r="AA9" i="2"/>
  <c r="A4" i="2"/>
  <c r="P5" i="2"/>
  <c r="AD2" i="2"/>
  <c r="BA2" i="2"/>
  <c r="AZ2" i="2" s="1"/>
  <c r="AY2" i="2" s="1"/>
  <c r="AX3" i="2"/>
  <c r="F5" i="1"/>
  <c r="I5" i="1" s="1"/>
  <c r="G5" i="1"/>
  <c r="J5" i="1" s="1"/>
  <c r="G4" i="1"/>
  <c r="J4" i="1" s="1"/>
  <c r="F6" i="1" l="1"/>
  <c r="AC3" i="2"/>
  <c r="AD3" i="2"/>
  <c r="AB3" i="2"/>
  <c r="AA3" i="2"/>
  <c r="AK2" i="2"/>
  <c r="AH2" i="2"/>
  <c r="AG2" i="2" s="1"/>
  <c r="AX4" i="2"/>
  <c r="C7" i="2"/>
  <c r="P7" i="2"/>
  <c r="A7" i="2" s="1"/>
  <c r="A5" i="2"/>
  <c r="BN5" i="2"/>
  <c r="BP5" i="2" s="1"/>
  <c r="BL8" i="2"/>
  <c r="BN7" i="2"/>
  <c r="BP7" i="2" s="1"/>
  <c r="P6" i="2"/>
  <c r="I6" i="1"/>
  <c r="G6" i="1"/>
  <c r="J6" i="1" s="1"/>
  <c r="F7" i="1"/>
  <c r="BL9" i="2" l="1"/>
  <c r="BN8" i="2"/>
  <c r="BP8" i="2" s="1"/>
  <c r="C5" i="2"/>
  <c r="AX5" i="2"/>
  <c r="AI2" i="2"/>
  <c r="AJ2" i="2"/>
  <c r="P8" i="2"/>
  <c r="A8" i="2" s="1"/>
  <c r="A6" i="2"/>
  <c r="F8" i="1"/>
  <c r="G7" i="1"/>
  <c r="J7" i="1" s="1"/>
  <c r="I7" i="1"/>
  <c r="C8" i="2" l="1"/>
  <c r="C4" i="2"/>
  <c r="C6" i="2"/>
  <c r="AX6" i="2"/>
  <c r="AX7" i="2" s="1"/>
  <c r="AX8" i="2" s="1"/>
  <c r="AX9" i="2" s="1"/>
  <c r="AX10" i="2" s="1"/>
  <c r="AX11" i="2" s="1"/>
  <c r="AX12" i="2" s="1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 s="1"/>
  <c r="AX35" i="2" s="1"/>
  <c r="AX36" i="2" s="1"/>
  <c r="AX37" i="2" s="1"/>
  <c r="AX38" i="2" s="1"/>
  <c r="AX39" i="2" s="1"/>
  <c r="AX40" i="2" s="1"/>
  <c r="AX41" i="2" s="1"/>
  <c r="AX42" i="2" s="1"/>
  <c r="AX43" i="2" s="1"/>
  <c r="AX44" i="2" s="1"/>
  <c r="AX45" i="2" s="1"/>
  <c r="AX46" i="2" s="1"/>
  <c r="AX47" i="2" s="1"/>
  <c r="AX48" i="2" s="1"/>
  <c r="AX49" i="2" s="1"/>
  <c r="AX50" i="2" s="1"/>
  <c r="AX51" i="2" s="1"/>
  <c r="AX52" i="2" s="1"/>
  <c r="AX53" i="2" s="1"/>
  <c r="AX54" i="2" s="1"/>
  <c r="AX55" i="2" s="1"/>
  <c r="AX56" i="2" s="1"/>
  <c r="AX57" i="2" s="1"/>
  <c r="AX58" i="2" s="1"/>
  <c r="AX59" i="2" s="1"/>
  <c r="AX60" i="2" s="1"/>
  <c r="AX61" i="2" s="1"/>
  <c r="AX62" i="2" s="1"/>
  <c r="AX63" i="2" s="1"/>
  <c r="AX64" i="2" s="1"/>
  <c r="AX65" i="2" s="1"/>
  <c r="BL10" i="2"/>
  <c r="BN9" i="2"/>
  <c r="BP9" i="2" s="1"/>
  <c r="I8" i="1"/>
  <c r="G8" i="1"/>
  <c r="J8" i="1" s="1"/>
  <c r="F9" i="1"/>
  <c r="BL11" i="2" l="1"/>
  <c r="BN10" i="2"/>
  <c r="BP10" i="2" s="1"/>
  <c r="F10" i="1"/>
  <c r="G9" i="1"/>
  <c r="J9" i="1" s="1"/>
  <c r="I9" i="1"/>
  <c r="BL12" i="2" l="1"/>
  <c r="BN11" i="2"/>
  <c r="BP11" i="2" s="1"/>
  <c r="I10" i="1"/>
  <c r="F11" i="1"/>
  <c r="G10" i="1"/>
  <c r="J10" i="1" s="1"/>
  <c r="BL13" i="2" l="1"/>
  <c r="BN12" i="2"/>
  <c r="BP12" i="2" s="1"/>
  <c r="G11" i="1"/>
  <c r="J11" i="1" s="1"/>
  <c r="F12" i="1"/>
  <c r="I11" i="1"/>
  <c r="BL14" i="2" l="1"/>
  <c r="BN13" i="2"/>
  <c r="BP13" i="2" s="1"/>
  <c r="I12" i="1"/>
  <c r="G12" i="1"/>
  <c r="J12" i="1" s="1"/>
  <c r="F13" i="1"/>
  <c r="BN14" i="2" l="1"/>
  <c r="BP14" i="2" s="1"/>
  <c r="BL15" i="2"/>
  <c r="G13" i="1"/>
  <c r="J13" i="1" s="1"/>
  <c r="F14" i="1"/>
  <c r="I13" i="1"/>
  <c r="BL16" i="2" l="1"/>
  <c r="BN15" i="2"/>
  <c r="BP15" i="2" s="1"/>
  <c r="I14" i="1"/>
  <c r="G14" i="1"/>
  <c r="J14" i="1" s="1"/>
  <c r="F15" i="1"/>
  <c r="BN16" i="2" l="1"/>
  <c r="BP16" i="2" s="1"/>
  <c r="BL17" i="2"/>
  <c r="F16" i="1"/>
  <c r="I15" i="1"/>
  <c r="G15" i="1"/>
  <c r="J15" i="1" s="1"/>
  <c r="BN17" i="2" l="1"/>
  <c r="BP17" i="2" s="1"/>
  <c r="BL18" i="2"/>
  <c r="I16" i="1"/>
  <c r="F17" i="1"/>
  <c r="G16" i="1"/>
  <c r="J16" i="1" s="1"/>
  <c r="BN18" i="2" l="1"/>
  <c r="BP18" i="2" s="1"/>
  <c r="F18" i="1"/>
  <c r="G17" i="1"/>
  <c r="J17" i="1" s="1"/>
  <c r="I17" i="1"/>
  <c r="F19" i="1" l="1"/>
  <c r="I18" i="1"/>
  <c r="G18" i="1"/>
  <c r="J18" i="1" s="1"/>
  <c r="I19" i="1" l="1"/>
  <c r="G19" i="1"/>
  <c r="J19" i="1" s="1"/>
  <c r="F20" i="1"/>
  <c r="F21" i="1" l="1"/>
  <c r="I20" i="1"/>
  <c r="G20" i="1"/>
  <c r="J20" i="1" s="1"/>
  <c r="I21" i="1" l="1"/>
  <c r="F22" i="1"/>
  <c r="G21" i="1"/>
  <c r="J21" i="1" s="1"/>
  <c r="F23" i="1" l="1"/>
  <c r="I22" i="1"/>
  <c r="G22" i="1"/>
  <c r="J22" i="1" s="1"/>
  <c r="G23" i="1" l="1"/>
  <c r="J23" i="1" s="1"/>
  <c r="I23" i="1"/>
  <c r="F24" i="1"/>
  <c r="I24" i="1" l="1"/>
  <c r="G24" i="1"/>
  <c r="J24" i="1" s="1"/>
  <c r="F25" i="1"/>
  <c r="F26" i="1" l="1"/>
  <c r="I25" i="1"/>
  <c r="G25" i="1"/>
  <c r="J25" i="1" s="1"/>
  <c r="I26" i="1" l="1"/>
  <c r="G26" i="1"/>
  <c r="J26" i="1" s="1"/>
  <c r="F27" i="1"/>
  <c r="I27" i="1" l="1"/>
  <c r="F28" i="1"/>
  <c r="G27" i="1"/>
  <c r="J27" i="1" s="1"/>
  <c r="F29" i="1" l="1"/>
  <c r="I28" i="1"/>
  <c r="G28" i="1"/>
  <c r="J28" i="1" s="1"/>
  <c r="I29" i="1" l="1"/>
  <c r="G29" i="1"/>
  <c r="J29" i="1" s="1"/>
  <c r="F30" i="1"/>
  <c r="F31" i="1" l="1"/>
  <c r="I30" i="1"/>
  <c r="G30" i="1"/>
  <c r="J30" i="1" s="1"/>
  <c r="I31" i="1" l="1"/>
  <c r="G31" i="1"/>
  <c r="J31" i="1" s="1"/>
  <c r="F32" i="1"/>
  <c r="F33" i="1" l="1"/>
  <c r="I32" i="1"/>
  <c r="G32" i="1"/>
  <c r="J32" i="1" s="1"/>
  <c r="G33" i="1" l="1"/>
  <c r="J33" i="1" s="1"/>
  <c r="I33" i="1"/>
  <c r="F34" i="1"/>
  <c r="F35" i="1" l="1"/>
  <c r="I34" i="1"/>
  <c r="G34" i="1"/>
  <c r="J34" i="1" s="1"/>
  <c r="I35" i="1" l="1"/>
  <c r="G35" i="1"/>
  <c r="J35" i="1" s="1"/>
  <c r="F36" i="1"/>
  <c r="F37" i="1" l="1"/>
  <c r="I36" i="1"/>
  <c r="G36" i="1"/>
  <c r="J36" i="1" s="1"/>
  <c r="G37" i="1" l="1"/>
  <c r="J37" i="1" s="1"/>
  <c r="I37" i="1"/>
  <c r="F38" i="1"/>
  <c r="F39" i="1" l="1"/>
  <c r="I38" i="1"/>
  <c r="G38" i="1"/>
  <c r="J38" i="1" s="1"/>
  <c r="G39" i="1" l="1"/>
  <c r="J39" i="1" s="1"/>
  <c r="I39" i="1"/>
  <c r="F40" i="1"/>
  <c r="F41" i="1" l="1"/>
  <c r="I40" i="1"/>
  <c r="G40" i="1"/>
  <c r="J40" i="1" s="1"/>
  <c r="G41" i="1" l="1"/>
  <c r="J41" i="1" s="1"/>
  <c r="I41" i="1"/>
  <c r="F42" i="1"/>
  <c r="F43" i="1" l="1"/>
  <c r="I42" i="1"/>
  <c r="G42" i="1"/>
  <c r="J42" i="1" s="1"/>
  <c r="G43" i="1" l="1"/>
  <c r="J43" i="1" s="1"/>
  <c r="F44" i="1"/>
  <c r="I43" i="1"/>
  <c r="F45" i="1" l="1"/>
  <c r="I44" i="1"/>
  <c r="G44" i="1"/>
  <c r="J44" i="1" s="1"/>
  <c r="G45" i="1" l="1"/>
  <c r="J45" i="1" s="1"/>
  <c r="I45" i="1"/>
  <c r="F46" i="1"/>
  <c r="F47" i="1" l="1"/>
  <c r="I46" i="1"/>
  <c r="G46" i="1"/>
  <c r="J46" i="1" s="1"/>
  <c r="G47" i="1" l="1"/>
  <c r="J47" i="1" s="1"/>
  <c r="F48" i="1"/>
  <c r="I47" i="1"/>
  <c r="F49" i="1" l="1"/>
  <c r="I48" i="1"/>
  <c r="G48" i="1"/>
  <c r="J48" i="1" s="1"/>
  <c r="G49" i="1" l="1"/>
  <c r="J49" i="1" s="1"/>
  <c r="I49" i="1"/>
  <c r="F50" i="1"/>
  <c r="F51" i="1" l="1"/>
  <c r="I50" i="1"/>
  <c r="G50" i="1"/>
  <c r="J50" i="1" s="1"/>
  <c r="G51" i="1" l="1"/>
  <c r="J51" i="1" s="1"/>
  <c r="I51" i="1"/>
  <c r="F52" i="1"/>
  <c r="F53" i="1" l="1"/>
  <c r="I52" i="1"/>
  <c r="G52" i="1"/>
  <c r="J52" i="1" s="1"/>
  <c r="I53" i="1" l="1"/>
  <c r="G53" i="1"/>
  <c r="J53" i="1" s="1"/>
  <c r="F54" i="1"/>
  <c r="F55" i="1" l="1"/>
  <c r="I54" i="1"/>
  <c r="G54" i="1"/>
  <c r="J54" i="1" s="1"/>
  <c r="F56" i="1" l="1"/>
  <c r="G55" i="1"/>
  <c r="J55" i="1" s="1"/>
  <c r="I55" i="1"/>
  <c r="F57" i="1" l="1"/>
  <c r="I56" i="1"/>
  <c r="G56" i="1"/>
  <c r="J56" i="1" s="1"/>
  <c r="G57" i="1" l="1"/>
  <c r="J57" i="1" s="1"/>
  <c r="I57" i="1"/>
  <c r="F58" i="1"/>
  <c r="F59" i="1" l="1"/>
  <c r="I58" i="1"/>
  <c r="G58" i="1"/>
  <c r="J58" i="1" s="1"/>
  <c r="I59" i="1" l="1"/>
  <c r="G59" i="1"/>
  <c r="J59" i="1" s="1"/>
  <c r="F60" i="1"/>
  <c r="F61" i="1" l="1"/>
  <c r="I60" i="1"/>
  <c r="G60" i="1"/>
  <c r="J60" i="1" s="1"/>
  <c r="G61" i="1" l="1"/>
  <c r="J61" i="1" s="1"/>
  <c r="I61" i="1"/>
  <c r="F62" i="1"/>
  <c r="F63" i="1" l="1"/>
  <c r="I62" i="1"/>
  <c r="G62" i="1"/>
  <c r="J62" i="1" s="1"/>
  <c r="I63" i="1" l="1"/>
  <c r="G63" i="1"/>
  <c r="J63" i="1" s="1"/>
  <c r="F64" i="1"/>
  <c r="F65" i="1" l="1"/>
  <c r="I64" i="1"/>
  <c r="G64" i="1"/>
  <c r="J64" i="1" s="1"/>
  <c r="I65" i="1" l="1"/>
  <c r="G65" i="1"/>
  <c r="J65" i="1" s="1"/>
  <c r="F66" i="1"/>
  <c r="F67" i="1" l="1"/>
  <c r="G66" i="1"/>
  <c r="J66" i="1" s="1"/>
  <c r="I66" i="1"/>
  <c r="I67" i="1" l="1"/>
  <c r="G67" i="1"/>
  <c r="J67" i="1" s="1"/>
  <c r="F68" i="1"/>
  <c r="G68" i="1" l="1"/>
  <c r="J68" i="1" s="1"/>
  <c r="F69" i="1"/>
  <c r="I68" i="1"/>
  <c r="I69" i="1" l="1"/>
  <c r="G69" i="1"/>
  <c r="J69" i="1" s="1"/>
  <c r="F70" i="1"/>
  <c r="G70" i="1" l="1"/>
  <c r="J70" i="1" s="1"/>
  <c r="F71" i="1"/>
  <c r="I70" i="1"/>
  <c r="I71" i="1" l="1"/>
  <c r="F72" i="1"/>
  <c r="G71" i="1"/>
  <c r="J71" i="1" s="1"/>
  <c r="F73" i="1" l="1"/>
  <c r="I72" i="1"/>
  <c r="G72" i="1"/>
  <c r="J72" i="1" s="1"/>
  <c r="I73" i="1" l="1"/>
  <c r="G73" i="1"/>
  <c r="J73" i="1" s="1"/>
  <c r="F74" i="1"/>
  <c r="G74" i="1" l="1"/>
  <c r="J74" i="1" s="1"/>
  <c r="I74" i="1"/>
  <c r="A40" i="1" l="1"/>
  <c r="A27" i="1"/>
  <c r="A48" i="1"/>
  <c r="A68" i="1"/>
  <c r="A13" i="1"/>
  <c r="A7" i="1"/>
  <c r="A6" i="1"/>
  <c r="A54" i="1"/>
  <c r="A45" i="1"/>
  <c r="A31" i="1"/>
  <c r="A72" i="1"/>
  <c r="A44" i="1"/>
  <c r="A28" i="1"/>
  <c r="A33" i="1"/>
  <c r="A16" i="1"/>
  <c r="A5" i="1"/>
  <c r="A21" i="1"/>
  <c r="A65" i="1"/>
  <c r="A30" i="1"/>
  <c r="A34" i="1"/>
  <c r="A49" i="1"/>
  <c r="A9" i="1"/>
  <c r="A22" i="1"/>
  <c r="A8" i="1"/>
  <c r="A59" i="1"/>
  <c r="A50" i="1"/>
  <c r="A61" i="1"/>
  <c r="A14" i="1"/>
  <c r="A38" i="1"/>
  <c r="A70" i="1"/>
  <c r="A29" i="1"/>
  <c r="A47" i="1"/>
  <c r="A26" i="1"/>
  <c r="A25" i="1"/>
  <c r="A42" i="1"/>
  <c r="A3" i="1"/>
  <c r="A57" i="1"/>
  <c r="A12" i="1"/>
  <c r="A32" i="1"/>
  <c r="A15" i="1"/>
  <c r="A43" i="1"/>
  <c r="A4" i="1"/>
  <c r="A20" i="1"/>
  <c r="A11" i="1"/>
  <c r="A69" i="1"/>
  <c r="A46" i="1"/>
  <c r="A35" i="1"/>
  <c r="A58" i="1"/>
  <c r="A19" i="1"/>
  <c r="A62" i="1"/>
  <c r="A53" i="1"/>
  <c r="A73" i="1"/>
  <c r="A67" i="1"/>
  <c r="A55" i="1"/>
  <c r="A74" i="1"/>
  <c r="A10" i="1"/>
  <c r="A36" i="1"/>
  <c r="A60" i="1"/>
  <c r="A24" i="1"/>
  <c r="A39" i="1"/>
  <c r="A18" i="1"/>
  <c r="A51" i="1"/>
  <c r="A64" i="1"/>
  <c r="A66" i="1"/>
  <c r="A17" i="1"/>
  <c r="A71" i="1"/>
  <c r="A52" i="1"/>
  <c r="A23" i="1"/>
  <c r="A63" i="1"/>
  <c r="A56" i="1"/>
  <c r="A37" i="1"/>
  <c r="A41" i="1"/>
</calcChain>
</file>

<file path=xl/sharedStrings.xml><?xml version="1.0" encoding="utf-8"?>
<sst xmlns="http://schemas.openxmlformats.org/spreadsheetml/2006/main" count="558" uniqueCount="336">
  <si>
    <t>ZW Samples fixed on 2024MAY10 at 4PM</t>
  </si>
  <si>
    <t>+</t>
  </si>
  <si>
    <t>-</t>
  </si>
  <si>
    <t xml:space="preserve"> </t>
  </si>
  <si>
    <t>Cell Type</t>
  </si>
  <si>
    <t>GFP</t>
  </si>
  <si>
    <t>R-PE</t>
  </si>
  <si>
    <t>Notes</t>
  </si>
  <si>
    <t>Exp Condition</t>
  </si>
  <si>
    <t>Replicate</t>
  </si>
  <si>
    <t>Column5</t>
  </si>
  <si>
    <t>Transfection</t>
  </si>
  <si>
    <t>Infection</t>
  </si>
  <si>
    <t>Column1</t>
  </si>
  <si>
    <t>293T | Freq. of Parent</t>
  </si>
  <si>
    <t>293T/Single Cells | Freq. of Parent</t>
  </si>
  <si>
    <t>293T/Single Cells/GFP+ | Freq. of Parent</t>
  </si>
  <si>
    <t>293T/Single Cells/GFP- | Freq. of Parent</t>
  </si>
  <si>
    <t>GFP+ | Freq. of Parent</t>
  </si>
  <si>
    <t>GFP- | Freq. of Parent</t>
  </si>
  <si>
    <t>Column2</t>
  </si>
  <si>
    <t>HEK293T</t>
  </si>
  <si>
    <t>Positive</t>
  </si>
  <si>
    <t>Positive Control</t>
  </si>
  <si>
    <t>dCTE</t>
  </si>
  <si>
    <t>051324_110_001.fcs</t>
  </si>
  <si>
    <t>Negative</t>
  </si>
  <si>
    <t>Negative Control</t>
  </si>
  <si>
    <t>051324_111_002.fcs</t>
  </si>
  <si>
    <t>051324_112_003.fcs</t>
  </si>
  <si>
    <t>051324_113_004.fcs</t>
  </si>
  <si>
    <t>051324_120_005.fcs</t>
  </si>
  <si>
    <t>051324_121_006.fcs</t>
  </si>
  <si>
    <t>051324_122_007.fcs</t>
  </si>
  <si>
    <t>051324_123_008.fcs</t>
  </si>
  <si>
    <t>051324_130_009.fcs</t>
  </si>
  <si>
    <t>051324_131_010.fcs</t>
  </si>
  <si>
    <t>051324_132_011.fcs</t>
  </si>
  <si>
    <t>051324_133_012.fcs</t>
  </si>
  <si>
    <t>dCTE + VSVg</t>
  </si>
  <si>
    <t>051324_210_013.fcs</t>
  </si>
  <si>
    <t>051324_211_014.fcs</t>
  </si>
  <si>
    <t>051324_212_015.fcs</t>
  </si>
  <si>
    <t>051324_213_016.fcs</t>
  </si>
  <si>
    <t>051324_220_017.fcs</t>
  </si>
  <si>
    <t>051324_221_018.fcs</t>
  </si>
  <si>
    <t>051324_222_019.fcs</t>
  </si>
  <si>
    <t>051324_223_020.fcs</t>
  </si>
  <si>
    <t>051324_230_021.fcs</t>
  </si>
  <si>
    <t>051324_231_022.fcs</t>
  </si>
  <si>
    <t>051324_232_023.fcs</t>
  </si>
  <si>
    <t>051324_233_024.fcs</t>
  </si>
  <si>
    <t>WT</t>
  </si>
  <si>
    <t>051324_310_025.fcs</t>
  </si>
  <si>
    <t>051324_311_026.fcs</t>
  </si>
  <si>
    <t>051324_312_027.fcs</t>
  </si>
  <si>
    <t>051324_313_028.fcs</t>
  </si>
  <si>
    <t>051324_320_029.fcs</t>
  </si>
  <si>
    <t>051324_321_030.fcs</t>
  </si>
  <si>
    <t>051324_322_031.fcs</t>
  </si>
  <si>
    <t>051324_323_032.fcs</t>
  </si>
  <si>
    <t>051324_330_033.fcs</t>
  </si>
  <si>
    <t>051324_331_034.fcs</t>
  </si>
  <si>
    <t>051324_332_035.fcs</t>
  </si>
  <si>
    <t>051324_333_036.fcs</t>
  </si>
  <si>
    <t>WT + VSVg</t>
  </si>
  <si>
    <t>051324_410_037.fcs</t>
  </si>
  <si>
    <t>051324_411_038.fcs</t>
  </si>
  <si>
    <t>051324_412_039.fcs</t>
  </si>
  <si>
    <t>051324_413_040.fcs</t>
  </si>
  <si>
    <t>051324_420_041.fcs</t>
  </si>
  <si>
    <t>051324_421_042.fcs</t>
  </si>
  <si>
    <t>051324_422_043.fcs</t>
  </si>
  <si>
    <t>051324_423_044.fcs</t>
  </si>
  <si>
    <t>051324_430_045.fcs</t>
  </si>
  <si>
    <t>051324_431_046.fcs</t>
  </si>
  <si>
    <t>051324_432_047.fcs</t>
  </si>
  <si>
    <t>051324_433_048.fcs</t>
  </si>
  <si>
    <t>MER11</t>
  </si>
  <si>
    <t>051324_510_049.fcs</t>
  </si>
  <si>
    <t>051324_511_050.fcs</t>
  </si>
  <si>
    <t>051324_512_051.fcs</t>
  </si>
  <si>
    <t>051324_513_052.fcs</t>
  </si>
  <si>
    <t>051324_520_053.fcs</t>
  </si>
  <si>
    <t>051324_521_054.fcs</t>
  </si>
  <si>
    <t>051324_522_055.fcs</t>
  </si>
  <si>
    <t>051324_523_056.fcs</t>
  </si>
  <si>
    <t>051324_530_057.fcs</t>
  </si>
  <si>
    <t>051324_531_058.fcs</t>
  </si>
  <si>
    <t>051324_532_059.fcs</t>
  </si>
  <si>
    <t>051324_533_060.fcs</t>
  </si>
  <si>
    <t>MER11 + VSVg</t>
  </si>
  <si>
    <t>051324_610_061.fcs</t>
  </si>
  <si>
    <t>051324_611_062.fcs</t>
  </si>
  <si>
    <t>051324_612_063.fcs</t>
  </si>
  <si>
    <t>051324_613_064.fcs</t>
  </si>
  <si>
    <t>051324_620_065.fcs</t>
  </si>
  <si>
    <t>051324_621_066.fcs</t>
  </si>
  <si>
    <t>051324_622_067.fcs</t>
  </si>
  <si>
    <t>051324_623_068.fcs</t>
  </si>
  <si>
    <t>051324_630_069.fcs</t>
  </si>
  <si>
    <t>051324_631_070.fcs</t>
  </si>
  <si>
    <t>051324_632_071.fcs</t>
  </si>
  <si>
    <t>051324_633_072.fcs</t>
  </si>
  <si>
    <t>X</t>
  </si>
  <si>
    <t>Z2</t>
  </si>
  <si>
    <t>Z1</t>
  </si>
  <si>
    <t>Z</t>
  </si>
  <si>
    <t>Y2</t>
  </si>
  <si>
    <t>Y1</t>
  </si>
  <si>
    <t>Y</t>
  </si>
  <si>
    <t>X2</t>
  </si>
  <si>
    <t>X1</t>
  </si>
  <si>
    <t>W2</t>
  </si>
  <si>
    <t>W1</t>
  </si>
  <si>
    <t>W</t>
  </si>
  <si>
    <t>V2</t>
  </si>
  <si>
    <t>V1</t>
  </si>
  <si>
    <t>V</t>
  </si>
  <si>
    <t>U2</t>
  </si>
  <si>
    <t>U1</t>
  </si>
  <si>
    <t>U</t>
  </si>
  <si>
    <t>T2</t>
  </si>
  <si>
    <t>T1</t>
  </si>
  <si>
    <t>T</t>
  </si>
  <si>
    <t>S2</t>
  </si>
  <si>
    <t>Victoria Prep</t>
  </si>
  <si>
    <t>S1</t>
  </si>
  <si>
    <t>V1EGFP</t>
  </si>
  <si>
    <t>S</t>
  </si>
  <si>
    <t>SRV3 Env V2</t>
  </si>
  <si>
    <t>R2</t>
  </si>
  <si>
    <t>SRV3 Env (BabFC Env CT) V2</t>
  </si>
  <si>
    <t>R1</t>
  </si>
  <si>
    <t>SRV3 Env (BabFC Env CT)</t>
  </si>
  <si>
    <t>R</t>
  </si>
  <si>
    <t>SRV3 Env</t>
  </si>
  <si>
    <t>Q2</t>
  </si>
  <si>
    <t>SIV Nef</t>
  </si>
  <si>
    <t>Q1</t>
  </si>
  <si>
    <t>rBST2 14GEMWK18</t>
  </si>
  <si>
    <t>Q</t>
  </si>
  <si>
    <t>rBST2 14GEMGK18</t>
  </si>
  <si>
    <t>P2</t>
  </si>
  <si>
    <t>rBST2 14GEMGG18</t>
  </si>
  <si>
    <t>P1</t>
  </si>
  <si>
    <t>rBST2 14GEIWK18</t>
  </si>
  <si>
    <t>P</t>
  </si>
  <si>
    <t>rBST2</t>
  </si>
  <si>
    <t>O2</t>
  </si>
  <si>
    <t>pSARM4 dPsi EGFP</t>
  </si>
  <si>
    <t>O1</t>
  </si>
  <si>
    <t>pSARM4</t>
  </si>
  <si>
    <t>O</t>
  </si>
  <si>
    <t>pLXIN-GFP</t>
  </si>
  <si>
    <t>N2</t>
  </si>
  <si>
    <t>pCIG3N</t>
  </si>
  <si>
    <t>N1</t>
  </si>
  <si>
    <t>pCGCG</t>
  </si>
  <si>
    <t>N</t>
  </si>
  <si>
    <t>pCG-STOP</t>
  </si>
  <si>
    <t>M2</t>
  </si>
  <si>
    <t>None</t>
  </si>
  <si>
    <t>M1</t>
  </si>
  <si>
    <t>MyrNef-G2A SRV3 Env CT V2</t>
  </si>
  <si>
    <t>M</t>
  </si>
  <si>
    <t>MyrNef-G2A SRV3 Env CT</t>
  </si>
  <si>
    <t>L2</t>
  </si>
  <si>
    <t>MyrNef SRV3 Env CT</t>
  </si>
  <si>
    <t>L1</t>
  </si>
  <si>
    <t>MyrNef PtERV Env CT</t>
  </si>
  <si>
    <t>L</t>
  </si>
  <si>
    <t>MyrNef PERV A Env CT</t>
  </si>
  <si>
    <t>K2</t>
  </si>
  <si>
    <t>MyrNef MLV Env CT (BabFC Env CT)</t>
  </si>
  <si>
    <t>K1</t>
  </si>
  <si>
    <t>MyrNef MLV Env CT</t>
  </si>
  <si>
    <t>K</t>
  </si>
  <si>
    <t>MyrNef HERV W Env CT</t>
  </si>
  <si>
    <t>J2</t>
  </si>
  <si>
    <t>MyrNef HERV T Env CT</t>
  </si>
  <si>
    <t>J1</t>
  </si>
  <si>
    <t>MyrNef HERV Pb1 Env CT</t>
  </si>
  <si>
    <t>J</t>
  </si>
  <si>
    <t>MyrNef HERV Fc1 Env CT</t>
  </si>
  <si>
    <t>I2</t>
  </si>
  <si>
    <t>MyrNef BabFC Env CT (MLV Env CT)</t>
  </si>
  <si>
    <t>i1</t>
  </si>
  <si>
    <t>MyrNef BabFC Env CT</t>
  </si>
  <si>
    <t>i</t>
  </si>
  <si>
    <t>MLV Env</t>
  </si>
  <si>
    <t>H3</t>
  </si>
  <si>
    <t>mBST2 14DDMGG18</t>
  </si>
  <si>
    <t>H2</t>
  </si>
  <si>
    <t>mBST2 14DDIWK18</t>
  </si>
  <si>
    <t>H1</t>
  </si>
  <si>
    <t>mBST2 14DDIWG18</t>
  </si>
  <si>
    <t>H</t>
  </si>
  <si>
    <t>mBST2 14DDIGG18</t>
  </si>
  <si>
    <t>G3</t>
  </si>
  <si>
    <t>mBST2 +DDIWK</t>
  </si>
  <si>
    <t>G2</t>
  </si>
  <si>
    <t>mBST2</t>
  </si>
  <si>
    <t>G1</t>
  </si>
  <si>
    <t>LEMUR 2 gmlFC2 Env</t>
  </si>
  <si>
    <t>G</t>
  </si>
  <si>
    <t>HTLV Env</t>
  </si>
  <si>
    <t>F3</t>
  </si>
  <si>
    <t>HTLV</t>
  </si>
  <si>
    <t>F2</t>
  </si>
  <si>
    <t>HIV1 VpuMSD-A14L SRV3 Env CT</t>
  </si>
  <si>
    <t>F1</t>
  </si>
  <si>
    <t>HIV1 VpuMSD SRV3 Env CT</t>
  </si>
  <si>
    <t>E3</t>
  </si>
  <si>
    <t>HIV1 VpuFL-A14L SRV3 Env CT</t>
  </si>
  <si>
    <t>E2</t>
  </si>
  <si>
    <t>HIV1 VpuFL SRV3 Env CT</t>
  </si>
  <si>
    <t>E1</t>
  </si>
  <si>
    <t>HIV1 Vpu MSD-A14L (SRV3 Env CT)</t>
  </si>
  <si>
    <t>D3</t>
  </si>
  <si>
    <t>HIV1 Vpu MSD (SRV3 Env CT)</t>
  </si>
  <si>
    <t>D2</t>
  </si>
  <si>
    <t>HIV1 Vpu FL-A14L (SRV3 Env CT)</t>
  </si>
  <si>
    <t>D1</t>
  </si>
  <si>
    <t>HIV1 Vpu FL (SRV3 Env CT)</t>
  </si>
  <si>
    <t>C3</t>
  </si>
  <si>
    <t>HIV1 Vpu</t>
  </si>
  <si>
    <t>C2</t>
  </si>
  <si>
    <t>HERV FC2 Env</t>
  </si>
  <si>
    <t>Gorilla</t>
  </si>
  <si>
    <t>C1</t>
  </si>
  <si>
    <t>HERV FC1 Env</t>
  </si>
  <si>
    <t>Chimp</t>
  </si>
  <si>
    <t>B3</t>
  </si>
  <si>
    <t>hBST2</t>
  </si>
  <si>
    <t>HeLa</t>
  </si>
  <si>
    <t>B2</t>
  </si>
  <si>
    <t>DOG cfFC1 Env</t>
  </si>
  <si>
    <t>B1</t>
  </si>
  <si>
    <t>BabFC Env V2</t>
  </si>
  <si>
    <t>GP293T</t>
  </si>
  <si>
    <t>A3</t>
  </si>
  <si>
    <t>BabFC Env (SRV3 Env CT)</t>
  </si>
  <si>
    <t>Mouse</t>
  </si>
  <si>
    <t>A2</t>
  </si>
  <si>
    <t>BabFC Env (MLV Env CT)</t>
  </si>
  <si>
    <t>Dog</t>
  </si>
  <si>
    <t>A1</t>
  </si>
  <si>
    <t>D10</t>
  </si>
  <si>
    <t>INFp</t>
  </si>
  <si>
    <t>pSARM4 MER11</t>
  </si>
  <si>
    <t>pcDNA3.1</t>
  </si>
  <si>
    <t>VSVg</t>
  </si>
  <si>
    <t>F</t>
  </si>
  <si>
    <t>BabFC Env</t>
  </si>
  <si>
    <t>Cat</t>
  </si>
  <si>
    <t>E</t>
  </si>
  <si>
    <t>AARDVARK oafFC1 Env</t>
  </si>
  <si>
    <t>Rhesus</t>
  </si>
  <si>
    <t>C</t>
  </si>
  <si>
    <t>pSARM4 WT</t>
  </si>
  <si>
    <t>D</t>
  </si>
  <si>
    <t>Human</t>
  </si>
  <si>
    <t>A</t>
  </si>
  <si>
    <t>INF: 4% PFA in 1X PBS</t>
  </si>
  <si>
    <t>pQCXIP</t>
  </si>
  <si>
    <t>pSARM4 dCTE</t>
  </si>
  <si>
    <t>B</t>
  </si>
  <si>
    <t>TDA: 4% PFA in 1X PBS</t>
  </si>
  <si>
    <t>A, C, E</t>
  </si>
  <si>
    <t>T25</t>
  </si>
  <si>
    <t>T75</t>
  </si>
  <si>
    <t>T175</t>
  </si>
  <si>
    <t>Format</t>
  </si>
  <si>
    <t>TDA: 1.25% ab in 1X PBS</t>
  </si>
  <si>
    <t>B, D, F</t>
  </si>
  <si>
    <t>SA</t>
  </si>
  <si>
    <t>Additive (uL)</t>
  </si>
  <si>
    <t>1X PBS (uL)</t>
  </si>
  <si>
    <t>Solution</t>
  </si>
  <si>
    <t>Modifier</t>
  </si>
  <si>
    <t>Experimental Condition</t>
  </si>
  <si>
    <t>VOLUME (µL)</t>
  </si>
  <si>
    <t>SAMPLE</t>
  </si>
  <si>
    <t>WELL</t>
  </si>
  <si>
    <t>NAME</t>
  </si>
  <si>
    <t>FORMAT</t>
  </si>
  <si>
    <t>Total Lipofectamine/P3000/DNA Mix</t>
  </si>
  <si>
    <t>D0+Lipofectamine+P300</t>
  </si>
  <si>
    <t>Total GJ/DNA Mix Volume</t>
  </si>
  <si>
    <t>D0+GenJet Volume</t>
  </si>
  <si>
    <t>Balance Plasmid Volume</t>
  </si>
  <si>
    <t>Proviral Plasmid Volume</t>
  </si>
  <si>
    <t>Antagonist Plasmid Volume</t>
  </si>
  <si>
    <t>TRANSFECTION CODE</t>
  </si>
  <si>
    <t>TE Buffer Volume (µL)</t>
  </si>
  <si>
    <t>1µg/µL Plasmid Volume (µL)</t>
  </si>
  <si>
    <t>100 ng/µL Total Volume (µL)</t>
  </si>
  <si>
    <t>Tube2</t>
  </si>
  <si>
    <t>Plasmid Name</t>
  </si>
  <si>
    <t>Tube</t>
  </si>
  <si>
    <t>250K</t>
  </si>
  <si>
    <t>500K</t>
  </si>
  <si>
    <t>1M</t>
  </si>
  <si>
    <t>3M</t>
  </si>
  <si>
    <t>6M</t>
  </si>
  <si>
    <t>8M</t>
  </si>
  <si>
    <t>15M</t>
  </si>
  <si>
    <t>Cells to Seed</t>
  </si>
  <si>
    <t>P3000 (uL)</t>
  </si>
  <si>
    <t>Lipofectamine 3000 (uL)</t>
  </si>
  <si>
    <t>DMEM Volume (mL)2</t>
  </si>
  <si>
    <t>GenJet Volume (uL)</t>
  </si>
  <si>
    <t>DMEM Volume (mL)</t>
  </si>
  <si>
    <t>Plasmid Volume (uL)</t>
  </si>
  <si>
    <t>Total Lipofectamine +P3000 +DNA Mix</t>
  </si>
  <si>
    <t>D0 +Lipofectamine +P300</t>
  </si>
  <si>
    <t>Lipofectamine Transfection Mix (µL)2</t>
  </si>
  <si>
    <t>GJ Transfection Mix (µL)</t>
  </si>
  <si>
    <t>Media</t>
  </si>
  <si>
    <t>Well Format</t>
  </si>
  <si>
    <t>Replicates</t>
  </si>
  <si>
    <t>Total Amount Transfected (ug)2</t>
  </si>
  <si>
    <t>Amount Transfected (ug)3</t>
  </si>
  <si>
    <t>Balance Plasmid</t>
  </si>
  <si>
    <t>Total Amount Transfected (ug)3</t>
  </si>
  <si>
    <t>Amount Transfected (ug)2</t>
  </si>
  <si>
    <t>Proviral Plasmid</t>
  </si>
  <si>
    <t>Total Amount Transfected (ug)</t>
  </si>
  <si>
    <t>Amount Transfected (ug)</t>
  </si>
  <si>
    <t>Plasmid Backbone</t>
  </si>
  <si>
    <t>Tetherin Antagonist</t>
  </si>
  <si>
    <t>Tetherin Ortholog</t>
  </si>
  <si>
    <t>Plasmid Code</t>
  </si>
  <si>
    <t>Transfection Code</t>
  </si>
  <si>
    <t>Sample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</si>
</sst>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"/>
    <numFmt numFmtId="165" formatCode="0.0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.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1" fillId="0" borderId="0" xfId="1"/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" fontId="1" fillId="0" borderId="17" xfId="1" applyNumberForma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1" fontId="1" fillId="0" borderId="20" xfId="1" applyNumberFormat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1" fontId="1" fillId="0" borderId="0" xfId="1" applyNumberFormat="1" applyAlignment="1">
      <alignment horizontal="center" vertical="center" wrapText="1"/>
    </xf>
    <xf numFmtId="1" fontId="1" fillId="0" borderId="23" xfId="1" applyNumberForma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horizontal="center" vertical="center" wrapText="1"/>
    </xf>
    <xf numFmtId="165" fontId="1" fillId="0" borderId="0" xfId="1" applyNumberFormat="1" applyAlignment="1">
      <alignment horizontal="center" vertical="center" wrapText="1"/>
    </xf>
    <xf numFmtId="0" fontId="5" fillId="2" borderId="0" xfId="1" applyFont="1" applyFill="1" applyAlignment="1">
      <alignment horizontal="center" textRotation="90" wrapText="1"/>
    </xf>
    <xf numFmtId="0" fontId="6" fillId="2" borderId="28" xfId="1" applyFont="1" applyFill="1" applyBorder="1" applyAlignment="1">
      <alignment horizontal="center" textRotation="90" wrapText="1"/>
    </xf>
    <xf numFmtId="0" fontId="6" fillId="2" borderId="29" xfId="1" applyFont="1" applyFill="1" applyBorder="1" applyAlignment="1">
      <alignment horizontal="center" textRotation="90" wrapText="1"/>
    </xf>
    <xf numFmtId="0" fontId="6" fillId="2" borderId="19" xfId="1" applyFont="1" applyFill="1" applyBorder="1" applyAlignment="1">
      <alignment horizontal="center" textRotation="90" wrapText="1"/>
    </xf>
    <xf numFmtId="0" fontId="6" fillId="2" borderId="30" xfId="1" applyFont="1" applyFill="1" applyBorder="1" applyAlignment="1">
      <alignment horizontal="center" textRotation="90" wrapText="1"/>
    </xf>
    <xf numFmtId="0" fontId="6" fillId="2" borderId="3" xfId="1" applyFont="1" applyFill="1" applyBorder="1" applyAlignment="1">
      <alignment horizontal="center" textRotation="90" wrapText="1"/>
    </xf>
    <xf numFmtId="0" fontId="6" fillId="2" borderId="2" xfId="1" applyFont="1" applyFill="1" applyBorder="1" applyAlignment="1">
      <alignment horizontal="center" textRotation="90" wrapText="1"/>
    </xf>
    <xf numFmtId="0" fontId="6" fillId="2" borderId="1" xfId="1" applyFont="1" applyFill="1" applyBorder="1" applyAlignment="1">
      <alignment horizontal="center" textRotation="90" wrapText="1"/>
    </xf>
    <xf numFmtId="0" fontId="6" fillId="2" borderId="0" xfId="1" applyFont="1" applyFill="1" applyAlignment="1">
      <alignment horizontal="center" textRotation="90" wrapText="1"/>
    </xf>
    <xf numFmtId="0" fontId="6" fillId="2" borderId="14" xfId="1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117"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</dxf>
    <dxf>
      <border outline="0">
        <left style="medium">
          <color rgb="FF000000"/>
        </left>
        <right style="thin">
          <color indexed="64"/>
        </right>
        <top style="medium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1" diagonalDown="0" outline="0">
        <left/>
        <right/>
        <top/>
        <bottom/>
        <diagonal style="thin">
          <color auto="1"/>
        </diagonal>
      </border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2"/>
        <color rgb="FF000000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4" formatCode="0.0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165" formatCode="0.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scheme val="minor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90" wrapText="1" indent="0" justifyLastLine="0" shrinkToFit="0" readingOrder="0"/>
    </dxf>
    <dxf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57138122129312932333435363738403941424344454849505152535456575859606162" displayName="Table157138122129312932333435363738403941424344454849505152535456575859606162" ref="A2:R74" totalsRowShown="0" headerRowDxfId="116" dataDxfId="115">
  <autoFilter ref="A2:R74"/>
  <tableColumns count="18">
    <tableColumn id="1" name=" " dataDxfId="114">
      <calculatedColumnFormula>IF(COUNTIF($F:$F,$F3)&gt;1,$F3&amp;"."&amp;$G3,$F3)</calculatedColumnFormula>
    </tableColumn>
    <tableColumn id="2" name="Cell Type" dataDxfId="113"/>
    <tableColumn id="3" name="GFP" dataDxfId="112"/>
    <tableColumn id="4" name="R-PE" dataDxfId="111"/>
    <tableColumn id="5" name="Notes" dataDxfId="110"/>
    <tableColumn id="6" name="Exp Condition" dataDxfId="109">
      <calculatedColumnFormula>IF(COUNTIF($F$2:$F2,$F2)&lt;3,$F2,$F2+1)</calculatedColumnFormula>
    </tableColumn>
    <tableColumn id="17" name="Replicate" dataDxfId="108">
      <calculatedColumnFormula>COUNTIF($F$2:$F3,$F3)-1</calculatedColumnFormula>
    </tableColumn>
    <tableColumn id="18" name="Column5" dataDxfId="107"/>
    <tableColumn id="16" name="Transfection" dataDxfId="106">
      <calculatedColumnFormula>MOD(F3,10)</calculatedColumnFormula>
    </tableColumn>
    <tableColumn id="14" name="Infection" dataDxfId="105">
      <calculatedColumnFormula>IF(G3=0,"producer cells",G3)</calculatedColumnFormula>
    </tableColumn>
    <tableColumn id="15" name="Column1" dataDxfId="104"/>
    <tableColumn id="7" name="293T | Freq. of Parent" dataDxfId="103" totalsRowDxfId="102"/>
    <tableColumn id="9" name="293T/Single Cells | Freq. of Parent" dataDxfId="101" totalsRowDxfId="100"/>
    <tableColumn id="8" name="293T/Single Cells/GFP+ | Freq. of Parent" dataDxfId="99" totalsRowDxfId="98"/>
    <tableColumn id="10" name="293T/Single Cells/GFP- | Freq. of Parent" dataDxfId="97" totalsRowDxfId="96"/>
    <tableColumn id="11" name="GFP+ | Freq. of Parent" dataDxfId="95" totalsRowDxfId="94"/>
    <tableColumn id="12" name="GFP- | Freq. of Parent" dataDxfId="93"/>
    <tableColumn id="13" name="Column2" dataDxfId="9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192428323139434751556359677579838791959910310711511912312713113614615115616116617118919820721022523424323425225926627327128729428730830132234333735135836537237940040741442142843644345046447147849249950651352053452754154855556255556257657659056959724" displayName="Table192428323139434751556359677579838791959910310711511912312713113614615115616116617118919820721022523424323425225926627327128729428730830132234333735135836537237940040741442142843644345046447147849249950651352053452754154855556255556257657659056959724" ref="W1:AD87" totalsRowShown="0" headerRowDxfId="91" dataDxfId="90">
  <autoFilter ref="W1:AD87"/>
  <sortState ref="W2:AD87">
    <sortCondition descending="1" ref="X2:X65"/>
    <sortCondition descending="1" ref="Y2:Y65"/>
    <sortCondition descending="1" ref="Z2:Z65"/>
    <sortCondition ref="W2:W65"/>
  </sortState>
  <tableColumns count="8">
    <tableColumn id="1" name="TRANSFECTION CODE" dataDxfId="89"/>
    <tableColumn id="3" name="Antagonist Plasmid Volume" dataDxfId="88" dataCellStyle="Normal 2">
      <calculatedColumnFormula>ROUND((1.05*IFERROR(10*SUMIF($B:$B,$W2,$H:$H),0)),0)</calculatedColumnFormula>
    </tableColumn>
    <tableColumn id="4" name="Proviral Plasmid Volume" dataDxfId="87" dataCellStyle="Normal 2">
      <calculatedColumnFormula>ROUND((1.05*IFERROR(10*SUMIF($B:$B,$W2,$K:$K),0)),0)</calculatedColumnFormula>
    </tableColumn>
    <tableColumn id="2" name="Balance Plasmid Volume" dataDxfId="86" dataCellStyle="Normal 2">
      <calculatedColumnFormula>ROUND((1.05*IFERROR(10*SUMIF($B:$B,$W2,$N:$N),0)),0)</calculatedColumnFormula>
    </tableColumn>
    <tableColumn id="6" name="D0+GenJet Volume" dataDxfId="85" dataCellStyle="Comma 2">
      <calculatedColumnFormula>ROUNDUP(((SUM($X2:$Z2)*10.3)),0)</calculatedColumnFormula>
    </tableColumn>
    <tableColumn id="10" name="Total GJ/DNA Mix Volume" dataDxfId="84" dataCellStyle="Normal 2">
      <calculatedColumnFormula>ROUND(((SUM($X2:$Z2)*11.3)),0)</calculatedColumnFormula>
    </tableColumn>
    <tableColumn id="8" name="D0 +Lipofectamine +P300" dataDxfId="83" dataCellStyle="Comma 2">
      <calculatedColumnFormula>ROUNDUP(((SUM($X2:$Z2)*10.425)),0)</calculatedColumnFormula>
    </tableColumn>
    <tableColumn id="9" name="Total Lipofectamine +P3000 +DNA Mix" dataDxfId="82" dataCellStyle="Normal 2">
      <calculatedColumnFormula>ROUND(((SUM($X2:$Z2)*11.425)),0)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e202529333640444852566460687680848892961001041081161201241281321371471521571621671721901992082172262352442352532602672742812882952883093023233443383523593663733804014084154224294374444514654724794935005075145215355285425495565635565635775775915706725" displayName="Table202529333640444852566460687680848892961001041081161201241281321371471521571621671721901992082172262352442352532602672742812882952883093023233443383523593663733804014084154224294374444514654724794935005075145215355285425495565635565635775775915706725" ref="AF1:AK2" totalsRowShown="0" headerRowDxfId="81" dataDxfId="80">
  <autoFilter ref="AF1:AK2"/>
  <tableColumns count="6">
    <tableColumn id="1" name="Plasmid Volume (uL)" dataDxfId="79">
      <calculatedColumnFormula>SUM($X:$Z)</calculatedColumnFormula>
    </tableColumn>
    <tableColumn id="4" name="DMEM Volume (mL)" dataDxfId="78" totalsRowDxfId="77">
      <calculatedColumnFormula>ROUNDUP((1/1000)*$AH2*10/0.3,1)</calculatedColumnFormula>
    </tableColumn>
    <tableColumn id="5" name="GenJet Volume (uL)" dataDxfId="76" totalsRowDxfId="75">
      <calculatedColumnFormula>ROUNDUP(($AF$2*0.3*1.05),0)</calculatedColumnFormula>
    </tableColumn>
    <tableColumn id="2" name="DMEM Volume (mL)2" dataDxfId="74" totalsRowDxfId="73">
      <calculatedColumnFormula>ROUNDUP((1/1000)*$AK$2*10/0.2,1)</calculatedColumnFormula>
    </tableColumn>
    <tableColumn id="6" name="Lipofectamine 3000 (uL)" dataDxfId="72" totalsRowDxfId="71">
      <calculatedColumnFormula>$AK$2*0.225/0.2</calculatedColumnFormula>
    </tableColumn>
    <tableColumn id="3" name="P3000 (uL)" dataDxfId="70" totalsRowDxfId="69">
      <calculatedColumnFormula>ROUNDUP(($AF$2*0.2*1.05),0)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Table212630343741454953576561697781858993971011051091171211251291331381481531581631681731912002092182272362452362542612682752822892962893103033243453393533603673743814024094164234304384454524664734804945015085155225365295435505575645575645785785925716726" displayName="Table212630343741454953576561697781858993971011051091171211251291331381481531581631681731912002092182272362452362542612682752822892962893103033243453393533603673743814024094164234304384454524664734804945015085155225365295435505575645575645785785925716726" ref="AM1:AT14" totalsRowShown="0" headerRowDxfId="68" dataDxfId="67">
  <autoFilter ref="AM1:AT14"/>
  <tableColumns count="8">
    <tableColumn id="1" name="Cells to Seed" dataDxfId="66"/>
    <tableColumn id="7" name="15M" dataDxfId="65" dataCellStyle="Normal 2">
      <calculatedColumnFormula>SUMIFS($Q:$Q,$D:$D,$AM2,$R:$R,AN$2)</calculatedColumnFormula>
    </tableColumn>
    <tableColumn id="5" name="8M" dataDxfId="64"/>
    <tableColumn id="8" name="6M" dataDxfId="63" dataCellStyle="Normal 2"/>
    <tableColumn id="6" name="3M" dataDxfId="62" dataCellStyle="Normal 2"/>
    <tableColumn id="2" name="1M" dataDxfId="61">
      <calculatedColumnFormula>COUNTIFS($D:$D,$AM2,$R:$R,AR$2)</calculatedColumnFormula>
    </tableColumn>
    <tableColumn id="3" name="500K" dataDxfId="60">
      <calculatedColumnFormula>COUNTIFS($D:$D,$AM2,$R:$R,AS$2)</calculatedColumnFormula>
    </tableColumn>
    <tableColumn id="4" name="250K" dataDxfId="59">
      <calculatedColumnFormula>COUNTIFS($D:$D,$AM2,$R:$R,AT$2)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5" name="Table134140150155160165170175193202211219228237246237255262269276283290297290311304325346340354361368375382403410417424431439446453467474481495502509516523537530544551558565558565579579593572602609616631636643650671678685692699706713727" displayName="Table134140150155160165170175193202211219228237246237255262269276283290297290311304325346340354361368375382403410417424431439446453467474481495502509516523537530544551558565558565579579593572602609616631636643650671678685692699706713727" ref="AV1:BA65" totalsRowShown="0" headerRowDxfId="58" dataDxfId="57">
  <autoFilter ref="AV1:BA65"/>
  <sortState ref="AV2:BA65">
    <sortCondition descending="1" ref="AY2:AY28"/>
    <sortCondition ref="AW2:AW28"/>
  </sortState>
  <tableColumns count="6">
    <tableColumn id="6" name="Tube" dataDxfId="56">
      <calculatedColumnFormula>IF($AV1="Tube",1,$AV1+1)</calculatedColumnFormula>
    </tableColumn>
    <tableColumn id="1" name="Plasmid Name" dataDxfId="55"/>
    <tableColumn id="7" name="Tube2" dataDxfId="54">
      <calculatedColumnFormula>IF($AX1="Tube2",1,$AX1+1)</calculatedColumnFormula>
    </tableColumn>
    <tableColumn id="2" name="100 ng/µL Total Volume (µL)" dataDxfId="53">
      <calculatedColumnFormula>SUM($AZ2:$BA2)</calculatedColumnFormula>
    </tableColumn>
    <tableColumn id="3" name="1µg/µL Plasmid Volume (µL)" dataDxfId="52" dataCellStyle="Normal 2">
      <calculatedColumnFormula>ROUNDUP($BA2/9,0)</calculatedColumnFormula>
    </tableColumn>
    <tableColumn id="4" name="TE Buffer Volume (µL)" dataDxfId="51" dataCellStyle="Normal 2">
      <calculatedColumnFormula>ROUNDUP(10.5*IFERROR((SUMIF($I:$I,$AW2,$K:$K)+SUMIF($L:$L,$AW2,$N:$N)+SUMIF($E:$E,$AW2,$H:$H)),0),0)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6" name="Table175194203212220229238247238256263270277284291298291312305326347341355362369376383404411418425432440447454468475482496503510517524538531545552559566559566580580594573603610617632637644651672679686693700707714728" displayName="Table175194203212220229238247238256263270277284291298291312305326347341355362369376383404411418425432440447454468475482496503510517524538531545552559566559566580580594573603610617632637644651672679686693700707714728" ref="BC1:BJ3" totalsRowShown="0" headerRowDxfId="50" dataDxfId="48" headerRowBorderDxfId="49" tableBorderDxfId="47" dataCellStyle="Normal 2">
  <autoFilter ref="BC1:BJ3"/>
  <tableColumns count="8">
    <tableColumn id="1" name="TRANSFECTION CODE" dataDxfId="46" dataCellStyle="Normal 2"/>
    <tableColumn id="2" name="Antagonist Plasmid Volume" dataDxfId="45" dataCellStyle="Normal 2"/>
    <tableColumn id="3" name="Proviral Plasmid Volume" dataDxfId="44" dataCellStyle="Normal 2"/>
    <tableColumn id="4" name="Balance Plasmid Volume" dataDxfId="43" dataCellStyle="Normal 2"/>
    <tableColumn id="5" name="D0+GenJet Volume" dataDxfId="42" dataCellStyle="Normal 2"/>
    <tableColumn id="6" name="Total GJ/DNA Mix Volume" dataDxfId="41" dataCellStyle="Normal 2"/>
    <tableColumn id="7" name="D0+Lipofectamine+P300" dataDxfId="40" dataCellStyle="Normal 2"/>
    <tableColumn id="8" name="Total Lipofectamine/P3000/DNA Mix" dataDxfId="39" dataCellStyle="Normal 2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7" name="Table101014151316171819233538424650545866627078828690949810210611011812212613013413914915415916416917419221622423324225124025826527227828529229929231330632734834235636337037738440541241942643344144845546947648349750451151852553953254655356056756056758729" displayName="Table101014151316171819233538424650545866627078828690949810210611011812212613013413914915415916416917419221622423324225124025826527227828529229929231330632734834235636337037738440541241942643344144845546947648349750451151852553953254655356056756056758729" ref="A1:U8" totalsRowShown="0" headerRowDxfId="38" dataDxfId="37" dataCellStyle="Normal 2">
  <autoFilter ref="A1:U8"/>
  <tableColumns count="21">
    <tableColumn id="2" name="Sample Number" dataDxfId="36" dataCellStyle="Normal 2"/>
    <tableColumn id="16" name="Transfection Code" dataDxfId="35" dataCellStyle="Normal 2"/>
    <tableColumn id="22" name="Plasmid Code" dataDxfId="34" dataCellStyle="Normal 2"/>
    <tableColumn id="3" name="Tetherin Ortholog" dataDxfId="33" dataCellStyle="Normal 2"/>
    <tableColumn id="4" name="Tetherin Antagonist" dataDxfId="32" dataCellStyle="Normal 2"/>
    <tableColumn id="5" name="Plasmid Backbone" dataDxfId="31" dataCellStyle="Normal 2"/>
    <tableColumn id="6" name="Amount Transfected (ug)" dataDxfId="30" dataCellStyle="Normal 2"/>
    <tableColumn id="9" name="Total Amount Transfected (ug)" dataDxfId="29" dataCellStyle="Normal 2"/>
    <tableColumn id="7" name="Proviral Plasmid" dataDxfId="28" dataCellStyle="Normal 2"/>
    <tableColumn id="8" name="Amount Transfected (ug)2" dataDxfId="27" dataCellStyle="Normal 2"/>
    <tableColumn id="17" name="Total Amount Transfected (ug)3" dataDxfId="26" dataCellStyle="Normal 2"/>
    <tableColumn id="15" name="Balance Plasmid" dataDxfId="25" dataCellStyle="Normal 2"/>
    <tableColumn id="14" name="Amount Transfected (ug)3" dataDxfId="24" dataCellStyle="Normal 2"/>
    <tableColumn id="19" name="Total Amount Transfected (ug)2" dataDxfId="23" dataCellStyle="Normal 2"/>
    <tableColumn id="11" name="Notes" dataDxfId="22" dataCellStyle="Normal 2"/>
    <tableColumn id="33" name="Experimental Condition" dataDxfId="21" dataCellStyle="Normal 2"/>
    <tableColumn id="32" name="Replicates" dataDxfId="20" dataCellStyle="Normal 2"/>
    <tableColumn id="12" name="Well Format" dataDxfId="19" dataCellStyle="Normal 2"/>
    <tableColumn id="31" name="Media" dataDxfId="18" dataCellStyle="Normal 2"/>
    <tableColumn id="18" name="GJ Transfection Mix (µL)" dataDxfId="17" dataCellStyle="Normal 2"/>
    <tableColumn id="21" name="Lipofectamine Transfection Mix (µL)2" dataDxfId="16" dataCellStyle="Normal 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8" name="Table176195204213221230239248239257264271279286293300293314307328349350357364371378385406413420427434442449456470477484498505512519526540533547554561568561568582582596575605612619634639646653674681688695702709716730" displayName="Table176195204213221230239248239257264271279286293300293314307328349350357364371378385406413420427434442449456470477484498505512519526540533547554561568561568582582596575605612619634639646653674681688695702709716730" ref="BL1:BR18" totalsRowShown="0" headerRowDxfId="15" dataDxfId="14" tableBorderDxfId="13">
  <autoFilter ref="BL1:BR18"/>
  <tableColumns count="7">
    <tableColumn id="1" name="FORMAT" dataDxfId="12"/>
    <tableColumn id="2" name="NAME" dataDxfId="11"/>
    <tableColumn id="3" name="WELL" dataDxfId="10">
      <calculatedColumnFormula>IF($BL2=22,COUNTIFS($BL$1:$BL2,$BL2,$BM$1:$BM2,$BM2),IF(COUNTIFS($BL$1:$BL2,$BL2,$BM$1:$BM2,$BM2)=1,"C",IF(COUNTIFS($BL$1:$BL2,$BL2,$BM$1:$BM2,$BM2)=$BL2+2,"C",COUNTIFS($BL$1:$BL2,$BL2,$BM$1:$BM2,$BM2)-1)))</calculatedColumnFormula>
    </tableColumn>
    <tableColumn id="4" name="SAMPLE" dataDxfId="9">
      <calculatedColumnFormula>IF($BQ2="Ladder","L", IF($BQ2="Empty", "E", $BQ2&amp;$BR2))</calculatedColumnFormula>
    </tableColumn>
    <tableColumn id="5" name="VOLUME (µL)" dataDxfId="8" dataCellStyle="Normal 2">
      <calculatedColumnFormula>IF($BL2=22,IF($BO2="L",IF(COUNTIFS($BM$1:$BM2,$BM2,$BO$1:$BO2,"L")&gt;1,"1+4","5"),5),IF($BN2="C",IF($BO2="L",1,IF($BO2="","","")),IF($BO2="L",IF(COUNTIFS($BM$1:$BM2,$BM2,$BN$1:$BN2,"&lt;&gt;C",$BO$1:$BO2,"L")&gt;1,"1+9","5+5"),10)))</calculatedColumnFormula>
    </tableColumn>
    <tableColumn id="6" name="Experimental Condition" dataDxfId="7"/>
    <tableColumn id="7" name="Modifier" dataDxfId="6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9" name="Table730" displayName="Table730" ref="BT1:BV4" totalsRowShown="0" headerRowDxfId="5" dataDxfId="4" tableBorderDxfId="3">
  <autoFilter ref="BT1:BV4"/>
  <tableColumns count="3">
    <tableColumn id="1" name="Solution" dataDxfId="2"/>
    <tableColumn id="2" name="1X PBS (uL)" dataDxfId="1" dataCellStyle="Normal 2"/>
    <tableColumn id="3" name="Additive (uL)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G28" zoomScale="72" zoomScaleNormal="72" zoomScaleSheetLayoutView="120" workbookViewId="0">
      <selection activeCell="N19" sqref="N1:N1048576"/>
    </sheetView>
  </sheetViews>
  <sheetFormatPr defaultColWidth="10.84375" defaultRowHeight="15.5"/>
  <cols>
    <col min="1" max="1" width="6.69140625" style="5" bestFit="1" customWidth="1"/>
    <col min="2" max="2" width="13.69140625" style="1" bestFit="1" customWidth="1"/>
    <col min="3" max="3" width="9.4609375" style="1" bestFit="1" customWidth="1"/>
    <col min="4" max="4" width="8.4609375" style="1" hidden="1" customWidth="1"/>
    <col min="5" max="5" width="17.84375" style="8" customWidth="1"/>
    <col min="6" max="6" width="14.69140625" style="1" customWidth="1"/>
    <col min="7" max="7" width="5.15234375" style="1" customWidth="1"/>
    <col min="8" max="8" width="13.3046875" style="1" bestFit="1" customWidth="1"/>
    <col min="9" max="9" width="13.4609375" style="1" customWidth="1"/>
    <col min="10" max="10" width="13.3046875" style="1" bestFit="1" customWidth="1"/>
    <col min="11" max="11" width="18.84375" style="1" bestFit="1" customWidth="1"/>
    <col min="12" max="13" width="17.15234375" style="1" customWidth="1"/>
    <col min="14" max="14" width="36.61328125" style="1" customWidth="1"/>
    <col min="15" max="15" width="17.15234375" style="1" customWidth="1"/>
    <col min="16" max="16" width="29.765625" style="1" customWidth="1"/>
    <col min="17" max="18" width="17.15234375" style="1" customWidth="1"/>
    <col min="19" max="19" width="10.84375" style="1"/>
    <col min="20" max="20" width="6.84375" style="1" customWidth="1"/>
    <col min="21" max="21" width="9" style="1" bestFit="1" customWidth="1"/>
    <col min="22" max="22" width="8.4609375" style="1" bestFit="1" customWidth="1"/>
    <col min="23" max="23" width="8.4609375" style="1" customWidth="1"/>
    <col min="24" max="24" width="19.84375" style="1" customWidth="1"/>
    <col min="25" max="27" width="5.69140625" style="1" customWidth="1"/>
    <col min="28" max="28" width="6.84375" style="1" customWidth="1"/>
    <col min="29" max="29" width="9" style="1" bestFit="1" customWidth="1"/>
    <col min="30" max="31" width="7.69140625" style="1" bestFit="1" customWidth="1"/>
    <col min="32" max="32" width="12" style="1" customWidth="1"/>
    <col min="33" max="35" width="5.69140625" style="1" customWidth="1"/>
    <col min="36" max="36" width="6.84375" style="1" customWidth="1"/>
    <col min="37" max="37" width="9" style="1" bestFit="1" customWidth="1"/>
    <col min="38" max="39" width="7.69140625" style="1" bestFit="1" customWidth="1"/>
    <col min="40" max="40" width="29.15234375" style="1" bestFit="1" customWidth="1"/>
    <col min="41" max="16384" width="10.84375" style="1"/>
  </cols>
  <sheetData>
    <row r="1" spans="1:18" ht="19.5">
      <c r="A1" s="58" t="s">
        <v>0</v>
      </c>
      <c r="B1" s="59"/>
      <c r="C1" s="59"/>
      <c r="D1" s="59"/>
      <c r="E1" s="60"/>
      <c r="N1" s="1" t="s">
        <v>1</v>
      </c>
      <c r="O1" s="1" t="s">
        <v>2</v>
      </c>
    </row>
    <row r="2" spans="1:18">
      <c r="A2" s="2" t="s">
        <v>3</v>
      </c>
      <c r="B2" s="3" t="s">
        <v>4</v>
      </c>
      <c r="C2" s="3" t="s">
        <v>5</v>
      </c>
      <c r="D2" s="3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s="3" t="s">
        <v>19</v>
      </c>
      <c r="R2" s="3" t="s">
        <v>20</v>
      </c>
    </row>
    <row r="3" spans="1:18" ht="17" customHeight="1">
      <c r="A3" s="5">
        <f t="shared" ref="A3:A34" si="0">IF(COUNTIF($F:$F,$F3)&gt;1,10*$F3+$G3,10*$F3)</f>
        <v>110</v>
      </c>
      <c r="B3" s="1" t="s">
        <v>21</v>
      </c>
      <c r="C3" s="1" t="s">
        <v>22</v>
      </c>
      <c r="E3" s="6" t="s">
        <v>23</v>
      </c>
      <c r="F3" s="1">
        <v>11</v>
      </c>
      <c r="G3" s="1">
        <f>COUNTIF($F$2:$F3,$F3)-1</f>
        <v>0</v>
      </c>
      <c r="H3" s="1" t="s">
        <v>24</v>
      </c>
      <c r="I3" s="1">
        <f t="shared" ref="I3:I66" si="1">MOD(F3,10)</f>
        <v>1</v>
      </c>
      <c r="J3" s="1" t="str">
        <f t="shared" ref="J3:J34" si="2">IF(G3=0,"producer cells",G3)</f>
        <v>producer cells</v>
      </c>
      <c r="K3" s="7" t="s">
        <v>25</v>
      </c>
      <c r="L3">
        <v>58.7</v>
      </c>
      <c r="M3">
        <v>96.3</v>
      </c>
      <c r="N3">
        <v>90.6</v>
      </c>
      <c r="O3">
        <v>9.3699999999999992</v>
      </c>
      <c r="P3">
        <v>91.8</v>
      </c>
      <c r="Q3">
        <v>8.19</v>
      </c>
      <c r="R3"/>
    </row>
    <row r="4" spans="1:18" ht="17" customHeight="1">
      <c r="A4" s="5">
        <f t="shared" si="0"/>
        <v>111</v>
      </c>
      <c r="B4" s="1" t="s">
        <v>21</v>
      </c>
      <c r="C4" s="1" t="s">
        <v>26</v>
      </c>
      <c r="E4" s="6" t="s">
        <v>27</v>
      </c>
      <c r="F4" s="1">
        <f>IF(COUNTIF($F$1:$F3,$F3)&lt;4,$F3,IF(RIGHT($F3,1)="3",$F3+8,$F3+1))</f>
        <v>11</v>
      </c>
      <c r="G4" s="1">
        <f>COUNTIF($F$2:$F4,$F4)-1</f>
        <v>1</v>
      </c>
      <c r="H4" s="1" t="str">
        <f>H3</f>
        <v>dCTE</v>
      </c>
      <c r="I4" s="1">
        <f t="shared" si="1"/>
        <v>1</v>
      </c>
      <c r="J4" s="1">
        <f t="shared" si="2"/>
        <v>1</v>
      </c>
      <c r="K4" s="7" t="s">
        <v>28</v>
      </c>
      <c r="L4">
        <v>35</v>
      </c>
      <c r="M4">
        <v>95.8</v>
      </c>
      <c r="N4">
        <v>0.03</v>
      </c>
      <c r="O4">
        <v>100</v>
      </c>
      <c r="P4">
        <v>3.44</v>
      </c>
      <c r="Q4">
        <v>96.6</v>
      </c>
      <c r="R4"/>
    </row>
    <row r="5" spans="1:18" ht="17" customHeight="1">
      <c r="A5" s="5">
        <f t="shared" si="0"/>
        <v>112</v>
      </c>
      <c r="B5" s="1" t="s">
        <v>21</v>
      </c>
      <c r="C5" s="1" t="s">
        <v>26</v>
      </c>
      <c r="E5" s="6" t="s">
        <v>27</v>
      </c>
      <c r="F5" s="1">
        <f>IF(COUNTIF($F$1:$F4,$F4)&lt;4,$F4,IF(RIGHT($F4,1)="3",$F4+8,$F4+1))</f>
        <v>11</v>
      </c>
      <c r="G5" s="1">
        <f>COUNTIF($F$2:$F5,$F5)-1</f>
        <v>2</v>
      </c>
      <c r="H5" s="1" t="str">
        <f t="shared" ref="H5:H14" si="3">H4</f>
        <v>dCTE</v>
      </c>
      <c r="I5" s="1">
        <f t="shared" si="1"/>
        <v>1</v>
      </c>
      <c r="J5" s="1">
        <f t="shared" si="2"/>
        <v>2</v>
      </c>
      <c r="K5" s="7" t="s">
        <v>29</v>
      </c>
      <c r="L5">
        <v>34.4</v>
      </c>
      <c r="M5">
        <v>95.2</v>
      </c>
      <c r="N5">
        <v>0</v>
      </c>
      <c r="O5">
        <v>100</v>
      </c>
      <c r="P5">
        <v>4.57</v>
      </c>
      <c r="Q5">
        <v>95.4</v>
      </c>
      <c r="R5"/>
    </row>
    <row r="6" spans="1:18" ht="17" customHeight="1">
      <c r="A6" s="5">
        <f t="shared" si="0"/>
        <v>113</v>
      </c>
      <c r="B6" s="1" t="s">
        <v>21</v>
      </c>
      <c r="C6" s="1" t="s">
        <v>26</v>
      </c>
      <c r="E6" s="6" t="s">
        <v>27</v>
      </c>
      <c r="F6" s="1">
        <f>IF(COUNTIF($F$1:$F5,$F5)&lt;4,$F5,IF(RIGHT($F5,1)="3",$F5+8,$F5+1))</f>
        <v>11</v>
      </c>
      <c r="G6" s="1">
        <f>COUNTIF($F$2:$F6,$F6)-1</f>
        <v>3</v>
      </c>
      <c r="H6" s="1" t="str">
        <f t="shared" si="3"/>
        <v>dCTE</v>
      </c>
      <c r="I6" s="1">
        <f t="shared" si="1"/>
        <v>1</v>
      </c>
      <c r="J6" s="1">
        <f t="shared" si="2"/>
        <v>3</v>
      </c>
      <c r="K6" s="7" t="s">
        <v>30</v>
      </c>
      <c r="L6">
        <v>36.4</v>
      </c>
      <c r="M6">
        <v>95.1</v>
      </c>
      <c r="N6">
        <v>5.8000000000000003E-2</v>
      </c>
      <c r="O6">
        <v>99.9</v>
      </c>
      <c r="P6">
        <v>3.19</v>
      </c>
      <c r="Q6">
        <v>96.8</v>
      </c>
      <c r="R6"/>
    </row>
    <row r="7" spans="1:18" ht="17" customHeight="1">
      <c r="A7" s="5">
        <f t="shared" si="0"/>
        <v>120</v>
      </c>
      <c r="B7" s="1" t="s">
        <v>21</v>
      </c>
      <c r="C7" s="1" t="s">
        <v>22</v>
      </c>
      <c r="E7" s="6" t="s">
        <v>23</v>
      </c>
      <c r="F7" s="1">
        <f>IF(COUNTIF($F$1:$F6,$F6)&lt;4,$F6,IF(RIGHT($F6,1)="3",$F6+8,$F6+1))</f>
        <v>12</v>
      </c>
      <c r="G7" s="1">
        <f>COUNTIF($F$2:$F7,$F7)-1</f>
        <v>0</v>
      </c>
      <c r="H7" s="1" t="str">
        <f t="shared" si="3"/>
        <v>dCTE</v>
      </c>
      <c r="I7" s="1">
        <f t="shared" si="1"/>
        <v>2</v>
      </c>
      <c r="J7" s="1" t="str">
        <f t="shared" si="2"/>
        <v>producer cells</v>
      </c>
      <c r="K7" s="7" t="s">
        <v>31</v>
      </c>
      <c r="L7">
        <v>53.2</v>
      </c>
      <c r="M7">
        <v>95.3</v>
      </c>
      <c r="N7">
        <v>90.6</v>
      </c>
      <c r="O7">
        <v>9.43</v>
      </c>
      <c r="P7">
        <v>93.1</v>
      </c>
      <c r="Q7">
        <v>6.92</v>
      </c>
      <c r="R7"/>
    </row>
    <row r="8" spans="1:18" ht="17" customHeight="1">
      <c r="A8" s="5">
        <f t="shared" si="0"/>
        <v>121</v>
      </c>
      <c r="B8" s="1" t="s">
        <v>21</v>
      </c>
      <c r="C8" s="1" t="s">
        <v>26</v>
      </c>
      <c r="E8" s="6"/>
      <c r="F8" s="1">
        <f>IF(COUNTIF($F$1:$F7,$F7)&lt;4,$F7,IF(RIGHT($F7,1)="3",$F7+8,$F7+1))</f>
        <v>12</v>
      </c>
      <c r="G8" s="1">
        <f>COUNTIF($F$2:$F8,$F8)-1</f>
        <v>1</v>
      </c>
      <c r="H8" s="1" t="str">
        <f t="shared" si="3"/>
        <v>dCTE</v>
      </c>
      <c r="I8" s="1">
        <f t="shared" si="1"/>
        <v>2</v>
      </c>
      <c r="J8" s="1">
        <f t="shared" si="2"/>
        <v>1</v>
      </c>
      <c r="K8" s="7" t="s">
        <v>32</v>
      </c>
      <c r="L8">
        <v>33.1</v>
      </c>
      <c r="M8">
        <v>95.7</v>
      </c>
      <c r="N8">
        <v>3.2000000000000001E-2</v>
      </c>
      <c r="O8">
        <v>100</v>
      </c>
      <c r="P8">
        <v>4.32</v>
      </c>
      <c r="Q8">
        <v>95.7</v>
      </c>
      <c r="R8"/>
    </row>
    <row r="9" spans="1:18" ht="17" customHeight="1">
      <c r="A9" s="5">
        <f t="shared" si="0"/>
        <v>122</v>
      </c>
      <c r="B9" s="1" t="s">
        <v>21</v>
      </c>
      <c r="C9" s="1" t="s">
        <v>26</v>
      </c>
      <c r="E9" s="6"/>
      <c r="F9" s="1">
        <f>IF(COUNTIF($F$1:$F8,$F8)&lt;4,$F8,IF(RIGHT($F8,1)="3",$F8+8,$F8+1))</f>
        <v>12</v>
      </c>
      <c r="G9" s="1">
        <f>COUNTIF($F$2:$F9,$F9)-1</f>
        <v>2</v>
      </c>
      <c r="H9" s="1" t="str">
        <f t="shared" si="3"/>
        <v>dCTE</v>
      </c>
      <c r="I9" s="1">
        <f t="shared" si="1"/>
        <v>2</v>
      </c>
      <c r="J9" s="1">
        <f t="shared" si="2"/>
        <v>2</v>
      </c>
      <c r="K9" s="7" t="s">
        <v>33</v>
      </c>
      <c r="L9">
        <v>31.6</v>
      </c>
      <c r="M9">
        <v>96.2</v>
      </c>
      <c r="N9">
        <v>3.3000000000000002E-2</v>
      </c>
      <c r="O9">
        <v>100</v>
      </c>
      <c r="P9">
        <v>3.72</v>
      </c>
      <c r="Q9">
        <v>96.3</v>
      </c>
      <c r="R9"/>
    </row>
    <row r="10" spans="1:18" ht="17" customHeight="1">
      <c r="A10" s="5">
        <f t="shared" si="0"/>
        <v>123</v>
      </c>
      <c r="B10" s="1" t="s">
        <v>21</v>
      </c>
      <c r="C10" s="1" t="s">
        <v>26</v>
      </c>
      <c r="E10" s="6"/>
      <c r="F10" s="1">
        <f>IF(COUNTIF($F$1:$F9,$F9)&lt;4,$F9,IF(RIGHT($F9,1)="3",$F9+8,$F9+1))</f>
        <v>12</v>
      </c>
      <c r="G10" s="1">
        <f>COUNTIF($F$2:$F10,$F10)-1</f>
        <v>3</v>
      </c>
      <c r="H10" s="1" t="str">
        <f t="shared" si="3"/>
        <v>dCTE</v>
      </c>
      <c r="I10" s="1">
        <f t="shared" si="1"/>
        <v>2</v>
      </c>
      <c r="J10" s="1">
        <f t="shared" si="2"/>
        <v>3</v>
      </c>
      <c r="K10" s="7" t="s">
        <v>34</v>
      </c>
      <c r="L10">
        <v>33.799999999999997</v>
      </c>
      <c r="M10">
        <v>95.7</v>
      </c>
      <c r="N10">
        <v>3.1E-2</v>
      </c>
      <c r="O10">
        <v>100</v>
      </c>
      <c r="P10">
        <v>2.95</v>
      </c>
      <c r="Q10">
        <v>97</v>
      </c>
      <c r="R10"/>
    </row>
    <row r="11" spans="1:18" ht="17" customHeight="1">
      <c r="A11" s="5">
        <f t="shared" si="0"/>
        <v>130</v>
      </c>
      <c r="B11" s="1" t="s">
        <v>21</v>
      </c>
      <c r="C11" s="1" t="s">
        <v>22</v>
      </c>
      <c r="E11" s="6" t="s">
        <v>23</v>
      </c>
      <c r="F11" s="1">
        <f>IF(COUNTIF($F$1:$F10,$F10)&lt;4,$F10,IF(RIGHT($F10,1)="3",$F10+8,$F10+1))</f>
        <v>13</v>
      </c>
      <c r="G11" s="1">
        <f>COUNTIF($F$2:$F11,$F11)-1</f>
        <v>0</v>
      </c>
      <c r="H11" s="1" t="str">
        <f t="shared" si="3"/>
        <v>dCTE</v>
      </c>
      <c r="I11" s="1">
        <f t="shared" si="1"/>
        <v>3</v>
      </c>
      <c r="J11" s="1" t="str">
        <f t="shared" si="2"/>
        <v>producer cells</v>
      </c>
      <c r="K11" s="7" t="s">
        <v>35</v>
      </c>
      <c r="L11">
        <v>55.9</v>
      </c>
      <c r="M11">
        <v>95.8</v>
      </c>
      <c r="N11">
        <v>90.4</v>
      </c>
      <c r="O11">
        <v>9.6</v>
      </c>
      <c r="P11">
        <v>92.8</v>
      </c>
      <c r="Q11">
        <v>7.24</v>
      </c>
      <c r="R11"/>
    </row>
    <row r="12" spans="1:18" ht="17" customHeight="1">
      <c r="A12" s="5">
        <f t="shared" si="0"/>
        <v>131</v>
      </c>
      <c r="B12" s="1" t="s">
        <v>21</v>
      </c>
      <c r="C12" s="1" t="s">
        <v>26</v>
      </c>
      <c r="E12" s="6"/>
      <c r="F12" s="1">
        <f>IF(COUNTIF($F$1:$F11,$F11)&lt;4,$F11,IF(RIGHT($F11,1)="3",$F11+8,$F11+1))</f>
        <v>13</v>
      </c>
      <c r="G12" s="1">
        <f>COUNTIF($F$2:$F12,$F12)-1</f>
        <v>1</v>
      </c>
      <c r="H12" s="1" t="str">
        <f t="shared" si="3"/>
        <v>dCTE</v>
      </c>
      <c r="I12" s="1">
        <f t="shared" si="1"/>
        <v>3</v>
      </c>
      <c r="J12" s="1">
        <f t="shared" si="2"/>
        <v>1</v>
      </c>
      <c r="K12" s="7" t="s">
        <v>36</v>
      </c>
      <c r="L12">
        <v>32.5</v>
      </c>
      <c r="M12">
        <v>95.4</v>
      </c>
      <c r="N12">
        <v>3.2000000000000001E-2</v>
      </c>
      <c r="O12">
        <v>100</v>
      </c>
      <c r="P12">
        <v>4.41</v>
      </c>
      <c r="Q12">
        <v>95.6</v>
      </c>
      <c r="R12"/>
    </row>
    <row r="13" spans="1:18" ht="17" customHeight="1">
      <c r="A13" s="5">
        <f t="shared" si="0"/>
        <v>132</v>
      </c>
      <c r="B13" s="1" t="s">
        <v>21</v>
      </c>
      <c r="C13" s="1" t="s">
        <v>26</v>
      </c>
      <c r="E13" s="6"/>
      <c r="F13" s="1">
        <f>IF(COUNTIF($F$1:$F12,$F12)&lt;4,$F12,IF(RIGHT($F12,1)="3",$F12+8,$F12+1))</f>
        <v>13</v>
      </c>
      <c r="G13" s="1">
        <f>COUNTIF($F$2:$F13,$F13)-1</f>
        <v>2</v>
      </c>
      <c r="H13" s="1" t="str">
        <f t="shared" si="3"/>
        <v>dCTE</v>
      </c>
      <c r="I13" s="1">
        <f t="shared" si="1"/>
        <v>3</v>
      </c>
      <c r="J13" s="1">
        <f t="shared" si="2"/>
        <v>2</v>
      </c>
      <c r="K13" s="7" t="s">
        <v>37</v>
      </c>
      <c r="L13">
        <v>31.9</v>
      </c>
      <c r="M13">
        <v>94.8</v>
      </c>
      <c r="N13">
        <v>6.6000000000000003E-2</v>
      </c>
      <c r="O13">
        <v>99.9</v>
      </c>
      <c r="P13">
        <v>4.42</v>
      </c>
      <c r="Q13">
        <v>95.6</v>
      </c>
      <c r="R13"/>
    </row>
    <row r="14" spans="1:18" ht="17" customHeight="1">
      <c r="A14" s="5">
        <f t="shared" si="0"/>
        <v>133</v>
      </c>
      <c r="B14" s="1" t="s">
        <v>21</v>
      </c>
      <c r="C14" s="1" t="s">
        <v>26</v>
      </c>
      <c r="E14" s="6"/>
      <c r="F14" s="1">
        <f>IF(COUNTIF($F$1:$F13,$F13)&lt;4,$F13,IF(RIGHT($F13,1)="3",$F13+8,$F13+1))</f>
        <v>13</v>
      </c>
      <c r="G14" s="1">
        <f>COUNTIF($F$2:$F14,$F14)-1</f>
        <v>3</v>
      </c>
      <c r="H14" s="1" t="str">
        <f t="shared" si="3"/>
        <v>dCTE</v>
      </c>
      <c r="I14" s="1">
        <f t="shared" si="1"/>
        <v>3</v>
      </c>
      <c r="J14" s="1">
        <f t="shared" si="2"/>
        <v>3</v>
      </c>
      <c r="K14" s="7" t="s">
        <v>38</v>
      </c>
      <c r="L14">
        <v>30.2</v>
      </c>
      <c r="M14">
        <v>95</v>
      </c>
      <c r="N14">
        <v>3.5000000000000003E-2</v>
      </c>
      <c r="O14">
        <v>100</v>
      </c>
      <c r="P14">
        <v>5.0199999999999996</v>
      </c>
      <c r="Q14">
        <v>95</v>
      </c>
      <c r="R14"/>
    </row>
    <row r="15" spans="1:18" ht="17" customHeight="1">
      <c r="A15" s="5">
        <f t="shared" si="0"/>
        <v>210</v>
      </c>
      <c r="B15" s="1" t="s">
        <v>21</v>
      </c>
      <c r="C15" s="1" t="s">
        <v>22</v>
      </c>
      <c r="E15" s="6" t="s">
        <v>23</v>
      </c>
      <c r="F15" s="1">
        <f>IF(COUNTIF($F$1:$F14,$F14)&lt;4,$F14,IF(RIGHT($F14,1)="3",$F14+8,$F14+1))</f>
        <v>21</v>
      </c>
      <c r="G15" s="1">
        <f>COUNTIF($F$2:$F15,$F15)-1</f>
        <v>0</v>
      </c>
      <c r="H15" s="1" t="s">
        <v>39</v>
      </c>
      <c r="I15" s="1">
        <f t="shared" si="1"/>
        <v>1</v>
      </c>
      <c r="J15" s="1" t="str">
        <f t="shared" si="2"/>
        <v>producer cells</v>
      </c>
      <c r="K15" s="7" t="s">
        <v>40</v>
      </c>
      <c r="L15">
        <v>47.2</v>
      </c>
      <c r="M15">
        <v>95.9</v>
      </c>
      <c r="N15">
        <v>81.900000000000006</v>
      </c>
      <c r="O15">
        <v>18.100000000000001</v>
      </c>
      <c r="P15">
        <v>86.1</v>
      </c>
      <c r="Q15">
        <v>13.9</v>
      </c>
      <c r="R15"/>
    </row>
    <row r="16" spans="1:18" ht="17" customHeight="1">
      <c r="A16" s="5">
        <f t="shared" si="0"/>
        <v>211</v>
      </c>
      <c r="B16" s="1" t="s">
        <v>21</v>
      </c>
      <c r="C16" s="1" t="s">
        <v>22</v>
      </c>
      <c r="E16" s="6"/>
      <c r="F16" s="1">
        <f>IF(COUNTIF($F$1:$F15,$F15)&lt;4,$F15,IF(RIGHT($F15,1)="3",$F15+8,$F15+1))</f>
        <v>21</v>
      </c>
      <c r="G16" s="1">
        <f>COUNTIF($F$2:$F16,$F16)-1</f>
        <v>1</v>
      </c>
      <c r="H16" s="1" t="str">
        <f>H15</f>
        <v>dCTE + VSVg</v>
      </c>
      <c r="I16" s="1">
        <f t="shared" si="1"/>
        <v>1</v>
      </c>
      <c r="J16" s="1">
        <f t="shared" si="2"/>
        <v>1</v>
      </c>
      <c r="K16" s="7" t="s">
        <v>41</v>
      </c>
      <c r="L16">
        <v>34.9</v>
      </c>
      <c r="M16">
        <v>95</v>
      </c>
      <c r="N16">
        <v>0.15</v>
      </c>
      <c r="O16">
        <v>99.8</v>
      </c>
      <c r="P16">
        <v>3.35</v>
      </c>
      <c r="Q16">
        <v>96.6</v>
      </c>
      <c r="R16"/>
    </row>
    <row r="17" spans="1:18" ht="17" customHeight="1">
      <c r="A17" s="5">
        <f t="shared" si="0"/>
        <v>212</v>
      </c>
      <c r="B17" s="1" t="s">
        <v>21</v>
      </c>
      <c r="C17" s="1" t="s">
        <v>22</v>
      </c>
      <c r="E17" s="6"/>
      <c r="F17" s="1">
        <f>IF(COUNTIF($F$1:$F16,$F16)&lt;4,$F16,IF(RIGHT($F16,1)="3",$F16+8,$F16+1))</f>
        <v>21</v>
      </c>
      <c r="G17" s="1">
        <f>COUNTIF($F$2:$F17,$F17)-1</f>
        <v>2</v>
      </c>
      <c r="H17" s="1" t="str">
        <f t="shared" ref="H17:H26" si="4">H16</f>
        <v>dCTE + VSVg</v>
      </c>
      <c r="I17" s="1">
        <f t="shared" si="1"/>
        <v>1</v>
      </c>
      <c r="J17" s="1">
        <f t="shared" si="2"/>
        <v>2</v>
      </c>
      <c r="K17" s="7" t="s">
        <v>42</v>
      </c>
      <c r="L17">
        <v>29.1</v>
      </c>
      <c r="M17">
        <v>94.8</v>
      </c>
      <c r="N17">
        <v>0.15</v>
      </c>
      <c r="O17">
        <v>99.9</v>
      </c>
      <c r="P17">
        <v>6.13</v>
      </c>
      <c r="Q17">
        <v>93.9</v>
      </c>
      <c r="R17"/>
    </row>
    <row r="18" spans="1:18" ht="17" customHeight="1">
      <c r="A18" s="5">
        <f t="shared" si="0"/>
        <v>213</v>
      </c>
      <c r="B18" s="1" t="s">
        <v>21</v>
      </c>
      <c r="C18" s="1" t="s">
        <v>22</v>
      </c>
      <c r="E18" s="6"/>
      <c r="F18" s="1">
        <f>IF(COUNTIF($F$1:$F17,$F17)&lt;4,$F17,IF(RIGHT($F17,1)="3",$F17+8,$F17+1))</f>
        <v>21</v>
      </c>
      <c r="G18" s="1">
        <f>COUNTIF($F$2:$F18,$F18)-1</f>
        <v>3</v>
      </c>
      <c r="H18" s="1" t="str">
        <f t="shared" si="4"/>
        <v>dCTE + VSVg</v>
      </c>
      <c r="I18" s="1">
        <f t="shared" si="1"/>
        <v>1</v>
      </c>
      <c r="J18" s="1">
        <f t="shared" si="2"/>
        <v>3</v>
      </c>
      <c r="K18" s="7" t="s">
        <v>43</v>
      </c>
      <c r="L18">
        <v>30.7</v>
      </c>
      <c r="M18">
        <v>95.8</v>
      </c>
      <c r="N18">
        <v>0</v>
      </c>
      <c r="O18">
        <v>100</v>
      </c>
      <c r="P18">
        <v>4.62</v>
      </c>
      <c r="Q18">
        <v>95.4</v>
      </c>
      <c r="R18"/>
    </row>
    <row r="19" spans="1:18" ht="17" customHeight="1">
      <c r="A19" s="5">
        <f t="shared" si="0"/>
        <v>220</v>
      </c>
      <c r="B19" s="1" t="s">
        <v>21</v>
      </c>
      <c r="C19" s="1" t="s">
        <v>22</v>
      </c>
      <c r="E19" s="6" t="s">
        <v>23</v>
      </c>
      <c r="F19" s="1">
        <f>IF(COUNTIF($F$1:$F18,$F18)&lt;4,$F18,IF(RIGHT($F18,1)="3",$F18+8,$F18+1))</f>
        <v>22</v>
      </c>
      <c r="G19" s="1">
        <f>COUNTIF($F$2:$F19,$F19)-1</f>
        <v>0</v>
      </c>
      <c r="H19" s="1" t="str">
        <f t="shared" si="4"/>
        <v>dCTE + VSVg</v>
      </c>
      <c r="I19" s="1">
        <f t="shared" si="1"/>
        <v>2</v>
      </c>
      <c r="J19" s="1" t="str">
        <f t="shared" si="2"/>
        <v>producer cells</v>
      </c>
      <c r="K19" s="7" t="s">
        <v>44</v>
      </c>
      <c r="L19">
        <v>57.5</v>
      </c>
      <c r="M19">
        <v>96.9</v>
      </c>
      <c r="N19">
        <v>90.6</v>
      </c>
      <c r="O19">
        <v>9.39</v>
      </c>
      <c r="P19">
        <v>91.2</v>
      </c>
      <c r="Q19">
        <v>8.81</v>
      </c>
      <c r="R19"/>
    </row>
    <row r="20" spans="1:18" ht="17" customHeight="1">
      <c r="A20" s="5">
        <f t="shared" si="0"/>
        <v>221</v>
      </c>
      <c r="B20" s="1" t="s">
        <v>21</v>
      </c>
      <c r="C20" s="1" t="s">
        <v>22</v>
      </c>
      <c r="E20" s="6"/>
      <c r="F20" s="1">
        <f>IF(COUNTIF($F$1:$F19,$F19)&lt;4,$F19,IF(RIGHT($F19,1)="3",$F19+8,$F19+1))</f>
        <v>22</v>
      </c>
      <c r="G20" s="1">
        <f>COUNTIF($F$2:$F20,$F20)-1</f>
        <v>1</v>
      </c>
      <c r="H20" s="1" t="str">
        <f t="shared" si="4"/>
        <v>dCTE + VSVg</v>
      </c>
      <c r="I20" s="1">
        <f t="shared" si="1"/>
        <v>2</v>
      </c>
      <c r="J20" s="1">
        <f t="shared" si="2"/>
        <v>1</v>
      </c>
      <c r="K20" s="7" t="s">
        <v>45</v>
      </c>
      <c r="L20">
        <v>34.1</v>
      </c>
      <c r="M20">
        <v>95.3</v>
      </c>
      <c r="N20">
        <v>0</v>
      </c>
      <c r="O20">
        <v>100</v>
      </c>
      <c r="P20">
        <v>3.07</v>
      </c>
      <c r="Q20">
        <v>96.9</v>
      </c>
      <c r="R20"/>
    </row>
    <row r="21" spans="1:18" ht="17" customHeight="1">
      <c r="A21" s="5">
        <f t="shared" si="0"/>
        <v>222</v>
      </c>
      <c r="B21" s="1" t="s">
        <v>21</v>
      </c>
      <c r="C21" s="1" t="s">
        <v>22</v>
      </c>
      <c r="E21" s="6"/>
      <c r="F21" s="1">
        <f>IF(COUNTIF($F$1:$F20,$F20)&lt;4,$F20,IF(RIGHT($F20,1)="3",$F20+8,$F20+1))</f>
        <v>22</v>
      </c>
      <c r="G21" s="1">
        <f>COUNTIF($F$2:$F21,$F21)-1</f>
        <v>2</v>
      </c>
      <c r="H21" s="1" t="str">
        <f t="shared" si="4"/>
        <v>dCTE + VSVg</v>
      </c>
      <c r="I21" s="1">
        <f t="shared" si="1"/>
        <v>2</v>
      </c>
      <c r="J21" s="1">
        <f t="shared" si="2"/>
        <v>2</v>
      </c>
      <c r="K21" s="7" t="s">
        <v>46</v>
      </c>
      <c r="L21">
        <v>29</v>
      </c>
      <c r="M21">
        <v>95.5</v>
      </c>
      <c r="N21">
        <v>3.5999999999999997E-2</v>
      </c>
      <c r="O21">
        <v>100</v>
      </c>
      <c r="P21">
        <v>4.04</v>
      </c>
      <c r="Q21">
        <v>96</v>
      </c>
      <c r="R21"/>
    </row>
    <row r="22" spans="1:18" ht="17" customHeight="1">
      <c r="A22" s="5">
        <f t="shared" si="0"/>
        <v>223</v>
      </c>
      <c r="B22" s="1" t="s">
        <v>21</v>
      </c>
      <c r="C22" s="1" t="s">
        <v>22</v>
      </c>
      <c r="E22" s="6"/>
      <c r="F22" s="1">
        <f>IF(COUNTIF($F$1:$F21,$F21)&lt;4,$F21,IF(RIGHT($F21,1)="3",$F21+8,$F21+1))</f>
        <v>22</v>
      </c>
      <c r="G22" s="1">
        <f>COUNTIF($F$2:$F22,$F22)-1</f>
        <v>3</v>
      </c>
      <c r="H22" s="1" t="str">
        <f t="shared" si="4"/>
        <v>dCTE + VSVg</v>
      </c>
      <c r="I22" s="1">
        <f t="shared" si="1"/>
        <v>2</v>
      </c>
      <c r="J22" s="1">
        <f t="shared" si="2"/>
        <v>3</v>
      </c>
      <c r="K22" s="7" t="s">
        <v>47</v>
      </c>
      <c r="L22">
        <v>30</v>
      </c>
      <c r="M22">
        <v>95.6</v>
      </c>
      <c r="N22">
        <v>7.0000000000000007E-2</v>
      </c>
      <c r="O22">
        <v>99.9</v>
      </c>
      <c r="P22">
        <v>4.71</v>
      </c>
      <c r="Q22">
        <v>95.3</v>
      </c>
      <c r="R22"/>
    </row>
    <row r="23" spans="1:18" ht="17" customHeight="1">
      <c r="A23" s="5">
        <f t="shared" si="0"/>
        <v>230</v>
      </c>
      <c r="B23" s="1" t="s">
        <v>21</v>
      </c>
      <c r="C23" s="1" t="s">
        <v>22</v>
      </c>
      <c r="E23" s="6" t="s">
        <v>23</v>
      </c>
      <c r="F23" s="1">
        <f>IF(COUNTIF($F$1:$F22,$F22)&lt;4,$F22,IF(RIGHT($F22,1)="3",$F22+8,$F22+1))</f>
        <v>23</v>
      </c>
      <c r="G23" s="1">
        <f>COUNTIF($F$2:$F23,$F23)-1</f>
        <v>0</v>
      </c>
      <c r="H23" s="1" t="str">
        <f t="shared" si="4"/>
        <v>dCTE + VSVg</v>
      </c>
      <c r="I23" s="1">
        <f t="shared" si="1"/>
        <v>3</v>
      </c>
      <c r="J23" s="1" t="str">
        <f t="shared" si="2"/>
        <v>producer cells</v>
      </c>
      <c r="K23" s="7" t="s">
        <v>48</v>
      </c>
      <c r="L23">
        <v>46.4</v>
      </c>
      <c r="M23">
        <v>96.8</v>
      </c>
      <c r="N23">
        <v>86.3</v>
      </c>
      <c r="O23">
        <v>13.7</v>
      </c>
      <c r="P23">
        <v>89.3</v>
      </c>
      <c r="Q23">
        <v>10.7</v>
      </c>
      <c r="R23"/>
    </row>
    <row r="24" spans="1:18" ht="17" customHeight="1">
      <c r="A24" s="5">
        <f t="shared" si="0"/>
        <v>231</v>
      </c>
      <c r="B24" s="1" t="s">
        <v>21</v>
      </c>
      <c r="C24" s="1" t="s">
        <v>22</v>
      </c>
      <c r="E24" s="6"/>
      <c r="F24" s="1">
        <f>IF(COUNTIF($F$1:$F23,$F23)&lt;4,$F23,IF(RIGHT($F23,1)="3",$F23+8,$F23+1))</f>
        <v>23</v>
      </c>
      <c r="G24" s="1">
        <f>COUNTIF($F$2:$F24,$F24)-1</f>
        <v>1</v>
      </c>
      <c r="H24" s="1" t="str">
        <f t="shared" si="4"/>
        <v>dCTE + VSVg</v>
      </c>
      <c r="I24" s="1">
        <f t="shared" si="1"/>
        <v>3</v>
      </c>
      <c r="J24" s="1">
        <f t="shared" si="2"/>
        <v>1</v>
      </c>
      <c r="K24" s="7" t="s">
        <v>49</v>
      </c>
      <c r="L24">
        <v>31</v>
      </c>
      <c r="M24">
        <v>94.7</v>
      </c>
      <c r="N24">
        <v>3.4000000000000002E-2</v>
      </c>
      <c r="O24">
        <v>100</v>
      </c>
      <c r="P24">
        <v>4.41</v>
      </c>
      <c r="Q24">
        <v>95.6</v>
      </c>
      <c r="R24"/>
    </row>
    <row r="25" spans="1:18" ht="17" customHeight="1">
      <c r="A25" s="5">
        <f t="shared" si="0"/>
        <v>232</v>
      </c>
      <c r="B25" s="1" t="s">
        <v>21</v>
      </c>
      <c r="C25" s="1" t="s">
        <v>22</v>
      </c>
      <c r="E25" s="6"/>
      <c r="F25" s="1">
        <f>IF(COUNTIF($F$1:$F24,$F24)&lt;4,$F24,IF(RIGHT($F24,1)="3",$F24+8,$F24+1))</f>
        <v>23</v>
      </c>
      <c r="G25" s="1">
        <f>COUNTIF($F$2:$F25,$F25)-1</f>
        <v>2</v>
      </c>
      <c r="H25" s="1" t="str">
        <f t="shared" si="4"/>
        <v>dCTE + VSVg</v>
      </c>
      <c r="I25" s="1">
        <f t="shared" si="1"/>
        <v>3</v>
      </c>
      <c r="J25" s="1">
        <f t="shared" si="2"/>
        <v>2</v>
      </c>
      <c r="K25" s="7" t="s">
        <v>50</v>
      </c>
      <c r="L25">
        <v>33.700000000000003</v>
      </c>
      <c r="M25">
        <v>93.5</v>
      </c>
      <c r="N25">
        <v>3.2000000000000001E-2</v>
      </c>
      <c r="O25">
        <v>100</v>
      </c>
      <c r="P25">
        <v>4.6399999999999997</v>
      </c>
      <c r="Q25">
        <v>95.4</v>
      </c>
      <c r="R25"/>
    </row>
    <row r="26" spans="1:18" ht="17" customHeight="1">
      <c r="A26" s="5">
        <f t="shared" si="0"/>
        <v>233</v>
      </c>
      <c r="B26" s="1" t="s">
        <v>21</v>
      </c>
      <c r="C26" s="1" t="s">
        <v>22</v>
      </c>
      <c r="E26" s="6"/>
      <c r="F26" s="1">
        <f>IF(COUNTIF($F$1:$F25,$F25)&lt;4,$F25,IF(RIGHT($F25,1)="3",$F25+8,$F25+1))</f>
        <v>23</v>
      </c>
      <c r="G26" s="1">
        <f>COUNTIF($F$2:$F26,$F26)-1</f>
        <v>3</v>
      </c>
      <c r="H26" s="1" t="str">
        <f t="shared" si="4"/>
        <v>dCTE + VSVg</v>
      </c>
      <c r="I26" s="1">
        <f t="shared" si="1"/>
        <v>3</v>
      </c>
      <c r="J26" s="1">
        <f t="shared" si="2"/>
        <v>3</v>
      </c>
      <c r="K26" s="7" t="s">
        <v>51</v>
      </c>
      <c r="L26">
        <v>31.2</v>
      </c>
      <c r="M26">
        <v>95.4</v>
      </c>
      <c r="N26">
        <v>0.1</v>
      </c>
      <c r="O26">
        <v>99.9</v>
      </c>
      <c r="P26">
        <v>3.43</v>
      </c>
      <c r="Q26">
        <v>96.6</v>
      </c>
      <c r="R26"/>
    </row>
    <row r="27" spans="1:18" ht="17" customHeight="1">
      <c r="A27" s="5">
        <f t="shared" si="0"/>
        <v>310</v>
      </c>
      <c r="B27" s="1" t="s">
        <v>21</v>
      </c>
      <c r="C27" s="1" t="s">
        <v>22</v>
      </c>
      <c r="E27" s="6" t="s">
        <v>23</v>
      </c>
      <c r="F27" s="1">
        <f>IF(COUNTIF($F$1:$F26,$F26)&lt;4,$F26,IF(RIGHT($F26,1)="3",$F26+8,$F26+1))</f>
        <v>31</v>
      </c>
      <c r="G27" s="1">
        <f>COUNTIF($F$2:$F27,$F27)-1</f>
        <v>0</v>
      </c>
      <c r="H27" s="1" t="s">
        <v>52</v>
      </c>
      <c r="I27" s="1">
        <f t="shared" si="1"/>
        <v>1</v>
      </c>
      <c r="J27" s="1" t="str">
        <f t="shared" si="2"/>
        <v>producer cells</v>
      </c>
      <c r="K27" s="7" t="s">
        <v>53</v>
      </c>
      <c r="L27">
        <v>51.2</v>
      </c>
      <c r="M27">
        <v>96.1</v>
      </c>
      <c r="N27">
        <v>63</v>
      </c>
      <c r="O27">
        <v>37</v>
      </c>
      <c r="P27">
        <v>74.7</v>
      </c>
      <c r="Q27">
        <v>25.3</v>
      </c>
      <c r="R27"/>
    </row>
    <row r="28" spans="1:18" ht="17" customHeight="1">
      <c r="A28" s="5">
        <f t="shared" si="0"/>
        <v>311</v>
      </c>
      <c r="B28" s="1" t="s">
        <v>21</v>
      </c>
      <c r="C28" s="1" t="s">
        <v>26</v>
      </c>
      <c r="E28" s="6"/>
      <c r="F28" s="1">
        <f>IF(COUNTIF($F$1:$F27,$F27)&lt;4,$F27,IF(RIGHT($F27,1)="3",$F27+8,$F27+1))</f>
        <v>31</v>
      </c>
      <c r="G28" s="1">
        <f>COUNTIF($F$2:$F28,$F28)-1</f>
        <v>1</v>
      </c>
      <c r="H28" s="1" t="str">
        <f t="shared" ref="H28:H62" si="5">H27</f>
        <v>WT</v>
      </c>
      <c r="I28" s="1">
        <f t="shared" si="1"/>
        <v>1</v>
      </c>
      <c r="J28" s="1">
        <f t="shared" si="2"/>
        <v>1</v>
      </c>
      <c r="K28" s="7" t="s">
        <v>54</v>
      </c>
      <c r="L28">
        <v>31.6</v>
      </c>
      <c r="M28">
        <v>96.4</v>
      </c>
      <c r="N28">
        <v>9.9000000000000005E-2</v>
      </c>
      <c r="O28">
        <v>99.9</v>
      </c>
      <c r="P28">
        <v>3.85</v>
      </c>
      <c r="Q28">
        <v>96.2</v>
      </c>
      <c r="R28"/>
    </row>
    <row r="29" spans="1:18" ht="17" customHeight="1">
      <c r="A29" s="5">
        <f t="shared" si="0"/>
        <v>312</v>
      </c>
      <c r="B29" s="1" t="s">
        <v>21</v>
      </c>
      <c r="C29" s="1" t="s">
        <v>26</v>
      </c>
      <c r="E29" s="6"/>
      <c r="F29" s="1">
        <f>IF(COUNTIF($F$1:$F28,$F28)&lt;4,$F28,IF(RIGHT($F28,1)="3",$F28+8,$F28+1))</f>
        <v>31</v>
      </c>
      <c r="G29" s="1">
        <f>COUNTIF($F$2:$F29,$F29)-1</f>
        <v>2</v>
      </c>
      <c r="H29" s="1" t="str">
        <f t="shared" si="5"/>
        <v>WT</v>
      </c>
      <c r="I29" s="1">
        <f t="shared" si="1"/>
        <v>1</v>
      </c>
      <c r="J29" s="1">
        <f t="shared" si="2"/>
        <v>2</v>
      </c>
      <c r="K29" s="7" t="s">
        <v>55</v>
      </c>
      <c r="L29">
        <v>32.5</v>
      </c>
      <c r="M29">
        <v>95.5</v>
      </c>
      <c r="N29">
        <v>0</v>
      </c>
      <c r="O29">
        <v>100</v>
      </c>
      <c r="P29">
        <v>2.87</v>
      </c>
      <c r="Q29">
        <v>97.1</v>
      </c>
      <c r="R29"/>
    </row>
    <row r="30" spans="1:18" ht="17" customHeight="1">
      <c r="A30" s="5">
        <f t="shared" si="0"/>
        <v>313</v>
      </c>
      <c r="B30" s="1" t="s">
        <v>21</v>
      </c>
      <c r="C30" s="1" t="s">
        <v>26</v>
      </c>
      <c r="E30" s="6"/>
      <c r="F30" s="1">
        <f>IF(COUNTIF($F$1:$F29,$F29)&lt;4,$F29,IF(RIGHT($F29,1)="3",$F29+8,$F29+1))</f>
        <v>31</v>
      </c>
      <c r="G30" s="1">
        <f>COUNTIF($F$2:$F30,$F30)-1</f>
        <v>3</v>
      </c>
      <c r="H30" s="1" t="str">
        <f t="shared" si="5"/>
        <v>WT</v>
      </c>
      <c r="I30" s="1">
        <f t="shared" si="1"/>
        <v>1</v>
      </c>
      <c r="J30" s="1">
        <f t="shared" si="2"/>
        <v>3</v>
      </c>
      <c r="K30" s="7" t="s">
        <v>56</v>
      </c>
      <c r="L30">
        <v>31.2</v>
      </c>
      <c r="M30">
        <v>95.2</v>
      </c>
      <c r="N30">
        <v>0</v>
      </c>
      <c r="O30">
        <v>100</v>
      </c>
      <c r="P30">
        <v>3.2</v>
      </c>
      <c r="Q30">
        <v>96.8</v>
      </c>
      <c r="R30"/>
    </row>
    <row r="31" spans="1:18" ht="17" customHeight="1">
      <c r="A31" s="5">
        <f t="shared" si="0"/>
        <v>320</v>
      </c>
      <c r="B31" s="1" t="s">
        <v>21</v>
      </c>
      <c r="C31" s="1" t="s">
        <v>22</v>
      </c>
      <c r="E31" s="6" t="s">
        <v>23</v>
      </c>
      <c r="F31" s="1">
        <f>IF(COUNTIF($F$1:$F30,$F30)&lt;4,$F30,IF(RIGHT($F30,1)="3",$F30+8,$F30+1))</f>
        <v>32</v>
      </c>
      <c r="G31" s="1">
        <f>COUNTIF($F$2:$F31,$F31)-1</f>
        <v>0</v>
      </c>
      <c r="H31" s="1" t="str">
        <f t="shared" si="5"/>
        <v>WT</v>
      </c>
      <c r="I31" s="1">
        <f t="shared" si="1"/>
        <v>2</v>
      </c>
      <c r="J31" s="1" t="str">
        <f t="shared" si="2"/>
        <v>producer cells</v>
      </c>
      <c r="K31" s="7" t="s">
        <v>57</v>
      </c>
      <c r="L31">
        <v>52.9</v>
      </c>
      <c r="M31">
        <v>95.7</v>
      </c>
      <c r="N31">
        <v>64.900000000000006</v>
      </c>
      <c r="O31">
        <v>35.1</v>
      </c>
      <c r="P31">
        <v>76</v>
      </c>
      <c r="Q31">
        <v>24</v>
      </c>
      <c r="R31"/>
    </row>
    <row r="32" spans="1:18" ht="17" customHeight="1">
      <c r="A32" s="5">
        <f t="shared" si="0"/>
        <v>321</v>
      </c>
      <c r="B32" s="1" t="s">
        <v>21</v>
      </c>
      <c r="C32" s="1" t="s">
        <v>26</v>
      </c>
      <c r="E32" s="6"/>
      <c r="F32" s="1">
        <f>IF(COUNTIF($F$1:$F31,$F31)&lt;4,$F31,IF(RIGHT($F31,1)="3",$F31+8,$F31+1))</f>
        <v>32</v>
      </c>
      <c r="G32" s="1">
        <f>COUNTIF($F$2:$F32,$F32)-1</f>
        <v>1</v>
      </c>
      <c r="H32" s="1" t="str">
        <f t="shared" si="5"/>
        <v>WT</v>
      </c>
      <c r="I32" s="1">
        <f t="shared" si="1"/>
        <v>2</v>
      </c>
      <c r="J32" s="1">
        <f t="shared" si="2"/>
        <v>1</v>
      </c>
      <c r="K32" s="7" t="s">
        <v>58</v>
      </c>
      <c r="L32">
        <v>34</v>
      </c>
      <c r="M32">
        <v>95.3</v>
      </c>
      <c r="N32">
        <v>6.2E-2</v>
      </c>
      <c r="O32">
        <v>99.9</v>
      </c>
      <c r="P32">
        <v>3.74</v>
      </c>
      <c r="Q32">
        <v>96.3</v>
      </c>
      <c r="R32"/>
    </row>
    <row r="33" spans="1:18" ht="17" customHeight="1">
      <c r="A33" s="5">
        <f t="shared" si="0"/>
        <v>322</v>
      </c>
      <c r="B33" s="1" t="s">
        <v>21</v>
      </c>
      <c r="C33" s="1" t="s">
        <v>26</v>
      </c>
      <c r="E33" s="6"/>
      <c r="F33" s="1">
        <f>IF(COUNTIF($F$1:$F32,$F32)&lt;4,$F32,IF(RIGHT($F32,1)="3",$F32+8,$F32+1))</f>
        <v>32</v>
      </c>
      <c r="G33" s="1">
        <f>COUNTIF($F$2:$F33,$F33)-1</f>
        <v>2</v>
      </c>
      <c r="H33" s="1" t="str">
        <f t="shared" si="5"/>
        <v>WT</v>
      </c>
      <c r="I33" s="1">
        <f t="shared" si="1"/>
        <v>2</v>
      </c>
      <c r="J33" s="1">
        <f t="shared" si="2"/>
        <v>2</v>
      </c>
      <c r="K33" s="7" t="s">
        <v>59</v>
      </c>
      <c r="L33">
        <v>33.200000000000003</v>
      </c>
      <c r="M33">
        <v>96.1</v>
      </c>
      <c r="N33">
        <v>0.19</v>
      </c>
      <c r="O33">
        <v>99.8</v>
      </c>
      <c r="P33">
        <v>2.73</v>
      </c>
      <c r="Q33">
        <v>97.3</v>
      </c>
      <c r="R33"/>
    </row>
    <row r="34" spans="1:18" ht="17" customHeight="1">
      <c r="A34" s="5">
        <f t="shared" si="0"/>
        <v>323</v>
      </c>
      <c r="B34" s="1" t="s">
        <v>21</v>
      </c>
      <c r="C34" s="1" t="s">
        <v>26</v>
      </c>
      <c r="E34" s="6"/>
      <c r="F34" s="1">
        <f>IF(COUNTIF($F$1:$F33,$F33)&lt;4,$F33,IF(RIGHT($F33,1)="3",$F33+8,$F33+1))</f>
        <v>32</v>
      </c>
      <c r="G34" s="1">
        <f>COUNTIF($F$2:$F34,$F34)-1</f>
        <v>3</v>
      </c>
      <c r="H34" s="1" t="str">
        <f t="shared" si="5"/>
        <v>WT</v>
      </c>
      <c r="I34" s="1">
        <f t="shared" si="1"/>
        <v>2</v>
      </c>
      <c r="J34" s="1">
        <f t="shared" si="2"/>
        <v>3</v>
      </c>
      <c r="K34" s="7" t="s">
        <v>60</v>
      </c>
      <c r="L34">
        <v>31</v>
      </c>
      <c r="M34">
        <v>96.5</v>
      </c>
      <c r="N34">
        <v>6.7000000000000004E-2</v>
      </c>
      <c r="O34">
        <v>99.9</v>
      </c>
      <c r="P34">
        <v>3.73</v>
      </c>
      <c r="Q34">
        <v>96.3</v>
      </c>
      <c r="R34"/>
    </row>
    <row r="35" spans="1:18" ht="17" customHeight="1">
      <c r="A35" s="5">
        <f t="shared" ref="A35:A66" si="6">IF(COUNTIF($F:$F,$F35)&gt;1,10*$F35+$G35,10*$F35)</f>
        <v>330</v>
      </c>
      <c r="B35" s="1" t="s">
        <v>21</v>
      </c>
      <c r="C35" s="1" t="s">
        <v>22</v>
      </c>
      <c r="E35" s="6" t="s">
        <v>23</v>
      </c>
      <c r="F35" s="1">
        <f>IF(COUNTIF($F$1:$F34,$F34)&lt;4,$F34,IF(RIGHT($F34,1)="3",$F34+8,$F34+1))</f>
        <v>33</v>
      </c>
      <c r="G35" s="1">
        <f>COUNTIF($F$2:$F35,$F35)-1</f>
        <v>0</v>
      </c>
      <c r="H35" s="1" t="str">
        <f t="shared" si="5"/>
        <v>WT</v>
      </c>
      <c r="I35" s="1">
        <f t="shared" si="1"/>
        <v>3</v>
      </c>
      <c r="J35" s="1" t="str">
        <f t="shared" ref="J35:J66" si="7">IF(G35=0,"producer cells",G35)</f>
        <v>producer cells</v>
      </c>
      <c r="K35" s="7" t="s">
        <v>61</v>
      </c>
      <c r="L35">
        <v>43.4</v>
      </c>
      <c r="M35">
        <v>95.9</v>
      </c>
      <c r="N35">
        <v>70.3</v>
      </c>
      <c r="O35">
        <v>29.7</v>
      </c>
      <c r="P35">
        <v>81.599999999999994</v>
      </c>
      <c r="Q35">
        <v>18.399999999999999</v>
      </c>
      <c r="R35"/>
    </row>
    <row r="36" spans="1:18" ht="17" customHeight="1">
      <c r="A36" s="5">
        <f t="shared" si="6"/>
        <v>331</v>
      </c>
      <c r="B36" s="1" t="s">
        <v>21</v>
      </c>
      <c r="C36" s="1" t="s">
        <v>26</v>
      </c>
      <c r="E36" s="6"/>
      <c r="F36" s="1">
        <f>IF(COUNTIF($F$1:$F35,$F35)&lt;4,$F35,IF(RIGHT($F35,1)="3",$F35+8,$F35+1))</f>
        <v>33</v>
      </c>
      <c r="G36" s="1">
        <f>COUNTIF($F$2:$F36,$F36)-1</f>
        <v>1</v>
      </c>
      <c r="H36" s="1" t="str">
        <f t="shared" si="5"/>
        <v>WT</v>
      </c>
      <c r="I36" s="1">
        <f t="shared" si="1"/>
        <v>3</v>
      </c>
      <c r="J36" s="1">
        <f t="shared" si="7"/>
        <v>1</v>
      </c>
      <c r="K36" s="7" t="s">
        <v>62</v>
      </c>
      <c r="L36">
        <v>30.9</v>
      </c>
      <c r="M36">
        <v>96.2</v>
      </c>
      <c r="N36">
        <v>3.4000000000000002E-2</v>
      </c>
      <c r="O36">
        <v>100</v>
      </c>
      <c r="P36">
        <v>4.2699999999999996</v>
      </c>
      <c r="Q36">
        <v>95.7</v>
      </c>
      <c r="R36"/>
    </row>
    <row r="37" spans="1:18" ht="17" customHeight="1">
      <c r="A37" s="5">
        <f t="shared" si="6"/>
        <v>332</v>
      </c>
      <c r="B37" s="1" t="s">
        <v>21</v>
      </c>
      <c r="C37" s="1" t="s">
        <v>26</v>
      </c>
      <c r="E37" s="6"/>
      <c r="F37" s="1">
        <f>IF(COUNTIF($F$1:$F36,$F36)&lt;4,$F36,IF(RIGHT($F36,1)="3",$F36+8,$F36+1))</f>
        <v>33</v>
      </c>
      <c r="G37" s="1">
        <f>COUNTIF($F$2:$F37,$F37)-1</f>
        <v>2</v>
      </c>
      <c r="H37" s="1" t="str">
        <f t="shared" si="5"/>
        <v>WT</v>
      </c>
      <c r="I37" s="1">
        <f t="shared" si="1"/>
        <v>3</v>
      </c>
      <c r="J37" s="1">
        <f t="shared" si="7"/>
        <v>2</v>
      </c>
      <c r="K37" s="7" t="s">
        <v>63</v>
      </c>
      <c r="L37">
        <v>30.7</v>
      </c>
      <c r="M37">
        <v>95.6</v>
      </c>
      <c r="N37">
        <v>0</v>
      </c>
      <c r="O37">
        <v>100</v>
      </c>
      <c r="P37">
        <v>3.81</v>
      </c>
      <c r="Q37">
        <v>96.2</v>
      </c>
      <c r="R37"/>
    </row>
    <row r="38" spans="1:18" ht="17" customHeight="1">
      <c r="A38" s="5">
        <f t="shared" si="6"/>
        <v>333</v>
      </c>
      <c r="B38" s="1" t="s">
        <v>21</v>
      </c>
      <c r="C38" s="1" t="s">
        <v>26</v>
      </c>
      <c r="E38" s="6"/>
      <c r="F38" s="1">
        <f>IF(COUNTIF($F$1:$F37,$F37)&lt;4,$F37,IF(RIGHT($F37,1)="3",$F37+8,$F37+1))</f>
        <v>33</v>
      </c>
      <c r="G38" s="1">
        <f>COUNTIF($F$2:$F38,$F38)-1</f>
        <v>3</v>
      </c>
      <c r="H38" s="1" t="str">
        <f t="shared" si="5"/>
        <v>WT</v>
      </c>
      <c r="I38" s="1">
        <f t="shared" si="1"/>
        <v>3</v>
      </c>
      <c r="J38" s="1">
        <f t="shared" si="7"/>
        <v>3</v>
      </c>
      <c r="K38" s="7" t="s">
        <v>64</v>
      </c>
      <c r="L38">
        <v>33.1</v>
      </c>
      <c r="M38">
        <v>95.9</v>
      </c>
      <c r="N38">
        <v>0</v>
      </c>
      <c r="O38">
        <v>100</v>
      </c>
      <c r="P38">
        <v>3.21</v>
      </c>
      <c r="Q38">
        <v>96.8</v>
      </c>
      <c r="R38"/>
    </row>
    <row r="39" spans="1:18" ht="17" customHeight="1">
      <c r="A39" s="5">
        <f t="shared" si="6"/>
        <v>410</v>
      </c>
      <c r="B39" s="1" t="s">
        <v>21</v>
      </c>
      <c r="C39" s="1" t="s">
        <v>22</v>
      </c>
      <c r="E39" s="6" t="s">
        <v>23</v>
      </c>
      <c r="F39" s="1">
        <f>IF(COUNTIF($F$1:$F38,$F38)&lt;4,$F38,IF(RIGHT($F38,1)="3",$F38+8,$F38+1))</f>
        <v>41</v>
      </c>
      <c r="G39" s="1">
        <f>COUNTIF($F$2:$F39,$F39)-1</f>
        <v>0</v>
      </c>
      <c r="H39" s="1" t="s">
        <v>65</v>
      </c>
      <c r="I39" s="1">
        <f t="shared" si="1"/>
        <v>1</v>
      </c>
      <c r="J39" s="1" t="str">
        <f t="shared" si="7"/>
        <v>producer cells</v>
      </c>
      <c r="K39" s="7" t="s">
        <v>66</v>
      </c>
      <c r="L39">
        <v>58.2</v>
      </c>
      <c r="M39">
        <v>98.2</v>
      </c>
      <c r="N39">
        <v>92.5</v>
      </c>
      <c r="O39">
        <v>7.51</v>
      </c>
      <c r="P39">
        <v>90.5</v>
      </c>
      <c r="Q39">
        <v>9.51</v>
      </c>
      <c r="R39"/>
    </row>
    <row r="40" spans="1:18" ht="17" customHeight="1">
      <c r="A40" s="5">
        <f t="shared" si="6"/>
        <v>411</v>
      </c>
      <c r="B40" s="1" t="s">
        <v>21</v>
      </c>
      <c r="C40" s="1" t="s">
        <v>22</v>
      </c>
      <c r="E40" s="6"/>
      <c r="F40" s="1">
        <f>IF(COUNTIF($F$1:$F39,$F39)&lt;4,$F39,IF(RIGHT($F39,1)="3",$F39+8,$F39+1))</f>
        <v>41</v>
      </c>
      <c r="G40" s="1">
        <f>COUNTIF($F$2:$F40,$F40)-1</f>
        <v>1</v>
      </c>
      <c r="H40" s="1" t="str">
        <f t="shared" ref="H40:H74" si="8">H39</f>
        <v>WT + VSVg</v>
      </c>
      <c r="I40" s="1">
        <f t="shared" si="1"/>
        <v>1</v>
      </c>
      <c r="J40" s="1">
        <f t="shared" si="7"/>
        <v>1</v>
      </c>
      <c r="K40" s="7" t="s">
        <v>67</v>
      </c>
      <c r="L40">
        <v>33.4</v>
      </c>
      <c r="M40">
        <v>94.4</v>
      </c>
      <c r="N40">
        <v>15.1</v>
      </c>
      <c r="O40">
        <v>84.9</v>
      </c>
      <c r="P40">
        <v>24.1</v>
      </c>
      <c r="Q40">
        <v>75.900000000000006</v>
      </c>
      <c r="R40"/>
    </row>
    <row r="41" spans="1:18" ht="17" customHeight="1">
      <c r="A41" s="5">
        <f t="shared" si="6"/>
        <v>412</v>
      </c>
      <c r="B41" s="1" t="s">
        <v>21</v>
      </c>
      <c r="C41" s="1" t="s">
        <v>22</v>
      </c>
      <c r="E41" s="6"/>
      <c r="F41" s="1">
        <f>IF(COUNTIF($F$1:$F40,$F40)&lt;4,$F40,IF(RIGHT($F40,1)="3",$F40+8,$F40+1))</f>
        <v>41</v>
      </c>
      <c r="G41" s="1">
        <f>COUNTIF($F$2:$F41,$F41)-1</f>
        <v>2</v>
      </c>
      <c r="H41" s="1" t="str">
        <f t="shared" si="8"/>
        <v>WT + VSVg</v>
      </c>
      <c r="I41" s="1">
        <f t="shared" si="1"/>
        <v>1</v>
      </c>
      <c r="J41" s="1">
        <f t="shared" si="7"/>
        <v>2</v>
      </c>
      <c r="K41" s="7" t="s">
        <v>68</v>
      </c>
      <c r="L41">
        <v>31.9</v>
      </c>
      <c r="M41">
        <v>95.6</v>
      </c>
      <c r="N41">
        <v>15.8</v>
      </c>
      <c r="O41">
        <v>84.2</v>
      </c>
      <c r="P41">
        <v>21.5</v>
      </c>
      <c r="Q41">
        <v>78.5</v>
      </c>
      <c r="R41"/>
    </row>
    <row r="42" spans="1:18" ht="17" customHeight="1">
      <c r="A42" s="5">
        <f t="shared" si="6"/>
        <v>413</v>
      </c>
      <c r="B42" s="1" t="s">
        <v>21</v>
      </c>
      <c r="C42" s="1" t="s">
        <v>22</v>
      </c>
      <c r="E42" s="6"/>
      <c r="F42" s="1">
        <f>IF(COUNTIF($F$1:$F41,$F41)&lt;4,$F41,IF(RIGHT($F41,1)="3",$F41+8,$F41+1))</f>
        <v>41</v>
      </c>
      <c r="G42" s="1">
        <f>COUNTIF($F$2:$F42,$F42)-1</f>
        <v>3</v>
      </c>
      <c r="H42" s="1" t="str">
        <f t="shared" si="8"/>
        <v>WT + VSVg</v>
      </c>
      <c r="I42" s="1">
        <f t="shared" si="1"/>
        <v>1</v>
      </c>
      <c r="J42" s="1">
        <f t="shared" si="7"/>
        <v>3</v>
      </c>
      <c r="K42" s="7" t="s">
        <v>69</v>
      </c>
      <c r="L42">
        <v>31.9</v>
      </c>
      <c r="M42">
        <v>94.8</v>
      </c>
      <c r="N42">
        <v>14</v>
      </c>
      <c r="O42">
        <v>86</v>
      </c>
      <c r="P42">
        <v>20</v>
      </c>
      <c r="Q42">
        <v>80</v>
      </c>
      <c r="R42"/>
    </row>
    <row r="43" spans="1:18" ht="17" customHeight="1">
      <c r="A43" s="5">
        <f t="shared" si="6"/>
        <v>420</v>
      </c>
      <c r="B43" s="1" t="s">
        <v>21</v>
      </c>
      <c r="C43" s="1" t="s">
        <v>22</v>
      </c>
      <c r="E43" s="6" t="s">
        <v>23</v>
      </c>
      <c r="F43" s="1">
        <f>IF(COUNTIF($F$1:$F42,$F42)&lt;4,$F42,IF(RIGHT($F42,1)="3",$F42+8,$F42+1))</f>
        <v>42</v>
      </c>
      <c r="G43" s="1">
        <f>COUNTIF($F$2:$F43,$F43)-1</f>
        <v>0</v>
      </c>
      <c r="H43" s="1" t="str">
        <f t="shared" si="8"/>
        <v>WT + VSVg</v>
      </c>
      <c r="I43" s="1">
        <f t="shared" si="1"/>
        <v>2</v>
      </c>
      <c r="J43" s="1" t="str">
        <f t="shared" si="7"/>
        <v>producer cells</v>
      </c>
      <c r="K43" s="7" t="s">
        <v>70</v>
      </c>
      <c r="L43">
        <v>49.1</v>
      </c>
      <c r="M43">
        <v>96.3</v>
      </c>
      <c r="N43">
        <v>92.2</v>
      </c>
      <c r="O43">
        <v>7.83</v>
      </c>
      <c r="P43">
        <v>90.4</v>
      </c>
      <c r="Q43">
        <v>9.59</v>
      </c>
      <c r="R43"/>
    </row>
    <row r="44" spans="1:18" ht="17" customHeight="1">
      <c r="A44" s="5">
        <f t="shared" si="6"/>
        <v>421</v>
      </c>
      <c r="B44" s="1" t="s">
        <v>21</v>
      </c>
      <c r="C44" s="1" t="s">
        <v>22</v>
      </c>
      <c r="E44" s="6"/>
      <c r="F44" s="1">
        <f>IF(COUNTIF($F$1:$F43,$F43)&lt;4,$F43,IF(RIGHT($F43,1)="3",$F43+8,$F43+1))</f>
        <v>42</v>
      </c>
      <c r="G44" s="1">
        <f>COUNTIF($F$2:$F44,$F44)-1</f>
        <v>1</v>
      </c>
      <c r="H44" s="1" t="str">
        <f t="shared" si="8"/>
        <v>WT + VSVg</v>
      </c>
      <c r="I44" s="1">
        <f t="shared" si="1"/>
        <v>2</v>
      </c>
      <c r="J44" s="1">
        <f t="shared" si="7"/>
        <v>1</v>
      </c>
      <c r="K44" s="7" t="s">
        <v>71</v>
      </c>
      <c r="L44">
        <v>28.3</v>
      </c>
      <c r="M44">
        <v>95.8</v>
      </c>
      <c r="N44">
        <v>11.6</v>
      </c>
      <c r="O44">
        <v>88.4</v>
      </c>
      <c r="P44">
        <v>19.3</v>
      </c>
      <c r="Q44">
        <v>80.7</v>
      </c>
      <c r="R44"/>
    </row>
    <row r="45" spans="1:18" ht="17" customHeight="1">
      <c r="A45" s="5">
        <f t="shared" si="6"/>
        <v>422</v>
      </c>
      <c r="B45" s="1" t="s">
        <v>21</v>
      </c>
      <c r="C45" s="1" t="s">
        <v>22</v>
      </c>
      <c r="E45" s="6"/>
      <c r="F45" s="1">
        <f>IF(COUNTIF($F$1:$F44,$F44)&lt;4,$F44,IF(RIGHT($F44,1)="3",$F44+8,$F44+1))</f>
        <v>42</v>
      </c>
      <c r="G45" s="1">
        <f>COUNTIF($F$2:$F45,$F45)-1</f>
        <v>2</v>
      </c>
      <c r="H45" s="1" t="str">
        <f t="shared" si="8"/>
        <v>WT + VSVg</v>
      </c>
      <c r="I45" s="1">
        <f t="shared" si="1"/>
        <v>2</v>
      </c>
      <c r="J45" s="1">
        <f t="shared" si="7"/>
        <v>2</v>
      </c>
      <c r="K45" s="7" t="s">
        <v>72</v>
      </c>
      <c r="L45">
        <v>31.1</v>
      </c>
      <c r="M45">
        <v>95.6</v>
      </c>
      <c r="N45">
        <v>13.2</v>
      </c>
      <c r="O45">
        <v>86.8</v>
      </c>
      <c r="P45">
        <v>21</v>
      </c>
      <c r="Q45">
        <v>79</v>
      </c>
      <c r="R45"/>
    </row>
    <row r="46" spans="1:18" ht="17" customHeight="1">
      <c r="A46" s="5">
        <f t="shared" si="6"/>
        <v>423</v>
      </c>
      <c r="B46" s="1" t="s">
        <v>21</v>
      </c>
      <c r="C46" s="1" t="s">
        <v>22</v>
      </c>
      <c r="E46" s="6"/>
      <c r="F46" s="1">
        <f>IF(COUNTIF($F$1:$F45,$F45)&lt;4,$F45,IF(RIGHT($F45,1)="3",$F45+8,$F45+1))</f>
        <v>42</v>
      </c>
      <c r="G46" s="1">
        <f>COUNTIF($F$2:$F46,$F46)-1</f>
        <v>3</v>
      </c>
      <c r="H46" s="1" t="str">
        <f t="shared" si="8"/>
        <v>WT + VSVg</v>
      </c>
      <c r="I46" s="1">
        <f t="shared" si="1"/>
        <v>2</v>
      </c>
      <c r="J46" s="1">
        <f t="shared" si="7"/>
        <v>3</v>
      </c>
      <c r="K46" s="7" t="s">
        <v>73</v>
      </c>
      <c r="L46">
        <v>32.6</v>
      </c>
      <c r="M46">
        <v>94.9</v>
      </c>
      <c r="N46">
        <v>12.1</v>
      </c>
      <c r="O46">
        <v>87.9</v>
      </c>
      <c r="P46">
        <v>17.600000000000001</v>
      </c>
      <c r="Q46">
        <v>82.4</v>
      </c>
      <c r="R46"/>
    </row>
    <row r="47" spans="1:18" ht="17" customHeight="1">
      <c r="A47" s="5">
        <f t="shared" si="6"/>
        <v>430</v>
      </c>
      <c r="B47" s="1" t="s">
        <v>21</v>
      </c>
      <c r="C47" s="1" t="s">
        <v>22</v>
      </c>
      <c r="E47" s="6" t="s">
        <v>23</v>
      </c>
      <c r="F47" s="1">
        <f>IF(COUNTIF($F$1:$F46,$F46)&lt;4,$F46,IF(RIGHT($F46,1)="3",$F46+8,$F46+1))</f>
        <v>43</v>
      </c>
      <c r="G47" s="1">
        <f>COUNTIF($F$2:$F47,$F47)-1</f>
        <v>0</v>
      </c>
      <c r="H47" s="1" t="str">
        <f t="shared" si="8"/>
        <v>WT + VSVg</v>
      </c>
      <c r="I47" s="1">
        <f t="shared" si="1"/>
        <v>3</v>
      </c>
      <c r="J47" s="1" t="str">
        <f t="shared" si="7"/>
        <v>producer cells</v>
      </c>
      <c r="K47" s="7" t="s">
        <v>74</v>
      </c>
      <c r="L47">
        <v>46.3</v>
      </c>
      <c r="M47">
        <v>96.3</v>
      </c>
      <c r="N47">
        <v>95.2</v>
      </c>
      <c r="O47">
        <v>4.84</v>
      </c>
      <c r="P47">
        <v>93.4</v>
      </c>
      <c r="Q47">
        <v>6.57</v>
      </c>
      <c r="R47"/>
    </row>
    <row r="48" spans="1:18" ht="17" customHeight="1">
      <c r="A48" s="5">
        <f t="shared" si="6"/>
        <v>431</v>
      </c>
      <c r="B48" s="1" t="s">
        <v>21</v>
      </c>
      <c r="C48" s="1" t="s">
        <v>22</v>
      </c>
      <c r="E48" s="6"/>
      <c r="F48" s="1">
        <f>IF(COUNTIF($F$1:$F47,$F47)&lt;4,$F47,IF(RIGHT($F47,1)="3",$F47+8,$F47+1))</f>
        <v>43</v>
      </c>
      <c r="G48" s="1">
        <f>COUNTIF($F$2:$F48,$F48)-1</f>
        <v>1</v>
      </c>
      <c r="H48" s="1" t="str">
        <f t="shared" si="8"/>
        <v>WT + VSVg</v>
      </c>
      <c r="I48" s="1">
        <f t="shared" si="1"/>
        <v>3</v>
      </c>
      <c r="J48" s="1">
        <f t="shared" si="7"/>
        <v>1</v>
      </c>
      <c r="K48" s="7" t="s">
        <v>75</v>
      </c>
      <c r="L48">
        <v>32.5</v>
      </c>
      <c r="M48">
        <v>95.7</v>
      </c>
      <c r="N48">
        <v>9.3699999999999992</v>
      </c>
      <c r="O48">
        <v>90.6</v>
      </c>
      <c r="P48">
        <v>17.899999999999999</v>
      </c>
      <c r="Q48">
        <v>82.1</v>
      </c>
      <c r="R48"/>
    </row>
    <row r="49" spans="1:18" ht="17" customHeight="1">
      <c r="A49" s="5">
        <f t="shared" si="6"/>
        <v>432</v>
      </c>
      <c r="B49" s="1" t="s">
        <v>21</v>
      </c>
      <c r="C49" s="1" t="s">
        <v>22</v>
      </c>
      <c r="E49" s="6"/>
      <c r="F49" s="1">
        <f>IF(COUNTIF($F$1:$F48,$F48)&lt;4,$F48,IF(RIGHT($F48,1)="3",$F48+8,$F48+1))</f>
        <v>43</v>
      </c>
      <c r="G49" s="1">
        <f>COUNTIF($F$2:$F49,$F49)-1</f>
        <v>2</v>
      </c>
      <c r="H49" s="1" t="str">
        <f t="shared" si="8"/>
        <v>WT + VSVg</v>
      </c>
      <c r="I49" s="1">
        <f t="shared" si="1"/>
        <v>3</v>
      </c>
      <c r="J49" s="1">
        <f t="shared" si="7"/>
        <v>2</v>
      </c>
      <c r="K49" s="7" t="s">
        <v>76</v>
      </c>
      <c r="L49">
        <v>30.8</v>
      </c>
      <c r="M49">
        <v>96.2</v>
      </c>
      <c r="N49">
        <v>8.6300000000000008</v>
      </c>
      <c r="O49">
        <v>91.4</v>
      </c>
      <c r="P49">
        <v>15.7</v>
      </c>
      <c r="Q49">
        <v>84.3</v>
      </c>
      <c r="R49"/>
    </row>
    <row r="50" spans="1:18" ht="17" customHeight="1">
      <c r="A50" s="5">
        <f t="shared" si="6"/>
        <v>433</v>
      </c>
      <c r="B50" s="1" t="s">
        <v>21</v>
      </c>
      <c r="C50" s="1" t="s">
        <v>22</v>
      </c>
      <c r="E50" s="6"/>
      <c r="F50" s="1">
        <f>IF(COUNTIF($F$1:$F49,$F49)&lt;4,$F49,IF(RIGHT($F49,1)="3",$F49+8,$F49+1))</f>
        <v>43</v>
      </c>
      <c r="G50" s="1">
        <f>COUNTIF($F$2:$F50,$F50)-1</f>
        <v>3</v>
      </c>
      <c r="H50" s="1" t="str">
        <f t="shared" si="8"/>
        <v>WT + VSVg</v>
      </c>
      <c r="I50" s="1">
        <f t="shared" si="1"/>
        <v>3</v>
      </c>
      <c r="J50" s="1">
        <f t="shared" si="7"/>
        <v>3</v>
      </c>
      <c r="K50" s="7" t="s">
        <v>77</v>
      </c>
      <c r="L50">
        <v>32.4</v>
      </c>
      <c r="M50">
        <v>95.9</v>
      </c>
      <c r="N50">
        <v>8.58</v>
      </c>
      <c r="O50">
        <v>91.4</v>
      </c>
      <c r="P50">
        <v>14.6</v>
      </c>
      <c r="Q50">
        <v>85.4</v>
      </c>
      <c r="R50"/>
    </row>
    <row r="51" spans="1:18" ht="17" customHeight="1">
      <c r="A51" s="5">
        <f t="shared" si="6"/>
        <v>510</v>
      </c>
      <c r="B51" s="1" t="s">
        <v>21</v>
      </c>
      <c r="C51" s="1" t="s">
        <v>22</v>
      </c>
      <c r="E51" s="6" t="s">
        <v>23</v>
      </c>
      <c r="F51" s="1">
        <f>IF(COUNTIF($F$1:$F50,$F50)&lt;4,$F50,IF(RIGHT($F50,1)="3",$F50+8,$F50+1))</f>
        <v>51</v>
      </c>
      <c r="G51" s="1">
        <f>COUNTIF($F$2:$F51,$F51)-1</f>
        <v>0</v>
      </c>
      <c r="H51" s="1" t="s">
        <v>78</v>
      </c>
      <c r="I51" s="1">
        <f t="shared" si="1"/>
        <v>1</v>
      </c>
      <c r="J51" s="1" t="str">
        <f t="shared" si="7"/>
        <v>producer cells</v>
      </c>
      <c r="K51" s="7" t="s">
        <v>79</v>
      </c>
      <c r="L51">
        <v>50.5</v>
      </c>
      <c r="M51">
        <v>96.7</v>
      </c>
      <c r="N51">
        <v>67.2</v>
      </c>
      <c r="O51">
        <v>32.799999999999997</v>
      </c>
      <c r="P51">
        <v>77.7</v>
      </c>
      <c r="Q51">
        <v>22.3</v>
      </c>
      <c r="R51"/>
    </row>
    <row r="52" spans="1:18" ht="17" customHeight="1">
      <c r="A52" s="5">
        <f t="shared" si="6"/>
        <v>511</v>
      </c>
      <c r="B52" s="1" t="s">
        <v>21</v>
      </c>
      <c r="C52" s="1" t="s">
        <v>26</v>
      </c>
      <c r="E52" s="6"/>
      <c r="F52" s="1">
        <f>IF(COUNTIF($F$1:$F51,$F51)&lt;4,$F51,IF(RIGHT($F51,1)="3",$F51+8,$F51+1))</f>
        <v>51</v>
      </c>
      <c r="G52" s="1">
        <f>COUNTIF($F$2:$F52,$F52)-1</f>
        <v>1</v>
      </c>
      <c r="H52" s="1" t="str">
        <f t="shared" ref="H52" si="9">H51</f>
        <v>MER11</v>
      </c>
      <c r="I52" s="1">
        <f t="shared" si="1"/>
        <v>1</v>
      </c>
      <c r="J52" s="1">
        <f t="shared" si="7"/>
        <v>1</v>
      </c>
      <c r="K52" s="7" t="s">
        <v>80</v>
      </c>
      <c r="L52">
        <v>31.6</v>
      </c>
      <c r="M52">
        <v>96.6</v>
      </c>
      <c r="N52">
        <v>6.6000000000000003E-2</v>
      </c>
      <c r="O52">
        <v>99.9</v>
      </c>
      <c r="P52">
        <v>4.41</v>
      </c>
      <c r="Q52">
        <v>95.6</v>
      </c>
      <c r="R52"/>
    </row>
    <row r="53" spans="1:18">
      <c r="A53" s="5">
        <f t="shared" si="6"/>
        <v>512</v>
      </c>
      <c r="B53" s="1" t="s">
        <v>21</v>
      </c>
      <c r="C53" s="1" t="s">
        <v>26</v>
      </c>
      <c r="E53" s="6"/>
      <c r="F53" s="1">
        <f>IF(COUNTIF($F$1:$F52,$F52)&lt;4,$F52,IF(RIGHT($F52,1)="3",$F52+8,$F52+1))</f>
        <v>51</v>
      </c>
      <c r="G53" s="1">
        <f>COUNTIF($F$2:$F53,$F53)-1</f>
        <v>2</v>
      </c>
      <c r="H53" s="1" t="str">
        <f t="shared" si="5"/>
        <v>MER11</v>
      </c>
      <c r="I53" s="1">
        <f t="shared" si="1"/>
        <v>1</v>
      </c>
      <c r="J53" s="1">
        <f t="shared" si="7"/>
        <v>2</v>
      </c>
      <c r="K53" s="7" t="s">
        <v>81</v>
      </c>
      <c r="L53">
        <v>31</v>
      </c>
      <c r="M53">
        <v>96.4</v>
      </c>
      <c r="N53">
        <v>0</v>
      </c>
      <c r="O53">
        <v>100</v>
      </c>
      <c r="P53">
        <v>4.6500000000000004</v>
      </c>
      <c r="Q53">
        <v>95.4</v>
      </c>
      <c r="R53"/>
    </row>
    <row r="54" spans="1:18">
      <c r="A54" s="5">
        <f t="shared" si="6"/>
        <v>513</v>
      </c>
      <c r="B54" s="1" t="s">
        <v>21</v>
      </c>
      <c r="C54" s="1" t="s">
        <v>26</v>
      </c>
      <c r="E54" s="6"/>
      <c r="F54" s="1">
        <f>IF(COUNTIF($F$1:$F53,$F53)&lt;4,$F53,IF(RIGHT($F53,1)="3",$F53+8,$F53+1))</f>
        <v>51</v>
      </c>
      <c r="G54" s="1">
        <f>COUNTIF($F$2:$F54,$F54)-1</f>
        <v>3</v>
      </c>
      <c r="H54" s="1" t="str">
        <f t="shared" si="5"/>
        <v>MER11</v>
      </c>
      <c r="I54" s="1">
        <f t="shared" si="1"/>
        <v>1</v>
      </c>
      <c r="J54" s="1">
        <f t="shared" si="7"/>
        <v>3</v>
      </c>
      <c r="K54" s="7" t="s">
        <v>82</v>
      </c>
      <c r="L54">
        <v>32.5</v>
      </c>
      <c r="M54">
        <v>95.9</v>
      </c>
      <c r="N54">
        <v>6.4000000000000001E-2</v>
      </c>
      <c r="O54">
        <v>99.9</v>
      </c>
      <c r="P54">
        <v>4.84</v>
      </c>
      <c r="Q54">
        <v>95.2</v>
      </c>
      <c r="R54"/>
    </row>
    <row r="55" spans="1:18">
      <c r="A55" s="5">
        <f t="shared" si="6"/>
        <v>520</v>
      </c>
      <c r="B55" s="1" t="s">
        <v>21</v>
      </c>
      <c r="C55" s="1" t="s">
        <v>22</v>
      </c>
      <c r="E55" s="6" t="s">
        <v>23</v>
      </c>
      <c r="F55" s="1">
        <f>IF(COUNTIF($F$1:$F54,$F54)&lt;4,$F54,IF(RIGHT($F54,1)="3",$F54+8,$F54+1))</f>
        <v>52</v>
      </c>
      <c r="G55" s="1">
        <f>COUNTIF($F$2:$F55,$F55)-1</f>
        <v>0</v>
      </c>
      <c r="H55" s="1" t="str">
        <f t="shared" si="5"/>
        <v>MER11</v>
      </c>
      <c r="I55" s="1">
        <f t="shared" si="1"/>
        <v>2</v>
      </c>
      <c r="J55" s="1" t="str">
        <f t="shared" si="7"/>
        <v>producer cells</v>
      </c>
      <c r="K55" s="7" t="s">
        <v>83</v>
      </c>
      <c r="L55">
        <v>48.6</v>
      </c>
      <c r="M55">
        <v>97.2</v>
      </c>
      <c r="N55">
        <v>75.599999999999994</v>
      </c>
      <c r="O55">
        <v>24.4</v>
      </c>
      <c r="P55">
        <v>84</v>
      </c>
      <c r="Q55">
        <v>16</v>
      </c>
      <c r="R55"/>
    </row>
    <row r="56" spans="1:18">
      <c r="A56" s="5">
        <f t="shared" si="6"/>
        <v>521</v>
      </c>
      <c r="B56" s="1" t="s">
        <v>21</v>
      </c>
      <c r="C56" s="1" t="s">
        <v>26</v>
      </c>
      <c r="E56" s="6"/>
      <c r="F56" s="1">
        <f>IF(COUNTIF($F$1:$F55,$F55)&lt;4,$F55,IF(RIGHT($F55,1)="3",$F55+8,$F55+1))</f>
        <v>52</v>
      </c>
      <c r="G56" s="1">
        <f>COUNTIF($F$2:$F56,$F56)-1</f>
        <v>1</v>
      </c>
      <c r="H56" s="1" t="str">
        <f t="shared" si="5"/>
        <v>MER11</v>
      </c>
      <c r="I56" s="1">
        <f t="shared" si="1"/>
        <v>2</v>
      </c>
      <c r="J56" s="1">
        <f t="shared" si="7"/>
        <v>1</v>
      </c>
      <c r="K56" s="7" t="s">
        <v>84</v>
      </c>
      <c r="L56">
        <v>31.6</v>
      </c>
      <c r="M56">
        <v>96.4</v>
      </c>
      <c r="N56">
        <v>3.3000000000000002E-2</v>
      </c>
      <c r="O56">
        <v>100</v>
      </c>
      <c r="P56">
        <v>4.76</v>
      </c>
      <c r="Q56">
        <v>95.2</v>
      </c>
      <c r="R56"/>
    </row>
    <row r="57" spans="1:18">
      <c r="A57" s="5">
        <f t="shared" si="6"/>
        <v>522</v>
      </c>
      <c r="B57" s="1" t="s">
        <v>21</v>
      </c>
      <c r="C57" s="1" t="s">
        <v>26</v>
      </c>
      <c r="E57" s="6"/>
      <c r="F57" s="1">
        <f>IF(COUNTIF($F$1:$F56,$F56)&lt;4,$F56,IF(RIGHT($F56,1)="3",$F56+8,$F56+1))</f>
        <v>52</v>
      </c>
      <c r="G57" s="1">
        <f>COUNTIF($F$2:$F57,$F57)-1</f>
        <v>2</v>
      </c>
      <c r="H57" s="1" t="str">
        <f t="shared" si="5"/>
        <v>MER11</v>
      </c>
      <c r="I57" s="1">
        <f t="shared" si="1"/>
        <v>2</v>
      </c>
      <c r="J57" s="1">
        <f t="shared" si="7"/>
        <v>2</v>
      </c>
      <c r="K57" s="7" t="s">
        <v>85</v>
      </c>
      <c r="L57">
        <v>31.2</v>
      </c>
      <c r="M57">
        <v>96.3</v>
      </c>
      <c r="N57">
        <v>0.1</v>
      </c>
      <c r="O57">
        <v>99.9</v>
      </c>
      <c r="P57">
        <v>3.89</v>
      </c>
      <c r="Q57">
        <v>96.1</v>
      </c>
      <c r="R57"/>
    </row>
    <row r="58" spans="1:18">
      <c r="A58" s="5">
        <f t="shared" si="6"/>
        <v>523</v>
      </c>
      <c r="B58" s="1" t="s">
        <v>21</v>
      </c>
      <c r="C58" s="1" t="s">
        <v>26</v>
      </c>
      <c r="E58" s="6"/>
      <c r="F58" s="1">
        <f>IF(COUNTIF($F$1:$F57,$F57)&lt;4,$F57,IF(RIGHT($F57,1)="3",$F57+8,$F57+1))</f>
        <v>52</v>
      </c>
      <c r="G58" s="1">
        <f>COUNTIF($F$2:$F58,$F58)-1</f>
        <v>3</v>
      </c>
      <c r="H58" s="1" t="str">
        <f t="shared" si="5"/>
        <v>MER11</v>
      </c>
      <c r="I58" s="1">
        <f t="shared" si="1"/>
        <v>2</v>
      </c>
      <c r="J58" s="1">
        <f t="shared" si="7"/>
        <v>3</v>
      </c>
      <c r="K58" s="7" t="s">
        <v>86</v>
      </c>
      <c r="L58">
        <v>31.6</v>
      </c>
      <c r="M58">
        <v>95.2</v>
      </c>
      <c r="N58">
        <v>6.6000000000000003E-2</v>
      </c>
      <c r="O58">
        <v>99.9</v>
      </c>
      <c r="P58">
        <v>4.57</v>
      </c>
      <c r="Q58">
        <v>95.4</v>
      </c>
      <c r="R58"/>
    </row>
    <row r="59" spans="1:18">
      <c r="A59" s="5">
        <f t="shared" si="6"/>
        <v>530</v>
      </c>
      <c r="B59" s="1" t="s">
        <v>21</v>
      </c>
      <c r="C59" s="1" t="s">
        <v>22</v>
      </c>
      <c r="E59" s="6" t="s">
        <v>23</v>
      </c>
      <c r="F59" s="1">
        <f>IF(COUNTIF($F$1:$F58,$F58)&lt;4,$F58,IF(RIGHT($F58,1)="3",$F58+8,$F58+1))</f>
        <v>53</v>
      </c>
      <c r="G59" s="1">
        <f>COUNTIF($F$2:$F59,$F59)-1</f>
        <v>0</v>
      </c>
      <c r="H59" s="1" t="str">
        <f t="shared" si="5"/>
        <v>MER11</v>
      </c>
      <c r="I59" s="1">
        <f t="shared" si="1"/>
        <v>3</v>
      </c>
      <c r="J59" s="1" t="str">
        <f t="shared" si="7"/>
        <v>producer cells</v>
      </c>
      <c r="K59" s="7" t="s">
        <v>87</v>
      </c>
      <c r="L59">
        <v>57.2</v>
      </c>
      <c r="M59">
        <v>97.7</v>
      </c>
      <c r="N59">
        <v>66.2</v>
      </c>
      <c r="O59">
        <v>33.799999999999997</v>
      </c>
      <c r="P59">
        <v>74</v>
      </c>
      <c r="Q59">
        <v>26</v>
      </c>
      <c r="R59"/>
    </row>
    <row r="60" spans="1:18">
      <c r="A60" s="5">
        <f t="shared" si="6"/>
        <v>531</v>
      </c>
      <c r="B60" s="1" t="s">
        <v>21</v>
      </c>
      <c r="C60" s="1" t="s">
        <v>26</v>
      </c>
      <c r="E60" s="6"/>
      <c r="F60" s="1">
        <f>IF(COUNTIF($F$1:$F59,$F59)&lt;4,$F59,IF(RIGHT($F59,1)="3",$F59+8,$F59+1))</f>
        <v>53</v>
      </c>
      <c r="G60" s="1">
        <f>COUNTIF($F$2:$F60,$F60)-1</f>
        <v>1</v>
      </c>
      <c r="H60" s="1" t="str">
        <f t="shared" si="5"/>
        <v>MER11</v>
      </c>
      <c r="I60" s="1">
        <f t="shared" si="1"/>
        <v>3</v>
      </c>
      <c r="J60" s="1">
        <f t="shared" si="7"/>
        <v>1</v>
      </c>
      <c r="K60" s="7" t="s">
        <v>88</v>
      </c>
      <c r="L60">
        <v>29.4</v>
      </c>
      <c r="M60">
        <v>95.7</v>
      </c>
      <c r="N60">
        <v>7.0999999999999994E-2</v>
      </c>
      <c r="O60">
        <v>99.9</v>
      </c>
      <c r="P60">
        <v>4.2699999999999996</v>
      </c>
      <c r="Q60">
        <v>95.7</v>
      </c>
      <c r="R60"/>
    </row>
    <row r="61" spans="1:18">
      <c r="A61" s="5">
        <f t="shared" si="6"/>
        <v>532</v>
      </c>
      <c r="B61" s="1" t="s">
        <v>21</v>
      </c>
      <c r="C61" s="1" t="s">
        <v>26</v>
      </c>
      <c r="E61" s="6"/>
      <c r="F61" s="1">
        <f>IF(COUNTIF($F$1:$F60,$F60)&lt;4,$F60,IF(RIGHT($F60,1)="3",$F60+8,$F60+1))</f>
        <v>53</v>
      </c>
      <c r="G61" s="1">
        <f>COUNTIF($F$2:$F61,$F61)-1</f>
        <v>2</v>
      </c>
      <c r="H61" s="1" t="str">
        <f t="shared" si="5"/>
        <v>MER11</v>
      </c>
      <c r="I61" s="1">
        <f t="shared" si="1"/>
        <v>3</v>
      </c>
      <c r="J61" s="1">
        <f t="shared" si="7"/>
        <v>2</v>
      </c>
      <c r="K61" s="7" t="s">
        <v>89</v>
      </c>
      <c r="L61">
        <v>30.7</v>
      </c>
      <c r="M61">
        <v>95.9</v>
      </c>
      <c r="N61">
        <v>0</v>
      </c>
      <c r="O61">
        <v>100</v>
      </c>
      <c r="P61">
        <v>4.1500000000000004</v>
      </c>
      <c r="Q61">
        <v>95.9</v>
      </c>
      <c r="R61"/>
    </row>
    <row r="62" spans="1:18">
      <c r="A62" s="5">
        <f t="shared" si="6"/>
        <v>533</v>
      </c>
      <c r="B62" s="1" t="s">
        <v>21</v>
      </c>
      <c r="C62" s="1" t="s">
        <v>26</v>
      </c>
      <c r="E62" s="6"/>
      <c r="F62" s="1">
        <f>IF(COUNTIF($F$1:$F61,$F61)&lt;4,$F61,IF(RIGHT($F61,1)="3",$F61+8,$F61+1))</f>
        <v>53</v>
      </c>
      <c r="G62" s="1">
        <f>COUNTIF($F$2:$F62,$F62)-1</f>
        <v>3</v>
      </c>
      <c r="H62" s="1" t="str">
        <f t="shared" si="5"/>
        <v>MER11</v>
      </c>
      <c r="I62" s="1">
        <f t="shared" si="1"/>
        <v>3</v>
      </c>
      <c r="J62" s="1">
        <f t="shared" si="7"/>
        <v>3</v>
      </c>
      <c r="K62" s="7" t="s">
        <v>90</v>
      </c>
      <c r="L62">
        <v>31.5</v>
      </c>
      <c r="M62">
        <v>95.2</v>
      </c>
      <c r="N62">
        <v>3.3000000000000002E-2</v>
      </c>
      <c r="O62">
        <v>100</v>
      </c>
      <c r="P62">
        <v>3.67</v>
      </c>
      <c r="Q62">
        <v>96.3</v>
      </c>
      <c r="R62"/>
    </row>
    <row r="63" spans="1:18">
      <c r="A63" s="5">
        <f t="shared" si="6"/>
        <v>610</v>
      </c>
      <c r="B63" s="1" t="s">
        <v>21</v>
      </c>
      <c r="C63" s="1" t="s">
        <v>22</v>
      </c>
      <c r="E63" s="6" t="s">
        <v>23</v>
      </c>
      <c r="F63" s="1">
        <f>IF(COUNTIF($F$1:$F62,$F62)&lt;4,$F62,IF(RIGHT($F62,1)="3",$F62+8,$F62+1))</f>
        <v>61</v>
      </c>
      <c r="G63" s="1">
        <f>COUNTIF($F$2:$F63,$F63)-1</f>
        <v>0</v>
      </c>
      <c r="H63" s="1" t="s">
        <v>91</v>
      </c>
      <c r="I63" s="1">
        <f t="shared" si="1"/>
        <v>1</v>
      </c>
      <c r="J63" s="1" t="str">
        <f t="shared" si="7"/>
        <v>producer cells</v>
      </c>
      <c r="K63" s="7" t="s">
        <v>92</v>
      </c>
      <c r="L63">
        <v>49.2</v>
      </c>
      <c r="M63">
        <v>97.1</v>
      </c>
      <c r="N63">
        <v>92.8</v>
      </c>
      <c r="O63">
        <v>7.2</v>
      </c>
      <c r="P63">
        <v>92.3</v>
      </c>
      <c r="Q63">
        <v>7.71</v>
      </c>
      <c r="R63"/>
    </row>
    <row r="64" spans="1:18">
      <c r="A64" s="5">
        <f t="shared" si="6"/>
        <v>611</v>
      </c>
      <c r="B64" s="1" t="s">
        <v>21</v>
      </c>
      <c r="C64" s="1" t="s">
        <v>22</v>
      </c>
      <c r="E64" s="6"/>
      <c r="F64" s="1">
        <f>IF(COUNTIF($F$1:$F63,$F63)&lt;4,$F63,IF(RIGHT($F63,1)="3",$F63+8,$F63+1))</f>
        <v>61</v>
      </c>
      <c r="G64" s="1">
        <f>COUNTIF($F$2:$F64,$F64)-1</f>
        <v>1</v>
      </c>
      <c r="H64" s="1" t="str">
        <f t="shared" ref="H64" si="10">H63</f>
        <v>MER11 + VSVg</v>
      </c>
      <c r="I64" s="1">
        <f t="shared" si="1"/>
        <v>1</v>
      </c>
      <c r="J64" s="1">
        <f t="shared" si="7"/>
        <v>1</v>
      </c>
      <c r="K64" s="7" t="s">
        <v>93</v>
      </c>
      <c r="L64">
        <v>32.799999999999997</v>
      </c>
      <c r="M64">
        <v>96.1</v>
      </c>
      <c r="N64">
        <v>10.6</v>
      </c>
      <c r="O64">
        <v>89.4</v>
      </c>
      <c r="P64">
        <v>13.9</v>
      </c>
      <c r="Q64">
        <v>86.1</v>
      </c>
      <c r="R64"/>
    </row>
    <row r="65" spans="1:18">
      <c r="A65" s="5">
        <f t="shared" si="6"/>
        <v>612</v>
      </c>
      <c r="B65" s="1" t="s">
        <v>21</v>
      </c>
      <c r="C65" s="1" t="s">
        <v>22</v>
      </c>
      <c r="E65" s="6"/>
      <c r="F65" s="1">
        <f>IF(COUNTIF($F$1:$F64,$F64)&lt;4,$F64,IF(RIGHT($F64,1)="3",$F64+8,$F64+1))</f>
        <v>61</v>
      </c>
      <c r="G65" s="1">
        <f>COUNTIF($F$2:$F65,$F65)-1</f>
        <v>2</v>
      </c>
      <c r="H65" s="1" t="str">
        <f t="shared" si="8"/>
        <v>MER11 + VSVg</v>
      </c>
      <c r="I65" s="1">
        <f t="shared" si="1"/>
        <v>1</v>
      </c>
      <c r="J65" s="1">
        <f t="shared" si="7"/>
        <v>2</v>
      </c>
      <c r="K65" s="7" t="s">
        <v>94</v>
      </c>
      <c r="L65">
        <v>31</v>
      </c>
      <c r="M65">
        <v>96.7</v>
      </c>
      <c r="N65">
        <v>11.5</v>
      </c>
      <c r="O65">
        <v>88.5</v>
      </c>
      <c r="P65">
        <v>19.2</v>
      </c>
      <c r="Q65">
        <v>80.8</v>
      </c>
      <c r="R65"/>
    </row>
    <row r="66" spans="1:18">
      <c r="A66" s="5">
        <f t="shared" si="6"/>
        <v>613</v>
      </c>
      <c r="B66" s="1" t="s">
        <v>21</v>
      </c>
      <c r="C66" s="1" t="s">
        <v>22</v>
      </c>
      <c r="E66" s="6"/>
      <c r="F66" s="1">
        <f>IF(COUNTIF($F$1:$F65,$F65)&lt;4,$F65,IF(RIGHT($F65,1)="3",$F65+8,$F65+1))</f>
        <v>61</v>
      </c>
      <c r="G66" s="1">
        <f>COUNTIF($F$2:$F66,$F66)-1</f>
        <v>3</v>
      </c>
      <c r="H66" s="1" t="str">
        <f t="shared" si="8"/>
        <v>MER11 + VSVg</v>
      </c>
      <c r="I66" s="1">
        <f t="shared" si="1"/>
        <v>1</v>
      </c>
      <c r="J66" s="1">
        <f t="shared" si="7"/>
        <v>3</v>
      </c>
      <c r="K66" s="7" t="s">
        <v>95</v>
      </c>
      <c r="L66">
        <v>31</v>
      </c>
      <c r="M66">
        <v>97.1</v>
      </c>
      <c r="N66">
        <v>12.2</v>
      </c>
      <c r="O66">
        <v>87.8</v>
      </c>
      <c r="P66">
        <v>16.399999999999999</v>
      </c>
      <c r="Q66">
        <v>83.6</v>
      </c>
      <c r="R66"/>
    </row>
    <row r="67" spans="1:18">
      <c r="A67" s="5">
        <f t="shared" ref="A67:A74" si="11">IF(COUNTIF($F:$F,$F67)&gt;1,10*$F67+$G67,10*$F67)</f>
        <v>620</v>
      </c>
      <c r="B67" s="1" t="s">
        <v>21</v>
      </c>
      <c r="C67" s="1" t="s">
        <v>22</v>
      </c>
      <c r="E67" s="6" t="s">
        <v>23</v>
      </c>
      <c r="F67" s="1">
        <f>IF(COUNTIF($F$1:$F66,$F66)&lt;4,$F66,IF(RIGHT($F66,1)="3",$F66+8,$F66+1))</f>
        <v>62</v>
      </c>
      <c r="G67" s="1">
        <f>COUNTIF($F$2:$F67,$F67)-1</f>
        <v>0</v>
      </c>
      <c r="H67" s="1" t="str">
        <f t="shared" si="8"/>
        <v>MER11 + VSVg</v>
      </c>
      <c r="I67" s="1">
        <f t="shared" ref="I67:I74" si="12">MOD(F67,10)</f>
        <v>2</v>
      </c>
      <c r="J67" s="1" t="str">
        <f t="shared" ref="J67:J74" si="13">IF(G67=0,"producer cells",G67)</f>
        <v>producer cells</v>
      </c>
      <c r="K67" s="7" t="s">
        <v>96</v>
      </c>
      <c r="L67">
        <v>59.2</v>
      </c>
      <c r="M67">
        <v>97.7</v>
      </c>
      <c r="N67">
        <v>91.8</v>
      </c>
      <c r="O67">
        <v>8.2200000000000006</v>
      </c>
      <c r="P67">
        <v>89.8</v>
      </c>
      <c r="Q67">
        <v>10.199999999999999</v>
      </c>
      <c r="R67"/>
    </row>
    <row r="68" spans="1:18">
      <c r="A68" s="5">
        <f t="shared" si="11"/>
        <v>621</v>
      </c>
      <c r="B68" s="1" t="s">
        <v>21</v>
      </c>
      <c r="C68" s="1" t="s">
        <v>22</v>
      </c>
      <c r="E68" s="6"/>
      <c r="F68" s="1">
        <f>IF(COUNTIF($F$1:$F67,$F67)&lt;4,$F67,IF(RIGHT($F67,1)="3",$F67+8,$F67+1))</f>
        <v>62</v>
      </c>
      <c r="G68" s="1">
        <f>COUNTIF($F$2:$F68,$F68)-1</f>
        <v>1</v>
      </c>
      <c r="H68" s="1" t="str">
        <f t="shared" si="8"/>
        <v>MER11 + VSVg</v>
      </c>
      <c r="I68" s="1">
        <f t="shared" si="12"/>
        <v>2</v>
      </c>
      <c r="J68" s="1">
        <f t="shared" si="13"/>
        <v>1</v>
      </c>
      <c r="K68" s="7" t="s">
        <v>97</v>
      </c>
      <c r="L68">
        <v>33.1</v>
      </c>
      <c r="M68">
        <v>97.1</v>
      </c>
      <c r="N68">
        <v>9.1199999999999992</v>
      </c>
      <c r="O68">
        <v>90.9</v>
      </c>
      <c r="P68">
        <v>13.5</v>
      </c>
      <c r="Q68">
        <v>86.5</v>
      </c>
      <c r="R68"/>
    </row>
    <row r="69" spans="1:18">
      <c r="A69" s="5">
        <f t="shared" si="11"/>
        <v>622</v>
      </c>
      <c r="B69" s="1" t="s">
        <v>21</v>
      </c>
      <c r="C69" s="1" t="s">
        <v>22</v>
      </c>
      <c r="E69" s="6"/>
      <c r="F69" s="1">
        <f>IF(COUNTIF($F$1:$F68,$F68)&lt;4,$F68,IF(RIGHT($F68,1)="3",$F68+8,$F68+1))</f>
        <v>62</v>
      </c>
      <c r="G69" s="1">
        <f>COUNTIF($F$2:$F69,$F69)-1</f>
        <v>2</v>
      </c>
      <c r="H69" s="1" t="str">
        <f t="shared" si="8"/>
        <v>MER11 + VSVg</v>
      </c>
      <c r="I69" s="1">
        <f t="shared" si="12"/>
        <v>2</v>
      </c>
      <c r="J69" s="1">
        <f t="shared" si="13"/>
        <v>2</v>
      </c>
      <c r="K69" s="7" t="s">
        <v>98</v>
      </c>
      <c r="L69">
        <v>33.299999999999997</v>
      </c>
      <c r="M69">
        <v>96.3</v>
      </c>
      <c r="N69">
        <v>7.8</v>
      </c>
      <c r="O69">
        <v>92.2</v>
      </c>
      <c r="P69">
        <v>11.9</v>
      </c>
      <c r="Q69">
        <v>88.1</v>
      </c>
      <c r="R69"/>
    </row>
    <row r="70" spans="1:18">
      <c r="A70" s="5">
        <f t="shared" si="11"/>
        <v>623</v>
      </c>
      <c r="B70" s="1" t="s">
        <v>21</v>
      </c>
      <c r="C70" s="1" t="s">
        <v>22</v>
      </c>
      <c r="E70" s="6"/>
      <c r="F70" s="1">
        <f>IF(COUNTIF($F$1:$F69,$F69)&lt;4,$F69,IF(RIGHT($F69,1)="3",$F69+8,$F69+1))</f>
        <v>62</v>
      </c>
      <c r="G70" s="1">
        <f>COUNTIF($F$2:$F70,$F70)-1</f>
        <v>3</v>
      </c>
      <c r="H70" s="1" t="str">
        <f t="shared" si="8"/>
        <v>MER11 + VSVg</v>
      </c>
      <c r="I70" s="1">
        <f t="shared" si="12"/>
        <v>2</v>
      </c>
      <c r="J70" s="1">
        <f t="shared" si="13"/>
        <v>3</v>
      </c>
      <c r="K70" s="7" t="s">
        <v>99</v>
      </c>
      <c r="L70">
        <v>33.9</v>
      </c>
      <c r="M70">
        <v>97</v>
      </c>
      <c r="N70">
        <v>9.4600000000000009</v>
      </c>
      <c r="O70">
        <v>90.5</v>
      </c>
      <c r="P70">
        <v>16.399999999999999</v>
      </c>
      <c r="Q70">
        <v>83.6</v>
      </c>
      <c r="R70"/>
    </row>
    <row r="71" spans="1:18">
      <c r="A71" s="5">
        <f t="shared" si="11"/>
        <v>630</v>
      </c>
      <c r="B71" s="1" t="s">
        <v>21</v>
      </c>
      <c r="C71" s="1" t="s">
        <v>22</v>
      </c>
      <c r="E71" s="6" t="s">
        <v>23</v>
      </c>
      <c r="F71" s="1">
        <f>IF(COUNTIF($F$1:$F70,$F70)&lt;4,$F70,IF(RIGHT($F70,1)="3",$F70+8,$F70+1))</f>
        <v>63</v>
      </c>
      <c r="G71" s="1">
        <f>COUNTIF($F$2:$F71,$F71)-1</f>
        <v>0</v>
      </c>
      <c r="H71" s="1" t="str">
        <f t="shared" si="8"/>
        <v>MER11 + VSVg</v>
      </c>
      <c r="I71" s="1">
        <f t="shared" si="12"/>
        <v>3</v>
      </c>
      <c r="J71" s="1" t="str">
        <f t="shared" si="13"/>
        <v>producer cells</v>
      </c>
      <c r="K71" s="7" t="s">
        <v>100</v>
      </c>
      <c r="L71">
        <v>51.7</v>
      </c>
      <c r="M71">
        <v>97.8</v>
      </c>
      <c r="N71">
        <v>91.2</v>
      </c>
      <c r="O71">
        <v>8.76</v>
      </c>
      <c r="P71">
        <v>90.3</v>
      </c>
      <c r="Q71">
        <v>9.68</v>
      </c>
      <c r="R71"/>
    </row>
    <row r="72" spans="1:18">
      <c r="A72" s="5">
        <f t="shared" si="11"/>
        <v>631</v>
      </c>
      <c r="B72" s="1" t="s">
        <v>21</v>
      </c>
      <c r="C72" s="1" t="s">
        <v>22</v>
      </c>
      <c r="E72" s="6"/>
      <c r="F72" s="1">
        <f>IF(COUNTIF($F$1:$F71,$F71)&lt;4,$F71,IF(RIGHT($F71,1)="3",$F71+8,$F71+1))</f>
        <v>63</v>
      </c>
      <c r="G72" s="1">
        <f>COUNTIF($F$2:$F72,$F72)-1</f>
        <v>1</v>
      </c>
      <c r="H72" s="1" t="str">
        <f t="shared" si="8"/>
        <v>MER11 + VSVg</v>
      </c>
      <c r="I72" s="1">
        <f t="shared" si="12"/>
        <v>3</v>
      </c>
      <c r="J72" s="1">
        <f t="shared" si="13"/>
        <v>1</v>
      </c>
      <c r="K72" s="7" t="s">
        <v>101</v>
      </c>
      <c r="L72">
        <v>29.1</v>
      </c>
      <c r="M72">
        <v>97.4</v>
      </c>
      <c r="N72">
        <v>4.9400000000000004</v>
      </c>
      <c r="O72">
        <v>95.1</v>
      </c>
      <c r="P72">
        <v>9.8699999999999992</v>
      </c>
      <c r="Q72">
        <v>90.1</v>
      </c>
      <c r="R72"/>
    </row>
    <row r="73" spans="1:18">
      <c r="A73" s="5">
        <f t="shared" si="11"/>
        <v>632</v>
      </c>
      <c r="B73" s="1" t="s">
        <v>21</v>
      </c>
      <c r="C73" s="1" t="s">
        <v>22</v>
      </c>
      <c r="E73" s="6"/>
      <c r="F73" s="1">
        <f>IF(COUNTIF($F$1:$F72,$F72)&lt;4,$F72,IF(RIGHT($F72,1)="3",$F72+8,$F72+1))</f>
        <v>63</v>
      </c>
      <c r="G73" s="1">
        <f>COUNTIF($F$2:$F73,$F73)-1</f>
        <v>2</v>
      </c>
      <c r="H73" s="1" t="str">
        <f t="shared" si="8"/>
        <v>MER11 + VSVg</v>
      </c>
      <c r="I73" s="1">
        <f t="shared" si="12"/>
        <v>3</v>
      </c>
      <c r="J73" s="1">
        <f t="shared" si="13"/>
        <v>2</v>
      </c>
      <c r="K73" s="7" t="s">
        <v>102</v>
      </c>
      <c r="L73">
        <v>30.8</v>
      </c>
      <c r="M73">
        <v>96.9</v>
      </c>
      <c r="N73">
        <v>5</v>
      </c>
      <c r="O73">
        <v>95</v>
      </c>
      <c r="P73">
        <v>13.2</v>
      </c>
      <c r="Q73">
        <v>86.8</v>
      </c>
      <c r="R73"/>
    </row>
    <row r="74" spans="1:18">
      <c r="A74" s="5">
        <f t="shared" si="11"/>
        <v>633</v>
      </c>
      <c r="B74" s="1" t="s">
        <v>21</v>
      </c>
      <c r="C74" s="1" t="s">
        <v>22</v>
      </c>
      <c r="E74" s="6"/>
      <c r="F74" s="1">
        <f>IF(COUNTIF($F$1:$F73,$F73)&lt;4,$F73,IF(RIGHT($F73,1)="3",$F73+8,$F73+1))</f>
        <v>63</v>
      </c>
      <c r="G74" s="1">
        <f>COUNTIF($F$2:$F74,$F74)-1</f>
        <v>3</v>
      </c>
      <c r="H74" s="1" t="str">
        <f t="shared" si="8"/>
        <v>MER11 + VSVg</v>
      </c>
      <c r="I74" s="1">
        <f t="shared" si="12"/>
        <v>3</v>
      </c>
      <c r="J74" s="1">
        <f t="shared" si="13"/>
        <v>3</v>
      </c>
      <c r="K74" s="7" t="s">
        <v>103</v>
      </c>
      <c r="L74">
        <v>32.200000000000003</v>
      </c>
      <c r="M74">
        <v>96.6</v>
      </c>
      <c r="N74">
        <v>5.43</v>
      </c>
      <c r="O74">
        <v>94.6</v>
      </c>
      <c r="P74">
        <v>11.2</v>
      </c>
      <c r="Q74">
        <v>88.8</v>
      </c>
      <c r="R74"/>
    </row>
  </sheetData>
  <mergeCells count="1">
    <mergeCell ref="A1:E1"/>
  </mergeCells>
  <printOptions horizontalCentered="1" verticalCentered="1"/>
  <pageMargins left="0.25" right="0.25" top="0.75" bottom="0.75" header="0.3" footer="0.3"/>
  <pageSetup fitToHeight="2" orientation="portrait" horizontalDpi="0" verticalDpi="0"/>
  <colBreaks count="1" manualBreakCount="1">
    <brk id="4" max="1048575" man="1"/>
  </colBreak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X92"/>
  <sheetViews>
    <sheetView workbookViewId="0">
      <selection activeCell="AB2" sqref="AB2"/>
    </sheetView>
  </sheetViews>
  <sheetFormatPr defaultColWidth="10.84375" defaultRowHeight="15.5"/>
  <cols>
    <col min="1" max="1" width="9.15234375" style="11" bestFit="1" customWidth="1"/>
    <col min="2" max="2" width="3.84375" style="10" customWidth="1"/>
    <col min="3" max="3" width="8.69140625" style="10" bestFit="1" customWidth="1"/>
    <col min="4" max="4" width="8.3046875" style="10" customWidth="1"/>
    <col min="5" max="5" width="22.69140625" style="10" customWidth="1"/>
    <col min="6" max="6" width="12.4609375" style="10" bestFit="1" customWidth="1"/>
    <col min="7" max="7" width="5.69140625" style="10" customWidth="1"/>
    <col min="8" max="8" width="8.69140625" style="10" hidden="1" customWidth="1"/>
    <col min="9" max="9" width="14.4609375" style="10" bestFit="1" customWidth="1"/>
    <col min="10" max="10" width="4.69140625" style="10" customWidth="1"/>
    <col min="11" max="11" width="8.69140625" style="10" hidden="1" customWidth="1"/>
    <col min="12" max="13" width="8.69140625" style="10" bestFit="1" customWidth="1"/>
    <col min="14" max="14" width="8.69140625" style="10" hidden="1" customWidth="1"/>
    <col min="15" max="15" width="5.15234375" style="9" customWidth="1"/>
    <col min="16" max="16" width="5.4609375" style="10" customWidth="1"/>
    <col min="17" max="17" width="4.84375" style="10" customWidth="1"/>
    <col min="18" max="18" width="4.3046875" style="10" customWidth="1"/>
    <col min="19" max="19" width="5" style="10" customWidth="1"/>
    <col min="20" max="20" width="6.15234375" style="10" customWidth="1"/>
    <col min="21" max="21" width="6.4609375" style="10" customWidth="1"/>
    <col min="22" max="22" width="3.4609375" style="9" customWidth="1"/>
    <col min="23" max="25" width="14.4609375" style="9" customWidth="1"/>
    <col min="26" max="29" width="15.15234375" style="9" customWidth="1"/>
    <col min="30" max="30" width="14" style="9" customWidth="1"/>
    <col min="31" max="31" width="3.4609375" style="9" customWidth="1"/>
    <col min="32" max="32" width="12.15234375" style="9" customWidth="1"/>
    <col min="33" max="33" width="17.69140625" style="9" customWidth="1"/>
    <col min="34" max="34" width="12.15234375" style="9" customWidth="1"/>
    <col min="35" max="35" width="14.15234375" style="9" customWidth="1"/>
    <col min="36" max="36" width="8.3046875" style="9" customWidth="1"/>
    <col min="37" max="37" width="8.69140625" style="9" customWidth="1"/>
    <col min="38" max="38" width="3.4609375" style="9" customWidth="1"/>
    <col min="39" max="40" width="10.3046875" style="9" customWidth="1"/>
    <col min="41" max="46" width="7" style="9" customWidth="1"/>
    <col min="47" max="47" width="3.4609375" style="9" customWidth="1"/>
    <col min="48" max="48" width="6" style="9" customWidth="1"/>
    <col min="49" max="49" width="31.84375" style="9" bestFit="1" customWidth="1"/>
    <col min="50" max="50" width="5.69140625" style="9" hidden="1" customWidth="1"/>
    <col min="51" max="52" width="11.3046875" style="9" bestFit="1" customWidth="1"/>
    <col min="53" max="53" width="8.69140625" style="9" bestFit="1" customWidth="1"/>
    <col min="54" max="54" width="3.4609375" style="9" customWidth="1"/>
    <col min="55" max="59" width="11.4609375" style="9" customWidth="1"/>
    <col min="60" max="62" width="10.84375" style="9"/>
    <col min="63" max="63" width="3.4609375" style="10" customWidth="1"/>
    <col min="64" max="64" width="8.69140625" style="10" bestFit="1" customWidth="1"/>
    <col min="65" max="65" width="10" style="10" customWidth="1"/>
    <col min="66" max="66" width="8.69140625" style="10" bestFit="1" customWidth="1"/>
    <col min="67" max="67" width="7.3046875" style="10" customWidth="1"/>
    <col min="68" max="68" width="8" style="10" customWidth="1"/>
    <col min="69" max="69" width="11.3046875" style="10" bestFit="1" customWidth="1"/>
    <col min="70" max="70" width="8.69140625" style="9" bestFit="1" customWidth="1"/>
    <col min="71" max="71" width="3.4609375" style="9" customWidth="1"/>
    <col min="72" max="72" width="20.15234375" style="9" bestFit="1" customWidth="1"/>
    <col min="73" max="73" width="11.4609375" style="9" bestFit="1" customWidth="1"/>
    <col min="74" max="74" width="11.69140625" style="9" bestFit="1" customWidth="1"/>
    <col min="75" max="92" width="10.84375" style="9"/>
    <col min="93" max="93" width="12.3046875" style="9" bestFit="1" customWidth="1"/>
    <col min="94" max="95" width="10.15234375" style="9" bestFit="1" customWidth="1"/>
    <col min="96" max="96" width="10.4609375" style="9" bestFit="1" customWidth="1"/>
    <col min="97" max="99" width="11.69140625" style="9" bestFit="1" customWidth="1"/>
    <col min="100" max="16384" width="10.84375" style="9"/>
  </cols>
  <sheetData>
    <row r="1" spans="1:75" s="48" customFormat="1" ht="92" customHeight="1" thickBot="1">
      <c r="A1" s="56" t="s">
        <v>335</v>
      </c>
      <c r="B1" s="56" t="s">
        <v>334</v>
      </c>
      <c r="C1" s="56" t="s">
        <v>333</v>
      </c>
      <c r="D1" s="56" t="s">
        <v>332</v>
      </c>
      <c r="E1" s="56" t="s">
        <v>331</v>
      </c>
      <c r="F1" s="56" t="s">
        <v>330</v>
      </c>
      <c r="G1" s="56" t="s">
        <v>329</v>
      </c>
      <c r="H1" s="56" t="s">
        <v>328</v>
      </c>
      <c r="I1" s="56" t="s">
        <v>327</v>
      </c>
      <c r="J1" s="56" t="s">
        <v>326</v>
      </c>
      <c r="K1" s="56" t="s">
        <v>325</v>
      </c>
      <c r="L1" s="56" t="s">
        <v>324</v>
      </c>
      <c r="M1" s="56" t="s">
        <v>323</v>
      </c>
      <c r="N1" s="56" t="s">
        <v>322</v>
      </c>
      <c r="O1" s="48" t="s">
        <v>7</v>
      </c>
      <c r="P1" s="56" t="s">
        <v>281</v>
      </c>
      <c r="Q1" s="56" t="s">
        <v>321</v>
      </c>
      <c r="R1" s="56" t="s">
        <v>320</v>
      </c>
      <c r="S1" s="56" t="s">
        <v>319</v>
      </c>
      <c r="T1" s="56" t="s">
        <v>318</v>
      </c>
      <c r="U1" s="57" t="s">
        <v>317</v>
      </c>
      <c r="V1" s="56"/>
      <c r="W1" s="48" t="s">
        <v>294</v>
      </c>
      <c r="X1" s="48" t="s">
        <v>293</v>
      </c>
      <c r="Y1" s="48" t="s">
        <v>292</v>
      </c>
      <c r="Z1" s="48" t="s">
        <v>291</v>
      </c>
      <c r="AA1" s="48" t="s">
        <v>290</v>
      </c>
      <c r="AB1" s="48" t="s">
        <v>289</v>
      </c>
      <c r="AC1" s="48" t="s">
        <v>316</v>
      </c>
      <c r="AD1" s="48" t="s">
        <v>315</v>
      </c>
      <c r="AF1" s="48" t="s">
        <v>314</v>
      </c>
      <c r="AG1" s="48" t="s">
        <v>313</v>
      </c>
      <c r="AH1" s="48" t="s">
        <v>312</v>
      </c>
      <c r="AI1" s="48" t="s">
        <v>311</v>
      </c>
      <c r="AJ1" s="48" t="s">
        <v>310</v>
      </c>
      <c r="AK1" s="48" t="s">
        <v>309</v>
      </c>
      <c r="AM1" s="48" t="s">
        <v>308</v>
      </c>
      <c r="AN1" s="48" t="s">
        <v>307</v>
      </c>
      <c r="AO1" s="48" t="s">
        <v>306</v>
      </c>
      <c r="AP1" s="48" t="s">
        <v>305</v>
      </c>
      <c r="AQ1" s="48" t="s">
        <v>304</v>
      </c>
      <c r="AR1" s="48" t="s">
        <v>303</v>
      </c>
      <c r="AS1" s="48" t="s">
        <v>302</v>
      </c>
      <c r="AT1" s="48" t="s">
        <v>301</v>
      </c>
      <c r="AV1" s="48" t="s">
        <v>300</v>
      </c>
      <c r="AW1" s="48" t="s">
        <v>299</v>
      </c>
      <c r="AX1" s="48" t="s">
        <v>298</v>
      </c>
      <c r="AY1" s="48" t="s">
        <v>297</v>
      </c>
      <c r="AZ1" s="48" t="s">
        <v>296</v>
      </c>
      <c r="BA1" s="48" t="s">
        <v>295</v>
      </c>
      <c r="BC1" s="48" t="s">
        <v>294</v>
      </c>
      <c r="BD1" s="48" t="s">
        <v>293</v>
      </c>
      <c r="BE1" s="48" t="s">
        <v>292</v>
      </c>
      <c r="BF1" s="48" t="s">
        <v>291</v>
      </c>
      <c r="BG1" s="48" t="s">
        <v>290</v>
      </c>
      <c r="BH1" s="48" t="s">
        <v>289</v>
      </c>
      <c r="BI1" s="48" t="s">
        <v>288</v>
      </c>
      <c r="BJ1" s="48" t="s">
        <v>287</v>
      </c>
      <c r="BL1" s="55" t="s">
        <v>286</v>
      </c>
      <c r="BM1" s="54" t="s">
        <v>285</v>
      </c>
      <c r="BN1" s="54" t="s">
        <v>284</v>
      </c>
      <c r="BO1" s="54" t="s">
        <v>283</v>
      </c>
      <c r="BP1" s="53" t="s">
        <v>282</v>
      </c>
      <c r="BQ1" s="52" t="s">
        <v>281</v>
      </c>
      <c r="BR1" s="51" t="s">
        <v>280</v>
      </c>
      <c r="BT1" s="50" t="s">
        <v>279</v>
      </c>
      <c r="BU1" s="49" t="s">
        <v>278</v>
      </c>
      <c r="BV1" s="49" t="s">
        <v>277</v>
      </c>
    </row>
    <row r="2" spans="1:75" ht="16" customHeight="1">
      <c r="D2" s="31"/>
      <c r="E2" s="30"/>
      <c r="U2" s="24"/>
      <c r="V2" s="10"/>
      <c r="W2" s="13" t="s">
        <v>267</v>
      </c>
      <c r="X2" s="9">
        <f t="shared" ref="X2:X33" si="0">ROUND((1.05*IFERROR(10*SUMIF($B:$B,$W2,$H:$H),0)),0)</f>
        <v>32</v>
      </c>
      <c r="Y2" s="9">
        <f t="shared" ref="Y2:Y33" si="1">ROUND((1.05*IFERROR(10*SUMIF($B:$B,$W2,$K:$K),0)),0)</f>
        <v>95</v>
      </c>
      <c r="Z2" s="9">
        <f t="shared" ref="Z2:Z33" si="2">ROUND((1.05*IFERROR(10*SUMIF($B:$B,$W2,$N:$N),0)),0)</f>
        <v>0</v>
      </c>
      <c r="AA2" s="12">
        <f t="shared" ref="AA2:AA33" si="3">ROUNDUP(((SUM($X2:$Z2)*10.3)),0)</f>
        <v>1309</v>
      </c>
      <c r="AB2" s="9">
        <f t="shared" ref="AB2:AB33" si="4">ROUND(((SUM($X2:$Z2)*11.3)),0)</f>
        <v>1435</v>
      </c>
      <c r="AC2" s="12">
        <f t="shared" ref="AC2:AC33" si="5">ROUNDUP(((SUM($X2:$Z2)*10.425)),0)</f>
        <v>1324</v>
      </c>
      <c r="AD2" s="9">
        <f t="shared" ref="AD2:AD33" si="6">ROUND(((SUM($X2:$Z2)*11.425)),0)</f>
        <v>1451</v>
      </c>
      <c r="AF2" s="9">
        <f>SUM($X:$Z)</f>
        <v>666</v>
      </c>
      <c r="AG2" s="47">
        <f>ROUNDUP((1/1000)*$AH2*10/0.3,1)</f>
        <v>7</v>
      </c>
      <c r="AH2" s="9">
        <f>ROUNDUP(($AF$2*0.3*1.05),0)</f>
        <v>210</v>
      </c>
      <c r="AI2" s="46">
        <f>ROUNDUP((1/1000)*$AK$2*10/0.2,1)</f>
        <v>7</v>
      </c>
      <c r="AJ2" s="9">
        <f>$AK$2*0.225/0.2</f>
        <v>157.5</v>
      </c>
      <c r="AK2" s="9">
        <f>ROUNDUP(($AF$2*0.2*1.05),0)</f>
        <v>140</v>
      </c>
      <c r="AM2" s="10" t="s">
        <v>276</v>
      </c>
      <c r="AN2" s="10">
        <v>175</v>
      </c>
      <c r="AO2" s="10">
        <v>75</v>
      </c>
      <c r="AP2" s="10">
        <v>55</v>
      </c>
      <c r="AQ2" s="10">
        <v>25</v>
      </c>
      <c r="AR2" s="10">
        <v>10</v>
      </c>
      <c r="AS2" s="10">
        <v>3.5</v>
      </c>
      <c r="AT2" s="10">
        <v>2</v>
      </c>
      <c r="AV2" s="9">
        <f t="shared" ref="AV2:AV33" si="7">IF($AV1="Tube",1,$AV1+1)</f>
        <v>1</v>
      </c>
      <c r="AW2" s="9" t="s">
        <v>266</v>
      </c>
      <c r="AX2" s="9">
        <f t="shared" ref="AX2:AX33" si="8">IF($AX1="Tube2",1,$AX1+1)</f>
        <v>1</v>
      </c>
      <c r="AY2" s="9">
        <f t="shared" ref="AY2:AY33" si="9">SUM($AZ2:$BA2)</f>
        <v>210</v>
      </c>
      <c r="AZ2" s="9">
        <f t="shared" ref="AZ2:AZ33" si="10">ROUNDUP($BA2/9,0)</f>
        <v>21</v>
      </c>
      <c r="BA2" s="9">
        <f t="shared" ref="BA2:BA33" si="11">ROUNDUP(10.5*IFERROR((SUMIF($I:$I,$AW2,$K:$K)+SUMIF($L:$L,$AW2,$N:$N)+SUMIF($E:$E,$AW2,$H:$H)),0),0)</f>
        <v>189</v>
      </c>
      <c r="BC2" s="45" t="s">
        <v>275</v>
      </c>
      <c r="BD2" s="45">
        <v>32</v>
      </c>
      <c r="BE2" s="45">
        <v>95</v>
      </c>
      <c r="BF2" s="45">
        <v>0</v>
      </c>
      <c r="BG2" s="45">
        <v>1309</v>
      </c>
      <c r="BH2" s="45">
        <v>1435</v>
      </c>
      <c r="BI2" s="45">
        <v>1324</v>
      </c>
      <c r="BJ2" s="45">
        <v>1451</v>
      </c>
      <c r="BK2" s="9"/>
      <c r="BL2" s="44">
        <v>15</v>
      </c>
      <c r="BM2" s="43">
        <v>0</v>
      </c>
      <c r="BN2" s="43" t="str">
        <f>IF($BL2=22,COUNTIFS($BL$1:$BL2,$BL2,$BM$1:$BM2,$BM2),IF(COUNTIFS($BL$1:$BL2,$BL2,$BM$1:$BM2,$BM2)=1,"C",IF(COUNTIFS($BL$1:$BL2,$BL2,$BM$1:$BM2,$BM2)=$BL2+2,"C",COUNTIFS($BL$1:$BL2,$BL2,$BM$1:$BM2,$BM2)-1)))</f>
        <v>C</v>
      </c>
      <c r="BO2" s="43" t="str">
        <f t="shared" ref="BO2:BO18" si="12">IF($BQ2="Ladder","L", IF($BQ2="Empty", "E", $BQ2&amp;$BR2))</f>
        <v/>
      </c>
      <c r="BP2" s="42" t="str">
        <f>IF($BL2=22,IF($BO2="L",IF(COUNTIFS($BM$1:$BM2,$BM2,$BO$1:$BO2,"L")&gt;1,"1+4","5"),5),IF($BN2="C",IF($BO2="L",1,IF($BO2="","","")),IF($BO2="L",IF(COUNTIFS($BM$1:$BM2,$BM2,$BN$1:$BN2,"&lt;&gt;C",$BO$1:$BO2,"L")&gt;1,"1+9","5+5"),10)))</f>
        <v/>
      </c>
      <c r="BQ2" s="9"/>
      <c r="BT2" s="41" t="s">
        <v>274</v>
      </c>
      <c r="BU2" s="37">
        <f>(IF(COUNTIFS($O:$O,"TDA",$R:$R,"6")=0,0,(SUMIFS($Q:$Q,$R:$R,"6",$O:$O,"TDA")))+(75/9.6)*IF(COUNTIFS($O:$O,"TDA",$R:$R,"T75")=0,0,(SUMIFS($Q:$Q,$R:$R,"T75",$O:$O,"TDA"))))*1.05*200</f>
        <v>0</v>
      </c>
      <c r="BV2" s="40">
        <f>ROUNDUP(($BU$2/((100/1.25)-1)),0)</f>
        <v>0</v>
      </c>
      <c r="BW2" s="39"/>
    </row>
    <row r="3" spans="1:75" ht="16" customHeight="1">
      <c r="A3" s="11" t="str">
        <f t="shared" ref="A3:A8" si="13">IF($Q3&gt;1,$P3&amp;".1&gt;"&amp;$P3&amp;"."&amp;$Q3,$P3)</f>
        <v>1.1&gt;1.6</v>
      </c>
      <c r="B3" s="10" t="s">
        <v>263</v>
      </c>
      <c r="C3" s="10" t="str">
        <f t="shared" ref="C3:C8" si="14">IF($G3&lt;&gt;0,VLOOKUP($E3,$AW:$AX,2,FALSE),"")&amp;IF(AND($G3&lt;&gt;0,OR($J3&lt;&gt;0,$M3&lt;&gt;0)),"|","")&amp;IF($J3&lt;&gt;0,VLOOKUP($I3,$AW:$AX,2,FALSE),"")&amp;IF(AND($J3&lt;&gt;0,$M3&lt;&gt;0),"|","")&amp;IF($M3&lt;&gt;0,VLOOKUP($L3,$AW:$AX,2,FALSE),"")</f>
        <v>1</v>
      </c>
      <c r="D3" s="31" t="s">
        <v>21</v>
      </c>
      <c r="E3" s="30" t="s">
        <v>162</v>
      </c>
      <c r="F3" s="29" t="s">
        <v>162</v>
      </c>
      <c r="G3" s="10">
        <v>0</v>
      </c>
      <c r="H3" s="10">
        <f t="shared" ref="H3:H8" si="15">$G3*$Q3</f>
        <v>0</v>
      </c>
      <c r="I3" s="10" t="s">
        <v>266</v>
      </c>
      <c r="J3" s="10">
        <v>1.5</v>
      </c>
      <c r="K3" s="10">
        <f t="shared" ref="K3:K8" si="16">$J3*$Q3</f>
        <v>9</v>
      </c>
      <c r="L3" s="10" t="s">
        <v>158</v>
      </c>
      <c r="M3" s="10">
        <v>0</v>
      </c>
      <c r="N3" s="10">
        <f t="shared" ref="N3:N8" si="17">$M3*$Q3</f>
        <v>0</v>
      </c>
      <c r="O3" s="9" t="s">
        <v>249</v>
      </c>
      <c r="P3" s="10">
        <f t="shared" ref="P3:P8" si="18">IF(ISTEXT($P1),1,IF(ISBLANK($P2),$P1+1,$P2+1))</f>
        <v>1</v>
      </c>
      <c r="Q3" s="10">
        <v>6</v>
      </c>
      <c r="R3" s="10">
        <v>6</v>
      </c>
      <c r="S3" s="10" t="s">
        <v>248</v>
      </c>
      <c r="T3" s="10">
        <f t="shared" ref="T3:T8" si="19">113*SUM($G3,$J3,$M3)</f>
        <v>169.5</v>
      </c>
      <c r="U3" s="24">
        <f t="shared" ref="U3:U8" si="20">114.25*SUM($G3,$J3,$M3)</f>
        <v>171.375</v>
      </c>
      <c r="V3" s="10"/>
      <c r="W3" s="13" t="s">
        <v>261</v>
      </c>
      <c r="X3" s="9">
        <f t="shared" si="0"/>
        <v>32</v>
      </c>
      <c r="Y3" s="9">
        <f t="shared" si="1"/>
        <v>95</v>
      </c>
      <c r="Z3" s="9">
        <f t="shared" si="2"/>
        <v>0</v>
      </c>
      <c r="AA3" s="12">
        <f t="shared" si="3"/>
        <v>1309</v>
      </c>
      <c r="AB3" s="9">
        <f t="shared" si="4"/>
        <v>1435</v>
      </c>
      <c r="AC3" s="12">
        <f t="shared" si="5"/>
        <v>1324</v>
      </c>
      <c r="AD3" s="9">
        <f t="shared" si="6"/>
        <v>1451</v>
      </c>
      <c r="AM3" s="10" t="s">
        <v>273</v>
      </c>
      <c r="AN3" s="10" t="s">
        <v>272</v>
      </c>
      <c r="AO3" s="10" t="s">
        <v>271</v>
      </c>
      <c r="AP3" s="10">
        <v>10</v>
      </c>
      <c r="AQ3" s="10" t="s">
        <v>270</v>
      </c>
      <c r="AR3" s="10">
        <v>6</v>
      </c>
      <c r="AS3" s="10">
        <v>12</v>
      </c>
      <c r="AT3" s="10">
        <v>24</v>
      </c>
      <c r="AV3" s="9">
        <f t="shared" si="7"/>
        <v>2</v>
      </c>
      <c r="AW3" s="9" t="s">
        <v>250</v>
      </c>
      <c r="AX3" s="9">
        <f t="shared" si="8"/>
        <v>2</v>
      </c>
      <c r="AY3" s="9">
        <f t="shared" si="9"/>
        <v>210</v>
      </c>
      <c r="AZ3" s="9">
        <f t="shared" si="10"/>
        <v>21</v>
      </c>
      <c r="BA3" s="9">
        <f t="shared" si="11"/>
        <v>189</v>
      </c>
      <c r="BC3" s="9" t="s">
        <v>269</v>
      </c>
      <c r="BD3" s="9">
        <v>0</v>
      </c>
      <c r="BE3" s="9">
        <v>95</v>
      </c>
      <c r="BF3" s="9">
        <v>0</v>
      </c>
      <c r="BG3" s="9">
        <v>979</v>
      </c>
      <c r="BH3" s="9">
        <v>1074</v>
      </c>
      <c r="BI3" s="9">
        <v>991</v>
      </c>
      <c r="BJ3" s="9">
        <v>1085</v>
      </c>
      <c r="BK3" s="9"/>
      <c r="BL3" s="23">
        <f t="shared" ref="BL3:BL18" si="21">BL2</f>
        <v>15</v>
      </c>
      <c r="BM3" s="22">
        <f t="shared" ref="BM3:BM18" si="22">BM2</f>
        <v>0</v>
      </c>
      <c r="BN3" s="22">
        <f>IF($BL3=22,COUNTIFS($BL$1:$BL3,$BL3,$BM$1:$BM3,$BM3),IF(COUNTIFS($BL$1:$BL3,$BL3,$BM$1:$BM3,$BM3)=1,"C",IF(COUNTIFS($BL$1:$BL3,$BL3,$BM$1:$BM3,$BM3)=$BL3+2,"C",COUNTIFS($BL$1:$BL3,$BL3,$BM$1:$BM3,$BM3)-1)))</f>
        <v>1</v>
      </c>
      <c r="BO3" s="22" t="str">
        <f t="shared" si="12"/>
        <v/>
      </c>
      <c r="BP3" s="21">
        <f>IF($BL3=22,IF($BO3="L",IF(COUNTIFS($BM$1:$BM3,$BM3,$BO$1:$BO3,"L")&gt;1,"1+4","5"),5),IF($BN3="C",IF($BO3="L",1,IF($BO3="","","")),IF($BO3="L",IF(COUNTIFS($BM$1:$BM3,$BM3,$BN$1:$BN3,"&lt;&gt;C",$BO$1:$BO3,"L")&gt;1,"1+9","5+5"),10)))</f>
        <v>10</v>
      </c>
      <c r="BQ3" s="9"/>
      <c r="BT3" s="38" t="s">
        <v>268</v>
      </c>
      <c r="BU3" s="37">
        <f>(IF(COUNTIFS($O:$O,"TDA",$R:$R,"6")=0,0,(SUMIFS($Q:$Q,$R:$R,"6",$O:$O,"TDA")))+(75/9.6)*IF(COUNTIFS($O:$O,"TDA",$R:$R,"T75")=0,0,(SUMIFS($Q:$Q,$R:$R,"T75",$O:$O,"TDA"))))*1.05*200</f>
        <v>0</v>
      </c>
      <c r="BV3" s="36">
        <f>ROUNDUP($BU$3/((32/4)-1),0)</f>
        <v>0</v>
      </c>
    </row>
    <row r="4" spans="1:75" ht="16" customHeight="1">
      <c r="A4" s="11" t="str">
        <f t="shared" si="13"/>
        <v>2.1&gt;2.6</v>
      </c>
      <c r="B4" s="10" t="s">
        <v>267</v>
      </c>
      <c r="C4" s="10" t="str">
        <f t="shared" si="14"/>
        <v>4|1</v>
      </c>
      <c r="D4" s="31" t="s">
        <v>21</v>
      </c>
      <c r="E4" s="30" t="s">
        <v>252</v>
      </c>
      <c r="F4" s="29" t="s">
        <v>251</v>
      </c>
      <c r="G4" s="10">
        <v>0.5</v>
      </c>
      <c r="H4" s="10">
        <f t="shared" si="15"/>
        <v>3</v>
      </c>
      <c r="I4" s="10" t="s">
        <v>266</v>
      </c>
      <c r="J4" s="10">
        <v>1.5</v>
      </c>
      <c r="K4" s="10">
        <f t="shared" si="16"/>
        <v>9</v>
      </c>
      <c r="L4" s="10" t="s">
        <v>158</v>
      </c>
      <c r="M4" s="10">
        <v>0</v>
      </c>
      <c r="N4" s="10">
        <f t="shared" si="17"/>
        <v>0</v>
      </c>
      <c r="O4" s="9" t="s">
        <v>249</v>
      </c>
      <c r="P4" s="10">
        <f t="shared" si="18"/>
        <v>2</v>
      </c>
      <c r="Q4" s="10">
        <v>6</v>
      </c>
      <c r="R4" s="10">
        <v>6</v>
      </c>
      <c r="S4" s="10" t="s">
        <v>248</v>
      </c>
      <c r="T4" s="10">
        <f t="shared" si="19"/>
        <v>226</v>
      </c>
      <c r="U4" s="24">
        <f t="shared" si="20"/>
        <v>228.5</v>
      </c>
      <c r="V4" s="10"/>
      <c r="W4" s="13" t="s">
        <v>253</v>
      </c>
      <c r="X4" s="9">
        <f t="shared" si="0"/>
        <v>32</v>
      </c>
      <c r="Y4" s="9">
        <f t="shared" si="1"/>
        <v>95</v>
      </c>
      <c r="Z4" s="9">
        <f t="shared" si="2"/>
        <v>0</v>
      </c>
      <c r="AA4" s="12">
        <f t="shared" si="3"/>
        <v>1309</v>
      </c>
      <c r="AB4" s="9">
        <f t="shared" si="4"/>
        <v>1435</v>
      </c>
      <c r="AC4" s="12">
        <f t="shared" si="5"/>
        <v>1324</v>
      </c>
      <c r="AD4" s="9">
        <f t="shared" si="6"/>
        <v>1451</v>
      </c>
      <c r="AM4" s="9" t="s">
        <v>265</v>
      </c>
      <c r="AN4" s="9" t="str">
        <f t="shared" ref="AN4:AT14" si="23">IF(SUMIFS($Q:$Q,$D:$D,$AM4,$R:$R,AN$3)=0,"",SUMIFS($Q:$Q,$D:$D,$AM4,$R:$R,AN$3))</f>
        <v/>
      </c>
      <c r="AO4" s="9" t="str">
        <f t="shared" si="23"/>
        <v/>
      </c>
      <c r="AP4" s="9" t="str">
        <f t="shared" si="23"/>
        <v/>
      </c>
      <c r="AQ4" s="9" t="str">
        <f t="shared" si="23"/>
        <v/>
      </c>
      <c r="AR4" s="9" t="str">
        <f t="shared" si="23"/>
        <v/>
      </c>
      <c r="AS4" s="9" t="str">
        <f t="shared" si="23"/>
        <v/>
      </c>
      <c r="AT4" s="9" t="str">
        <f t="shared" si="23"/>
        <v/>
      </c>
      <c r="AV4" s="9">
        <f t="shared" si="7"/>
        <v>3</v>
      </c>
      <c r="AW4" s="9" t="s">
        <v>260</v>
      </c>
      <c r="AX4" s="9">
        <f t="shared" si="8"/>
        <v>3</v>
      </c>
      <c r="AY4" s="9">
        <f t="shared" si="9"/>
        <v>210</v>
      </c>
      <c r="AZ4" s="9">
        <f t="shared" si="10"/>
        <v>21</v>
      </c>
      <c r="BA4" s="9">
        <f t="shared" si="11"/>
        <v>189</v>
      </c>
      <c r="BC4" s="28"/>
      <c r="BD4" s="28"/>
      <c r="BE4" s="28"/>
      <c r="BF4" s="28"/>
      <c r="BG4" s="28"/>
      <c r="BH4" s="28"/>
      <c r="BI4" s="28"/>
      <c r="BJ4" s="28"/>
      <c r="BK4" s="9"/>
      <c r="BL4" s="23">
        <f t="shared" si="21"/>
        <v>15</v>
      </c>
      <c r="BM4" s="22">
        <f t="shared" si="22"/>
        <v>0</v>
      </c>
      <c r="BN4" s="22">
        <f>IF($BL4=22,COUNTIFS($BL$1:$BL4,$BL4,$BM$1:$BM4,$BM4),IF(COUNTIFS($BL$1:$BL4,$BL4,$BM$1:$BM4,$BM4)=1,"C",IF(COUNTIFS($BL$1:$BL4,$BL4,$BM$1:$BM4,$BM4)=$BL4+2,"C",COUNTIFS($BL$1:$BL4,$BL4,$BM$1:$BM4,$BM4)-1)))</f>
        <v>2</v>
      </c>
      <c r="BO4" s="22" t="str">
        <f t="shared" si="12"/>
        <v/>
      </c>
      <c r="BP4" s="21">
        <f>IF($BL4=22,IF($BO4="L",IF(COUNTIFS($BM$1:$BM4,$BM4,$BO$1:$BO4,"L")&gt;1,"1+4","5"),5),IF($BN4="C",IF($BO4="L",1,IF($BO4="","","")),IF($BO4="L",IF(COUNTIFS($BM$1:$BM4,$BM4,$BN$1:$BN4,"&lt;&gt;C",$BO$1:$BO4,"L")&gt;1,"1+9","5+5"),10)))</f>
        <v>10</v>
      </c>
      <c r="BQ4" s="9"/>
      <c r="BT4" s="35" t="s">
        <v>264</v>
      </c>
      <c r="BU4" s="34">
        <f>(IF(COUNTIFS($O:$O,"INF*",$R:$R,"6")=0,0,(SUMIFS($Q:$Q,$R:$R,"6",$O:$O,"INF*")))+(75/9.6)*IF(COUNTIFS($O:$O,"INF*",$R:$R,"T75")=0,0,(SUMIFS($Q:$Q,$R:$R,"T75",$O:$O,"INF*"))))*1.05*200</f>
        <v>7560.0000000000009</v>
      </c>
      <c r="BV4" s="33">
        <f>ROUNDUP($BU$4/((32/4)-1),0)</f>
        <v>1080</v>
      </c>
    </row>
    <row r="5" spans="1:75" ht="16" customHeight="1">
      <c r="A5" s="11" t="str">
        <f t="shared" si="13"/>
        <v>3.1&gt;3.6</v>
      </c>
      <c r="B5" s="10" t="s">
        <v>259</v>
      </c>
      <c r="C5" s="10" t="str">
        <f t="shared" si="14"/>
        <v>3</v>
      </c>
      <c r="D5" s="31" t="s">
        <v>21</v>
      </c>
      <c r="E5" s="30" t="s">
        <v>162</v>
      </c>
      <c r="F5" s="29" t="s">
        <v>162</v>
      </c>
      <c r="G5" s="10">
        <v>0</v>
      </c>
      <c r="H5" s="10">
        <f t="shared" si="15"/>
        <v>0</v>
      </c>
      <c r="I5" s="10" t="s">
        <v>260</v>
      </c>
      <c r="J5" s="10">
        <v>1.5</v>
      </c>
      <c r="K5" s="10">
        <f t="shared" si="16"/>
        <v>9</v>
      </c>
      <c r="L5" s="10" t="s">
        <v>158</v>
      </c>
      <c r="M5" s="10">
        <v>0</v>
      </c>
      <c r="N5" s="10">
        <f t="shared" si="17"/>
        <v>0</v>
      </c>
      <c r="O5" s="9" t="s">
        <v>249</v>
      </c>
      <c r="P5" s="10">
        <f t="shared" si="18"/>
        <v>3</v>
      </c>
      <c r="Q5" s="10">
        <v>6</v>
      </c>
      <c r="R5" s="10">
        <v>6</v>
      </c>
      <c r="S5" s="10" t="s">
        <v>248</v>
      </c>
      <c r="T5" s="10">
        <f t="shared" si="19"/>
        <v>169.5</v>
      </c>
      <c r="U5" s="24">
        <f t="shared" si="20"/>
        <v>171.375</v>
      </c>
      <c r="V5" s="10"/>
      <c r="W5" s="13" t="s">
        <v>263</v>
      </c>
      <c r="X5" s="9">
        <f t="shared" si="0"/>
        <v>0</v>
      </c>
      <c r="Y5" s="9">
        <f t="shared" si="1"/>
        <v>95</v>
      </c>
      <c r="Z5" s="9">
        <f t="shared" si="2"/>
        <v>0</v>
      </c>
      <c r="AA5" s="12">
        <f t="shared" si="3"/>
        <v>979</v>
      </c>
      <c r="AB5" s="9">
        <f t="shared" si="4"/>
        <v>1074</v>
      </c>
      <c r="AC5" s="12">
        <f t="shared" si="5"/>
        <v>991</v>
      </c>
      <c r="AD5" s="9">
        <f t="shared" si="6"/>
        <v>1085</v>
      </c>
      <c r="AG5" s="32"/>
      <c r="AH5" s="32"/>
      <c r="AM5" s="9" t="s">
        <v>262</v>
      </c>
      <c r="AN5" s="9" t="str">
        <f t="shared" si="23"/>
        <v/>
      </c>
      <c r="AO5" s="9" t="str">
        <f t="shared" si="23"/>
        <v/>
      </c>
      <c r="AP5" s="9" t="str">
        <f t="shared" si="23"/>
        <v/>
      </c>
      <c r="AQ5" s="9" t="str">
        <f t="shared" si="23"/>
        <v/>
      </c>
      <c r="AR5" s="9" t="str">
        <f t="shared" si="23"/>
        <v/>
      </c>
      <c r="AS5" s="9" t="str">
        <f t="shared" si="23"/>
        <v/>
      </c>
      <c r="AT5" s="9" t="str">
        <f t="shared" si="23"/>
        <v/>
      </c>
      <c r="AV5" s="9">
        <f t="shared" si="7"/>
        <v>4</v>
      </c>
      <c r="AW5" s="9" t="s">
        <v>252</v>
      </c>
      <c r="AX5" s="9">
        <f t="shared" si="8"/>
        <v>4</v>
      </c>
      <c r="AY5" s="9">
        <f t="shared" si="9"/>
        <v>106</v>
      </c>
      <c r="AZ5" s="9">
        <f t="shared" si="10"/>
        <v>11</v>
      </c>
      <c r="BA5" s="9">
        <f t="shared" si="11"/>
        <v>95</v>
      </c>
      <c r="BC5" s="28"/>
      <c r="BD5" s="28"/>
      <c r="BE5" s="28"/>
      <c r="BF5" s="28"/>
      <c r="BG5" s="28"/>
      <c r="BH5" s="28"/>
      <c r="BI5" s="28"/>
      <c r="BJ5" s="28"/>
      <c r="BK5" s="9"/>
      <c r="BL5" s="23">
        <f t="shared" si="21"/>
        <v>15</v>
      </c>
      <c r="BM5" s="22">
        <f t="shared" si="22"/>
        <v>0</v>
      </c>
      <c r="BN5" s="22">
        <f>IF($BL5=22,COUNTIFS($BL$1:$BL5,$BL5,$BM$1:$BM5,$BM5),IF(COUNTIFS($BL$1:$BL5,$BL5,$BM$1:$BM5,$BM5)=1,"C",IF(COUNTIFS($BL$1:$BL5,$BL5,$BM$1:$BM5,$BM5)=$BL5+2,"C",COUNTIFS($BL$1:$BL5,$BL5,$BM$1:$BM5,$BM5)-1)))</f>
        <v>3</v>
      </c>
      <c r="BO5" s="22" t="str">
        <f t="shared" si="12"/>
        <v/>
      </c>
      <c r="BP5" s="21">
        <f>IF($BL5=22,IF($BO5="L",IF(COUNTIFS($BM$1:$BM5,$BM5,$BO$1:$BO5,"L")&gt;1,"1+4","5"),5),IF($BN5="C",IF($BO5="L",1,IF($BO5="","","")),IF($BO5="L",IF(COUNTIFS($BM$1:$BM5,$BM5,$BN$1:$BN5,"&lt;&gt;C",$BO$1:$BO5,"L")&gt;1,"1+9","5+5"),10)))</f>
        <v>10</v>
      </c>
      <c r="BQ5" s="9"/>
    </row>
    <row r="6" spans="1:75" ht="16" customHeight="1">
      <c r="A6" s="11" t="str">
        <f t="shared" si="13"/>
        <v>4.1&gt;4.6</v>
      </c>
      <c r="B6" s="10" t="s">
        <v>261</v>
      </c>
      <c r="C6" s="10" t="str">
        <f t="shared" si="14"/>
        <v>4|3</v>
      </c>
      <c r="D6" s="31" t="s">
        <v>21</v>
      </c>
      <c r="E6" s="30" t="s">
        <v>252</v>
      </c>
      <c r="F6" s="29" t="s">
        <v>251</v>
      </c>
      <c r="G6" s="10">
        <v>0.5</v>
      </c>
      <c r="H6" s="10">
        <f t="shared" si="15"/>
        <v>3</v>
      </c>
      <c r="I6" s="10" t="s">
        <v>260</v>
      </c>
      <c r="J6" s="10">
        <v>1.5</v>
      </c>
      <c r="K6" s="10">
        <f t="shared" si="16"/>
        <v>9</v>
      </c>
      <c r="L6" s="10" t="s">
        <v>158</v>
      </c>
      <c r="M6" s="10">
        <v>0</v>
      </c>
      <c r="N6" s="10">
        <f t="shared" si="17"/>
        <v>0</v>
      </c>
      <c r="O6" s="9" t="s">
        <v>249</v>
      </c>
      <c r="P6" s="10">
        <f t="shared" si="18"/>
        <v>4</v>
      </c>
      <c r="Q6" s="10">
        <v>6</v>
      </c>
      <c r="R6" s="10">
        <v>6</v>
      </c>
      <c r="S6" s="10" t="s">
        <v>248</v>
      </c>
      <c r="T6" s="10">
        <f t="shared" si="19"/>
        <v>226</v>
      </c>
      <c r="U6" s="24">
        <f t="shared" si="20"/>
        <v>228.5</v>
      </c>
      <c r="V6" s="10"/>
      <c r="W6" s="13" t="s">
        <v>259</v>
      </c>
      <c r="X6" s="9">
        <f t="shared" si="0"/>
        <v>0</v>
      </c>
      <c r="Y6" s="9">
        <f t="shared" si="1"/>
        <v>95</v>
      </c>
      <c r="Z6" s="9">
        <f t="shared" si="2"/>
        <v>0</v>
      </c>
      <c r="AA6" s="12">
        <f t="shared" si="3"/>
        <v>979</v>
      </c>
      <c r="AB6" s="9">
        <f t="shared" si="4"/>
        <v>1074</v>
      </c>
      <c r="AC6" s="12">
        <f t="shared" si="5"/>
        <v>991</v>
      </c>
      <c r="AD6" s="9">
        <f t="shared" si="6"/>
        <v>1085</v>
      </c>
      <c r="AM6" s="9" t="s">
        <v>258</v>
      </c>
      <c r="AN6" s="9" t="str">
        <f t="shared" si="23"/>
        <v/>
      </c>
      <c r="AO6" s="9" t="str">
        <f t="shared" si="23"/>
        <v/>
      </c>
      <c r="AP6" s="9" t="str">
        <f t="shared" si="23"/>
        <v/>
      </c>
      <c r="AQ6" s="9" t="str">
        <f t="shared" si="23"/>
        <v/>
      </c>
      <c r="AR6" s="9" t="str">
        <f t="shared" si="23"/>
        <v/>
      </c>
      <c r="AS6" s="9" t="str">
        <f t="shared" si="23"/>
        <v/>
      </c>
      <c r="AT6" s="9" t="str">
        <f t="shared" si="23"/>
        <v/>
      </c>
      <c r="AV6" s="9">
        <f t="shared" si="7"/>
        <v>5</v>
      </c>
      <c r="AW6" s="9" t="s">
        <v>257</v>
      </c>
      <c r="AX6" s="9">
        <f t="shared" si="8"/>
        <v>5</v>
      </c>
      <c r="AY6" s="9">
        <f t="shared" si="9"/>
        <v>0</v>
      </c>
      <c r="AZ6" s="9">
        <f t="shared" si="10"/>
        <v>0</v>
      </c>
      <c r="BA6" s="9">
        <f t="shared" si="11"/>
        <v>0</v>
      </c>
      <c r="BC6" s="28"/>
      <c r="BD6" s="28"/>
      <c r="BE6" s="28"/>
      <c r="BF6" s="28"/>
      <c r="BG6" s="28"/>
      <c r="BH6" s="28"/>
      <c r="BI6" s="28"/>
      <c r="BJ6" s="28"/>
      <c r="BK6" s="9"/>
      <c r="BL6" s="23">
        <f t="shared" si="21"/>
        <v>15</v>
      </c>
      <c r="BM6" s="22">
        <f t="shared" si="22"/>
        <v>0</v>
      </c>
      <c r="BN6" s="22">
        <f>IF($BL6=22,COUNTIFS($BL$1:$BL6,$BL6,$BM$1:$BM6,$BM6),IF(COUNTIFS($BL$1:$BL6,$BL6,$BM$1:$BM6,$BM6)=1,"C",IF(COUNTIFS($BL$1:$BL6,$BL6,$BM$1:$BM6,$BM6)=$BL6+2,"C",COUNTIFS($BL$1:$BL6,$BL6,$BM$1:$BM6,$BM6)-1)))</f>
        <v>4</v>
      </c>
      <c r="BO6" s="22" t="str">
        <f t="shared" si="12"/>
        <v/>
      </c>
      <c r="BP6" s="21">
        <f>IF($BL6=22,IF($BO6="L",IF(COUNTIFS($BM$1:$BM6,$BM6,$BO$1:$BO6,"L")&gt;1,"1+4","5"),5),IF($BN6="C",IF($BO6="L",1,IF($BO6="","","")),IF($BO6="L",IF(COUNTIFS($BM$1:$BM6,$BM6,$BN$1:$BN6,"&lt;&gt;C",$BO$1:$BO6,"L")&gt;1,"1+9","5+5"),10)))</f>
        <v>10</v>
      </c>
      <c r="BQ6" s="9"/>
    </row>
    <row r="7" spans="1:75" ht="16" customHeight="1">
      <c r="A7" s="11" t="str">
        <f t="shared" si="13"/>
        <v>5.1&gt;5.6</v>
      </c>
      <c r="B7" s="10" t="s">
        <v>256</v>
      </c>
      <c r="C7" s="10" t="str">
        <f t="shared" si="14"/>
        <v>2</v>
      </c>
      <c r="D7" s="31" t="s">
        <v>21</v>
      </c>
      <c r="E7" s="30" t="s">
        <v>162</v>
      </c>
      <c r="F7" s="29" t="s">
        <v>162</v>
      </c>
      <c r="G7" s="10">
        <v>0</v>
      </c>
      <c r="H7" s="10">
        <f t="shared" si="15"/>
        <v>0</v>
      </c>
      <c r="I7" s="10" t="s">
        <v>250</v>
      </c>
      <c r="J7" s="10">
        <v>1.5</v>
      </c>
      <c r="K7" s="10">
        <f t="shared" si="16"/>
        <v>9</v>
      </c>
      <c r="L7" s="10" t="s">
        <v>158</v>
      </c>
      <c r="M7" s="10">
        <v>0</v>
      </c>
      <c r="N7" s="10">
        <f t="shared" si="17"/>
        <v>0</v>
      </c>
      <c r="O7" s="9" t="s">
        <v>249</v>
      </c>
      <c r="P7" s="10">
        <f t="shared" si="18"/>
        <v>5</v>
      </c>
      <c r="Q7" s="10">
        <v>6</v>
      </c>
      <c r="R7" s="10">
        <v>6</v>
      </c>
      <c r="S7" s="10" t="s">
        <v>248</v>
      </c>
      <c r="T7" s="10">
        <f t="shared" si="19"/>
        <v>169.5</v>
      </c>
      <c r="U7" s="24">
        <f t="shared" si="20"/>
        <v>171.375</v>
      </c>
      <c r="V7" s="10"/>
      <c r="W7" s="13" t="s">
        <v>256</v>
      </c>
      <c r="X7" s="9">
        <f t="shared" si="0"/>
        <v>0</v>
      </c>
      <c r="Y7" s="9">
        <f t="shared" si="1"/>
        <v>95</v>
      </c>
      <c r="Z7" s="9">
        <f t="shared" si="2"/>
        <v>0</v>
      </c>
      <c r="AA7" s="12">
        <f t="shared" si="3"/>
        <v>979</v>
      </c>
      <c r="AB7" s="9">
        <f t="shared" si="4"/>
        <v>1074</v>
      </c>
      <c r="AC7" s="12">
        <f t="shared" si="5"/>
        <v>991</v>
      </c>
      <c r="AD7" s="9">
        <f t="shared" si="6"/>
        <v>1085</v>
      </c>
      <c r="AM7" s="9" t="s">
        <v>255</v>
      </c>
      <c r="AN7" s="9" t="str">
        <f t="shared" si="23"/>
        <v/>
      </c>
      <c r="AO7" s="9" t="str">
        <f t="shared" si="23"/>
        <v/>
      </c>
      <c r="AP7" s="9" t="str">
        <f t="shared" si="23"/>
        <v/>
      </c>
      <c r="AQ7" s="9" t="str">
        <f t="shared" si="23"/>
        <v/>
      </c>
      <c r="AR7" s="9" t="str">
        <f t="shared" si="23"/>
        <v/>
      </c>
      <c r="AS7" s="9" t="str">
        <f t="shared" si="23"/>
        <v/>
      </c>
      <c r="AT7" s="9" t="str">
        <f t="shared" si="23"/>
        <v/>
      </c>
      <c r="AV7" s="9">
        <f t="shared" si="7"/>
        <v>6</v>
      </c>
      <c r="AW7" s="9" t="s">
        <v>254</v>
      </c>
      <c r="AX7" s="9">
        <f t="shared" si="8"/>
        <v>6</v>
      </c>
      <c r="AY7" s="9">
        <f t="shared" si="9"/>
        <v>0</v>
      </c>
      <c r="AZ7" s="9">
        <f t="shared" si="10"/>
        <v>0</v>
      </c>
      <c r="BA7" s="9">
        <f t="shared" si="11"/>
        <v>0</v>
      </c>
      <c r="BC7" s="28"/>
      <c r="BD7" s="28"/>
      <c r="BE7" s="28"/>
      <c r="BF7" s="28"/>
      <c r="BG7" s="28"/>
      <c r="BH7" s="28"/>
      <c r="BI7" s="28"/>
      <c r="BJ7" s="28"/>
      <c r="BK7" s="9"/>
      <c r="BL7" s="23">
        <f t="shared" si="21"/>
        <v>15</v>
      </c>
      <c r="BM7" s="22">
        <f t="shared" si="22"/>
        <v>0</v>
      </c>
      <c r="BN7" s="22">
        <f>IF($BL7=22,COUNTIFS($BL$1:$BL7,$BL7,$BM$1:$BM7,$BM7),IF(COUNTIFS($BL$1:$BL7,$BL7,$BM$1:$BM7,$BM7)=1,"C",IF(COUNTIFS($BL$1:$BL7,$BL7,$BM$1:$BM7,$BM7)=$BL7+2,"C",COUNTIFS($BL$1:$BL7,$BL7,$BM$1:$BM7,$BM7)-1)))</f>
        <v>5</v>
      </c>
      <c r="BO7" s="22" t="str">
        <f t="shared" si="12"/>
        <v/>
      </c>
      <c r="BP7" s="21">
        <f>IF($BL7=22,IF($BO7="L",IF(COUNTIFS($BM$1:$BM7,$BM7,$BO$1:$BO7,"L")&gt;1,"1+4","5"),5),IF($BN7="C",IF($BO7="L",1,IF($BO7="","","")),IF($BO7="L",IF(COUNTIFS($BM$1:$BM7,$BM7,$BN$1:$BN7,"&lt;&gt;C",$BO$1:$BO7,"L")&gt;1,"1+9","5+5"),10)))</f>
        <v>10</v>
      </c>
      <c r="BQ7" s="9"/>
    </row>
    <row r="8" spans="1:75" ht="16" customHeight="1">
      <c r="A8" s="11" t="str">
        <f t="shared" si="13"/>
        <v>6.1&gt;6.6</v>
      </c>
      <c r="B8" s="10" t="s">
        <v>253</v>
      </c>
      <c r="C8" s="10" t="str">
        <f t="shared" si="14"/>
        <v>4|2</v>
      </c>
      <c r="D8" s="27" t="s">
        <v>21</v>
      </c>
      <c r="E8" s="26" t="s">
        <v>252</v>
      </c>
      <c r="F8" s="25" t="s">
        <v>251</v>
      </c>
      <c r="G8" s="10">
        <v>0.5</v>
      </c>
      <c r="H8" s="10">
        <f t="shared" si="15"/>
        <v>3</v>
      </c>
      <c r="I8" s="10" t="s">
        <v>250</v>
      </c>
      <c r="J8" s="10">
        <v>1.5</v>
      </c>
      <c r="K8" s="10">
        <f t="shared" si="16"/>
        <v>9</v>
      </c>
      <c r="L8" s="10" t="s">
        <v>158</v>
      </c>
      <c r="M8" s="10">
        <v>0</v>
      </c>
      <c r="N8" s="10">
        <f t="shared" si="17"/>
        <v>0</v>
      </c>
      <c r="O8" s="9" t="s">
        <v>249</v>
      </c>
      <c r="P8" s="10">
        <f t="shared" si="18"/>
        <v>6</v>
      </c>
      <c r="Q8" s="10">
        <v>6</v>
      </c>
      <c r="R8" s="10">
        <v>6</v>
      </c>
      <c r="S8" s="10" t="s">
        <v>248</v>
      </c>
      <c r="T8" s="10">
        <f t="shared" si="19"/>
        <v>226</v>
      </c>
      <c r="U8" s="24">
        <f t="shared" si="20"/>
        <v>228.5</v>
      </c>
      <c r="V8" s="10"/>
      <c r="W8" s="13" t="s">
        <v>247</v>
      </c>
      <c r="X8" s="9">
        <f t="shared" si="0"/>
        <v>0</v>
      </c>
      <c r="Y8" s="9">
        <f t="shared" si="1"/>
        <v>0</v>
      </c>
      <c r="Z8" s="9">
        <f t="shared" si="2"/>
        <v>0</v>
      </c>
      <c r="AA8" s="12">
        <f t="shared" si="3"/>
        <v>0</v>
      </c>
      <c r="AB8" s="9">
        <f t="shared" si="4"/>
        <v>0</v>
      </c>
      <c r="AC8" s="12">
        <f t="shared" si="5"/>
        <v>0</v>
      </c>
      <c r="AD8" s="9">
        <f t="shared" si="6"/>
        <v>0</v>
      </c>
      <c r="AM8" s="9" t="s">
        <v>246</v>
      </c>
      <c r="AN8" s="9" t="str">
        <f t="shared" si="23"/>
        <v/>
      </c>
      <c r="AO8" s="9" t="str">
        <f t="shared" si="23"/>
        <v/>
      </c>
      <c r="AP8" s="9" t="str">
        <f t="shared" si="23"/>
        <v/>
      </c>
      <c r="AQ8" s="9" t="str">
        <f t="shared" si="23"/>
        <v/>
      </c>
      <c r="AR8" s="9" t="str">
        <f t="shared" si="23"/>
        <v/>
      </c>
      <c r="AS8" s="9" t="str">
        <f t="shared" si="23"/>
        <v/>
      </c>
      <c r="AT8" s="9" t="str">
        <f t="shared" si="23"/>
        <v/>
      </c>
      <c r="AV8" s="9">
        <f t="shared" si="7"/>
        <v>7</v>
      </c>
      <c r="AW8" s="9" t="s">
        <v>245</v>
      </c>
      <c r="AX8" s="9">
        <f t="shared" si="8"/>
        <v>7</v>
      </c>
      <c r="AY8" s="9">
        <f t="shared" si="9"/>
        <v>0</v>
      </c>
      <c r="AZ8" s="9">
        <f t="shared" si="10"/>
        <v>0</v>
      </c>
      <c r="BA8" s="9">
        <f t="shared" si="11"/>
        <v>0</v>
      </c>
      <c r="BC8" s="14"/>
      <c r="BD8" s="14"/>
      <c r="BE8" s="14"/>
      <c r="BF8" s="14"/>
      <c r="BG8" s="14"/>
      <c r="BH8" s="14"/>
      <c r="BI8" s="14"/>
      <c r="BJ8" s="14"/>
      <c r="BK8" s="9"/>
      <c r="BL8" s="23">
        <f t="shared" si="21"/>
        <v>15</v>
      </c>
      <c r="BM8" s="22">
        <f t="shared" si="22"/>
        <v>0</v>
      </c>
      <c r="BN8" s="22">
        <f>IF($BL8=22,COUNTIFS($BL$1:$BL8,$BL8,$BM$1:$BM8,$BM8),IF(COUNTIFS($BL$1:$BL8,$BL8,$BM$1:$BM8,$BM8)=1,"C",IF(COUNTIFS($BL$1:$BL8,$BL8,$BM$1:$BM8,$BM8)=$BL8+2,"C",COUNTIFS($BL$1:$BL8,$BL8,$BM$1:$BM8,$BM8)-1)))</f>
        <v>6</v>
      </c>
      <c r="BO8" s="22" t="str">
        <f t="shared" si="12"/>
        <v/>
      </c>
      <c r="BP8" s="21">
        <f>IF($BL8=22,IF($BO8="L",IF(COUNTIFS($BM$1:$BM8,$BM8,$BO$1:$BO8,"L")&gt;1,"1+4","5"),5),IF($BN8="C",IF($BO8="L",1,IF($BO8="","","")),IF($BO8="L",IF(COUNTIFS($BM$1:$BM8,$BM8,$BN$1:$BN8,"&lt;&gt;C",$BO$1:$BO8,"L")&gt;1,"1+9","5+5"),10)))</f>
        <v>10</v>
      </c>
      <c r="BQ8" s="9"/>
    </row>
    <row r="9" spans="1:75" ht="16" customHeight="1">
      <c r="V9" s="10"/>
      <c r="W9" s="13" t="s">
        <v>244</v>
      </c>
      <c r="X9" s="9">
        <f t="shared" si="0"/>
        <v>0</v>
      </c>
      <c r="Y9" s="9">
        <f t="shared" si="1"/>
        <v>0</v>
      </c>
      <c r="Z9" s="9">
        <f t="shared" si="2"/>
        <v>0</v>
      </c>
      <c r="AA9" s="12">
        <f t="shared" si="3"/>
        <v>0</v>
      </c>
      <c r="AB9" s="9">
        <f t="shared" si="4"/>
        <v>0</v>
      </c>
      <c r="AC9" s="12">
        <f t="shared" si="5"/>
        <v>0</v>
      </c>
      <c r="AD9" s="9">
        <f t="shared" si="6"/>
        <v>0</v>
      </c>
      <c r="AM9" s="9" t="s">
        <v>243</v>
      </c>
      <c r="AN9" s="9" t="str">
        <f t="shared" si="23"/>
        <v/>
      </c>
      <c r="AO9" s="9" t="str">
        <f t="shared" si="23"/>
        <v/>
      </c>
      <c r="AP9" s="9" t="str">
        <f t="shared" si="23"/>
        <v/>
      </c>
      <c r="AQ9" s="9" t="str">
        <f t="shared" si="23"/>
        <v/>
      </c>
      <c r="AR9" s="9" t="str">
        <f t="shared" si="23"/>
        <v/>
      </c>
      <c r="AS9" s="9" t="str">
        <f t="shared" si="23"/>
        <v/>
      </c>
      <c r="AT9" s="9" t="str">
        <f t="shared" si="23"/>
        <v/>
      </c>
      <c r="AV9" s="9">
        <f t="shared" si="7"/>
        <v>8</v>
      </c>
      <c r="AW9" s="9" t="s">
        <v>242</v>
      </c>
      <c r="AX9" s="9">
        <f t="shared" si="8"/>
        <v>8</v>
      </c>
      <c r="AY9" s="9">
        <f t="shared" si="9"/>
        <v>0</v>
      </c>
      <c r="AZ9" s="9">
        <f t="shared" si="10"/>
        <v>0</v>
      </c>
      <c r="BA9" s="9">
        <f t="shared" si="11"/>
        <v>0</v>
      </c>
      <c r="BC9" s="14"/>
      <c r="BD9" s="14"/>
      <c r="BE9" s="14"/>
      <c r="BF9" s="14"/>
      <c r="BG9" s="14"/>
      <c r="BH9" s="14"/>
      <c r="BI9" s="14"/>
      <c r="BJ9" s="14"/>
      <c r="BK9" s="9"/>
      <c r="BL9" s="23">
        <f t="shared" si="21"/>
        <v>15</v>
      </c>
      <c r="BM9" s="22">
        <f t="shared" si="22"/>
        <v>0</v>
      </c>
      <c r="BN9" s="22">
        <f>IF($BL9=22,COUNTIFS($BL$1:$BL9,$BL9,$BM$1:$BM9,$BM9),IF(COUNTIFS($BL$1:$BL9,$BL9,$BM$1:$BM9,$BM9)=1,"C",IF(COUNTIFS($BL$1:$BL9,$BL9,$BM$1:$BM9,$BM9)=$BL9+2,"C",COUNTIFS($BL$1:$BL9,$BL9,$BM$1:$BM9,$BM9)-1)))</f>
        <v>7</v>
      </c>
      <c r="BO9" s="22" t="str">
        <f t="shared" si="12"/>
        <v/>
      </c>
      <c r="BP9" s="21">
        <f>IF($BL9=22,IF($BO9="L",IF(COUNTIFS($BM$1:$BM9,$BM9,$BO$1:$BO9,"L")&gt;1,"1+4","5"),5),IF($BN9="C",IF($BO9="L",1,IF($BO9="","","")),IF($BO9="L",IF(COUNTIFS($BM$1:$BM9,$BM9,$BN$1:$BN9,"&lt;&gt;C",$BO$1:$BO9,"L")&gt;1,"1+9","5+5"),10)))</f>
        <v>10</v>
      </c>
      <c r="BQ9" s="9"/>
    </row>
    <row r="10" spans="1:75" ht="16" customHeight="1">
      <c r="V10" s="10"/>
      <c r="W10" s="13" t="s">
        <v>241</v>
      </c>
      <c r="X10" s="9">
        <f t="shared" si="0"/>
        <v>0</v>
      </c>
      <c r="Y10" s="9">
        <f t="shared" si="1"/>
        <v>0</v>
      </c>
      <c r="Z10" s="9">
        <f t="shared" si="2"/>
        <v>0</v>
      </c>
      <c r="AA10" s="12">
        <f t="shared" si="3"/>
        <v>0</v>
      </c>
      <c r="AB10" s="9">
        <f t="shared" si="4"/>
        <v>0</v>
      </c>
      <c r="AC10" s="12">
        <f t="shared" si="5"/>
        <v>0</v>
      </c>
      <c r="AD10" s="9">
        <f t="shared" si="6"/>
        <v>0</v>
      </c>
      <c r="AM10" s="9" t="s">
        <v>240</v>
      </c>
      <c r="AN10" s="9" t="str">
        <f t="shared" si="23"/>
        <v/>
      </c>
      <c r="AO10" s="9" t="str">
        <f t="shared" si="23"/>
        <v/>
      </c>
      <c r="AP10" s="9" t="str">
        <f t="shared" si="23"/>
        <v/>
      </c>
      <c r="AQ10" s="9" t="str">
        <f t="shared" si="23"/>
        <v/>
      </c>
      <c r="AR10" s="9" t="str">
        <f t="shared" si="23"/>
        <v/>
      </c>
      <c r="AS10" s="9" t="str">
        <f t="shared" si="23"/>
        <v/>
      </c>
      <c r="AT10" s="9" t="str">
        <f t="shared" si="23"/>
        <v/>
      </c>
      <c r="AV10" s="9">
        <f t="shared" si="7"/>
        <v>9</v>
      </c>
      <c r="AW10" s="9" t="s">
        <v>239</v>
      </c>
      <c r="AX10" s="9">
        <f t="shared" si="8"/>
        <v>9</v>
      </c>
      <c r="AY10" s="9">
        <f t="shared" si="9"/>
        <v>0</v>
      </c>
      <c r="AZ10" s="9">
        <f t="shared" si="10"/>
        <v>0</v>
      </c>
      <c r="BA10" s="9">
        <f t="shared" si="11"/>
        <v>0</v>
      </c>
      <c r="BC10" s="14"/>
      <c r="BD10" s="14"/>
      <c r="BE10" s="14"/>
      <c r="BF10" s="14"/>
      <c r="BG10" s="14"/>
      <c r="BH10" s="14"/>
      <c r="BI10" s="14"/>
      <c r="BJ10" s="14"/>
      <c r="BK10" s="9"/>
      <c r="BL10" s="23">
        <f t="shared" si="21"/>
        <v>15</v>
      </c>
      <c r="BM10" s="22">
        <f t="shared" si="22"/>
        <v>0</v>
      </c>
      <c r="BN10" s="22">
        <f>IF($BL10=22,COUNTIFS($BL$1:$BL10,$BL10,$BM$1:$BM10,$BM10),IF(COUNTIFS($BL$1:$BL10,$BL10,$BM$1:$BM10,$BM10)=1,"C",IF(COUNTIFS($BL$1:$BL10,$BL10,$BM$1:$BM10,$BM10)=$BL10+2,"C",COUNTIFS($BL$1:$BL10,$BL10,$BM$1:$BM10,$BM10)-1)))</f>
        <v>8</v>
      </c>
      <c r="BO10" s="22" t="str">
        <f t="shared" si="12"/>
        <v/>
      </c>
      <c r="BP10" s="21">
        <f>IF($BL10=22,IF($BO10="L",IF(COUNTIFS($BM$1:$BM10,$BM10,$BO$1:$BO10,"L")&gt;1,"1+4","5"),5),IF($BN10="C",IF($BO10="L",1,IF($BO10="","","")),IF($BO10="L",IF(COUNTIFS($BM$1:$BM10,$BM10,$BN$1:$BN10,"&lt;&gt;C",$BO$1:$BO10,"L")&gt;1,"1+9","5+5"),10)))</f>
        <v>10</v>
      </c>
      <c r="BQ10" s="9"/>
    </row>
    <row r="11" spans="1:75" ht="16" customHeight="1">
      <c r="V11" s="10"/>
      <c r="W11" s="13" t="s">
        <v>238</v>
      </c>
      <c r="X11" s="9">
        <f t="shared" si="0"/>
        <v>0</v>
      </c>
      <c r="Y11" s="9">
        <f t="shared" si="1"/>
        <v>0</v>
      </c>
      <c r="Z11" s="9">
        <f t="shared" si="2"/>
        <v>0</v>
      </c>
      <c r="AA11" s="12">
        <f t="shared" si="3"/>
        <v>0</v>
      </c>
      <c r="AB11" s="9">
        <f t="shared" si="4"/>
        <v>0</v>
      </c>
      <c r="AC11" s="12">
        <f t="shared" si="5"/>
        <v>0</v>
      </c>
      <c r="AD11" s="9">
        <f t="shared" si="6"/>
        <v>0</v>
      </c>
      <c r="AM11" s="9" t="s">
        <v>21</v>
      </c>
      <c r="AN11" s="9" t="str">
        <f t="shared" si="23"/>
        <v/>
      </c>
      <c r="AO11" s="9" t="str">
        <f t="shared" si="23"/>
        <v/>
      </c>
      <c r="AP11" s="9" t="str">
        <f t="shared" si="23"/>
        <v/>
      </c>
      <c r="AQ11" s="9" t="str">
        <f t="shared" si="23"/>
        <v/>
      </c>
      <c r="AR11" s="9">
        <f t="shared" si="23"/>
        <v>36</v>
      </c>
      <c r="AS11" s="9" t="str">
        <f t="shared" si="23"/>
        <v/>
      </c>
      <c r="AT11" s="9" t="str">
        <f t="shared" si="23"/>
        <v/>
      </c>
      <c r="AV11" s="9">
        <f t="shared" si="7"/>
        <v>10</v>
      </c>
      <c r="AW11" s="9" t="s">
        <v>237</v>
      </c>
      <c r="AX11" s="9">
        <f t="shared" si="8"/>
        <v>10</v>
      </c>
      <c r="AY11" s="9">
        <f t="shared" si="9"/>
        <v>0</v>
      </c>
      <c r="AZ11" s="9">
        <f t="shared" si="10"/>
        <v>0</v>
      </c>
      <c r="BA11" s="9">
        <f t="shared" si="11"/>
        <v>0</v>
      </c>
      <c r="BC11" s="14"/>
      <c r="BD11" s="14"/>
      <c r="BE11" s="14"/>
      <c r="BF11" s="14"/>
      <c r="BG11" s="14"/>
      <c r="BH11" s="14"/>
      <c r="BI11" s="14"/>
      <c r="BJ11" s="14"/>
      <c r="BK11" s="9"/>
      <c r="BL11" s="23">
        <f t="shared" si="21"/>
        <v>15</v>
      </c>
      <c r="BM11" s="22">
        <f t="shared" si="22"/>
        <v>0</v>
      </c>
      <c r="BN11" s="22">
        <f>IF($BL11=22,COUNTIFS($BL$1:$BL11,$BL11,$BM$1:$BM11,$BM11),IF(COUNTIFS($BL$1:$BL11,$BL11,$BM$1:$BM11,$BM11)=1,"C",IF(COUNTIFS($BL$1:$BL11,$BL11,$BM$1:$BM11,$BM11)=$BL11+2,"C",COUNTIFS($BL$1:$BL11,$BL11,$BM$1:$BM11,$BM11)-1)))</f>
        <v>9</v>
      </c>
      <c r="BO11" s="22" t="str">
        <f t="shared" si="12"/>
        <v/>
      </c>
      <c r="BP11" s="21">
        <f>IF($BL11=22,IF($BO11="L",IF(COUNTIFS($BM$1:$BM11,$BM11,$BO$1:$BO11,"L")&gt;1,"1+4","5"),5),IF($BN11="C",IF($BO11="L",1,IF($BO11="","","")),IF($BO11="L",IF(COUNTIFS($BM$1:$BM11,$BM11,$BN$1:$BN11,"&lt;&gt;C",$BO$1:$BO11,"L")&gt;1,"1+9","5+5"),10)))</f>
        <v>10</v>
      </c>
      <c r="BQ11" s="9"/>
    </row>
    <row r="12" spans="1:75" ht="16" customHeight="1">
      <c r="V12" s="10"/>
      <c r="W12" s="13" t="s">
        <v>236</v>
      </c>
      <c r="X12" s="9">
        <f t="shared" si="0"/>
        <v>0</v>
      </c>
      <c r="Y12" s="9">
        <f t="shared" si="1"/>
        <v>0</v>
      </c>
      <c r="Z12" s="9">
        <f t="shared" si="2"/>
        <v>0</v>
      </c>
      <c r="AA12" s="12">
        <f t="shared" si="3"/>
        <v>0</v>
      </c>
      <c r="AB12" s="9">
        <f t="shared" si="4"/>
        <v>0</v>
      </c>
      <c r="AC12" s="12">
        <f t="shared" si="5"/>
        <v>0</v>
      </c>
      <c r="AD12" s="9">
        <f t="shared" si="6"/>
        <v>0</v>
      </c>
      <c r="AM12" s="9" t="s">
        <v>235</v>
      </c>
      <c r="AN12" s="9" t="str">
        <f t="shared" si="23"/>
        <v/>
      </c>
      <c r="AO12" s="9" t="str">
        <f t="shared" si="23"/>
        <v/>
      </c>
      <c r="AP12" s="9" t="str">
        <f t="shared" si="23"/>
        <v/>
      </c>
      <c r="AQ12" s="9" t="str">
        <f t="shared" si="23"/>
        <v/>
      </c>
      <c r="AR12" s="9" t="str">
        <f t="shared" si="23"/>
        <v/>
      </c>
      <c r="AS12" s="9" t="str">
        <f t="shared" si="23"/>
        <v/>
      </c>
      <c r="AT12" s="9" t="str">
        <f t="shared" si="23"/>
        <v/>
      </c>
      <c r="AV12" s="9">
        <f t="shared" si="7"/>
        <v>11</v>
      </c>
      <c r="AW12" s="9" t="s">
        <v>234</v>
      </c>
      <c r="AX12" s="9">
        <f t="shared" si="8"/>
        <v>11</v>
      </c>
      <c r="AY12" s="9">
        <f t="shared" si="9"/>
        <v>0</v>
      </c>
      <c r="AZ12" s="9">
        <f t="shared" si="10"/>
        <v>0</v>
      </c>
      <c r="BA12" s="9">
        <f t="shared" si="11"/>
        <v>0</v>
      </c>
      <c r="BC12" s="14"/>
      <c r="BD12" s="14"/>
      <c r="BE12" s="14"/>
      <c r="BF12" s="14"/>
      <c r="BG12" s="14"/>
      <c r="BH12" s="14"/>
      <c r="BI12" s="14"/>
      <c r="BJ12" s="14"/>
      <c r="BK12" s="9"/>
      <c r="BL12" s="23">
        <f t="shared" si="21"/>
        <v>15</v>
      </c>
      <c r="BM12" s="22">
        <f t="shared" si="22"/>
        <v>0</v>
      </c>
      <c r="BN12" s="22">
        <f>IF($BL12=22,COUNTIFS($BL$1:$BL12,$BL12,$BM$1:$BM12,$BM12),IF(COUNTIFS($BL$1:$BL12,$BL12,$BM$1:$BM12,$BM12)=1,"C",IF(COUNTIFS($BL$1:$BL12,$BL12,$BM$1:$BM12,$BM12)=$BL12+2,"C",COUNTIFS($BL$1:$BL12,$BL12,$BM$1:$BM12,$BM12)-1)))</f>
        <v>10</v>
      </c>
      <c r="BO12" s="22" t="str">
        <f t="shared" si="12"/>
        <v/>
      </c>
      <c r="BP12" s="21">
        <f>IF($BL12=22,IF($BO12="L",IF(COUNTIFS($BM$1:$BM12,$BM12,$BO$1:$BO12,"L")&gt;1,"1+4","5"),5),IF($BN12="C",IF($BO12="L",1,IF($BO12="","","")),IF($BO12="L",IF(COUNTIFS($BM$1:$BM12,$BM12,$BN$1:$BN12,"&lt;&gt;C",$BO$1:$BO12,"L")&gt;1,"1+9","5+5"),10)))</f>
        <v>10</v>
      </c>
      <c r="BQ12" s="9"/>
    </row>
    <row r="13" spans="1:75" ht="16" customHeight="1">
      <c r="V13" s="10"/>
      <c r="W13" s="13" t="s">
        <v>233</v>
      </c>
      <c r="X13" s="9">
        <f t="shared" si="0"/>
        <v>0</v>
      </c>
      <c r="Y13" s="9">
        <f t="shared" si="1"/>
        <v>0</v>
      </c>
      <c r="Z13" s="9">
        <f t="shared" si="2"/>
        <v>0</v>
      </c>
      <c r="AA13" s="12">
        <f t="shared" si="3"/>
        <v>0</v>
      </c>
      <c r="AB13" s="9">
        <f t="shared" si="4"/>
        <v>0</v>
      </c>
      <c r="AC13" s="12">
        <f t="shared" si="5"/>
        <v>0</v>
      </c>
      <c r="AD13" s="9">
        <f t="shared" si="6"/>
        <v>0</v>
      </c>
      <c r="AM13" s="9" t="s">
        <v>232</v>
      </c>
      <c r="AN13" s="9" t="str">
        <f t="shared" si="23"/>
        <v/>
      </c>
      <c r="AO13" s="9" t="str">
        <f t="shared" si="23"/>
        <v/>
      </c>
      <c r="AP13" s="9" t="str">
        <f t="shared" si="23"/>
        <v/>
      </c>
      <c r="AQ13" s="9" t="str">
        <f t="shared" si="23"/>
        <v/>
      </c>
      <c r="AR13" s="9" t="str">
        <f t="shared" si="23"/>
        <v/>
      </c>
      <c r="AS13" s="9" t="str">
        <f t="shared" si="23"/>
        <v/>
      </c>
      <c r="AT13" s="9" t="str">
        <f t="shared" si="23"/>
        <v/>
      </c>
      <c r="AV13" s="9">
        <f t="shared" si="7"/>
        <v>12</v>
      </c>
      <c r="AW13" s="13" t="s">
        <v>231</v>
      </c>
      <c r="AX13" s="9">
        <f t="shared" si="8"/>
        <v>12</v>
      </c>
      <c r="AY13" s="9">
        <f t="shared" si="9"/>
        <v>0</v>
      </c>
      <c r="AZ13" s="9">
        <f t="shared" si="10"/>
        <v>0</v>
      </c>
      <c r="BA13" s="9">
        <f t="shared" si="11"/>
        <v>0</v>
      </c>
      <c r="BC13" s="14"/>
      <c r="BD13" s="14"/>
      <c r="BE13" s="14"/>
      <c r="BF13" s="14"/>
      <c r="BG13" s="14"/>
      <c r="BH13" s="14"/>
      <c r="BI13" s="14"/>
      <c r="BJ13" s="14"/>
      <c r="BK13" s="9"/>
      <c r="BL13" s="23">
        <f t="shared" si="21"/>
        <v>15</v>
      </c>
      <c r="BM13" s="22">
        <f t="shared" si="22"/>
        <v>0</v>
      </c>
      <c r="BN13" s="22">
        <f>IF($BL13=22,COUNTIFS($BL$1:$BL13,$BL13,$BM$1:$BM13,$BM13),IF(COUNTIFS($BL$1:$BL13,$BL13,$BM$1:$BM13,$BM13)=1,"C",IF(COUNTIFS($BL$1:$BL13,$BL13,$BM$1:$BM13,$BM13)=$BL13+2,"C",COUNTIFS($BL$1:$BL13,$BL13,$BM$1:$BM13,$BM13)-1)))</f>
        <v>11</v>
      </c>
      <c r="BO13" s="22" t="str">
        <f t="shared" si="12"/>
        <v/>
      </c>
      <c r="BP13" s="21">
        <f>IF($BL13=22,IF($BO13="L",IF(COUNTIFS($BM$1:$BM13,$BM13,$BO$1:$BO13,"L")&gt;1,"1+4","5"),5),IF($BN13="C",IF($BO13="L",1,IF($BO13="","","")),IF($BO13="L",IF(COUNTIFS($BM$1:$BM13,$BM13,$BN$1:$BN13,"&lt;&gt;C",$BO$1:$BO13,"L")&gt;1,"1+9","5+5"),10)))</f>
        <v>10</v>
      </c>
      <c r="BQ13" s="9"/>
    </row>
    <row r="14" spans="1:75" ht="16" customHeight="1">
      <c r="V14" s="10"/>
      <c r="W14" s="13" t="s">
        <v>230</v>
      </c>
      <c r="X14" s="9">
        <f t="shared" si="0"/>
        <v>0</v>
      </c>
      <c r="Y14" s="9">
        <f t="shared" si="1"/>
        <v>0</v>
      </c>
      <c r="Z14" s="9">
        <f t="shared" si="2"/>
        <v>0</v>
      </c>
      <c r="AA14" s="12">
        <f t="shared" si="3"/>
        <v>0</v>
      </c>
      <c r="AB14" s="9">
        <f t="shared" si="4"/>
        <v>0</v>
      </c>
      <c r="AC14" s="12">
        <f t="shared" si="5"/>
        <v>0</v>
      </c>
      <c r="AD14" s="9">
        <f t="shared" si="6"/>
        <v>0</v>
      </c>
      <c r="AM14" s="9" t="s">
        <v>229</v>
      </c>
      <c r="AN14" s="9" t="str">
        <f t="shared" si="23"/>
        <v/>
      </c>
      <c r="AO14" s="9" t="str">
        <f t="shared" si="23"/>
        <v/>
      </c>
      <c r="AP14" s="9" t="str">
        <f t="shared" si="23"/>
        <v/>
      </c>
      <c r="AQ14" s="9" t="str">
        <f t="shared" si="23"/>
        <v/>
      </c>
      <c r="AR14" s="9" t="str">
        <f t="shared" si="23"/>
        <v/>
      </c>
      <c r="AS14" s="9" t="str">
        <f t="shared" si="23"/>
        <v/>
      </c>
      <c r="AT14" s="9" t="str">
        <f t="shared" si="23"/>
        <v/>
      </c>
      <c r="AV14" s="9">
        <f t="shared" si="7"/>
        <v>13</v>
      </c>
      <c r="AW14" s="13" t="s">
        <v>228</v>
      </c>
      <c r="AX14" s="9">
        <f t="shared" si="8"/>
        <v>13</v>
      </c>
      <c r="AY14" s="9">
        <f t="shared" si="9"/>
        <v>0</v>
      </c>
      <c r="AZ14" s="9">
        <f t="shared" si="10"/>
        <v>0</v>
      </c>
      <c r="BA14" s="9">
        <f t="shared" si="11"/>
        <v>0</v>
      </c>
      <c r="BC14" s="14"/>
      <c r="BD14" s="14"/>
      <c r="BE14" s="14"/>
      <c r="BF14" s="14"/>
      <c r="BG14" s="14"/>
      <c r="BH14" s="14"/>
      <c r="BI14" s="14"/>
      <c r="BJ14" s="14"/>
      <c r="BK14" s="9"/>
      <c r="BL14" s="23">
        <f t="shared" si="21"/>
        <v>15</v>
      </c>
      <c r="BM14" s="22">
        <f t="shared" si="22"/>
        <v>0</v>
      </c>
      <c r="BN14" s="22">
        <f>IF($BL14=22,COUNTIFS($BL$1:$BL14,$BL14,$BM$1:$BM14,$BM14),IF(COUNTIFS($BL$1:$BL14,$BL14,$BM$1:$BM14,$BM14)=1,"C",IF(COUNTIFS($BL$1:$BL14,$BL14,$BM$1:$BM14,$BM14)=$BL14+2,"C",COUNTIFS($BL$1:$BL14,$BL14,$BM$1:$BM14,$BM14)-1)))</f>
        <v>12</v>
      </c>
      <c r="BO14" s="22" t="str">
        <f t="shared" si="12"/>
        <v/>
      </c>
      <c r="BP14" s="21">
        <f>IF($BL14=22,IF($BO14="L",IF(COUNTIFS($BM$1:$BM14,$BM14,$BO$1:$BO14,"L")&gt;1,"1+4","5"),5),IF($BN14="C",IF($BO14="L",1,IF($BO14="","","")),IF($BO14="L",IF(COUNTIFS($BM$1:$BM14,$BM14,$BN$1:$BN14,"&lt;&gt;C",$BO$1:$BO14,"L")&gt;1,"1+9","5+5"),10)))</f>
        <v>10</v>
      </c>
      <c r="BQ14" s="9"/>
    </row>
    <row r="15" spans="1:75" ht="16" customHeight="1">
      <c r="V15" s="10"/>
      <c r="W15" s="13" t="s">
        <v>227</v>
      </c>
      <c r="X15" s="9">
        <f t="shared" si="0"/>
        <v>0</v>
      </c>
      <c r="Y15" s="9">
        <f t="shared" si="1"/>
        <v>0</v>
      </c>
      <c r="Z15" s="9">
        <f t="shared" si="2"/>
        <v>0</v>
      </c>
      <c r="AA15" s="12">
        <f t="shared" si="3"/>
        <v>0</v>
      </c>
      <c r="AB15" s="9">
        <f t="shared" si="4"/>
        <v>0</v>
      </c>
      <c r="AC15" s="12">
        <f t="shared" si="5"/>
        <v>0</v>
      </c>
      <c r="AD15" s="9">
        <f t="shared" si="6"/>
        <v>0</v>
      </c>
      <c r="AS15" s="14"/>
      <c r="AT15" s="14"/>
      <c r="AV15" s="9">
        <f t="shared" si="7"/>
        <v>14</v>
      </c>
      <c r="AW15" s="13" t="s">
        <v>226</v>
      </c>
      <c r="AX15" s="9">
        <f t="shared" si="8"/>
        <v>14</v>
      </c>
      <c r="AY15" s="9">
        <f t="shared" si="9"/>
        <v>0</v>
      </c>
      <c r="AZ15" s="9">
        <f t="shared" si="10"/>
        <v>0</v>
      </c>
      <c r="BA15" s="9">
        <f t="shared" si="11"/>
        <v>0</v>
      </c>
      <c r="BC15" s="14"/>
      <c r="BD15" s="14"/>
      <c r="BE15" s="14"/>
      <c r="BF15" s="14"/>
      <c r="BG15" s="14"/>
      <c r="BH15" s="14"/>
      <c r="BI15" s="14"/>
      <c r="BJ15" s="14"/>
      <c r="BK15" s="9"/>
      <c r="BL15" s="23">
        <f t="shared" si="21"/>
        <v>15</v>
      </c>
      <c r="BM15" s="22">
        <f t="shared" si="22"/>
        <v>0</v>
      </c>
      <c r="BN15" s="22">
        <f>IF($BL15=22,COUNTIFS($BL$1:$BL15,$BL15,$BM$1:$BM15,$BM15),IF(COUNTIFS($BL$1:$BL15,$BL15,$BM$1:$BM15,$BM15)=1,"C",IF(COUNTIFS($BL$1:$BL15,$BL15,$BM$1:$BM15,$BM15)=$BL15+2,"C",COUNTIFS($BL$1:$BL15,$BL15,$BM$1:$BM15,$BM15)-1)))</f>
        <v>13</v>
      </c>
      <c r="BO15" s="22" t="str">
        <f t="shared" si="12"/>
        <v/>
      </c>
      <c r="BP15" s="21">
        <f>IF($BL15=22,IF($BO15="L",IF(COUNTIFS($BM$1:$BM15,$BM15,$BO$1:$BO15,"L")&gt;1,"1+4","5"),5),IF($BN15="C",IF($BO15="L",1,IF($BO15="","","")),IF($BO15="L",IF(COUNTIFS($BM$1:$BM15,$BM15,$BN$1:$BN15,"&lt;&gt;C",$BO$1:$BO15,"L")&gt;1,"1+9","5+5"),10)))</f>
        <v>10</v>
      </c>
      <c r="BQ15" s="9"/>
    </row>
    <row r="16" spans="1:75" ht="16" customHeight="1">
      <c r="V16" s="10"/>
      <c r="W16" s="13" t="s">
        <v>225</v>
      </c>
      <c r="X16" s="9">
        <f t="shared" si="0"/>
        <v>0</v>
      </c>
      <c r="Y16" s="9">
        <f t="shared" si="1"/>
        <v>0</v>
      </c>
      <c r="Z16" s="9">
        <f t="shared" si="2"/>
        <v>0</v>
      </c>
      <c r="AA16" s="12">
        <f t="shared" si="3"/>
        <v>0</v>
      </c>
      <c r="AB16" s="9">
        <f t="shared" si="4"/>
        <v>0</v>
      </c>
      <c r="AC16" s="12">
        <f t="shared" si="5"/>
        <v>0</v>
      </c>
      <c r="AD16" s="9">
        <f t="shared" si="6"/>
        <v>0</v>
      </c>
      <c r="AG16" s="14"/>
      <c r="AH16" s="14"/>
      <c r="AS16" s="14"/>
      <c r="AV16" s="9">
        <f t="shared" si="7"/>
        <v>15</v>
      </c>
      <c r="AW16" s="13" t="s">
        <v>224</v>
      </c>
      <c r="AX16" s="9">
        <f t="shared" si="8"/>
        <v>15</v>
      </c>
      <c r="AY16" s="9">
        <f t="shared" si="9"/>
        <v>0</v>
      </c>
      <c r="AZ16" s="9">
        <f t="shared" si="10"/>
        <v>0</v>
      </c>
      <c r="BA16" s="9">
        <f t="shared" si="11"/>
        <v>0</v>
      </c>
      <c r="BC16" s="14"/>
      <c r="BD16" s="14"/>
      <c r="BE16" s="14"/>
      <c r="BF16" s="14"/>
      <c r="BG16" s="14"/>
      <c r="BH16" s="14"/>
      <c r="BI16" s="14"/>
      <c r="BJ16" s="14"/>
      <c r="BK16" s="9"/>
      <c r="BL16" s="23">
        <f t="shared" si="21"/>
        <v>15</v>
      </c>
      <c r="BM16" s="22">
        <f t="shared" si="22"/>
        <v>0</v>
      </c>
      <c r="BN16" s="22">
        <f>IF($BL16=22,COUNTIFS($BL$1:$BL16,$BL16,$BM$1:$BM16,$BM16),IF(COUNTIFS($BL$1:$BL16,$BL16,$BM$1:$BM16,$BM16)=1,"C",IF(COUNTIFS($BL$1:$BL16,$BL16,$BM$1:$BM16,$BM16)=$BL16+2,"C",COUNTIFS($BL$1:$BL16,$BL16,$BM$1:$BM16,$BM16)-1)))</f>
        <v>14</v>
      </c>
      <c r="BO16" s="22" t="str">
        <f t="shared" si="12"/>
        <v/>
      </c>
      <c r="BP16" s="21">
        <f>IF($BL16=22,IF($BO16="L",IF(COUNTIFS($BM$1:$BM16,$BM16,$BO$1:$BO16,"L")&gt;1,"1+4","5"),5),IF($BN16="C",IF($BO16="L",1,IF($BO16="","","")),IF($BO16="L",IF(COUNTIFS($BM$1:$BM16,$BM16,$BN$1:$BN16,"&lt;&gt;C",$BO$1:$BO16,"L")&gt;1,"1+9","5+5"),10)))</f>
        <v>10</v>
      </c>
      <c r="BQ16" s="9"/>
    </row>
    <row r="17" spans="22:69" ht="16" customHeight="1">
      <c r="V17" s="10"/>
      <c r="W17" s="13" t="s">
        <v>223</v>
      </c>
      <c r="X17" s="9">
        <f t="shared" si="0"/>
        <v>0</v>
      </c>
      <c r="Y17" s="9">
        <f t="shared" si="1"/>
        <v>0</v>
      </c>
      <c r="Z17" s="9">
        <f t="shared" si="2"/>
        <v>0</v>
      </c>
      <c r="AA17" s="12">
        <f t="shared" si="3"/>
        <v>0</v>
      </c>
      <c r="AB17" s="9">
        <f t="shared" si="4"/>
        <v>0</v>
      </c>
      <c r="AC17" s="12">
        <f t="shared" si="5"/>
        <v>0</v>
      </c>
      <c r="AD17" s="9">
        <f t="shared" si="6"/>
        <v>0</v>
      </c>
      <c r="AG17" s="14"/>
      <c r="AH17" s="14"/>
      <c r="AS17" s="14"/>
      <c r="AV17" s="9">
        <f t="shared" si="7"/>
        <v>16</v>
      </c>
      <c r="AW17" s="13" t="s">
        <v>222</v>
      </c>
      <c r="AX17" s="9">
        <f t="shared" si="8"/>
        <v>16</v>
      </c>
      <c r="AY17" s="9">
        <f t="shared" si="9"/>
        <v>0</v>
      </c>
      <c r="AZ17" s="9">
        <f t="shared" si="10"/>
        <v>0</v>
      </c>
      <c r="BA17" s="9">
        <f t="shared" si="11"/>
        <v>0</v>
      </c>
      <c r="BC17" s="14"/>
      <c r="BD17" s="14"/>
      <c r="BE17" s="14"/>
      <c r="BF17" s="14"/>
      <c r="BG17" s="14"/>
      <c r="BH17" s="14"/>
      <c r="BI17" s="14"/>
      <c r="BJ17" s="14"/>
      <c r="BK17" s="9"/>
      <c r="BL17" s="23">
        <f t="shared" si="21"/>
        <v>15</v>
      </c>
      <c r="BM17" s="22">
        <f t="shared" si="22"/>
        <v>0</v>
      </c>
      <c r="BN17" s="22">
        <f>IF($BL17=22,COUNTIFS($BL$1:$BL17,$BL17,$BM$1:$BM17,$BM17),IF(COUNTIFS($BL$1:$BL17,$BL17,$BM$1:$BM17,$BM17)=1,"C",IF(COUNTIFS($BL$1:$BL17,$BL17,$BM$1:$BM17,$BM17)=$BL17+2,"C",COUNTIFS($BL$1:$BL17,$BL17,$BM$1:$BM17,$BM17)-1)))</f>
        <v>15</v>
      </c>
      <c r="BO17" s="22" t="str">
        <f t="shared" si="12"/>
        <v/>
      </c>
      <c r="BP17" s="21">
        <f>IF($BL17=22,IF($BO17="L",IF(COUNTIFS($BM$1:$BM17,$BM17,$BO$1:$BO17,"L")&gt;1,"1+4","5"),5),IF($BN17="C",IF($BO17="L",1,IF($BO17="","","")),IF($BO17="L",IF(COUNTIFS($BM$1:$BM17,$BM17,$BN$1:$BN17,"&lt;&gt;C",$BO$1:$BO17,"L")&gt;1,"1+9","5+5"),10)))</f>
        <v>10</v>
      </c>
      <c r="BQ17" s="9"/>
    </row>
    <row r="18" spans="22:69" ht="16" customHeight="1">
      <c r="V18" s="10"/>
      <c r="W18" s="13" t="s">
        <v>221</v>
      </c>
      <c r="X18" s="9">
        <f t="shared" si="0"/>
        <v>0</v>
      </c>
      <c r="Y18" s="9">
        <f t="shared" si="1"/>
        <v>0</v>
      </c>
      <c r="Z18" s="9">
        <f t="shared" si="2"/>
        <v>0</v>
      </c>
      <c r="AA18" s="12">
        <f t="shared" si="3"/>
        <v>0</v>
      </c>
      <c r="AB18" s="9">
        <f t="shared" si="4"/>
        <v>0</v>
      </c>
      <c r="AC18" s="12">
        <f t="shared" si="5"/>
        <v>0</v>
      </c>
      <c r="AD18" s="9">
        <f t="shared" si="6"/>
        <v>0</v>
      </c>
      <c r="AG18" s="14"/>
      <c r="AH18" s="14"/>
      <c r="AS18" s="14"/>
      <c r="AV18" s="9">
        <f t="shared" si="7"/>
        <v>17</v>
      </c>
      <c r="AW18" s="13" t="s">
        <v>220</v>
      </c>
      <c r="AX18" s="9">
        <f t="shared" si="8"/>
        <v>17</v>
      </c>
      <c r="AY18" s="9">
        <f t="shared" si="9"/>
        <v>0</v>
      </c>
      <c r="AZ18" s="9">
        <f t="shared" si="10"/>
        <v>0</v>
      </c>
      <c r="BA18" s="9">
        <f t="shared" si="11"/>
        <v>0</v>
      </c>
      <c r="BC18" s="14"/>
      <c r="BD18" s="14"/>
      <c r="BE18" s="14"/>
      <c r="BF18" s="14"/>
      <c r="BG18" s="14"/>
      <c r="BH18" s="14"/>
      <c r="BI18" s="14"/>
      <c r="BJ18" s="14"/>
      <c r="BK18" s="9"/>
      <c r="BL18" s="20">
        <f t="shared" si="21"/>
        <v>15</v>
      </c>
      <c r="BM18" s="19">
        <f t="shared" si="22"/>
        <v>0</v>
      </c>
      <c r="BN18" s="19" t="str">
        <f>IF($BL18=22,COUNTIFS($BL$1:$BL18,$BL18,$BM$1:$BM18,$BM18),IF(COUNTIFS($BL$1:$BL18,$BL18,$BM$1:$BM18,$BM18)=1,"C",IF(COUNTIFS($BL$1:$BL18,$BL18,$BM$1:$BM18,$BM18)=$BL18+2,"C",COUNTIFS($BL$1:$BL18,$BL18,$BM$1:$BM18,$BM18)-1)))</f>
        <v>C</v>
      </c>
      <c r="BO18" s="19" t="str">
        <f t="shared" si="12"/>
        <v/>
      </c>
      <c r="BP18" s="18" t="str">
        <f>IF($BL18=22,IF($BO18="L",IF(COUNTIFS($BM$1:$BM18,$BM18,$BO$1:$BO18,"L")&gt;1,"1+4","5"),5),IF($BN18="C",IF($BO18="L",1,IF($BO18="","","")),IF($BO18="L",IF(COUNTIFS($BM$1:$BM18,$BM18,$BN$1:$BN18,"&lt;&gt;C",$BO$1:$BO18,"L")&gt;1,"1+9","5+5"),10)))</f>
        <v/>
      </c>
      <c r="BQ18" s="9"/>
    </row>
    <row r="19" spans="22:69" ht="16" customHeight="1">
      <c r="V19" s="10"/>
      <c r="W19" s="13" t="s">
        <v>219</v>
      </c>
      <c r="X19" s="9">
        <f t="shared" si="0"/>
        <v>0</v>
      </c>
      <c r="Y19" s="9">
        <f t="shared" si="1"/>
        <v>0</v>
      </c>
      <c r="Z19" s="9">
        <f t="shared" si="2"/>
        <v>0</v>
      </c>
      <c r="AA19" s="12">
        <f t="shared" si="3"/>
        <v>0</v>
      </c>
      <c r="AB19" s="9">
        <f t="shared" si="4"/>
        <v>0</v>
      </c>
      <c r="AC19" s="12">
        <f t="shared" si="5"/>
        <v>0</v>
      </c>
      <c r="AD19" s="9">
        <f t="shared" si="6"/>
        <v>0</v>
      </c>
      <c r="AG19" s="14"/>
      <c r="AH19" s="14"/>
      <c r="AS19" s="14"/>
      <c r="AV19" s="9">
        <f t="shared" si="7"/>
        <v>18</v>
      </c>
      <c r="AW19" s="13" t="s">
        <v>218</v>
      </c>
      <c r="AX19" s="9">
        <f t="shared" si="8"/>
        <v>18</v>
      </c>
      <c r="AY19" s="9">
        <f t="shared" si="9"/>
        <v>0</v>
      </c>
      <c r="AZ19" s="9">
        <f t="shared" si="10"/>
        <v>0</v>
      </c>
      <c r="BA19" s="9">
        <f t="shared" si="11"/>
        <v>0</v>
      </c>
      <c r="BC19" s="14"/>
      <c r="BD19" s="14"/>
      <c r="BE19" s="14"/>
      <c r="BF19" s="14"/>
      <c r="BG19" s="14"/>
      <c r="BH19" s="14"/>
      <c r="BI19" s="14"/>
      <c r="BJ19" s="14"/>
      <c r="BK19" s="9"/>
    </row>
    <row r="20" spans="22:69" ht="16" customHeight="1">
      <c r="V20" s="10"/>
      <c r="W20" s="13" t="s">
        <v>217</v>
      </c>
      <c r="X20" s="9">
        <f t="shared" si="0"/>
        <v>0</v>
      </c>
      <c r="Y20" s="9">
        <f t="shared" si="1"/>
        <v>0</v>
      </c>
      <c r="Z20" s="9">
        <f t="shared" si="2"/>
        <v>0</v>
      </c>
      <c r="AA20" s="12">
        <f t="shared" si="3"/>
        <v>0</v>
      </c>
      <c r="AB20" s="9">
        <f t="shared" si="4"/>
        <v>0</v>
      </c>
      <c r="AC20" s="12">
        <f t="shared" si="5"/>
        <v>0</v>
      </c>
      <c r="AD20" s="9">
        <f t="shared" si="6"/>
        <v>0</v>
      </c>
      <c r="AG20" s="14"/>
      <c r="AH20" s="14"/>
      <c r="AS20" s="14"/>
      <c r="AV20" s="9">
        <f t="shared" si="7"/>
        <v>19</v>
      </c>
      <c r="AW20" s="15" t="s">
        <v>216</v>
      </c>
      <c r="AX20" s="9">
        <f t="shared" si="8"/>
        <v>19</v>
      </c>
      <c r="AY20" s="9">
        <f t="shared" si="9"/>
        <v>0</v>
      </c>
      <c r="AZ20" s="9">
        <f t="shared" si="10"/>
        <v>0</v>
      </c>
      <c r="BA20" s="9">
        <f t="shared" si="11"/>
        <v>0</v>
      </c>
      <c r="BC20" s="14"/>
      <c r="BD20" s="14"/>
      <c r="BE20" s="14"/>
      <c r="BF20" s="14"/>
      <c r="BG20" s="14"/>
      <c r="BH20" s="14"/>
      <c r="BI20" s="14"/>
      <c r="BJ20" s="14"/>
      <c r="BK20" s="9"/>
    </row>
    <row r="21" spans="22:69" ht="16" customHeight="1">
      <c r="V21" s="10"/>
      <c r="W21" s="13" t="s">
        <v>215</v>
      </c>
      <c r="X21" s="9">
        <f t="shared" si="0"/>
        <v>0</v>
      </c>
      <c r="Y21" s="9">
        <f t="shared" si="1"/>
        <v>0</v>
      </c>
      <c r="Z21" s="9">
        <f t="shared" si="2"/>
        <v>0</v>
      </c>
      <c r="AA21" s="12">
        <f t="shared" si="3"/>
        <v>0</v>
      </c>
      <c r="AB21" s="9">
        <f t="shared" si="4"/>
        <v>0</v>
      </c>
      <c r="AC21" s="12">
        <f t="shared" si="5"/>
        <v>0</v>
      </c>
      <c r="AD21" s="9">
        <f t="shared" si="6"/>
        <v>0</v>
      </c>
      <c r="AG21" s="14"/>
      <c r="AH21" s="14"/>
      <c r="AS21" s="14"/>
      <c r="AV21" s="9">
        <f t="shared" si="7"/>
        <v>20</v>
      </c>
      <c r="AW21" s="15" t="s">
        <v>214</v>
      </c>
      <c r="AX21" s="9">
        <f t="shared" si="8"/>
        <v>20</v>
      </c>
      <c r="AY21" s="9">
        <f t="shared" si="9"/>
        <v>0</v>
      </c>
      <c r="AZ21" s="9">
        <f t="shared" si="10"/>
        <v>0</v>
      </c>
      <c r="BA21" s="9">
        <f t="shared" si="11"/>
        <v>0</v>
      </c>
      <c r="BC21" s="14"/>
      <c r="BD21" s="14"/>
      <c r="BE21" s="14"/>
      <c r="BF21" s="14"/>
      <c r="BG21" s="14"/>
      <c r="BH21" s="14"/>
      <c r="BI21" s="14"/>
      <c r="BJ21" s="14"/>
      <c r="BK21" s="9"/>
    </row>
    <row r="22" spans="22:69" ht="16" customHeight="1">
      <c r="V22" s="10"/>
      <c r="W22" s="13" t="s">
        <v>213</v>
      </c>
      <c r="X22" s="9">
        <f t="shared" si="0"/>
        <v>0</v>
      </c>
      <c r="Y22" s="9">
        <f t="shared" si="1"/>
        <v>0</v>
      </c>
      <c r="Z22" s="9">
        <f t="shared" si="2"/>
        <v>0</v>
      </c>
      <c r="AA22" s="12">
        <f t="shared" si="3"/>
        <v>0</v>
      </c>
      <c r="AB22" s="9">
        <f t="shared" si="4"/>
        <v>0</v>
      </c>
      <c r="AC22" s="12">
        <f t="shared" si="5"/>
        <v>0</v>
      </c>
      <c r="AD22" s="9">
        <f t="shared" si="6"/>
        <v>0</v>
      </c>
      <c r="AG22" s="14"/>
      <c r="AH22" s="14"/>
      <c r="AS22" s="14"/>
      <c r="AV22" s="9">
        <f t="shared" si="7"/>
        <v>21</v>
      </c>
      <c r="AW22" s="13" t="s">
        <v>212</v>
      </c>
      <c r="AX22" s="9">
        <f t="shared" si="8"/>
        <v>21</v>
      </c>
      <c r="AY22" s="9">
        <f t="shared" si="9"/>
        <v>0</v>
      </c>
      <c r="AZ22" s="9">
        <f t="shared" si="10"/>
        <v>0</v>
      </c>
      <c r="BA22" s="9">
        <f t="shared" si="11"/>
        <v>0</v>
      </c>
      <c r="BC22" s="14"/>
      <c r="BD22" s="14"/>
      <c r="BE22" s="14"/>
      <c r="BF22" s="14"/>
      <c r="BG22" s="14"/>
      <c r="BH22" s="14"/>
      <c r="BI22" s="14"/>
      <c r="BJ22" s="14"/>
      <c r="BK22" s="9"/>
    </row>
    <row r="23" spans="22:69" ht="16" customHeight="1">
      <c r="V23" s="10"/>
      <c r="W23" s="13" t="s">
        <v>211</v>
      </c>
      <c r="X23" s="9">
        <f t="shared" si="0"/>
        <v>0</v>
      </c>
      <c r="Y23" s="9">
        <f t="shared" si="1"/>
        <v>0</v>
      </c>
      <c r="Z23" s="9">
        <f t="shared" si="2"/>
        <v>0</v>
      </c>
      <c r="AA23" s="12">
        <f t="shared" si="3"/>
        <v>0</v>
      </c>
      <c r="AB23" s="9">
        <f t="shared" si="4"/>
        <v>0</v>
      </c>
      <c r="AC23" s="12">
        <f t="shared" si="5"/>
        <v>0</v>
      </c>
      <c r="AD23" s="9">
        <f t="shared" si="6"/>
        <v>0</v>
      </c>
      <c r="AG23" s="14"/>
      <c r="AH23" s="14"/>
      <c r="AS23" s="14"/>
      <c r="AV23" s="9">
        <f t="shared" si="7"/>
        <v>22</v>
      </c>
      <c r="AW23" s="15" t="s">
        <v>210</v>
      </c>
      <c r="AX23" s="9">
        <f t="shared" si="8"/>
        <v>22</v>
      </c>
      <c r="AY23" s="9">
        <f t="shared" si="9"/>
        <v>0</v>
      </c>
      <c r="AZ23" s="9">
        <f t="shared" si="10"/>
        <v>0</v>
      </c>
      <c r="BA23" s="9">
        <f t="shared" si="11"/>
        <v>0</v>
      </c>
      <c r="BC23" s="14"/>
      <c r="BD23" s="14"/>
      <c r="BE23" s="14"/>
      <c r="BF23" s="14"/>
      <c r="BG23" s="14"/>
      <c r="BH23" s="14"/>
      <c r="BI23" s="14"/>
      <c r="BJ23" s="14"/>
      <c r="BK23" s="9"/>
    </row>
    <row r="24" spans="22:69" ht="16" customHeight="1">
      <c r="V24" s="10"/>
      <c r="W24" s="13" t="s">
        <v>209</v>
      </c>
      <c r="X24" s="9">
        <f t="shared" si="0"/>
        <v>0</v>
      </c>
      <c r="Y24" s="9">
        <f t="shared" si="1"/>
        <v>0</v>
      </c>
      <c r="Z24" s="9">
        <f t="shared" si="2"/>
        <v>0</v>
      </c>
      <c r="AA24" s="12">
        <f t="shared" si="3"/>
        <v>0</v>
      </c>
      <c r="AB24" s="9">
        <f t="shared" si="4"/>
        <v>0</v>
      </c>
      <c r="AC24" s="12">
        <f t="shared" si="5"/>
        <v>0</v>
      </c>
      <c r="AD24" s="9">
        <f t="shared" si="6"/>
        <v>0</v>
      </c>
      <c r="AG24" s="14"/>
      <c r="AH24" s="14"/>
      <c r="AS24" s="14"/>
      <c r="AV24" s="9">
        <f t="shared" si="7"/>
        <v>23</v>
      </c>
      <c r="AW24" s="15" t="s">
        <v>208</v>
      </c>
      <c r="AX24" s="9">
        <f t="shared" si="8"/>
        <v>23</v>
      </c>
      <c r="AY24" s="9">
        <f t="shared" si="9"/>
        <v>0</v>
      </c>
      <c r="AZ24" s="9">
        <f t="shared" si="10"/>
        <v>0</v>
      </c>
      <c r="BA24" s="9">
        <f t="shared" si="11"/>
        <v>0</v>
      </c>
      <c r="BC24" s="14"/>
      <c r="BD24" s="14"/>
      <c r="BE24" s="14"/>
      <c r="BF24" s="14"/>
      <c r="BG24" s="14"/>
      <c r="BH24" s="14"/>
      <c r="BI24" s="14"/>
      <c r="BJ24" s="14"/>
      <c r="BK24" s="9"/>
    </row>
    <row r="25" spans="22:69" ht="16" customHeight="1">
      <c r="V25" s="10"/>
      <c r="W25" s="13" t="s">
        <v>207</v>
      </c>
      <c r="X25" s="9">
        <f t="shared" si="0"/>
        <v>0</v>
      </c>
      <c r="Y25" s="9">
        <f t="shared" si="1"/>
        <v>0</v>
      </c>
      <c r="Z25" s="9">
        <f t="shared" si="2"/>
        <v>0</v>
      </c>
      <c r="AA25" s="12">
        <f t="shared" si="3"/>
        <v>0</v>
      </c>
      <c r="AB25" s="9">
        <f t="shared" si="4"/>
        <v>0</v>
      </c>
      <c r="AC25" s="12">
        <f t="shared" si="5"/>
        <v>0</v>
      </c>
      <c r="AD25" s="9">
        <f t="shared" si="6"/>
        <v>0</v>
      </c>
      <c r="AG25" s="14"/>
      <c r="AH25" s="14"/>
      <c r="AS25" s="14"/>
      <c r="AV25" s="9">
        <f t="shared" si="7"/>
        <v>24</v>
      </c>
      <c r="AW25" s="15" t="s">
        <v>206</v>
      </c>
      <c r="AX25" s="9">
        <f t="shared" si="8"/>
        <v>24</v>
      </c>
      <c r="AY25" s="9">
        <f t="shared" si="9"/>
        <v>0</v>
      </c>
      <c r="AZ25" s="9">
        <f t="shared" si="10"/>
        <v>0</v>
      </c>
      <c r="BA25" s="9">
        <f t="shared" si="11"/>
        <v>0</v>
      </c>
      <c r="BC25" s="14"/>
      <c r="BD25" s="14"/>
      <c r="BE25" s="14"/>
      <c r="BF25" s="14"/>
      <c r="BG25" s="14"/>
      <c r="BH25" s="14"/>
      <c r="BI25" s="14"/>
      <c r="BJ25" s="14"/>
      <c r="BK25" s="9"/>
    </row>
    <row r="26" spans="22:69" ht="16" customHeight="1">
      <c r="V26" s="10"/>
      <c r="W26" s="13" t="s">
        <v>205</v>
      </c>
      <c r="X26" s="9">
        <f t="shared" si="0"/>
        <v>0</v>
      </c>
      <c r="Y26" s="9">
        <f t="shared" si="1"/>
        <v>0</v>
      </c>
      <c r="Z26" s="9">
        <f t="shared" si="2"/>
        <v>0</v>
      </c>
      <c r="AA26" s="12">
        <f t="shared" si="3"/>
        <v>0</v>
      </c>
      <c r="AB26" s="9">
        <f t="shared" si="4"/>
        <v>0</v>
      </c>
      <c r="AC26" s="12">
        <f t="shared" si="5"/>
        <v>0</v>
      </c>
      <c r="AD26" s="9">
        <f t="shared" si="6"/>
        <v>0</v>
      </c>
      <c r="AG26" s="14"/>
      <c r="AH26" s="14"/>
      <c r="AS26" s="14"/>
      <c r="AV26" s="9">
        <f t="shared" si="7"/>
        <v>25</v>
      </c>
      <c r="AW26" s="15" t="s">
        <v>204</v>
      </c>
      <c r="AX26" s="9">
        <f t="shared" si="8"/>
        <v>25</v>
      </c>
      <c r="AY26" s="9">
        <f t="shared" si="9"/>
        <v>0</v>
      </c>
      <c r="AZ26" s="9">
        <f t="shared" si="10"/>
        <v>0</v>
      </c>
      <c r="BA26" s="9">
        <f t="shared" si="11"/>
        <v>0</v>
      </c>
      <c r="BC26" s="14"/>
      <c r="BD26" s="14"/>
      <c r="BE26" s="14"/>
      <c r="BF26" s="14"/>
      <c r="BG26" s="14"/>
      <c r="BH26" s="14"/>
      <c r="BI26" s="14"/>
      <c r="BJ26" s="14"/>
      <c r="BK26" s="9"/>
    </row>
    <row r="27" spans="22:69" ht="16" customHeight="1">
      <c r="V27" s="10"/>
      <c r="W27" s="13" t="s">
        <v>203</v>
      </c>
      <c r="X27" s="9">
        <f t="shared" si="0"/>
        <v>0</v>
      </c>
      <c r="Y27" s="9">
        <f t="shared" si="1"/>
        <v>0</v>
      </c>
      <c r="Z27" s="9">
        <f t="shared" si="2"/>
        <v>0</v>
      </c>
      <c r="AA27" s="12">
        <f t="shared" si="3"/>
        <v>0</v>
      </c>
      <c r="AB27" s="9">
        <f t="shared" si="4"/>
        <v>0</v>
      </c>
      <c r="AC27" s="12">
        <f t="shared" si="5"/>
        <v>0</v>
      </c>
      <c r="AD27" s="9">
        <f t="shared" si="6"/>
        <v>0</v>
      </c>
      <c r="AG27" s="14"/>
      <c r="AH27" s="14"/>
      <c r="AS27" s="14"/>
      <c r="AV27" s="9">
        <f t="shared" si="7"/>
        <v>26</v>
      </c>
      <c r="AW27" s="15" t="s">
        <v>202</v>
      </c>
      <c r="AX27" s="9">
        <f t="shared" si="8"/>
        <v>26</v>
      </c>
      <c r="AY27" s="9">
        <f t="shared" si="9"/>
        <v>0</v>
      </c>
      <c r="AZ27" s="9">
        <f t="shared" si="10"/>
        <v>0</v>
      </c>
      <c r="BA27" s="9">
        <f t="shared" si="11"/>
        <v>0</v>
      </c>
      <c r="BC27" s="14"/>
      <c r="BD27" s="14"/>
      <c r="BE27" s="14"/>
      <c r="BF27" s="14"/>
      <c r="BG27" s="14"/>
      <c r="BH27" s="14"/>
      <c r="BI27" s="14"/>
      <c r="BJ27" s="14"/>
      <c r="BK27" s="9"/>
    </row>
    <row r="28" spans="22:69" ht="16" customHeight="1">
      <c r="V28" s="10"/>
      <c r="W28" s="13" t="s">
        <v>201</v>
      </c>
      <c r="X28" s="9">
        <f t="shared" si="0"/>
        <v>0</v>
      </c>
      <c r="Y28" s="9">
        <f t="shared" si="1"/>
        <v>0</v>
      </c>
      <c r="Z28" s="9">
        <f t="shared" si="2"/>
        <v>0</v>
      </c>
      <c r="AA28" s="12">
        <f t="shared" si="3"/>
        <v>0</v>
      </c>
      <c r="AB28" s="9">
        <f t="shared" si="4"/>
        <v>0</v>
      </c>
      <c r="AC28" s="12">
        <f t="shared" si="5"/>
        <v>0</v>
      </c>
      <c r="AD28" s="9">
        <f t="shared" si="6"/>
        <v>0</v>
      </c>
      <c r="AG28" s="14"/>
      <c r="AH28" s="14"/>
      <c r="AS28" s="14"/>
      <c r="AV28" s="9">
        <f t="shared" si="7"/>
        <v>27</v>
      </c>
      <c r="AW28" s="15" t="s">
        <v>200</v>
      </c>
      <c r="AX28" s="9">
        <f t="shared" si="8"/>
        <v>27</v>
      </c>
      <c r="AY28" s="9">
        <f t="shared" si="9"/>
        <v>0</v>
      </c>
      <c r="AZ28" s="9">
        <f t="shared" si="10"/>
        <v>0</v>
      </c>
      <c r="BA28" s="9">
        <f t="shared" si="11"/>
        <v>0</v>
      </c>
      <c r="BC28" s="14"/>
      <c r="BD28" s="14"/>
      <c r="BE28" s="14"/>
      <c r="BF28" s="14"/>
      <c r="BG28" s="14"/>
      <c r="BH28" s="14"/>
      <c r="BI28" s="14"/>
      <c r="BJ28" s="14"/>
      <c r="BK28" s="9"/>
    </row>
    <row r="29" spans="22:69" ht="16" customHeight="1">
      <c r="V29" s="10"/>
      <c r="W29" s="13" t="s">
        <v>199</v>
      </c>
      <c r="X29" s="9">
        <f t="shared" si="0"/>
        <v>0</v>
      </c>
      <c r="Y29" s="9">
        <f t="shared" si="1"/>
        <v>0</v>
      </c>
      <c r="Z29" s="9">
        <f t="shared" si="2"/>
        <v>0</v>
      </c>
      <c r="AA29" s="12">
        <f t="shared" si="3"/>
        <v>0</v>
      </c>
      <c r="AB29" s="9">
        <f t="shared" si="4"/>
        <v>0</v>
      </c>
      <c r="AC29" s="12">
        <f t="shared" si="5"/>
        <v>0</v>
      </c>
      <c r="AD29" s="9">
        <f t="shared" si="6"/>
        <v>0</v>
      </c>
      <c r="AG29" s="14"/>
      <c r="AH29" s="14"/>
      <c r="AS29" s="14"/>
      <c r="AV29" s="9">
        <f t="shared" si="7"/>
        <v>28</v>
      </c>
      <c r="AW29" s="13" t="s">
        <v>198</v>
      </c>
      <c r="AX29" s="9">
        <f t="shared" si="8"/>
        <v>28</v>
      </c>
      <c r="AY29" s="9">
        <f t="shared" si="9"/>
        <v>0</v>
      </c>
      <c r="AZ29" s="9">
        <f t="shared" si="10"/>
        <v>0</v>
      </c>
      <c r="BA29" s="9">
        <f t="shared" si="11"/>
        <v>0</v>
      </c>
      <c r="BB29" s="14"/>
      <c r="BC29" s="14"/>
      <c r="BD29" s="14"/>
      <c r="BE29" s="14"/>
      <c r="BF29" s="14"/>
      <c r="BG29" s="14"/>
      <c r="BH29" s="14"/>
      <c r="BI29" s="14"/>
      <c r="BJ29" s="14"/>
      <c r="BK29" s="9"/>
    </row>
    <row r="30" spans="22:69" ht="16" customHeight="1">
      <c r="V30" s="10"/>
      <c r="W30" s="13" t="s">
        <v>197</v>
      </c>
      <c r="X30" s="9">
        <f t="shared" si="0"/>
        <v>0</v>
      </c>
      <c r="Y30" s="9">
        <f t="shared" si="1"/>
        <v>0</v>
      </c>
      <c r="Z30" s="9">
        <f t="shared" si="2"/>
        <v>0</v>
      </c>
      <c r="AA30" s="12">
        <f t="shared" si="3"/>
        <v>0</v>
      </c>
      <c r="AB30" s="9">
        <f t="shared" si="4"/>
        <v>0</v>
      </c>
      <c r="AC30" s="12">
        <f t="shared" si="5"/>
        <v>0</v>
      </c>
      <c r="AD30" s="9">
        <f t="shared" si="6"/>
        <v>0</v>
      </c>
      <c r="AG30" s="14"/>
      <c r="AH30" s="14"/>
      <c r="AS30" s="14"/>
      <c r="AV30" s="9">
        <f t="shared" si="7"/>
        <v>29</v>
      </c>
      <c r="AW30" s="13" t="s">
        <v>196</v>
      </c>
      <c r="AX30" s="9">
        <f t="shared" si="8"/>
        <v>29</v>
      </c>
      <c r="AY30" s="9">
        <f t="shared" si="9"/>
        <v>0</v>
      </c>
      <c r="AZ30" s="9">
        <f t="shared" si="10"/>
        <v>0</v>
      </c>
      <c r="BA30" s="9">
        <f t="shared" si="11"/>
        <v>0</v>
      </c>
      <c r="BB30" s="14"/>
      <c r="BK30" s="9"/>
    </row>
    <row r="31" spans="22:69" ht="16" customHeight="1">
      <c r="V31" s="10"/>
      <c r="W31" s="13" t="s">
        <v>195</v>
      </c>
      <c r="X31" s="9">
        <f t="shared" si="0"/>
        <v>0</v>
      </c>
      <c r="Y31" s="9">
        <f t="shared" si="1"/>
        <v>0</v>
      </c>
      <c r="Z31" s="9">
        <f t="shared" si="2"/>
        <v>0</v>
      </c>
      <c r="AA31" s="12">
        <f t="shared" si="3"/>
        <v>0</v>
      </c>
      <c r="AB31" s="9">
        <f t="shared" si="4"/>
        <v>0</v>
      </c>
      <c r="AC31" s="12">
        <f t="shared" si="5"/>
        <v>0</v>
      </c>
      <c r="AD31" s="9">
        <f t="shared" si="6"/>
        <v>0</v>
      </c>
      <c r="AG31" s="14"/>
      <c r="AH31" s="14"/>
      <c r="AS31" s="14"/>
      <c r="AV31" s="9">
        <f t="shared" si="7"/>
        <v>30</v>
      </c>
      <c r="AW31" s="13" t="s">
        <v>194</v>
      </c>
      <c r="AX31" s="9">
        <f t="shared" si="8"/>
        <v>30</v>
      </c>
      <c r="AY31" s="9">
        <f t="shared" si="9"/>
        <v>0</v>
      </c>
      <c r="AZ31" s="9">
        <f t="shared" si="10"/>
        <v>0</v>
      </c>
      <c r="BA31" s="9">
        <f t="shared" si="11"/>
        <v>0</v>
      </c>
      <c r="BB31" s="14"/>
      <c r="BK31" s="9"/>
    </row>
    <row r="32" spans="22:69" ht="16" customHeight="1">
      <c r="W32" s="13" t="s">
        <v>193</v>
      </c>
      <c r="X32" s="9">
        <f t="shared" si="0"/>
        <v>0</v>
      </c>
      <c r="Y32" s="9">
        <f t="shared" si="1"/>
        <v>0</v>
      </c>
      <c r="Z32" s="9">
        <f t="shared" si="2"/>
        <v>0</v>
      </c>
      <c r="AA32" s="12">
        <f t="shared" si="3"/>
        <v>0</v>
      </c>
      <c r="AB32" s="9">
        <f t="shared" si="4"/>
        <v>0</v>
      </c>
      <c r="AC32" s="12">
        <f t="shared" si="5"/>
        <v>0</v>
      </c>
      <c r="AD32" s="9">
        <f t="shared" si="6"/>
        <v>0</v>
      </c>
      <c r="AG32" s="14"/>
      <c r="AH32" s="14"/>
      <c r="AS32" s="14"/>
      <c r="AV32" s="9">
        <f t="shared" si="7"/>
        <v>31</v>
      </c>
      <c r="AW32" s="15" t="s">
        <v>192</v>
      </c>
      <c r="AX32" s="9">
        <f t="shared" si="8"/>
        <v>31</v>
      </c>
      <c r="AY32" s="9">
        <f t="shared" si="9"/>
        <v>0</v>
      </c>
      <c r="AZ32" s="9">
        <f t="shared" si="10"/>
        <v>0</v>
      </c>
      <c r="BA32" s="9">
        <f t="shared" si="11"/>
        <v>0</v>
      </c>
      <c r="BB32" s="14"/>
      <c r="BK32" s="9"/>
    </row>
    <row r="33" spans="23:53" ht="16" customHeight="1">
      <c r="W33" s="13" t="s">
        <v>191</v>
      </c>
      <c r="X33" s="9">
        <f t="shared" si="0"/>
        <v>0</v>
      </c>
      <c r="Y33" s="9">
        <f t="shared" si="1"/>
        <v>0</v>
      </c>
      <c r="Z33" s="9">
        <f t="shared" si="2"/>
        <v>0</v>
      </c>
      <c r="AA33" s="12">
        <f t="shared" si="3"/>
        <v>0</v>
      </c>
      <c r="AB33" s="9">
        <f t="shared" si="4"/>
        <v>0</v>
      </c>
      <c r="AC33" s="12">
        <f t="shared" si="5"/>
        <v>0</v>
      </c>
      <c r="AD33" s="9">
        <f t="shared" si="6"/>
        <v>0</v>
      </c>
      <c r="AG33" s="14"/>
      <c r="AH33" s="14"/>
      <c r="AS33" s="14"/>
      <c r="AV33" s="9">
        <f t="shared" si="7"/>
        <v>32</v>
      </c>
      <c r="AW33" s="15" t="s">
        <v>190</v>
      </c>
      <c r="AX33" s="9">
        <f t="shared" si="8"/>
        <v>32</v>
      </c>
      <c r="AY33" s="9">
        <f t="shared" si="9"/>
        <v>0</v>
      </c>
      <c r="AZ33" s="9">
        <f t="shared" si="10"/>
        <v>0</v>
      </c>
      <c r="BA33" s="9">
        <f t="shared" si="11"/>
        <v>0</v>
      </c>
    </row>
    <row r="34" spans="23:53" ht="16" customHeight="1">
      <c r="W34" s="13" t="s">
        <v>189</v>
      </c>
      <c r="X34" s="9">
        <f t="shared" ref="X34:X65" si="24">ROUND((1.05*IFERROR(10*SUMIF($B:$B,$W34,$H:$H),0)),0)</f>
        <v>0</v>
      </c>
      <c r="Y34" s="9">
        <f t="shared" ref="Y34:Y65" si="25">ROUND((1.05*IFERROR(10*SUMIF($B:$B,$W34,$K:$K),0)),0)</f>
        <v>0</v>
      </c>
      <c r="Z34" s="9">
        <f t="shared" ref="Z34:Z65" si="26">ROUND((1.05*IFERROR(10*SUMIF($B:$B,$W34,$N:$N),0)),0)</f>
        <v>0</v>
      </c>
      <c r="AA34" s="12">
        <f t="shared" ref="AA34:AA65" si="27">ROUNDUP(((SUM($X34:$Z34)*10.3)),0)</f>
        <v>0</v>
      </c>
      <c r="AB34" s="9">
        <f t="shared" ref="AB34:AB65" si="28">ROUND(((SUM($X34:$Z34)*11.3)),0)</f>
        <v>0</v>
      </c>
      <c r="AC34" s="12">
        <f t="shared" ref="AC34:AC65" si="29">ROUNDUP(((SUM($X34:$Z34)*10.425)),0)</f>
        <v>0</v>
      </c>
      <c r="AD34" s="9">
        <f t="shared" ref="AD34:AD65" si="30">ROUND(((SUM($X34:$Z34)*11.425)),0)</f>
        <v>0</v>
      </c>
      <c r="AG34" s="14"/>
      <c r="AH34" s="14"/>
      <c r="AS34" s="14"/>
      <c r="AV34" s="9">
        <f t="shared" ref="AV34:AV65" si="31">IF($AV33="Tube",1,$AV33+1)</f>
        <v>33</v>
      </c>
      <c r="AW34" s="15" t="s">
        <v>188</v>
      </c>
      <c r="AX34" s="9">
        <f t="shared" ref="AX34:AX65" si="32">IF($AX33="Tube2",1,$AX33+1)</f>
        <v>33</v>
      </c>
      <c r="AY34" s="9">
        <f t="shared" ref="AY34:AY65" si="33">SUM($AZ34:$BA34)</f>
        <v>0</v>
      </c>
      <c r="AZ34" s="9">
        <f t="shared" ref="AZ34:AZ65" si="34">ROUNDUP($BA34/9,0)</f>
        <v>0</v>
      </c>
      <c r="BA34" s="9">
        <f t="shared" ref="BA34:BA65" si="35">ROUNDUP(10.5*IFERROR((SUMIF($I:$I,$AW34,$K:$K)+SUMIF($L:$L,$AW34,$N:$N)+SUMIF($E:$E,$AW34,$H:$H)),0),0)</f>
        <v>0</v>
      </c>
    </row>
    <row r="35" spans="23:53" ht="16" customHeight="1">
      <c r="W35" s="13" t="s">
        <v>187</v>
      </c>
      <c r="X35" s="9">
        <f t="shared" si="24"/>
        <v>0</v>
      </c>
      <c r="Y35" s="9">
        <f t="shared" si="25"/>
        <v>0</v>
      </c>
      <c r="Z35" s="9">
        <f t="shared" si="26"/>
        <v>0</v>
      </c>
      <c r="AA35" s="12">
        <f t="shared" si="27"/>
        <v>0</v>
      </c>
      <c r="AB35" s="9">
        <f t="shared" si="28"/>
        <v>0</v>
      </c>
      <c r="AC35" s="12">
        <f t="shared" si="29"/>
        <v>0</v>
      </c>
      <c r="AD35" s="9">
        <f t="shared" si="30"/>
        <v>0</v>
      </c>
      <c r="AG35" s="14"/>
      <c r="AH35" s="14"/>
      <c r="AS35" s="14"/>
      <c r="AV35" s="9">
        <f t="shared" si="31"/>
        <v>34</v>
      </c>
      <c r="AW35" s="13" t="s">
        <v>186</v>
      </c>
      <c r="AX35" s="9">
        <f t="shared" si="32"/>
        <v>34</v>
      </c>
      <c r="AY35" s="9">
        <f t="shared" si="33"/>
        <v>0</v>
      </c>
      <c r="AZ35" s="9">
        <f t="shared" si="34"/>
        <v>0</v>
      </c>
      <c r="BA35" s="9">
        <f t="shared" si="35"/>
        <v>0</v>
      </c>
    </row>
    <row r="36" spans="23:53" ht="16" customHeight="1">
      <c r="W36" s="13" t="s">
        <v>185</v>
      </c>
      <c r="X36" s="9">
        <f t="shared" si="24"/>
        <v>0</v>
      </c>
      <c r="Y36" s="9">
        <f t="shared" si="25"/>
        <v>0</v>
      </c>
      <c r="Z36" s="9">
        <f t="shared" si="26"/>
        <v>0</v>
      </c>
      <c r="AA36" s="12">
        <f t="shared" si="27"/>
        <v>0</v>
      </c>
      <c r="AB36" s="9">
        <f t="shared" si="28"/>
        <v>0</v>
      </c>
      <c r="AC36" s="12">
        <f t="shared" si="29"/>
        <v>0</v>
      </c>
      <c r="AD36" s="9">
        <f t="shared" si="30"/>
        <v>0</v>
      </c>
      <c r="AG36" s="14"/>
      <c r="AH36" s="14"/>
      <c r="AS36" s="14"/>
      <c r="AV36" s="9">
        <f t="shared" si="31"/>
        <v>35</v>
      </c>
      <c r="AW36" s="13" t="s">
        <v>184</v>
      </c>
      <c r="AX36" s="9">
        <f t="shared" si="32"/>
        <v>35</v>
      </c>
      <c r="AY36" s="9">
        <f t="shared" si="33"/>
        <v>0</v>
      </c>
      <c r="AZ36" s="9">
        <f t="shared" si="34"/>
        <v>0</v>
      </c>
      <c r="BA36" s="9">
        <f t="shared" si="35"/>
        <v>0</v>
      </c>
    </row>
    <row r="37" spans="23:53" ht="16" customHeight="1">
      <c r="W37" s="13" t="s">
        <v>183</v>
      </c>
      <c r="X37" s="9">
        <f t="shared" si="24"/>
        <v>0</v>
      </c>
      <c r="Y37" s="9">
        <f t="shared" si="25"/>
        <v>0</v>
      </c>
      <c r="Z37" s="9">
        <f t="shared" si="26"/>
        <v>0</v>
      </c>
      <c r="AA37" s="12">
        <f t="shared" si="27"/>
        <v>0</v>
      </c>
      <c r="AB37" s="9">
        <f t="shared" si="28"/>
        <v>0</v>
      </c>
      <c r="AC37" s="12">
        <f t="shared" si="29"/>
        <v>0</v>
      </c>
      <c r="AD37" s="9">
        <f t="shared" si="30"/>
        <v>0</v>
      </c>
      <c r="AG37" s="14"/>
      <c r="AH37" s="14"/>
      <c r="AS37" s="14"/>
      <c r="AV37" s="9">
        <f t="shared" si="31"/>
        <v>36</v>
      </c>
      <c r="AW37" s="13" t="s">
        <v>182</v>
      </c>
      <c r="AX37" s="9">
        <f t="shared" si="32"/>
        <v>36</v>
      </c>
      <c r="AY37" s="9">
        <f t="shared" si="33"/>
        <v>0</v>
      </c>
      <c r="AZ37" s="9">
        <f t="shared" si="34"/>
        <v>0</v>
      </c>
      <c r="BA37" s="9">
        <f t="shared" si="35"/>
        <v>0</v>
      </c>
    </row>
    <row r="38" spans="23:53" ht="16" customHeight="1">
      <c r="W38" s="13" t="s">
        <v>181</v>
      </c>
      <c r="X38" s="9">
        <f t="shared" si="24"/>
        <v>0</v>
      </c>
      <c r="Y38" s="9">
        <f t="shared" si="25"/>
        <v>0</v>
      </c>
      <c r="Z38" s="9">
        <f t="shared" si="26"/>
        <v>0</v>
      </c>
      <c r="AA38" s="12">
        <f t="shared" si="27"/>
        <v>0</v>
      </c>
      <c r="AB38" s="9">
        <f t="shared" si="28"/>
        <v>0</v>
      </c>
      <c r="AC38" s="12">
        <f t="shared" si="29"/>
        <v>0</v>
      </c>
      <c r="AD38" s="9">
        <f t="shared" si="30"/>
        <v>0</v>
      </c>
      <c r="AG38" s="14"/>
      <c r="AH38" s="14"/>
      <c r="AS38" s="14"/>
      <c r="AV38" s="9">
        <f t="shared" si="31"/>
        <v>37</v>
      </c>
      <c r="AW38" s="13" t="s">
        <v>180</v>
      </c>
      <c r="AX38" s="9">
        <f t="shared" si="32"/>
        <v>37</v>
      </c>
      <c r="AY38" s="9">
        <f t="shared" si="33"/>
        <v>0</v>
      </c>
      <c r="AZ38" s="9">
        <f t="shared" si="34"/>
        <v>0</v>
      </c>
      <c r="BA38" s="9">
        <f t="shared" si="35"/>
        <v>0</v>
      </c>
    </row>
    <row r="39" spans="23:53" ht="16" customHeight="1">
      <c r="W39" s="13" t="s">
        <v>179</v>
      </c>
      <c r="X39" s="9">
        <f t="shared" si="24"/>
        <v>0</v>
      </c>
      <c r="Y39" s="9">
        <f t="shared" si="25"/>
        <v>0</v>
      </c>
      <c r="Z39" s="9">
        <f t="shared" si="26"/>
        <v>0</v>
      </c>
      <c r="AA39" s="12">
        <f t="shared" si="27"/>
        <v>0</v>
      </c>
      <c r="AB39" s="9">
        <f t="shared" si="28"/>
        <v>0</v>
      </c>
      <c r="AC39" s="12">
        <f t="shared" si="29"/>
        <v>0</v>
      </c>
      <c r="AD39" s="9">
        <f t="shared" si="30"/>
        <v>0</v>
      </c>
      <c r="AG39" s="14"/>
      <c r="AH39" s="14"/>
      <c r="AS39" s="14"/>
      <c r="AV39" s="9">
        <f t="shared" si="31"/>
        <v>38</v>
      </c>
      <c r="AW39" s="13" t="s">
        <v>178</v>
      </c>
      <c r="AX39" s="9">
        <f t="shared" si="32"/>
        <v>38</v>
      </c>
      <c r="AY39" s="9">
        <f t="shared" si="33"/>
        <v>0</v>
      </c>
      <c r="AZ39" s="9">
        <f t="shared" si="34"/>
        <v>0</v>
      </c>
      <c r="BA39" s="9">
        <f t="shared" si="35"/>
        <v>0</v>
      </c>
    </row>
    <row r="40" spans="23:53" ht="16" customHeight="1">
      <c r="W40" s="13" t="s">
        <v>177</v>
      </c>
      <c r="X40" s="9">
        <f t="shared" si="24"/>
        <v>0</v>
      </c>
      <c r="Y40" s="9">
        <f t="shared" si="25"/>
        <v>0</v>
      </c>
      <c r="Z40" s="9">
        <f t="shared" si="26"/>
        <v>0</v>
      </c>
      <c r="AA40" s="12">
        <f t="shared" si="27"/>
        <v>0</v>
      </c>
      <c r="AB40" s="9">
        <f t="shared" si="28"/>
        <v>0</v>
      </c>
      <c r="AC40" s="12">
        <f t="shared" si="29"/>
        <v>0</v>
      </c>
      <c r="AD40" s="9">
        <f t="shared" si="30"/>
        <v>0</v>
      </c>
      <c r="AG40" s="14"/>
      <c r="AH40" s="14"/>
      <c r="AS40" s="14"/>
      <c r="AV40" s="9">
        <f t="shared" si="31"/>
        <v>39</v>
      </c>
      <c r="AW40" s="15" t="s">
        <v>176</v>
      </c>
      <c r="AX40" s="9">
        <f t="shared" si="32"/>
        <v>39</v>
      </c>
      <c r="AY40" s="9">
        <f t="shared" si="33"/>
        <v>0</v>
      </c>
      <c r="AZ40" s="9">
        <f t="shared" si="34"/>
        <v>0</v>
      </c>
      <c r="BA40" s="9">
        <f t="shared" si="35"/>
        <v>0</v>
      </c>
    </row>
    <row r="41" spans="23:53" ht="16" customHeight="1">
      <c r="W41" s="13" t="s">
        <v>175</v>
      </c>
      <c r="X41" s="9">
        <f t="shared" si="24"/>
        <v>0</v>
      </c>
      <c r="Y41" s="9">
        <f t="shared" si="25"/>
        <v>0</v>
      </c>
      <c r="Z41" s="9">
        <f t="shared" si="26"/>
        <v>0</v>
      </c>
      <c r="AA41" s="12">
        <f t="shared" si="27"/>
        <v>0</v>
      </c>
      <c r="AB41" s="9">
        <f t="shared" si="28"/>
        <v>0</v>
      </c>
      <c r="AC41" s="12">
        <f t="shared" si="29"/>
        <v>0</v>
      </c>
      <c r="AD41" s="9">
        <f t="shared" si="30"/>
        <v>0</v>
      </c>
      <c r="AG41" s="14"/>
      <c r="AH41" s="14"/>
      <c r="AS41" s="14"/>
      <c r="AV41" s="9">
        <f t="shared" si="31"/>
        <v>40</v>
      </c>
      <c r="AW41" s="15" t="s">
        <v>174</v>
      </c>
      <c r="AX41" s="9">
        <f t="shared" si="32"/>
        <v>40</v>
      </c>
      <c r="AY41" s="9">
        <f t="shared" si="33"/>
        <v>0</v>
      </c>
      <c r="AZ41" s="9">
        <f t="shared" si="34"/>
        <v>0</v>
      </c>
      <c r="BA41" s="9">
        <f t="shared" si="35"/>
        <v>0</v>
      </c>
    </row>
    <row r="42" spans="23:53" ht="16" customHeight="1">
      <c r="W42" s="13" t="s">
        <v>173</v>
      </c>
      <c r="X42" s="9">
        <f t="shared" si="24"/>
        <v>0</v>
      </c>
      <c r="Y42" s="9">
        <f t="shared" si="25"/>
        <v>0</v>
      </c>
      <c r="Z42" s="9">
        <f t="shared" si="26"/>
        <v>0</v>
      </c>
      <c r="AA42" s="12">
        <f t="shared" si="27"/>
        <v>0</v>
      </c>
      <c r="AB42" s="9">
        <f t="shared" si="28"/>
        <v>0</v>
      </c>
      <c r="AC42" s="12">
        <f t="shared" si="29"/>
        <v>0</v>
      </c>
      <c r="AD42" s="9">
        <f t="shared" si="30"/>
        <v>0</v>
      </c>
      <c r="AG42" s="14"/>
      <c r="AH42" s="14"/>
      <c r="AS42" s="14"/>
      <c r="AV42" s="9">
        <f t="shared" si="31"/>
        <v>41</v>
      </c>
      <c r="AW42" s="15" t="s">
        <v>172</v>
      </c>
      <c r="AX42" s="9">
        <f t="shared" si="32"/>
        <v>41</v>
      </c>
      <c r="AY42" s="9">
        <f t="shared" si="33"/>
        <v>0</v>
      </c>
      <c r="AZ42" s="9">
        <f t="shared" si="34"/>
        <v>0</v>
      </c>
      <c r="BA42" s="9">
        <f t="shared" si="35"/>
        <v>0</v>
      </c>
    </row>
    <row r="43" spans="23:53" ht="16" customHeight="1">
      <c r="W43" s="13" t="s">
        <v>171</v>
      </c>
      <c r="X43" s="9">
        <f t="shared" si="24"/>
        <v>0</v>
      </c>
      <c r="Y43" s="9">
        <f t="shared" si="25"/>
        <v>0</v>
      </c>
      <c r="Z43" s="9">
        <f t="shared" si="26"/>
        <v>0</v>
      </c>
      <c r="AA43" s="12">
        <f t="shared" si="27"/>
        <v>0</v>
      </c>
      <c r="AB43" s="9">
        <f t="shared" si="28"/>
        <v>0</v>
      </c>
      <c r="AC43" s="12">
        <f t="shared" si="29"/>
        <v>0</v>
      </c>
      <c r="AD43" s="9">
        <f t="shared" si="30"/>
        <v>0</v>
      </c>
      <c r="AG43" s="14"/>
      <c r="AH43" s="14"/>
      <c r="AS43" s="14"/>
      <c r="AV43" s="9">
        <f t="shared" si="31"/>
        <v>42</v>
      </c>
      <c r="AW43" s="15" t="s">
        <v>170</v>
      </c>
      <c r="AX43" s="9">
        <f t="shared" si="32"/>
        <v>42</v>
      </c>
      <c r="AY43" s="9">
        <f t="shared" si="33"/>
        <v>0</v>
      </c>
      <c r="AZ43" s="9">
        <f t="shared" si="34"/>
        <v>0</v>
      </c>
      <c r="BA43" s="9">
        <f t="shared" si="35"/>
        <v>0</v>
      </c>
    </row>
    <row r="44" spans="23:53" ht="16" customHeight="1">
      <c r="W44" s="13" t="s">
        <v>169</v>
      </c>
      <c r="X44" s="9">
        <f t="shared" si="24"/>
        <v>0</v>
      </c>
      <c r="Y44" s="9">
        <f t="shared" si="25"/>
        <v>0</v>
      </c>
      <c r="Z44" s="9">
        <f t="shared" si="26"/>
        <v>0</v>
      </c>
      <c r="AA44" s="12">
        <f t="shared" si="27"/>
        <v>0</v>
      </c>
      <c r="AB44" s="9">
        <f t="shared" si="28"/>
        <v>0</v>
      </c>
      <c r="AC44" s="12">
        <f t="shared" si="29"/>
        <v>0</v>
      </c>
      <c r="AD44" s="9">
        <f t="shared" si="30"/>
        <v>0</v>
      </c>
      <c r="AG44" s="14"/>
      <c r="AH44" s="14"/>
      <c r="AS44" s="14"/>
      <c r="AV44" s="9">
        <f t="shared" si="31"/>
        <v>43</v>
      </c>
      <c r="AW44" s="13" t="s">
        <v>168</v>
      </c>
      <c r="AX44" s="9">
        <f t="shared" si="32"/>
        <v>43</v>
      </c>
      <c r="AY44" s="9">
        <f t="shared" si="33"/>
        <v>0</v>
      </c>
      <c r="AZ44" s="9">
        <f t="shared" si="34"/>
        <v>0</v>
      </c>
      <c r="BA44" s="9">
        <f t="shared" si="35"/>
        <v>0</v>
      </c>
    </row>
    <row r="45" spans="23:53" ht="16" customHeight="1">
      <c r="W45" s="13" t="s">
        <v>167</v>
      </c>
      <c r="X45" s="9">
        <f t="shared" si="24"/>
        <v>0</v>
      </c>
      <c r="Y45" s="9">
        <f t="shared" si="25"/>
        <v>0</v>
      </c>
      <c r="Z45" s="9">
        <f t="shared" si="26"/>
        <v>0</v>
      </c>
      <c r="AA45" s="12">
        <f t="shared" si="27"/>
        <v>0</v>
      </c>
      <c r="AB45" s="9">
        <f t="shared" si="28"/>
        <v>0</v>
      </c>
      <c r="AC45" s="12">
        <f t="shared" si="29"/>
        <v>0</v>
      </c>
      <c r="AD45" s="9">
        <f t="shared" si="30"/>
        <v>0</v>
      </c>
      <c r="AG45" s="14"/>
      <c r="AH45" s="14"/>
      <c r="AS45" s="14"/>
      <c r="AV45" s="9">
        <f t="shared" si="31"/>
        <v>44</v>
      </c>
      <c r="AW45" s="13" t="s">
        <v>166</v>
      </c>
      <c r="AX45" s="9">
        <f t="shared" si="32"/>
        <v>44</v>
      </c>
      <c r="AY45" s="9">
        <f t="shared" si="33"/>
        <v>0</v>
      </c>
      <c r="AZ45" s="9">
        <f t="shared" si="34"/>
        <v>0</v>
      </c>
      <c r="BA45" s="9">
        <f t="shared" si="35"/>
        <v>0</v>
      </c>
    </row>
    <row r="46" spans="23:53" ht="16" customHeight="1">
      <c r="W46" s="13" t="s">
        <v>165</v>
      </c>
      <c r="X46" s="9">
        <f t="shared" si="24"/>
        <v>0</v>
      </c>
      <c r="Y46" s="9">
        <f t="shared" si="25"/>
        <v>0</v>
      </c>
      <c r="Z46" s="9">
        <f t="shared" si="26"/>
        <v>0</v>
      </c>
      <c r="AA46" s="12">
        <f t="shared" si="27"/>
        <v>0</v>
      </c>
      <c r="AB46" s="9">
        <f t="shared" si="28"/>
        <v>0</v>
      </c>
      <c r="AC46" s="12">
        <f t="shared" si="29"/>
        <v>0</v>
      </c>
      <c r="AD46" s="9">
        <f t="shared" si="30"/>
        <v>0</v>
      </c>
      <c r="AG46" s="14"/>
      <c r="AH46" s="14"/>
      <c r="AS46" s="14"/>
      <c r="AV46" s="9">
        <f t="shared" si="31"/>
        <v>45</v>
      </c>
      <c r="AW46" s="13" t="s">
        <v>164</v>
      </c>
      <c r="AX46" s="9">
        <f t="shared" si="32"/>
        <v>45</v>
      </c>
      <c r="AY46" s="9">
        <f t="shared" si="33"/>
        <v>0</v>
      </c>
      <c r="AZ46" s="9">
        <f t="shared" si="34"/>
        <v>0</v>
      </c>
      <c r="BA46" s="9">
        <f t="shared" si="35"/>
        <v>0</v>
      </c>
    </row>
    <row r="47" spans="23:53" ht="16" customHeight="1">
      <c r="W47" s="13" t="s">
        <v>163</v>
      </c>
      <c r="X47" s="9">
        <f t="shared" si="24"/>
        <v>0</v>
      </c>
      <c r="Y47" s="9">
        <f t="shared" si="25"/>
        <v>0</v>
      </c>
      <c r="Z47" s="9">
        <f t="shared" si="26"/>
        <v>0</v>
      </c>
      <c r="AA47" s="12">
        <f t="shared" si="27"/>
        <v>0</v>
      </c>
      <c r="AB47" s="9">
        <f t="shared" si="28"/>
        <v>0</v>
      </c>
      <c r="AC47" s="12">
        <f t="shared" si="29"/>
        <v>0</v>
      </c>
      <c r="AD47" s="9">
        <f t="shared" si="30"/>
        <v>0</v>
      </c>
      <c r="AG47" s="14"/>
      <c r="AH47" s="14"/>
      <c r="AS47" s="14"/>
      <c r="AV47" s="9">
        <f t="shared" si="31"/>
        <v>46</v>
      </c>
      <c r="AW47" s="17" t="s">
        <v>162</v>
      </c>
      <c r="AX47" s="9">
        <f t="shared" si="32"/>
        <v>46</v>
      </c>
      <c r="AY47" s="9">
        <f t="shared" si="33"/>
        <v>0</v>
      </c>
      <c r="AZ47" s="9">
        <f t="shared" si="34"/>
        <v>0</v>
      </c>
      <c r="BA47" s="9">
        <f t="shared" si="35"/>
        <v>0</v>
      </c>
    </row>
    <row r="48" spans="23:53" ht="16" customHeight="1">
      <c r="W48" s="13" t="s">
        <v>161</v>
      </c>
      <c r="X48" s="9">
        <f t="shared" si="24"/>
        <v>0</v>
      </c>
      <c r="Y48" s="9">
        <f t="shared" si="25"/>
        <v>0</v>
      </c>
      <c r="Z48" s="9">
        <f t="shared" si="26"/>
        <v>0</v>
      </c>
      <c r="AA48" s="12">
        <f t="shared" si="27"/>
        <v>0</v>
      </c>
      <c r="AB48" s="9">
        <f t="shared" si="28"/>
        <v>0</v>
      </c>
      <c r="AC48" s="12">
        <f t="shared" si="29"/>
        <v>0</v>
      </c>
      <c r="AD48" s="9">
        <f t="shared" si="30"/>
        <v>0</v>
      </c>
      <c r="AG48" s="14"/>
      <c r="AH48" s="14"/>
      <c r="AS48" s="14"/>
      <c r="AV48" s="9">
        <f t="shared" si="31"/>
        <v>47</v>
      </c>
      <c r="AW48" s="15" t="s">
        <v>160</v>
      </c>
      <c r="AX48" s="9">
        <f t="shared" si="32"/>
        <v>47</v>
      </c>
      <c r="AY48" s="9">
        <f t="shared" si="33"/>
        <v>0</v>
      </c>
      <c r="AZ48" s="9">
        <f t="shared" si="34"/>
        <v>0</v>
      </c>
      <c r="BA48" s="9">
        <f t="shared" si="35"/>
        <v>0</v>
      </c>
    </row>
    <row r="49" spans="23:63" ht="16" customHeight="1">
      <c r="W49" s="13" t="s">
        <v>159</v>
      </c>
      <c r="X49" s="9">
        <f t="shared" si="24"/>
        <v>0</v>
      </c>
      <c r="Y49" s="9">
        <f t="shared" si="25"/>
        <v>0</v>
      </c>
      <c r="Z49" s="9">
        <f t="shared" si="26"/>
        <v>0</v>
      </c>
      <c r="AA49" s="12">
        <f t="shared" si="27"/>
        <v>0</v>
      </c>
      <c r="AB49" s="9">
        <f t="shared" si="28"/>
        <v>0</v>
      </c>
      <c r="AC49" s="12">
        <f t="shared" si="29"/>
        <v>0</v>
      </c>
      <c r="AD49" s="9">
        <f t="shared" si="30"/>
        <v>0</v>
      </c>
      <c r="AS49" s="14"/>
      <c r="AV49" s="9">
        <f t="shared" si="31"/>
        <v>48</v>
      </c>
      <c r="AW49" s="16" t="s">
        <v>158</v>
      </c>
      <c r="AX49" s="9">
        <f t="shared" si="32"/>
        <v>48</v>
      </c>
      <c r="AY49" s="9">
        <f t="shared" si="33"/>
        <v>0</v>
      </c>
      <c r="AZ49" s="9">
        <f t="shared" si="34"/>
        <v>0</v>
      </c>
      <c r="BA49" s="9">
        <f t="shared" si="35"/>
        <v>0</v>
      </c>
    </row>
    <row r="50" spans="23:63" ht="16" customHeight="1">
      <c r="W50" s="13" t="s">
        <v>157</v>
      </c>
      <c r="X50" s="9">
        <f t="shared" si="24"/>
        <v>0</v>
      </c>
      <c r="Y50" s="9">
        <f t="shared" si="25"/>
        <v>0</v>
      </c>
      <c r="Z50" s="9">
        <f t="shared" si="26"/>
        <v>0</v>
      </c>
      <c r="AA50" s="12">
        <f t="shared" si="27"/>
        <v>0</v>
      </c>
      <c r="AB50" s="9">
        <f t="shared" si="28"/>
        <v>0</v>
      </c>
      <c r="AC50" s="12">
        <f t="shared" si="29"/>
        <v>0</v>
      </c>
      <c r="AD50" s="9">
        <f t="shared" si="30"/>
        <v>0</v>
      </c>
      <c r="AS50" s="14"/>
      <c r="AV50" s="9">
        <f t="shared" si="31"/>
        <v>49</v>
      </c>
      <c r="AW50" s="13" t="s">
        <v>156</v>
      </c>
      <c r="AX50" s="9">
        <f t="shared" si="32"/>
        <v>49</v>
      </c>
      <c r="AY50" s="9">
        <f t="shared" si="33"/>
        <v>0</v>
      </c>
      <c r="AZ50" s="9">
        <f t="shared" si="34"/>
        <v>0</v>
      </c>
      <c r="BA50" s="9">
        <f t="shared" si="35"/>
        <v>0</v>
      </c>
    </row>
    <row r="51" spans="23:63" ht="16" customHeight="1">
      <c r="W51" s="13" t="s">
        <v>155</v>
      </c>
      <c r="X51" s="9">
        <f t="shared" si="24"/>
        <v>0</v>
      </c>
      <c r="Y51" s="9">
        <f t="shared" si="25"/>
        <v>0</v>
      </c>
      <c r="Z51" s="9">
        <f t="shared" si="26"/>
        <v>0</v>
      </c>
      <c r="AA51" s="12">
        <f t="shared" si="27"/>
        <v>0</v>
      </c>
      <c r="AB51" s="9">
        <f t="shared" si="28"/>
        <v>0</v>
      </c>
      <c r="AC51" s="12">
        <f t="shared" si="29"/>
        <v>0</v>
      </c>
      <c r="AD51" s="9">
        <f t="shared" si="30"/>
        <v>0</v>
      </c>
      <c r="AV51" s="9">
        <f t="shared" si="31"/>
        <v>50</v>
      </c>
      <c r="AW51" s="13" t="s">
        <v>154</v>
      </c>
      <c r="AX51" s="9">
        <f t="shared" si="32"/>
        <v>50</v>
      </c>
      <c r="AY51" s="9">
        <f t="shared" si="33"/>
        <v>0</v>
      </c>
      <c r="AZ51" s="9">
        <f t="shared" si="34"/>
        <v>0</v>
      </c>
      <c r="BA51" s="9">
        <f t="shared" si="35"/>
        <v>0</v>
      </c>
      <c r="BK51" s="14"/>
    </row>
    <row r="52" spans="23:63" ht="16" customHeight="1">
      <c r="W52" s="13" t="s">
        <v>153</v>
      </c>
      <c r="X52" s="9">
        <f t="shared" si="24"/>
        <v>0</v>
      </c>
      <c r="Y52" s="9">
        <f t="shared" si="25"/>
        <v>0</v>
      </c>
      <c r="Z52" s="9">
        <f t="shared" si="26"/>
        <v>0</v>
      </c>
      <c r="AA52" s="12">
        <f t="shared" si="27"/>
        <v>0</v>
      </c>
      <c r="AB52" s="9">
        <f t="shared" si="28"/>
        <v>0</v>
      </c>
      <c r="AC52" s="12">
        <f t="shared" si="29"/>
        <v>0</v>
      </c>
      <c r="AD52" s="9">
        <f t="shared" si="30"/>
        <v>0</v>
      </c>
      <c r="AV52" s="9">
        <f t="shared" si="31"/>
        <v>51</v>
      </c>
      <c r="AW52" s="13" t="s">
        <v>152</v>
      </c>
      <c r="AX52" s="9">
        <f t="shared" si="32"/>
        <v>51</v>
      </c>
      <c r="AY52" s="9">
        <f t="shared" si="33"/>
        <v>0</v>
      </c>
      <c r="AZ52" s="9">
        <f t="shared" si="34"/>
        <v>0</v>
      </c>
      <c r="BA52" s="9">
        <f t="shared" si="35"/>
        <v>0</v>
      </c>
      <c r="BK52" s="14"/>
    </row>
    <row r="53" spans="23:63" ht="16" customHeight="1">
      <c r="W53" s="13" t="s">
        <v>151</v>
      </c>
      <c r="X53" s="9">
        <f t="shared" si="24"/>
        <v>0</v>
      </c>
      <c r="Y53" s="9">
        <f t="shared" si="25"/>
        <v>0</v>
      </c>
      <c r="Z53" s="9">
        <f t="shared" si="26"/>
        <v>0</v>
      </c>
      <c r="AA53" s="12">
        <f t="shared" si="27"/>
        <v>0</v>
      </c>
      <c r="AB53" s="9">
        <f t="shared" si="28"/>
        <v>0</v>
      </c>
      <c r="AC53" s="12">
        <f t="shared" si="29"/>
        <v>0</v>
      </c>
      <c r="AD53" s="9">
        <f t="shared" si="30"/>
        <v>0</v>
      </c>
      <c r="AV53" s="9">
        <f t="shared" si="31"/>
        <v>52</v>
      </c>
      <c r="AW53" s="13" t="s">
        <v>150</v>
      </c>
      <c r="AX53" s="9">
        <f t="shared" si="32"/>
        <v>52</v>
      </c>
      <c r="AY53" s="9">
        <f t="shared" si="33"/>
        <v>0</v>
      </c>
      <c r="AZ53" s="9">
        <f t="shared" si="34"/>
        <v>0</v>
      </c>
      <c r="BA53" s="9">
        <f t="shared" si="35"/>
        <v>0</v>
      </c>
      <c r="BK53" s="14"/>
    </row>
    <row r="54" spans="23:63" ht="16" customHeight="1">
      <c r="W54" s="13" t="s">
        <v>149</v>
      </c>
      <c r="X54" s="9">
        <f t="shared" si="24"/>
        <v>0</v>
      </c>
      <c r="Y54" s="9">
        <f t="shared" si="25"/>
        <v>0</v>
      </c>
      <c r="Z54" s="9">
        <f t="shared" si="26"/>
        <v>0</v>
      </c>
      <c r="AA54" s="12">
        <f t="shared" si="27"/>
        <v>0</v>
      </c>
      <c r="AB54" s="9">
        <f t="shared" si="28"/>
        <v>0</v>
      </c>
      <c r="AC54" s="12">
        <f t="shared" si="29"/>
        <v>0</v>
      </c>
      <c r="AD54" s="9">
        <f t="shared" si="30"/>
        <v>0</v>
      </c>
      <c r="AV54" s="9">
        <f t="shared" si="31"/>
        <v>53</v>
      </c>
      <c r="AW54" s="15" t="s">
        <v>148</v>
      </c>
      <c r="AX54" s="9">
        <f t="shared" si="32"/>
        <v>53</v>
      </c>
      <c r="AY54" s="9">
        <f t="shared" si="33"/>
        <v>0</v>
      </c>
      <c r="AZ54" s="9">
        <f t="shared" si="34"/>
        <v>0</v>
      </c>
      <c r="BA54" s="9">
        <f t="shared" si="35"/>
        <v>0</v>
      </c>
      <c r="BK54" s="14"/>
    </row>
    <row r="55" spans="23:63" ht="16" customHeight="1">
      <c r="W55" s="13" t="s">
        <v>147</v>
      </c>
      <c r="X55" s="9">
        <f t="shared" si="24"/>
        <v>0</v>
      </c>
      <c r="Y55" s="9">
        <f t="shared" si="25"/>
        <v>0</v>
      </c>
      <c r="Z55" s="9">
        <f t="shared" si="26"/>
        <v>0</v>
      </c>
      <c r="AA55" s="12">
        <f t="shared" si="27"/>
        <v>0</v>
      </c>
      <c r="AB55" s="9">
        <f t="shared" si="28"/>
        <v>0</v>
      </c>
      <c r="AC55" s="12">
        <f t="shared" si="29"/>
        <v>0</v>
      </c>
      <c r="AD55" s="9">
        <f t="shared" si="30"/>
        <v>0</v>
      </c>
      <c r="AV55" s="9">
        <f t="shared" si="31"/>
        <v>54</v>
      </c>
      <c r="AW55" s="15" t="s">
        <v>146</v>
      </c>
      <c r="AX55" s="9">
        <f t="shared" si="32"/>
        <v>54</v>
      </c>
      <c r="AY55" s="9">
        <f t="shared" si="33"/>
        <v>0</v>
      </c>
      <c r="AZ55" s="9">
        <f t="shared" si="34"/>
        <v>0</v>
      </c>
      <c r="BA55" s="9">
        <f t="shared" si="35"/>
        <v>0</v>
      </c>
      <c r="BK55" s="14"/>
    </row>
    <row r="56" spans="23:63" ht="15" customHeight="1">
      <c r="W56" s="13" t="s">
        <v>145</v>
      </c>
      <c r="X56" s="9">
        <f t="shared" si="24"/>
        <v>0</v>
      </c>
      <c r="Y56" s="9">
        <f t="shared" si="25"/>
        <v>0</v>
      </c>
      <c r="Z56" s="9">
        <f t="shared" si="26"/>
        <v>0</v>
      </c>
      <c r="AA56" s="12">
        <f t="shared" si="27"/>
        <v>0</v>
      </c>
      <c r="AB56" s="9">
        <f t="shared" si="28"/>
        <v>0</v>
      </c>
      <c r="AC56" s="12">
        <f t="shared" si="29"/>
        <v>0</v>
      </c>
      <c r="AD56" s="9">
        <f t="shared" si="30"/>
        <v>0</v>
      </c>
      <c r="AV56" s="9">
        <f t="shared" si="31"/>
        <v>55</v>
      </c>
      <c r="AW56" s="13" t="s">
        <v>144</v>
      </c>
      <c r="AX56" s="9">
        <f t="shared" si="32"/>
        <v>55</v>
      </c>
      <c r="AY56" s="9">
        <f t="shared" si="33"/>
        <v>0</v>
      </c>
      <c r="AZ56" s="9">
        <f t="shared" si="34"/>
        <v>0</v>
      </c>
      <c r="BA56" s="9">
        <f t="shared" si="35"/>
        <v>0</v>
      </c>
      <c r="BK56" s="14"/>
    </row>
    <row r="57" spans="23:63" ht="15" customHeight="1">
      <c r="W57" s="13" t="s">
        <v>143</v>
      </c>
      <c r="X57" s="9">
        <f t="shared" si="24"/>
        <v>0</v>
      </c>
      <c r="Y57" s="9">
        <f t="shared" si="25"/>
        <v>0</v>
      </c>
      <c r="Z57" s="9">
        <f t="shared" si="26"/>
        <v>0</v>
      </c>
      <c r="AA57" s="12">
        <f t="shared" si="27"/>
        <v>0</v>
      </c>
      <c r="AB57" s="9">
        <f t="shared" si="28"/>
        <v>0</v>
      </c>
      <c r="AC57" s="12">
        <f t="shared" si="29"/>
        <v>0</v>
      </c>
      <c r="AD57" s="9">
        <f t="shared" si="30"/>
        <v>0</v>
      </c>
      <c r="AV57" s="9">
        <f t="shared" si="31"/>
        <v>56</v>
      </c>
      <c r="AW57" s="13" t="s">
        <v>142</v>
      </c>
      <c r="AX57" s="9">
        <f t="shared" si="32"/>
        <v>56</v>
      </c>
      <c r="AY57" s="9">
        <f t="shared" si="33"/>
        <v>0</v>
      </c>
      <c r="AZ57" s="9">
        <f t="shared" si="34"/>
        <v>0</v>
      </c>
      <c r="BA57" s="9">
        <f t="shared" si="35"/>
        <v>0</v>
      </c>
      <c r="BK57" s="14"/>
    </row>
    <row r="58" spans="23:63" ht="15" customHeight="1">
      <c r="W58" s="13" t="s">
        <v>141</v>
      </c>
      <c r="X58" s="9">
        <f t="shared" si="24"/>
        <v>0</v>
      </c>
      <c r="Y58" s="9">
        <f t="shared" si="25"/>
        <v>0</v>
      </c>
      <c r="Z58" s="9">
        <f t="shared" si="26"/>
        <v>0</v>
      </c>
      <c r="AA58" s="12">
        <f t="shared" si="27"/>
        <v>0</v>
      </c>
      <c r="AB58" s="9">
        <f t="shared" si="28"/>
        <v>0</v>
      </c>
      <c r="AC58" s="12">
        <f t="shared" si="29"/>
        <v>0</v>
      </c>
      <c r="AD58" s="9">
        <f t="shared" si="30"/>
        <v>0</v>
      </c>
      <c r="AV58" s="9">
        <f t="shared" si="31"/>
        <v>57</v>
      </c>
      <c r="AW58" s="15" t="s">
        <v>140</v>
      </c>
      <c r="AX58" s="9">
        <f t="shared" si="32"/>
        <v>57</v>
      </c>
      <c r="AY58" s="9">
        <f t="shared" si="33"/>
        <v>0</v>
      </c>
      <c r="AZ58" s="9">
        <f t="shared" si="34"/>
        <v>0</v>
      </c>
      <c r="BA58" s="9">
        <f t="shared" si="35"/>
        <v>0</v>
      </c>
      <c r="BK58" s="14"/>
    </row>
    <row r="59" spans="23:63" ht="15" customHeight="1">
      <c r="W59" s="13" t="s">
        <v>139</v>
      </c>
      <c r="X59" s="9">
        <f t="shared" si="24"/>
        <v>0</v>
      </c>
      <c r="Y59" s="9">
        <f t="shared" si="25"/>
        <v>0</v>
      </c>
      <c r="Z59" s="9">
        <f t="shared" si="26"/>
        <v>0</v>
      </c>
      <c r="AA59" s="12">
        <f t="shared" si="27"/>
        <v>0</v>
      </c>
      <c r="AB59" s="9">
        <f t="shared" si="28"/>
        <v>0</v>
      </c>
      <c r="AC59" s="12">
        <f t="shared" si="29"/>
        <v>0</v>
      </c>
      <c r="AD59" s="9">
        <f t="shared" si="30"/>
        <v>0</v>
      </c>
      <c r="AV59" s="9">
        <f t="shared" si="31"/>
        <v>58</v>
      </c>
      <c r="AW59" s="13" t="s">
        <v>138</v>
      </c>
      <c r="AX59" s="9">
        <f t="shared" si="32"/>
        <v>58</v>
      </c>
      <c r="AY59" s="9">
        <f t="shared" si="33"/>
        <v>0</v>
      </c>
      <c r="AZ59" s="9">
        <f t="shared" si="34"/>
        <v>0</v>
      </c>
      <c r="BA59" s="9">
        <f t="shared" si="35"/>
        <v>0</v>
      </c>
      <c r="BK59" s="14"/>
    </row>
    <row r="60" spans="23:63" ht="15" customHeight="1">
      <c r="W60" s="13" t="s">
        <v>137</v>
      </c>
      <c r="X60" s="9">
        <f t="shared" si="24"/>
        <v>0</v>
      </c>
      <c r="Y60" s="9">
        <f t="shared" si="25"/>
        <v>0</v>
      </c>
      <c r="Z60" s="9">
        <f t="shared" si="26"/>
        <v>0</v>
      </c>
      <c r="AA60" s="12">
        <f t="shared" si="27"/>
        <v>0</v>
      </c>
      <c r="AB60" s="9">
        <f t="shared" si="28"/>
        <v>0</v>
      </c>
      <c r="AC60" s="12">
        <f t="shared" si="29"/>
        <v>0</v>
      </c>
      <c r="AD60" s="9">
        <f t="shared" si="30"/>
        <v>0</v>
      </c>
      <c r="AV60" s="9">
        <f t="shared" si="31"/>
        <v>59</v>
      </c>
      <c r="AW60" s="13" t="s">
        <v>136</v>
      </c>
      <c r="AX60" s="9">
        <f t="shared" si="32"/>
        <v>59</v>
      </c>
      <c r="AY60" s="9">
        <f t="shared" si="33"/>
        <v>0</v>
      </c>
      <c r="AZ60" s="9">
        <f t="shared" si="34"/>
        <v>0</v>
      </c>
      <c r="BA60" s="9">
        <f t="shared" si="35"/>
        <v>0</v>
      </c>
      <c r="BK60" s="14"/>
    </row>
    <row r="61" spans="23:63" ht="15" customHeight="1">
      <c r="W61" s="13" t="s">
        <v>135</v>
      </c>
      <c r="X61" s="9">
        <f t="shared" si="24"/>
        <v>0</v>
      </c>
      <c r="Y61" s="9">
        <f t="shared" si="25"/>
        <v>0</v>
      </c>
      <c r="Z61" s="9">
        <f t="shared" si="26"/>
        <v>0</v>
      </c>
      <c r="AA61" s="12">
        <f t="shared" si="27"/>
        <v>0</v>
      </c>
      <c r="AB61" s="9">
        <f t="shared" si="28"/>
        <v>0</v>
      </c>
      <c r="AC61" s="12">
        <f t="shared" si="29"/>
        <v>0</v>
      </c>
      <c r="AD61" s="9">
        <f t="shared" si="30"/>
        <v>0</v>
      </c>
      <c r="AV61" s="9">
        <f t="shared" si="31"/>
        <v>60</v>
      </c>
      <c r="AW61" s="15" t="s">
        <v>134</v>
      </c>
      <c r="AX61" s="9">
        <f t="shared" si="32"/>
        <v>60</v>
      </c>
      <c r="AY61" s="9">
        <f t="shared" si="33"/>
        <v>0</v>
      </c>
      <c r="AZ61" s="9">
        <f t="shared" si="34"/>
        <v>0</v>
      </c>
      <c r="BA61" s="9">
        <f t="shared" si="35"/>
        <v>0</v>
      </c>
      <c r="BK61" s="14"/>
    </row>
    <row r="62" spans="23:63" ht="15" customHeight="1">
      <c r="W62" s="13" t="s">
        <v>133</v>
      </c>
      <c r="X62" s="9">
        <f t="shared" si="24"/>
        <v>0</v>
      </c>
      <c r="Y62" s="9">
        <f t="shared" si="25"/>
        <v>0</v>
      </c>
      <c r="Z62" s="9">
        <f t="shared" si="26"/>
        <v>0</v>
      </c>
      <c r="AA62" s="12">
        <f t="shared" si="27"/>
        <v>0</v>
      </c>
      <c r="AB62" s="9">
        <f t="shared" si="28"/>
        <v>0</v>
      </c>
      <c r="AC62" s="12">
        <f t="shared" si="29"/>
        <v>0</v>
      </c>
      <c r="AD62" s="9">
        <f t="shared" si="30"/>
        <v>0</v>
      </c>
      <c r="AV62" s="9">
        <f t="shared" si="31"/>
        <v>61</v>
      </c>
      <c r="AW62" s="9" t="s">
        <v>132</v>
      </c>
      <c r="AX62" s="9">
        <f t="shared" si="32"/>
        <v>61</v>
      </c>
      <c r="AY62" s="9">
        <f t="shared" si="33"/>
        <v>0</v>
      </c>
      <c r="AZ62" s="9">
        <f t="shared" si="34"/>
        <v>0</v>
      </c>
      <c r="BA62" s="9">
        <f t="shared" si="35"/>
        <v>0</v>
      </c>
      <c r="BK62" s="14"/>
    </row>
    <row r="63" spans="23:63" ht="15" customHeight="1">
      <c r="W63" s="13" t="s">
        <v>131</v>
      </c>
      <c r="X63" s="9">
        <f t="shared" si="24"/>
        <v>0</v>
      </c>
      <c r="Y63" s="9">
        <f t="shared" si="25"/>
        <v>0</v>
      </c>
      <c r="Z63" s="9">
        <f t="shared" si="26"/>
        <v>0</v>
      </c>
      <c r="AA63" s="12">
        <f t="shared" si="27"/>
        <v>0</v>
      </c>
      <c r="AB63" s="9">
        <f t="shared" si="28"/>
        <v>0</v>
      </c>
      <c r="AC63" s="12">
        <f t="shared" si="29"/>
        <v>0</v>
      </c>
      <c r="AD63" s="9">
        <f t="shared" si="30"/>
        <v>0</v>
      </c>
      <c r="AV63" s="9">
        <f t="shared" si="31"/>
        <v>62</v>
      </c>
      <c r="AW63" s="15" t="s">
        <v>130</v>
      </c>
      <c r="AX63" s="9">
        <f t="shared" si="32"/>
        <v>62</v>
      </c>
      <c r="AY63" s="9">
        <f t="shared" si="33"/>
        <v>0</v>
      </c>
      <c r="AZ63" s="9">
        <f t="shared" si="34"/>
        <v>0</v>
      </c>
      <c r="BA63" s="9">
        <f t="shared" si="35"/>
        <v>0</v>
      </c>
      <c r="BK63" s="14"/>
    </row>
    <row r="64" spans="23:63" ht="15" customHeight="1">
      <c r="W64" s="13" t="s">
        <v>129</v>
      </c>
      <c r="X64" s="9">
        <f t="shared" si="24"/>
        <v>0</v>
      </c>
      <c r="Y64" s="9">
        <f t="shared" si="25"/>
        <v>0</v>
      </c>
      <c r="Z64" s="9">
        <f t="shared" si="26"/>
        <v>0</v>
      </c>
      <c r="AA64" s="12">
        <f t="shared" si="27"/>
        <v>0</v>
      </c>
      <c r="AB64" s="9">
        <f t="shared" si="28"/>
        <v>0</v>
      </c>
      <c r="AC64" s="12">
        <f t="shared" si="29"/>
        <v>0</v>
      </c>
      <c r="AD64" s="9">
        <f t="shared" si="30"/>
        <v>0</v>
      </c>
      <c r="AV64" s="9">
        <f t="shared" si="31"/>
        <v>63</v>
      </c>
      <c r="AW64" s="13" t="s">
        <v>128</v>
      </c>
      <c r="AX64" s="9">
        <f t="shared" si="32"/>
        <v>63</v>
      </c>
      <c r="AY64" s="9">
        <f t="shared" si="33"/>
        <v>0</v>
      </c>
      <c r="AZ64" s="9">
        <f t="shared" si="34"/>
        <v>0</v>
      </c>
      <c r="BA64" s="9">
        <f t="shared" si="35"/>
        <v>0</v>
      </c>
      <c r="BK64" s="14"/>
    </row>
    <row r="65" spans="1:76" s="10" customFormat="1" ht="15" customHeight="1">
      <c r="A65" s="11"/>
      <c r="O65" s="9"/>
      <c r="V65" s="9"/>
      <c r="W65" s="13" t="s">
        <v>127</v>
      </c>
      <c r="X65" s="9">
        <f t="shared" si="24"/>
        <v>0</v>
      </c>
      <c r="Y65" s="9">
        <f t="shared" si="25"/>
        <v>0</v>
      </c>
      <c r="Z65" s="9">
        <f t="shared" si="26"/>
        <v>0</v>
      </c>
      <c r="AA65" s="12">
        <f t="shared" si="27"/>
        <v>0</v>
      </c>
      <c r="AB65" s="9">
        <f t="shared" si="28"/>
        <v>0</v>
      </c>
      <c r="AC65" s="12">
        <f t="shared" si="29"/>
        <v>0</v>
      </c>
      <c r="AD65" s="9">
        <f t="shared" si="30"/>
        <v>0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>
        <f t="shared" si="31"/>
        <v>64</v>
      </c>
      <c r="AW65" s="15" t="s">
        <v>126</v>
      </c>
      <c r="AX65" s="9">
        <f t="shared" si="32"/>
        <v>64</v>
      </c>
      <c r="AY65" s="9">
        <f t="shared" si="33"/>
        <v>0</v>
      </c>
      <c r="AZ65" s="9">
        <f t="shared" si="34"/>
        <v>0</v>
      </c>
      <c r="BA65" s="9">
        <f t="shared" si="35"/>
        <v>0</v>
      </c>
      <c r="BB65" s="9"/>
      <c r="BC65" s="9"/>
      <c r="BD65" s="9"/>
      <c r="BE65" s="9"/>
      <c r="BF65" s="9"/>
      <c r="BG65" s="9"/>
      <c r="BH65" s="9"/>
      <c r="BI65" s="9"/>
      <c r="BJ65" s="9"/>
      <c r="BK65" s="14"/>
      <c r="BR65" s="9"/>
      <c r="BS65" s="9"/>
      <c r="BT65" s="9"/>
      <c r="BU65" s="9"/>
      <c r="BV65" s="9"/>
      <c r="BW65" s="9"/>
      <c r="BX65" s="9"/>
    </row>
    <row r="66" spans="1:76" s="10" customFormat="1" ht="15" customHeight="1">
      <c r="A66" s="11"/>
      <c r="O66" s="9"/>
      <c r="V66" s="9"/>
      <c r="W66" s="13" t="s">
        <v>125</v>
      </c>
      <c r="X66" s="9">
        <f t="shared" ref="X66:X87" si="36">ROUND((1.05*IFERROR(10*SUMIF($B:$B,$W66,$H:$H),0)),0)</f>
        <v>0</v>
      </c>
      <c r="Y66" s="9">
        <f t="shared" ref="Y66:Y87" si="37">ROUND((1.05*IFERROR(10*SUMIF($B:$B,$W66,$K:$K),0)),0)</f>
        <v>0</v>
      </c>
      <c r="Z66" s="9">
        <f t="shared" ref="Z66:Z87" si="38">ROUND((1.05*IFERROR(10*SUMIF($B:$B,$W66,$N:$N),0)),0)</f>
        <v>0</v>
      </c>
      <c r="AA66" s="12">
        <f t="shared" ref="AA66:AA87" si="39">ROUNDUP(((SUM($X66:$Z66)*10.3)),0)</f>
        <v>0</v>
      </c>
      <c r="AB66" s="9">
        <f t="shared" ref="AB66:AB87" si="40">ROUND(((SUM($X66:$Z66)*11.3)),0)</f>
        <v>0</v>
      </c>
      <c r="AC66" s="12">
        <f t="shared" ref="AC66:AC87" si="41">ROUNDUP(((SUM($X66:$Z66)*10.425)),0)</f>
        <v>0</v>
      </c>
      <c r="AD66" s="9">
        <f t="shared" ref="AD66:AD87" si="42">ROUND(((SUM($X66:$Z66)*11.425)),0)</f>
        <v>0</v>
      </c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14"/>
      <c r="BR66" s="9"/>
      <c r="BS66" s="9"/>
      <c r="BT66" s="9"/>
      <c r="BU66" s="9"/>
      <c r="BV66" s="9"/>
      <c r="BW66" s="9"/>
      <c r="BX66" s="9"/>
    </row>
    <row r="67" spans="1:76" s="10" customFormat="1" ht="15" customHeight="1">
      <c r="A67" s="11"/>
      <c r="O67" s="9"/>
      <c r="V67" s="9"/>
      <c r="W67" s="13" t="s">
        <v>124</v>
      </c>
      <c r="X67" s="9">
        <f t="shared" si="36"/>
        <v>0</v>
      </c>
      <c r="Y67" s="9">
        <f t="shared" si="37"/>
        <v>0</v>
      </c>
      <c r="Z67" s="9">
        <f t="shared" si="38"/>
        <v>0</v>
      </c>
      <c r="AA67" s="12">
        <f t="shared" si="39"/>
        <v>0</v>
      </c>
      <c r="AB67" s="9">
        <f t="shared" si="40"/>
        <v>0</v>
      </c>
      <c r="AC67" s="12">
        <f t="shared" si="41"/>
        <v>0</v>
      </c>
      <c r="AD67" s="9">
        <f t="shared" si="42"/>
        <v>0</v>
      </c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14"/>
      <c r="BR67" s="9"/>
      <c r="BS67" s="9"/>
      <c r="BT67" s="9"/>
      <c r="BU67" s="9"/>
      <c r="BV67" s="9"/>
      <c r="BW67" s="9"/>
      <c r="BX67" s="9"/>
    </row>
    <row r="68" spans="1:76" s="10" customFormat="1" ht="15" customHeight="1">
      <c r="A68" s="11"/>
      <c r="O68" s="9"/>
      <c r="V68" s="9"/>
      <c r="W68" s="13" t="s">
        <v>123</v>
      </c>
      <c r="X68" s="9">
        <f t="shared" si="36"/>
        <v>0</v>
      </c>
      <c r="Y68" s="9">
        <f t="shared" si="37"/>
        <v>0</v>
      </c>
      <c r="Z68" s="9">
        <f t="shared" si="38"/>
        <v>0</v>
      </c>
      <c r="AA68" s="12">
        <f t="shared" si="39"/>
        <v>0</v>
      </c>
      <c r="AB68" s="9">
        <f t="shared" si="40"/>
        <v>0</v>
      </c>
      <c r="AC68" s="12">
        <f t="shared" si="41"/>
        <v>0</v>
      </c>
      <c r="AD68" s="9">
        <f t="shared" si="42"/>
        <v>0</v>
      </c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14"/>
      <c r="BR68" s="9"/>
      <c r="BS68" s="9"/>
      <c r="BT68" s="9"/>
      <c r="BU68" s="9"/>
      <c r="BV68" s="9"/>
      <c r="BW68" s="9"/>
      <c r="BX68" s="9"/>
    </row>
    <row r="69" spans="1:76" s="10" customFormat="1" ht="15" customHeight="1">
      <c r="A69" s="11"/>
      <c r="O69" s="9"/>
      <c r="V69" s="9"/>
      <c r="W69" s="13" t="s">
        <v>122</v>
      </c>
      <c r="X69" s="9">
        <f t="shared" si="36"/>
        <v>0</v>
      </c>
      <c r="Y69" s="9">
        <f t="shared" si="37"/>
        <v>0</v>
      </c>
      <c r="Z69" s="9">
        <f t="shared" si="38"/>
        <v>0</v>
      </c>
      <c r="AA69" s="12">
        <f t="shared" si="39"/>
        <v>0</v>
      </c>
      <c r="AB69" s="9">
        <f t="shared" si="40"/>
        <v>0</v>
      </c>
      <c r="AC69" s="12">
        <f t="shared" si="41"/>
        <v>0</v>
      </c>
      <c r="AD69" s="9">
        <f t="shared" si="42"/>
        <v>0</v>
      </c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14"/>
      <c r="BR69" s="9"/>
      <c r="BS69" s="9"/>
      <c r="BT69" s="9"/>
      <c r="BU69" s="9"/>
      <c r="BV69" s="9"/>
      <c r="BW69" s="9"/>
      <c r="BX69" s="9"/>
    </row>
    <row r="70" spans="1:76" s="10" customFormat="1" ht="15" customHeight="1">
      <c r="A70" s="11"/>
      <c r="O70" s="9"/>
      <c r="V70" s="9"/>
      <c r="W70" s="13" t="s">
        <v>121</v>
      </c>
      <c r="X70" s="9">
        <f t="shared" si="36"/>
        <v>0</v>
      </c>
      <c r="Y70" s="9">
        <f t="shared" si="37"/>
        <v>0</v>
      </c>
      <c r="Z70" s="9">
        <f t="shared" si="38"/>
        <v>0</v>
      </c>
      <c r="AA70" s="12">
        <f t="shared" si="39"/>
        <v>0</v>
      </c>
      <c r="AB70" s="9">
        <f t="shared" si="40"/>
        <v>0</v>
      </c>
      <c r="AC70" s="12">
        <f t="shared" si="41"/>
        <v>0</v>
      </c>
      <c r="AD70" s="9">
        <f t="shared" si="42"/>
        <v>0</v>
      </c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14"/>
      <c r="BR70" s="9"/>
      <c r="BS70" s="9"/>
      <c r="BT70" s="9"/>
      <c r="BU70" s="9"/>
      <c r="BV70" s="9"/>
      <c r="BW70" s="9"/>
      <c r="BX70" s="9"/>
    </row>
    <row r="71" spans="1:76" s="10" customFormat="1" ht="15" customHeight="1">
      <c r="A71" s="11"/>
      <c r="O71" s="9"/>
      <c r="V71" s="9"/>
      <c r="W71" s="13" t="s">
        <v>120</v>
      </c>
      <c r="X71" s="9">
        <f t="shared" si="36"/>
        <v>0</v>
      </c>
      <c r="Y71" s="9">
        <f t="shared" si="37"/>
        <v>0</v>
      </c>
      <c r="Z71" s="9">
        <f t="shared" si="38"/>
        <v>0</v>
      </c>
      <c r="AA71" s="12">
        <f t="shared" si="39"/>
        <v>0</v>
      </c>
      <c r="AB71" s="9">
        <f t="shared" si="40"/>
        <v>0</v>
      </c>
      <c r="AC71" s="12">
        <f t="shared" si="41"/>
        <v>0</v>
      </c>
      <c r="AD71" s="9">
        <f t="shared" si="42"/>
        <v>0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14"/>
      <c r="BR71" s="9"/>
      <c r="BS71" s="9"/>
      <c r="BT71" s="9"/>
      <c r="BU71" s="9"/>
      <c r="BV71" s="9"/>
      <c r="BW71" s="9"/>
      <c r="BX71" s="9"/>
    </row>
    <row r="72" spans="1:76" s="10" customFormat="1" ht="15" customHeight="1">
      <c r="A72" s="11"/>
      <c r="O72" s="9"/>
      <c r="V72" s="9"/>
      <c r="W72" s="13" t="s">
        <v>119</v>
      </c>
      <c r="X72" s="9">
        <f t="shared" si="36"/>
        <v>0</v>
      </c>
      <c r="Y72" s="9">
        <f t="shared" si="37"/>
        <v>0</v>
      </c>
      <c r="Z72" s="9">
        <f t="shared" si="38"/>
        <v>0</v>
      </c>
      <c r="AA72" s="12">
        <f t="shared" si="39"/>
        <v>0</v>
      </c>
      <c r="AB72" s="9">
        <f t="shared" si="40"/>
        <v>0</v>
      </c>
      <c r="AC72" s="12">
        <f t="shared" si="41"/>
        <v>0</v>
      </c>
      <c r="AD72" s="9">
        <f t="shared" si="42"/>
        <v>0</v>
      </c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14"/>
      <c r="BR72" s="9"/>
      <c r="BS72" s="9"/>
      <c r="BT72" s="9"/>
      <c r="BU72" s="9"/>
      <c r="BV72" s="9"/>
      <c r="BW72" s="9"/>
      <c r="BX72" s="9"/>
    </row>
    <row r="73" spans="1:76" s="10" customFormat="1" ht="16" customHeight="1">
      <c r="A73" s="11"/>
      <c r="O73" s="9"/>
      <c r="V73" s="9"/>
      <c r="W73" s="13" t="s">
        <v>118</v>
      </c>
      <c r="X73" s="9">
        <f t="shared" si="36"/>
        <v>0</v>
      </c>
      <c r="Y73" s="9">
        <f t="shared" si="37"/>
        <v>0</v>
      </c>
      <c r="Z73" s="9">
        <f t="shared" si="38"/>
        <v>0</v>
      </c>
      <c r="AA73" s="12">
        <f t="shared" si="39"/>
        <v>0</v>
      </c>
      <c r="AB73" s="9">
        <f t="shared" si="40"/>
        <v>0</v>
      </c>
      <c r="AC73" s="12">
        <f t="shared" si="41"/>
        <v>0</v>
      </c>
      <c r="AD73" s="9">
        <f t="shared" si="42"/>
        <v>0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14"/>
      <c r="BR73" s="9"/>
      <c r="BS73" s="9"/>
      <c r="BT73" s="9"/>
      <c r="BU73" s="9"/>
      <c r="BV73" s="9"/>
      <c r="BW73" s="9"/>
      <c r="BX73" s="9"/>
    </row>
    <row r="74" spans="1:76" s="10" customFormat="1" ht="16" customHeight="1">
      <c r="A74" s="11"/>
      <c r="O74" s="9"/>
      <c r="V74" s="9"/>
      <c r="W74" s="13" t="s">
        <v>117</v>
      </c>
      <c r="X74" s="9">
        <f t="shared" si="36"/>
        <v>0</v>
      </c>
      <c r="Y74" s="9">
        <f t="shared" si="37"/>
        <v>0</v>
      </c>
      <c r="Z74" s="9">
        <f t="shared" si="38"/>
        <v>0</v>
      </c>
      <c r="AA74" s="12">
        <f t="shared" si="39"/>
        <v>0</v>
      </c>
      <c r="AB74" s="9">
        <f t="shared" si="40"/>
        <v>0</v>
      </c>
      <c r="AC74" s="12">
        <f t="shared" si="41"/>
        <v>0</v>
      </c>
      <c r="AD74" s="9">
        <f t="shared" si="42"/>
        <v>0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14"/>
      <c r="BR74" s="9"/>
      <c r="BS74" s="9"/>
      <c r="BT74" s="9"/>
      <c r="BU74" s="9"/>
      <c r="BV74" s="9"/>
      <c r="BW74" s="9"/>
      <c r="BX74" s="9"/>
    </row>
    <row r="75" spans="1:76" s="10" customFormat="1" ht="16" customHeight="1">
      <c r="A75" s="11"/>
      <c r="O75" s="9"/>
      <c r="V75" s="9"/>
      <c r="W75" s="13" t="s">
        <v>116</v>
      </c>
      <c r="X75" s="9">
        <f t="shared" si="36"/>
        <v>0</v>
      </c>
      <c r="Y75" s="9">
        <f t="shared" si="37"/>
        <v>0</v>
      </c>
      <c r="Z75" s="9">
        <f t="shared" si="38"/>
        <v>0</v>
      </c>
      <c r="AA75" s="12">
        <f t="shared" si="39"/>
        <v>0</v>
      </c>
      <c r="AB75" s="9">
        <f t="shared" si="40"/>
        <v>0</v>
      </c>
      <c r="AC75" s="12">
        <f t="shared" si="41"/>
        <v>0</v>
      </c>
      <c r="AD75" s="9">
        <f t="shared" si="42"/>
        <v>0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R75" s="9"/>
      <c r="BS75" s="9"/>
      <c r="BT75" s="9"/>
      <c r="BU75" s="9"/>
      <c r="BV75" s="9"/>
      <c r="BW75" s="9"/>
      <c r="BX75" s="9"/>
    </row>
    <row r="76" spans="1:76" s="10" customFormat="1" ht="16" customHeight="1">
      <c r="A76" s="11"/>
      <c r="O76" s="9"/>
      <c r="V76" s="9"/>
      <c r="W76" s="13" t="s">
        <v>115</v>
      </c>
      <c r="X76" s="9">
        <f t="shared" si="36"/>
        <v>0</v>
      </c>
      <c r="Y76" s="9">
        <f t="shared" si="37"/>
        <v>0</v>
      </c>
      <c r="Z76" s="9">
        <f t="shared" si="38"/>
        <v>0</v>
      </c>
      <c r="AA76" s="12">
        <f t="shared" si="39"/>
        <v>0</v>
      </c>
      <c r="AB76" s="9">
        <f t="shared" si="40"/>
        <v>0</v>
      </c>
      <c r="AC76" s="12">
        <f t="shared" si="41"/>
        <v>0</v>
      </c>
      <c r="AD76" s="9">
        <f t="shared" si="42"/>
        <v>0</v>
      </c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R76" s="9"/>
      <c r="BS76" s="9"/>
      <c r="BT76" s="9"/>
      <c r="BU76" s="9"/>
      <c r="BV76" s="9"/>
      <c r="BW76" s="9"/>
      <c r="BX76" s="9"/>
    </row>
    <row r="77" spans="1:76" s="10" customFormat="1" ht="16" customHeight="1">
      <c r="A77" s="11"/>
      <c r="O77" s="9"/>
      <c r="V77" s="9"/>
      <c r="W77" s="13" t="s">
        <v>114</v>
      </c>
      <c r="X77" s="9">
        <f t="shared" si="36"/>
        <v>0</v>
      </c>
      <c r="Y77" s="9">
        <f t="shared" si="37"/>
        <v>0</v>
      </c>
      <c r="Z77" s="9">
        <f t="shared" si="38"/>
        <v>0</v>
      </c>
      <c r="AA77" s="12">
        <f t="shared" si="39"/>
        <v>0</v>
      </c>
      <c r="AB77" s="9">
        <f t="shared" si="40"/>
        <v>0</v>
      </c>
      <c r="AC77" s="12">
        <f t="shared" si="41"/>
        <v>0</v>
      </c>
      <c r="AD77" s="9">
        <f t="shared" si="42"/>
        <v>0</v>
      </c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R77" s="9"/>
      <c r="BS77" s="9"/>
      <c r="BT77" s="9"/>
      <c r="BU77" s="9"/>
      <c r="BV77" s="9"/>
      <c r="BW77" s="9"/>
      <c r="BX77" s="9"/>
    </row>
    <row r="78" spans="1:76" s="10" customFormat="1" ht="16" customHeight="1">
      <c r="A78" s="11"/>
      <c r="O78" s="9"/>
      <c r="V78" s="9"/>
      <c r="W78" s="13" t="s">
        <v>113</v>
      </c>
      <c r="X78" s="9">
        <f t="shared" si="36"/>
        <v>0</v>
      </c>
      <c r="Y78" s="9">
        <f t="shared" si="37"/>
        <v>0</v>
      </c>
      <c r="Z78" s="9">
        <f t="shared" si="38"/>
        <v>0</v>
      </c>
      <c r="AA78" s="12">
        <f t="shared" si="39"/>
        <v>0</v>
      </c>
      <c r="AB78" s="9">
        <f t="shared" si="40"/>
        <v>0</v>
      </c>
      <c r="AC78" s="12">
        <f t="shared" si="41"/>
        <v>0</v>
      </c>
      <c r="AD78" s="9">
        <f t="shared" si="42"/>
        <v>0</v>
      </c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R78" s="9"/>
      <c r="BS78" s="9"/>
      <c r="BT78" s="9"/>
      <c r="BU78" s="9"/>
      <c r="BV78" s="9"/>
      <c r="BW78" s="9"/>
      <c r="BX78" s="9"/>
    </row>
    <row r="79" spans="1:76" s="10" customFormat="1" ht="16" customHeight="1">
      <c r="A79" s="11"/>
      <c r="O79" s="9"/>
      <c r="V79" s="9"/>
      <c r="W79" s="13" t="s">
        <v>104</v>
      </c>
      <c r="X79" s="9">
        <f t="shared" si="36"/>
        <v>0</v>
      </c>
      <c r="Y79" s="9">
        <f t="shared" si="37"/>
        <v>0</v>
      </c>
      <c r="Z79" s="9">
        <f t="shared" si="38"/>
        <v>0</v>
      </c>
      <c r="AA79" s="12">
        <f t="shared" si="39"/>
        <v>0</v>
      </c>
      <c r="AB79" s="9">
        <f t="shared" si="40"/>
        <v>0</v>
      </c>
      <c r="AC79" s="12">
        <f t="shared" si="41"/>
        <v>0</v>
      </c>
      <c r="AD79" s="9">
        <f t="shared" si="42"/>
        <v>0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R79" s="9"/>
      <c r="BS79" s="9"/>
      <c r="BT79" s="9"/>
      <c r="BU79" s="9"/>
      <c r="BV79" s="9"/>
      <c r="BW79" s="9"/>
      <c r="BX79" s="9"/>
    </row>
    <row r="80" spans="1:76" s="10" customFormat="1" ht="16" customHeight="1">
      <c r="A80" s="11"/>
      <c r="O80" s="9"/>
      <c r="V80" s="9"/>
      <c r="W80" s="13" t="s">
        <v>112</v>
      </c>
      <c r="X80" s="9">
        <f t="shared" si="36"/>
        <v>0</v>
      </c>
      <c r="Y80" s="9">
        <f t="shared" si="37"/>
        <v>0</v>
      </c>
      <c r="Z80" s="9">
        <f t="shared" si="38"/>
        <v>0</v>
      </c>
      <c r="AA80" s="12">
        <f t="shared" si="39"/>
        <v>0</v>
      </c>
      <c r="AB80" s="9">
        <f t="shared" si="40"/>
        <v>0</v>
      </c>
      <c r="AC80" s="12">
        <f t="shared" si="41"/>
        <v>0</v>
      </c>
      <c r="AD80" s="9">
        <f t="shared" si="42"/>
        <v>0</v>
      </c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R80" s="9"/>
      <c r="BS80" s="9"/>
      <c r="BT80" s="9"/>
      <c r="BU80" s="9"/>
      <c r="BV80" s="9"/>
      <c r="BW80" s="9"/>
      <c r="BX80" s="9"/>
    </row>
    <row r="81" spans="23:30" ht="16" customHeight="1">
      <c r="W81" s="13" t="s">
        <v>111</v>
      </c>
      <c r="X81" s="9">
        <f t="shared" si="36"/>
        <v>0</v>
      </c>
      <c r="Y81" s="9">
        <f t="shared" si="37"/>
        <v>0</v>
      </c>
      <c r="Z81" s="9">
        <f t="shared" si="38"/>
        <v>0</v>
      </c>
      <c r="AA81" s="12">
        <f t="shared" si="39"/>
        <v>0</v>
      </c>
      <c r="AB81" s="9">
        <f t="shared" si="40"/>
        <v>0</v>
      </c>
      <c r="AC81" s="12">
        <f t="shared" si="41"/>
        <v>0</v>
      </c>
      <c r="AD81" s="9">
        <f t="shared" si="42"/>
        <v>0</v>
      </c>
    </row>
    <row r="82" spans="23:30" ht="16" customHeight="1">
      <c r="W82" s="13" t="s">
        <v>110</v>
      </c>
      <c r="X82" s="9">
        <f t="shared" si="36"/>
        <v>0</v>
      </c>
      <c r="Y82" s="9">
        <f t="shared" si="37"/>
        <v>0</v>
      </c>
      <c r="Z82" s="9">
        <f t="shared" si="38"/>
        <v>0</v>
      </c>
      <c r="AA82" s="12">
        <f t="shared" si="39"/>
        <v>0</v>
      </c>
      <c r="AB82" s="9">
        <f t="shared" si="40"/>
        <v>0</v>
      </c>
      <c r="AC82" s="12">
        <f t="shared" si="41"/>
        <v>0</v>
      </c>
      <c r="AD82" s="9">
        <f t="shared" si="42"/>
        <v>0</v>
      </c>
    </row>
    <row r="83" spans="23:30" ht="16" customHeight="1">
      <c r="W83" s="13" t="s">
        <v>109</v>
      </c>
      <c r="X83" s="9">
        <f t="shared" si="36"/>
        <v>0</v>
      </c>
      <c r="Y83" s="9">
        <f t="shared" si="37"/>
        <v>0</v>
      </c>
      <c r="Z83" s="9">
        <f t="shared" si="38"/>
        <v>0</v>
      </c>
      <c r="AA83" s="12">
        <f t="shared" si="39"/>
        <v>0</v>
      </c>
      <c r="AB83" s="9">
        <f t="shared" si="40"/>
        <v>0</v>
      </c>
      <c r="AC83" s="12">
        <f t="shared" si="41"/>
        <v>0</v>
      </c>
      <c r="AD83" s="9">
        <f t="shared" si="42"/>
        <v>0</v>
      </c>
    </row>
    <row r="84" spans="23:30" ht="16" customHeight="1">
      <c r="W84" s="13" t="s">
        <v>108</v>
      </c>
      <c r="X84" s="9">
        <f t="shared" si="36"/>
        <v>0</v>
      </c>
      <c r="Y84" s="9">
        <f t="shared" si="37"/>
        <v>0</v>
      </c>
      <c r="Z84" s="9">
        <f t="shared" si="38"/>
        <v>0</v>
      </c>
      <c r="AA84" s="12">
        <f t="shared" si="39"/>
        <v>0</v>
      </c>
      <c r="AB84" s="9">
        <f t="shared" si="40"/>
        <v>0</v>
      </c>
      <c r="AC84" s="12">
        <f t="shared" si="41"/>
        <v>0</v>
      </c>
      <c r="AD84" s="9">
        <f t="shared" si="42"/>
        <v>0</v>
      </c>
    </row>
    <row r="85" spans="23:30" ht="16" customHeight="1">
      <c r="W85" s="13" t="s">
        <v>107</v>
      </c>
      <c r="X85" s="9">
        <f t="shared" si="36"/>
        <v>0</v>
      </c>
      <c r="Y85" s="9">
        <f t="shared" si="37"/>
        <v>0</v>
      </c>
      <c r="Z85" s="9">
        <f t="shared" si="38"/>
        <v>0</v>
      </c>
      <c r="AA85" s="12">
        <f t="shared" si="39"/>
        <v>0</v>
      </c>
      <c r="AB85" s="9">
        <f t="shared" si="40"/>
        <v>0</v>
      </c>
      <c r="AC85" s="12">
        <f t="shared" si="41"/>
        <v>0</v>
      </c>
      <c r="AD85" s="9">
        <f t="shared" si="42"/>
        <v>0</v>
      </c>
    </row>
    <row r="86" spans="23:30" ht="16" customHeight="1">
      <c r="W86" s="13" t="s">
        <v>106</v>
      </c>
      <c r="X86" s="9">
        <f t="shared" si="36"/>
        <v>0</v>
      </c>
      <c r="Y86" s="9">
        <f t="shared" si="37"/>
        <v>0</v>
      </c>
      <c r="Z86" s="9">
        <f t="shared" si="38"/>
        <v>0</v>
      </c>
      <c r="AA86" s="12">
        <f t="shared" si="39"/>
        <v>0</v>
      </c>
      <c r="AB86" s="9">
        <f t="shared" si="40"/>
        <v>0</v>
      </c>
      <c r="AC86" s="12">
        <f t="shared" si="41"/>
        <v>0</v>
      </c>
      <c r="AD86" s="9">
        <f t="shared" si="42"/>
        <v>0</v>
      </c>
    </row>
    <row r="87" spans="23:30" ht="16" customHeight="1">
      <c r="W87" s="13" t="s">
        <v>105</v>
      </c>
      <c r="X87" s="9">
        <f t="shared" si="36"/>
        <v>0</v>
      </c>
      <c r="Y87" s="9">
        <f t="shared" si="37"/>
        <v>0</v>
      </c>
      <c r="Z87" s="9">
        <f t="shared" si="38"/>
        <v>0</v>
      </c>
      <c r="AA87" s="12">
        <f t="shared" si="39"/>
        <v>0</v>
      </c>
      <c r="AB87" s="9">
        <f t="shared" si="40"/>
        <v>0</v>
      </c>
      <c r="AC87" s="12">
        <f t="shared" si="41"/>
        <v>0</v>
      </c>
      <c r="AD87" s="9">
        <f t="shared" si="42"/>
        <v>0</v>
      </c>
    </row>
    <row r="89" spans="23:30">
      <c r="W89" s="9" t="s">
        <v>104</v>
      </c>
      <c r="X89" s="9" t="s">
        <v>104</v>
      </c>
      <c r="Y89" s="9" t="s">
        <v>104</v>
      </c>
      <c r="Z89" s="9" t="s">
        <v>104</v>
      </c>
      <c r="AA89" s="9" t="s">
        <v>104</v>
      </c>
      <c r="AB89" s="9" t="s">
        <v>104</v>
      </c>
      <c r="AC89" s="9" t="s">
        <v>104</v>
      </c>
      <c r="AD89" s="9" t="s">
        <v>104</v>
      </c>
    </row>
    <row r="92" spans="23:30" ht="18" customHeight="1"/>
  </sheetData>
  <dataConsolidate/>
  <printOptions horizontalCentered="1" verticalCentered="1"/>
  <pageMargins left="0.25" right="0.25" top="0.75" bottom="0.75" header="0.3" footer="0.3"/>
  <pageSetup scale="13" fitToHeight="2" orientation="portrait" horizontalDpi="0" verticalDpi="0"/>
  <colBreaks count="3" manualBreakCount="3">
    <brk id="22" max="1048575" man="1"/>
    <brk id="34" max="1048575" man="1"/>
    <brk id="63" max="1048575" man="1"/>
  </colBreaks>
  <legacy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Flow Scheme 2024.05.12</vt:lpstr>
      <vt:lpstr>Transfection 2024.05.02</vt:lpstr>
      <vt:lpstr>'Flow Scheme 2024.05.12'!Print_Area</vt:lpstr>
      <vt:lpstr>'Flow Scheme 2024.05.12'!Print_Titles</vt:lpstr>
      <vt:lpstr>'Transfection 2024.05.02'!Print_Titles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Dafonte Imedio</dc:creator>
  <cp:lastModifiedBy>Zach</cp:lastModifiedBy>
  <dcterms:created xsi:type="dcterms:W3CDTF">2024-05-13T19:38:49Z</dcterms:created>
  <dcterms:modified xsi:type="dcterms:W3CDTF">2024-07-09T17:48:48Z</dcterms:modified>
</cp:coreProperties>
</file>