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garcia\garcia_nifengineering_2022\20221115_resubmission\elife_fullsubmission\source-data\Figure3-SourceData\"/>
    </mc:Choice>
  </mc:AlternateContent>
  <xr:revisionPtr revIDLastSave="0" documentId="13_ncr:1_{9D67441F-9FE0-488F-8C50-793126C3E551}" xr6:coauthVersionLast="47" xr6:coauthVersionMax="47" xr10:uidLastSave="{00000000-0000-0000-0000-000000000000}"/>
  <bookViews>
    <workbookView xWindow="-98" yWindow="-98" windowWidth="20715" windowHeight="13155" xr2:uid="{8BE80631-169B-4575-A801-B8EF2B2A3560}"/>
  </bookViews>
  <sheets>
    <sheet name="WT" sheetId="1" r:id="rId1"/>
    <sheet name="Anc1A" sheetId="6" r:id="rId2"/>
    <sheet name="Anc1B" sheetId="8" r:id="rId3"/>
    <sheet name="Anc2" sheetId="9" r:id="rId4"/>
    <sheet name="Bradford" sheetId="10" r:id="rId5"/>
    <sheet name="Statistics" sheetId="11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1" l="1"/>
  <c r="L19" i="11"/>
  <c r="C19" i="11"/>
  <c r="B19" i="11"/>
  <c r="D19" i="11" s="1"/>
  <c r="F13" i="11"/>
  <c r="E13" i="11"/>
  <c r="D13" i="11"/>
  <c r="C13" i="11"/>
  <c r="B13" i="11"/>
  <c r="A13" i="11"/>
  <c r="F12" i="11"/>
  <c r="E12" i="11"/>
  <c r="D12" i="11"/>
  <c r="C12" i="11"/>
  <c r="B12" i="11"/>
  <c r="A12" i="11"/>
  <c r="N11" i="11"/>
  <c r="M11" i="11"/>
  <c r="L11" i="11"/>
  <c r="K11" i="11"/>
  <c r="L17" i="11" s="1"/>
  <c r="F11" i="11"/>
  <c r="E11" i="11"/>
  <c r="D11" i="11"/>
  <c r="C11" i="11"/>
  <c r="B11" i="11"/>
  <c r="A11" i="11"/>
  <c r="N10" i="11"/>
  <c r="M10" i="11"/>
  <c r="L10" i="11"/>
  <c r="M20" i="11" s="1"/>
  <c r="K10" i="11"/>
  <c r="K20" i="11" s="1"/>
  <c r="F10" i="11"/>
  <c r="B18" i="11" s="1"/>
  <c r="E10" i="11"/>
  <c r="D10" i="11"/>
  <c r="C10" i="11"/>
  <c r="B10" i="11"/>
  <c r="A10" i="11"/>
  <c r="N9" i="11"/>
  <c r="M9" i="11"/>
  <c r="L9" i="11"/>
  <c r="M18" i="11" s="1"/>
  <c r="K9" i="11"/>
  <c r="K19" i="11" s="1"/>
  <c r="N8" i="11"/>
  <c r="N12" i="11" s="1"/>
  <c r="M8" i="11"/>
  <c r="L8" i="11"/>
  <c r="M17" i="11" s="1"/>
  <c r="K8" i="11"/>
  <c r="K15" i="11" s="1"/>
  <c r="J17" i="9"/>
  <c r="J18" i="9"/>
  <c r="J19" i="9"/>
  <c r="J16" i="9"/>
  <c r="J13" i="9"/>
  <c r="J14" i="9"/>
  <c r="J15" i="9"/>
  <c r="J12" i="9"/>
  <c r="J9" i="9"/>
  <c r="J10" i="9"/>
  <c r="J11" i="9"/>
  <c r="J8" i="9"/>
  <c r="J17" i="8"/>
  <c r="J18" i="8"/>
  <c r="J19" i="8"/>
  <c r="J16" i="8"/>
  <c r="J13" i="8"/>
  <c r="J14" i="8"/>
  <c r="J15" i="8"/>
  <c r="J12" i="8"/>
  <c r="J9" i="8"/>
  <c r="J10" i="8"/>
  <c r="J11" i="8"/>
  <c r="J8" i="8"/>
  <c r="I2" i="10"/>
  <c r="J2" i="10"/>
  <c r="I28" i="10"/>
  <c r="J28" i="10" s="1"/>
  <c r="I27" i="10"/>
  <c r="J27" i="10" s="1"/>
  <c r="I26" i="10"/>
  <c r="J26" i="10" s="1"/>
  <c r="I25" i="10"/>
  <c r="J25" i="10" s="1"/>
  <c r="I24" i="10"/>
  <c r="J24" i="10" s="1"/>
  <c r="I23" i="10"/>
  <c r="J23" i="10" s="1"/>
  <c r="I22" i="10"/>
  <c r="J22" i="10" s="1"/>
  <c r="I21" i="10"/>
  <c r="J21" i="10" s="1"/>
  <c r="I20" i="10"/>
  <c r="J20" i="10" s="1"/>
  <c r="I37" i="10"/>
  <c r="J37" i="10" s="1"/>
  <c r="I36" i="10"/>
  <c r="J36" i="10" s="1"/>
  <c r="I35" i="10"/>
  <c r="J35" i="10" s="1"/>
  <c r="I34" i="10"/>
  <c r="J34" i="10" s="1"/>
  <c r="I33" i="10"/>
  <c r="J33" i="10" s="1"/>
  <c r="I32" i="10"/>
  <c r="J32" i="10" s="1"/>
  <c r="I31" i="10"/>
  <c r="J31" i="10" s="1"/>
  <c r="I30" i="10"/>
  <c r="J30" i="10" s="1"/>
  <c r="I29" i="10"/>
  <c r="J29" i="10" s="1"/>
  <c r="I19" i="10"/>
  <c r="J19" i="10" s="1"/>
  <c r="I18" i="10"/>
  <c r="J18" i="10" s="1"/>
  <c r="I17" i="10"/>
  <c r="J17" i="10" s="1"/>
  <c r="I16" i="10"/>
  <c r="J16" i="10" s="1"/>
  <c r="I15" i="10"/>
  <c r="J15" i="10" s="1"/>
  <c r="I14" i="10"/>
  <c r="J14" i="10" s="1"/>
  <c r="I13" i="10"/>
  <c r="J13" i="10" s="1"/>
  <c r="I12" i="10"/>
  <c r="J12" i="10" s="1"/>
  <c r="I11" i="10"/>
  <c r="J11" i="10" s="1"/>
  <c r="I10" i="10"/>
  <c r="J10" i="10" s="1"/>
  <c r="I9" i="10"/>
  <c r="J9" i="10" s="1"/>
  <c r="I8" i="10"/>
  <c r="J8" i="10" s="1"/>
  <c r="I7" i="10"/>
  <c r="J7" i="10" s="1"/>
  <c r="I6" i="10"/>
  <c r="J6" i="10" s="1"/>
  <c r="D6" i="10"/>
  <c r="I5" i="10"/>
  <c r="J5" i="10" s="1"/>
  <c r="D5" i="10"/>
  <c r="I4" i="10"/>
  <c r="J4" i="10" s="1"/>
  <c r="D4" i="10"/>
  <c r="I3" i="10"/>
  <c r="J3" i="10" s="1"/>
  <c r="D3" i="10"/>
  <c r="D2" i="10"/>
  <c r="I9" i="9"/>
  <c r="I10" i="9"/>
  <c r="I11" i="9"/>
  <c r="I12" i="9"/>
  <c r="I13" i="9"/>
  <c r="I14" i="9"/>
  <c r="I15" i="9"/>
  <c r="I16" i="9"/>
  <c r="I17" i="9"/>
  <c r="I18" i="9"/>
  <c r="I19" i="9"/>
  <c r="I8" i="9"/>
  <c r="G19" i="9"/>
  <c r="E19" i="9"/>
  <c r="H19" i="9" s="1"/>
  <c r="H18" i="9"/>
  <c r="G18" i="9"/>
  <c r="E18" i="9"/>
  <c r="G17" i="9"/>
  <c r="E17" i="9"/>
  <c r="H17" i="9" s="1"/>
  <c r="H16" i="9"/>
  <c r="G16" i="9"/>
  <c r="E16" i="9"/>
  <c r="G15" i="9"/>
  <c r="E15" i="9"/>
  <c r="H15" i="9" s="1"/>
  <c r="G14" i="9"/>
  <c r="E14" i="9"/>
  <c r="H14" i="9" s="1"/>
  <c r="G13" i="9"/>
  <c r="E13" i="9"/>
  <c r="H13" i="9" s="1"/>
  <c r="H12" i="9"/>
  <c r="G12" i="9"/>
  <c r="E12" i="9"/>
  <c r="G11" i="9"/>
  <c r="E11" i="9"/>
  <c r="H11" i="9" s="1"/>
  <c r="H10" i="9"/>
  <c r="G10" i="9"/>
  <c r="E10" i="9"/>
  <c r="G9" i="9"/>
  <c r="E9" i="9"/>
  <c r="H9" i="9" s="1"/>
  <c r="G8" i="9"/>
  <c r="E8" i="9"/>
  <c r="H8" i="9" s="1"/>
  <c r="G7" i="9"/>
  <c r="E7" i="9"/>
  <c r="H7" i="9" s="1"/>
  <c r="G6" i="9"/>
  <c r="E6" i="9"/>
  <c r="H6" i="9" s="1"/>
  <c r="H5" i="9"/>
  <c r="G5" i="9"/>
  <c r="E5" i="9"/>
  <c r="G4" i="9"/>
  <c r="E4" i="9"/>
  <c r="H4" i="9" s="1"/>
  <c r="H3" i="9"/>
  <c r="G3" i="9"/>
  <c r="E3" i="9"/>
  <c r="H2" i="9"/>
  <c r="G2" i="9"/>
  <c r="E2" i="9"/>
  <c r="I9" i="8"/>
  <c r="I10" i="8"/>
  <c r="I11" i="8"/>
  <c r="I12" i="8"/>
  <c r="I13" i="8"/>
  <c r="I14" i="8"/>
  <c r="I15" i="8"/>
  <c r="I16" i="8"/>
  <c r="I17" i="8"/>
  <c r="I18" i="8"/>
  <c r="I19" i="8"/>
  <c r="I8" i="8"/>
  <c r="G19" i="8"/>
  <c r="E19" i="8"/>
  <c r="H19" i="8" s="1"/>
  <c r="G18" i="8"/>
  <c r="E18" i="8"/>
  <c r="H18" i="8" s="1"/>
  <c r="G17" i="8"/>
  <c r="E17" i="8"/>
  <c r="H17" i="8" s="1"/>
  <c r="G16" i="8"/>
  <c r="E16" i="8"/>
  <c r="H16" i="8" s="1"/>
  <c r="G15" i="8"/>
  <c r="E15" i="8"/>
  <c r="H15" i="8" s="1"/>
  <c r="G14" i="8"/>
  <c r="E14" i="8"/>
  <c r="H14" i="8" s="1"/>
  <c r="G13" i="8"/>
  <c r="E13" i="8"/>
  <c r="H13" i="8" s="1"/>
  <c r="G12" i="8"/>
  <c r="E12" i="8"/>
  <c r="H12" i="8" s="1"/>
  <c r="G11" i="8"/>
  <c r="E11" i="8"/>
  <c r="H11" i="8" s="1"/>
  <c r="G10" i="8"/>
  <c r="E10" i="8"/>
  <c r="H10" i="8" s="1"/>
  <c r="G9" i="8"/>
  <c r="E9" i="8"/>
  <c r="H9" i="8" s="1"/>
  <c r="G8" i="8"/>
  <c r="E8" i="8"/>
  <c r="H8" i="8" s="1"/>
  <c r="G7" i="8"/>
  <c r="E7" i="8"/>
  <c r="H7" i="8" s="1"/>
  <c r="G6" i="8"/>
  <c r="E6" i="8"/>
  <c r="H6" i="8" s="1"/>
  <c r="G5" i="8"/>
  <c r="E5" i="8"/>
  <c r="H5" i="8" s="1"/>
  <c r="G4" i="8"/>
  <c r="E4" i="8"/>
  <c r="H4" i="8" s="1"/>
  <c r="G3" i="8"/>
  <c r="E3" i="8"/>
  <c r="H3" i="8" s="1"/>
  <c r="G2" i="8"/>
  <c r="E2" i="8"/>
  <c r="H2" i="8" s="1"/>
  <c r="I9" i="6"/>
  <c r="I10" i="6"/>
  <c r="I11" i="6"/>
  <c r="I12" i="6"/>
  <c r="I13" i="6"/>
  <c r="I14" i="6"/>
  <c r="I15" i="6"/>
  <c r="I16" i="6"/>
  <c r="I17" i="6"/>
  <c r="I18" i="6"/>
  <c r="I19" i="6"/>
  <c r="I8" i="6"/>
  <c r="H4" i="6"/>
  <c r="H19" i="6"/>
  <c r="G19" i="6"/>
  <c r="E19" i="6"/>
  <c r="G18" i="6"/>
  <c r="E18" i="6"/>
  <c r="H18" i="6" s="1"/>
  <c r="H17" i="6"/>
  <c r="G17" i="6"/>
  <c r="E17" i="6"/>
  <c r="G16" i="6"/>
  <c r="E16" i="6"/>
  <c r="H16" i="6" s="1"/>
  <c r="G15" i="6"/>
  <c r="E15" i="6"/>
  <c r="H15" i="6" s="1"/>
  <c r="G14" i="6"/>
  <c r="E14" i="6"/>
  <c r="H14" i="6" s="1"/>
  <c r="H13" i="6"/>
  <c r="G13" i="6"/>
  <c r="E13" i="6"/>
  <c r="G12" i="6"/>
  <c r="E12" i="6"/>
  <c r="H12" i="6" s="1"/>
  <c r="H11" i="6"/>
  <c r="G11" i="6"/>
  <c r="E11" i="6"/>
  <c r="G10" i="6"/>
  <c r="E10" i="6"/>
  <c r="H10" i="6" s="1"/>
  <c r="H9" i="6"/>
  <c r="G9" i="6"/>
  <c r="E9" i="6"/>
  <c r="G8" i="6"/>
  <c r="E8" i="6"/>
  <c r="H8" i="6" s="1"/>
  <c r="G7" i="6"/>
  <c r="E7" i="6"/>
  <c r="H7" i="6" s="1"/>
  <c r="G6" i="6"/>
  <c r="E6" i="6"/>
  <c r="H6" i="6" s="1"/>
  <c r="H5" i="6"/>
  <c r="G5" i="6"/>
  <c r="E5" i="6"/>
  <c r="G4" i="6"/>
  <c r="E4" i="6"/>
  <c r="G3" i="6"/>
  <c r="E3" i="6"/>
  <c r="H3" i="6" s="1"/>
  <c r="H2" i="6"/>
  <c r="G2" i="6"/>
  <c r="E2" i="6"/>
  <c r="I10" i="1"/>
  <c r="I9" i="1"/>
  <c r="I11" i="1"/>
  <c r="I12" i="1"/>
  <c r="I13" i="1"/>
  <c r="I14" i="1"/>
  <c r="I15" i="1"/>
  <c r="I16" i="1"/>
  <c r="I17" i="1"/>
  <c r="I18" i="1"/>
  <c r="I19" i="1"/>
  <c r="I8" i="1"/>
  <c r="E4" i="1"/>
  <c r="H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E19" i="1"/>
  <c r="E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L20" i="11" l="1"/>
  <c r="C17" i="11"/>
  <c r="C18" i="11" s="1"/>
  <c r="D18" i="11" s="1"/>
  <c r="G11" i="11" s="1"/>
  <c r="L15" i="11"/>
  <c r="K18" i="11"/>
  <c r="K16" i="11"/>
  <c r="L18" i="11"/>
  <c r="M12" i="11"/>
  <c r="O12" i="11" s="1"/>
  <c r="T19" i="11" s="1"/>
  <c r="L16" i="11"/>
  <c r="M16" i="11"/>
  <c r="B17" i="11"/>
  <c r="K17" i="11"/>
  <c r="M15" i="11"/>
  <c r="K2" i="10"/>
  <c r="L2" i="10"/>
  <c r="L8" i="10"/>
  <c r="K8" i="10"/>
  <c r="L14" i="10"/>
  <c r="K14" i="10"/>
  <c r="L29" i="10"/>
  <c r="K29" i="10"/>
  <c r="L35" i="10"/>
  <c r="K35" i="10"/>
  <c r="L23" i="10"/>
  <c r="K23" i="10"/>
  <c r="L5" i="10"/>
  <c r="L11" i="10"/>
  <c r="K11" i="10"/>
  <c r="L17" i="10"/>
  <c r="K17" i="10"/>
  <c r="L32" i="10"/>
  <c r="K32" i="10"/>
  <c r="L26" i="10"/>
  <c r="K26" i="10"/>
  <c r="L20" i="10"/>
  <c r="K20" i="10"/>
  <c r="K5" i="10"/>
  <c r="P12" i="11"/>
  <c r="N15" i="11" l="1"/>
  <c r="N18" i="11"/>
  <c r="N20" i="11"/>
  <c r="P20" i="11" s="1"/>
  <c r="T17" i="11"/>
  <c r="T20" i="11"/>
  <c r="T18" i="11"/>
  <c r="G10" i="11"/>
  <c r="I10" i="11" s="1"/>
  <c r="G12" i="11"/>
  <c r="H12" i="11" s="1"/>
  <c r="H17" i="11"/>
  <c r="G13" i="11"/>
  <c r="H13" i="11" s="1"/>
  <c r="H11" i="11"/>
  <c r="I11" i="11"/>
  <c r="I17" i="11"/>
  <c r="Q20" i="11"/>
  <c r="Q15" i="11"/>
  <c r="P15" i="11"/>
  <c r="O15" i="11"/>
  <c r="T15" i="11"/>
  <c r="S18" i="11"/>
  <c r="N19" i="11"/>
  <c r="D17" i="11"/>
  <c r="E17" i="11" s="1"/>
  <c r="F17" i="11" s="1"/>
  <c r="G17" i="11"/>
  <c r="N16" i="11"/>
  <c r="S16" i="11" s="1"/>
  <c r="N17" i="11"/>
  <c r="O16" i="11"/>
  <c r="T16" i="11"/>
  <c r="O18" i="11"/>
  <c r="P18" i="11"/>
  <c r="S15" i="11"/>
  <c r="S20" i="11"/>
  <c r="Q18" i="11"/>
  <c r="J13" i="6"/>
  <c r="J12" i="6"/>
  <c r="J14" i="6"/>
  <c r="J15" i="6"/>
  <c r="J17" i="1"/>
  <c r="J16" i="1"/>
  <c r="J18" i="1"/>
  <c r="J19" i="1"/>
  <c r="J13" i="1"/>
  <c r="J14" i="1"/>
  <c r="J15" i="1"/>
  <c r="J12" i="1"/>
  <c r="J9" i="6"/>
  <c r="J10" i="6"/>
  <c r="J8" i="6"/>
  <c r="J11" i="6"/>
  <c r="J19" i="6"/>
  <c r="J16" i="6"/>
  <c r="J17" i="6"/>
  <c r="J18" i="6"/>
  <c r="J8" i="1"/>
  <c r="J9" i="1"/>
  <c r="J10" i="1"/>
  <c r="J11" i="1"/>
  <c r="R15" i="11"/>
  <c r="R18" i="11"/>
  <c r="R16" i="11"/>
  <c r="I12" i="11" l="1"/>
  <c r="O20" i="11"/>
  <c r="H10" i="11"/>
  <c r="I13" i="11"/>
  <c r="S19" i="11"/>
  <c r="O19" i="11"/>
  <c r="Q19" i="11"/>
  <c r="P19" i="11"/>
  <c r="P16" i="11"/>
  <c r="Q16" i="11"/>
  <c r="S17" i="11"/>
  <c r="O17" i="11"/>
  <c r="Q17" i="11"/>
  <c r="P17" i="11"/>
  <c r="R20" i="11"/>
  <c r="R17" i="11"/>
  <c r="R19" i="11"/>
</calcChain>
</file>

<file path=xl/sharedStrings.xml><?xml version="1.0" encoding="utf-8"?>
<sst xmlns="http://schemas.openxmlformats.org/spreadsheetml/2006/main" count="249" uniqueCount="125">
  <si>
    <t>WT-rep1</t>
  </si>
  <si>
    <t>WT-rep2</t>
  </si>
  <si>
    <t>WT-rep3</t>
  </si>
  <si>
    <t>Anc1A-rep1</t>
  </si>
  <si>
    <t>Anc1A-rep2</t>
  </si>
  <si>
    <t>Anc1A-rep3</t>
  </si>
  <si>
    <t>Anc1B-rep1</t>
  </si>
  <si>
    <t>Anc1B-rep2</t>
  </si>
  <si>
    <t>Anc1B-rep3</t>
  </si>
  <si>
    <t>Anc2-rep1</t>
  </si>
  <si>
    <t>Anc2-rep2</t>
  </si>
  <si>
    <t>Anc2-rep3</t>
  </si>
  <si>
    <t>Sample</t>
  </si>
  <si>
    <t>Acetylene (A) incubation time
(h)</t>
  </si>
  <si>
    <t>Ethylene (E) peak area</t>
  </si>
  <si>
    <t>A/M
peak area</t>
  </si>
  <si>
    <t>E/M
peak area</t>
  </si>
  <si>
    <t>Ethyelen-std_0mL</t>
  </si>
  <si>
    <t>Ethyelen-std_0.025mL</t>
  </si>
  <si>
    <t>Ethyelen-std_0.25mL</t>
  </si>
  <si>
    <t>Ethyelen-std_0.75mL</t>
  </si>
  <si>
    <t>Ethyelen-std_1.25mL</t>
  </si>
  <si>
    <t>Ethyelen-std_2.5mL</t>
  </si>
  <si>
    <t>na</t>
  </si>
  <si>
    <t>*not included in standard curve</t>
  </si>
  <si>
    <t>E
(μmol)
(calc from std. curve; known values for E stds.)</t>
  </si>
  <si>
    <t>A
peak area</t>
  </si>
  <si>
    <t>Standard trial 1</t>
  </si>
  <si>
    <t>Standard trial 2</t>
  </si>
  <si>
    <t>Standard trial 3</t>
  </si>
  <si>
    <t>Standard Avg.</t>
  </si>
  <si>
    <t>Standards (mg/ml)</t>
  </si>
  <si>
    <t>Trial (x3 per ARA trial)</t>
  </si>
  <si>
    <t>595nm Abs.</t>
  </si>
  <si>
    <t>Methane (M) (879)
peak area</t>
  </si>
  <si>
    <t>E peak area blanked to
0 mL std</t>
  </si>
  <si>
    <t>E
(μmol/mg total protein)
(total protein calc from Bradford assay)</t>
  </si>
  <si>
    <t>Methane (M) (879) peak area</t>
  </si>
  <si>
    <t>E peak area
blanked to
0 mL std</t>
  </si>
  <si>
    <t>Anc1A-rep1-1</t>
  </si>
  <si>
    <t>Anc1A-rep1-2</t>
  </si>
  <si>
    <t>Anc1A-rep1-3</t>
  </si>
  <si>
    <t>Anc1A-rep2-1</t>
  </si>
  <si>
    <t>Anc1A-rep2-2</t>
  </si>
  <si>
    <t>Anc1A-rep2-3</t>
  </si>
  <si>
    <t>Anc1A-rep3-1</t>
  </si>
  <si>
    <t>Anc1A-rep3-2</t>
  </si>
  <si>
    <t>Anc1A-rep3-3</t>
  </si>
  <si>
    <t>Anc2-rep1-1</t>
  </si>
  <si>
    <t>Anc2-rep1-2</t>
  </si>
  <si>
    <t>Anc2-rep1-3</t>
  </si>
  <si>
    <t>Anc2-rep2-1</t>
  </si>
  <si>
    <t>Anc2-rep2-2</t>
  </si>
  <si>
    <t>Anc2-rep2-3</t>
  </si>
  <si>
    <t>Anc2-rep3-1</t>
  </si>
  <si>
    <t>Anc2-rep3-2</t>
  </si>
  <si>
    <t>Anc2-rep3-3</t>
  </si>
  <si>
    <t>Anc1B-rep1-1</t>
  </si>
  <si>
    <t>Anc1B-rep1-2</t>
  </si>
  <si>
    <t>Anc1B-rep1-3</t>
  </si>
  <si>
    <t>Anc1B-rep2-1</t>
  </si>
  <si>
    <t>Anc1B-rep2-2</t>
  </si>
  <si>
    <t>Anc1B-rep2-3</t>
  </si>
  <si>
    <t>Anc1B-rep3-1</t>
  </si>
  <si>
    <t>Anc1B-rep3-2</t>
  </si>
  <si>
    <t>Anc1B-rep3-3</t>
  </si>
  <si>
    <t>WT-rep1-1</t>
  </si>
  <si>
    <t>WT-rep1-2</t>
  </si>
  <si>
    <t>WT-rep1-3</t>
  </si>
  <si>
    <t>WT-rep2-1</t>
  </si>
  <si>
    <t>WT-rep2-2</t>
  </si>
  <si>
    <t>WT-rep2-3</t>
  </si>
  <si>
    <t>WT-rep3-1</t>
  </si>
  <si>
    <t>WT-rep3-2</t>
  </si>
  <si>
    <t>WT-rep3-3</t>
  </si>
  <si>
    <t>mean total mg (per 100 mL culture)</t>
  </si>
  <si>
    <t>total mg
(in 12.5 mL)</t>
  </si>
  <si>
    <t>total mg
(in 100mL culture)</t>
  </si>
  <si>
    <t>standard dev</t>
  </si>
  <si>
    <t>A reduction rate
(μmol/mg/h)</t>
  </si>
  <si>
    <t>n</t>
  </si>
  <si>
    <t>ANOVA: Single Factor</t>
  </si>
  <si>
    <t>TUKEY HSD/KRAMER</t>
  </si>
  <si>
    <t>alpha</t>
  </si>
  <si>
    <t>group</t>
  </si>
  <si>
    <t>mean</t>
  </si>
  <si>
    <t>ss</t>
  </si>
  <si>
    <t>df</t>
  </si>
  <si>
    <t>q-crit</t>
  </si>
  <si>
    <t>DESCRIPTION</t>
  </si>
  <si>
    <t>Alpha</t>
  </si>
  <si>
    <t>Group</t>
  </si>
  <si>
    <t>Count</t>
  </si>
  <si>
    <t>Sum</t>
  </si>
  <si>
    <t>Mean</t>
  </si>
  <si>
    <t>Variance</t>
  </si>
  <si>
    <t>SS</t>
  </si>
  <si>
    <t>Std Err</t>
  </si>
  <si>
    <t>Lower</t>
  </si>
  <si>
    <t>Upper</t>
  </si>
  <si>
    <t>Q TEST</t>
  </si>
  <si>
    <t>group 1</t>
  </si>
  <si>
    <t>group 2</t>
  </si>
  <si>
    <t>std err</t>
  </si>
  <si>
    <t>q-stat</t>
  </si>
  <si>
    <t>lower</t>
  </si>
  <si>
    <t>upper</t>
  </si>
  <si>
    <t>p-value</t>
  </si>
  <si>
    <t>mean-crit</t>
  </si>
  <si>
    <t>Cohen d</t>
  </si>
  <si>
    <t>ANOVA</t>
  </si>
  <si>
    <t>Sources</t>
  </si>
  <si>
    <t>MS</t>
  </si>
  <si>
    <t>F</t>
  </si>
  <si>
    <t>P value</t>
  </si>
  <si>
    <t>Eta-sq</t>
  </si>
  <si>
    <t>RMSSE</t>
  </si>
  <si>
    <t>Omega Sq</t>
  </si>
  <si>
    <t>Between Groups</t>
  </si>
  <si>
    <t>Within Groups</t>
  </si>
  <si>
    <t>Total</t>
  </si>
  <si>
    <t>WT</t>
  </si>
  <si>
    <t>Anc1A</t>
  </si>
  <si>
    <t>Anc1B</t>
  </si>
  <si>
    <t>Anc2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</si>
</sst>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left"/>
    </xf>
    <xf numFmtId="0" fontId="6" fillId="0" borderId="0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/>
    </xf>
    <xf numFmtId="0" fontId="7" fillId="0" borderId="0" xfId="3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2" applyFont="1" applyFill="1" applyBorder="1" applyAlignment="1">
      <alignment wrapText="1"/>
    </xf>
    <xf numFmtId="0" fontId="6" fillId="0" borderId="0" xfId="3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</cellXfs>
  <cellStyles count="4">
    <cellStyle name="Calculation" xfId="2" builtinId="22"/>
    <cellStyle name="Check Cell" xfId="3" builtinId="2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Standard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154636920384951E-2"/>
                  <c:y val="0.166250000000000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(WT!$H$2:$H$3,WT!$H$5:$H$7)</c:f>
              <c:numCache>
                <c:formatCode>General</c:formatCode>
                <c:ptCount val="5"/>
                <c:pt idx="0">
                  <c:v>0</c:v>
                </c:pt>
                <c:pt idx="1">
                  <c:v>1.4928041303646338</c:v>
                </c:pt>
                <c:pt idx="2">
                  <c:v>37.307593856655288</c:v>
                </c:pt>
                <c:pt idx="3">
                  <c:v>64.310693458417845</c:v>
                </c:pt>
                <c:pt idx="4">
                  <c:v>142.73165903383071</c:v>
                </c:pt>
              </c:numCache>
            </c:numRef>
          </c:xVal>
          <c:yVal>
            <c:numRef>
              <c:f>(WT!$I$2:$I$3,WT!$I$5:$I$7)</c:f>
              <c:numCache>
                <c:formatCode>General</c:formatCode>
                <c:ptCount val="5"/>
                <c:pt idx="0">
                  <c:v>0</c:v>
                </c:pt>
                <c:pt idx="1">
                  <c:v>1.1160714249999999</c:v>
                </c:pt>
                <c:pt idx="2">
                  <c:v>33.482142750000001</c:v>
                </c:pt>
                <c:pt idx="3">
                  <c:v>55.803571249999997</c:v>
                </c:pt>
                <c:pt idx="4">
                  <c:v>111.60714249999999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06-4311-AAFE-3422E0CDF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679080"/>
        <c:axId val="820681048"/>
      </c:scatterChart>
      <c:valAx>
        <c:axId val="820679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E/M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81048"/>
        <c:crosses val="autoZero"/>
        <c:crossBetween val="midCat"/>
      </c:valAx>
      <c:valAx>
        <c:axId val="82068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Ethyelne</a:t>
                </a:r>
                <a:r>
                  <a:rPr lang="en-US" baseline="0"/>
                  <a:t> (</a:t>
                </a:r>
                <a:r>
                  <a:rPr lang="el-GR" baseline="0">
                    <a:latin typeface="+mn-lt"/>
                    <a:cs typeface="Arial" panose="020B0604020202020204" pitchFamily="34" charset="0"/>
                  </a:rPr>
                  <a:t>μ</a:t>
                </a:r>
                <a:r>
                  <a:rPr lang="en-US" baseline="0"/>
                  <a:t>mol)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79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produced vs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9161161192879"/>
          <c:y val="0.17171296296296296"/>
          <c:w val="0.83401976161430524"/>
          <c:h val="0.4381091426071741"/>
        </c:manualLayout>
      </c:layout>
      <c:scatterChart>
        <c:scatterStyle val="lineMarker"/>
        <c:varyColors val="0"/>
        <c:ser>
          <c:idx val="0"/>
          <c:order val="0"/>
          <c:tx>
            <c:v>rep1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84460041086413"/>
                  <c:y val="0.57828703703703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WT!$B$8:$B$11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WT!$J$8:$J$11</c:f>
              <c:numCache>
                <c:formatCode>General</c:formatCode>
                <c:ptCount val="4"/>
                <c:pt idx="0">
                  <c:v>3.6778806219652478</c:v>
                </c:pt>
                <c:pt idx="1">
                  <c:v>7.0008060371832324</c:v>
                </c:pt>
                <c:pt idx="2">
                  <c:v>10.873147885227404</c:v>
                </c:pt>
                <c:pt idx="3">
                  <c:v>14.557414163122811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00-4C6D-BB20-7804171AE95A}"/>
            </c:ext>
          </c:extLst>
        </c:ser>
        <c:ser>
          <c:idx val="1"/>
          <c:order val="1"/>
          <c:tx>
            <c:v>rep2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907867150409015"/>
                  <c:y val="0.566856226305045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WT!$B$12:$B$15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WT!$J$12:$J$15</c:f>
              <c:numCache>
                <c:formatCode>General</c:formatCode>
                <c:ptCount val="4"/>
                <c:pt idx="0">
                  <c:v>2.4351668752765652</c:v>
                </c:pt>
                <c:pt idx="1">
                  <c:v>5.6729235951836436</c:v>
                </c:pt>
                <c:pt idx="2">
                  <c:v>9.0010302974192804</c:v>
                </c:pt>
                <c:pt idx="3">
                  <c:v>12.296311891997913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00-4C6D-BB20-7804171AE95A}"/>
            </c:ext>
          </c:extLst>
        </c:ser>
        <c:ser>
          <c:idx val="2"/>
          <c:order val="2"/>
          <c:tx>
            <c:v>rep3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6273441171966183E-2"/>
                  <c:y val="0.536798629337999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WT!$B$16:$B$19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WT!$J$16:$J$19</c:f>
              <c:numCache>
                <c:formatCode>General</c:formatCode>
                <c:ptCount val="4"/>
                <c:pt idx="0">
                  <c:v>2.4631741208569635</c:v>
                </c:pt>
                <c:pt idx="1">
                  <c:v>5.532107104164786</c:v>
                </c:pt>
                <c:pt idx="2">
                  <c:v>8.4251197488863028</c:v>
                </c:pt>
                <c:pt idx="3">
                  <c:v>11.085349898990383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00-4C6D-BB20-7804171A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063680"/>
        <c:axId val="1167070240"/>
      </c:scatterChart>
      <c:valAx>
        <c:axId val="116706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</a:t>
                </a:r>
                <a:r>
                  <a:rPr lang="en-US" baseline="0"/>
                  <a:t> time (h)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70240"/>
        <c:crosses val="autoZero"/>
        <c:crossBetween val="midCat"/>
      </c:valAx>
      <c:valAx>
        <c:axId val="116707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Ethylen</a:t>
                </a:r>
                <a:r>
                  <a:rPr lang="en-US" baseline="0"/>
                  <a:t>e (</a:t>
                </a:r>
                <a:r>
                  <a:rPr lang="el-GR" baseline="0"/>
                  <a:t>μ</a:t>
                </a:r>
                <a:r>
                  <a:rPr lang="en-US" baseline="0"/>
                  <a:t>mol/mg/h)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6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8.3669893376004056E-2"/>
          <c:y val="0.89409667541557303"/>
          <c:w val="0.8246119235095613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Standard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154636920384951E-2"/>
                  <c:y val="0.166250000000000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Anc1A!$H$2:$H$7</c:f>
              <c:numCache>
                <c:formatCode>General</c:formatCode>
                <c:ptCount val="6"/>
                <c:pt idx="0">
                  <c:v>0</c:v>
                </c:pt>
                <c:pt idx="1">
                  <c:v>1.250560497577204</c:v>
                </c:pt>
                <c:pt idx="2">
                  <c:v>13.123061013443641</c:v>
                </c:pt>
                <c:pt idx="3">
                  <c:v>51.93107358360669</c:v>
                </c:pt>
                <c:pt idx="4">
                  <c:v>91.233835252435782</c:v>
                </c:pt>
                <c:pt idx="5">
                  <c:v>192.31361562206416</c:v>
                </c:pt>
              </c:numCache>
            </c:numRef>
          </c:xVal>
          <c:yVal>
            <c:numRef>
              <c:f>Anc1A!$I$2:$I$7</c:f>
              <c:numCache>
                <c:formatCode>General</c:formatCode>
                <c:ptCount val="6"/>
                <c:pt idx="0">
                  <c:v>0</c:v>
                </c:pt>
                <c:pt idx="1">
                  <c:v>1.1160714249999999</c:v>
                </c:pt>
                <c:pt idx="2">
                  <c:v>11.16071425</c:v>
                </c:pt>
                <c:pt idx="3">
                  <c:v>33.482142750000001</c:v>
                </c:pt>
                <c:pt idx="4">
                  <c:v>55.803571249999997</c:v>
                </c:pt>
                <c:pt idx="5">
                  <c:v>111.60714249999999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6E-49C5-962C-D9650529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679080"/>
        <c:axId val="820681048"/>
      </c:scatterChart>
      <c:valAx>
        <c:axId val="820679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E/M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81048"/>
        <c:crosses val="autoZero"/>
        <c:crossBetween val="midCat"/>
      </c:valAx>
      <c:valAx>
        <c:axId val="82068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Ethyelne</a:t>
                </a:r>
                <a:r>
                  <a:rPr lang="en-US" baseline="0"/>
                  <a:t> (</a:t>
                </a:r>
                <a:r>
                  <a:rPr lang="el-GR" baseline="0">
                    <a:latin typeface="+mn-lt"/>
                    <a:cs typeface="Arial" panose="020B0604020202020204" pitchFamily="34" charset="0"/>
                  </a:rPr>
                  <a:t>μ</a:t>
                </a:r>
                <a:r>
                  <a:rPr lang="en-US" baseline="0"/>
                  <a:t>mol)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79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produced vs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9161161192879"/>
          <c:y val="0.17171296296296296"/>
          <c:w val="0.83401976161430524"/>
          <c:h val="0.4381091426071741"/>
        </c:manualLayout>
      </c:layout>
      <c:scatterChart>
        <c:scatterStyle val="lineMarker"/>
        <c:varyColors val="0"/>
        <c:ser>
          <c:idx val="0"/>
          <c:order val="0"/>
          <c:tx>
            <c:v>rep1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84460041086413"/>
                  <c:y val="0.57828703703703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Anc1A!$B$8:$B$11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Anc1A!$J$8:$J$11</c:f>
              <c:numCache>
                <c:formatCode>General</c:formatCode>
                <c:ptCount val="4"/>
                <c:pt idx="0">
                  <c:v>2.0627815856863747</c:v>
                </c:pt>
                <c:pt idx="1">
                  <c:v>3.7069343816096234</c:v>
                </c:pt>
                <c:pt idx="2">
                  <c:v>5.533316526461725</c:v>
                </c:pt>
                <c:pt idx="3">
                  <c:v>7.538478823694752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DD-4133-9BCD-EB83E1F5C3F6}"/>
            </c:ext>
          </c:extLst>
        </c:ser>
        <c:ser>
          <c:idx val="1"/>
          <c:order val="1"/>
          <c:tx>
            <c:v>rep2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812771596457677"/>
                  <c:y val="0.561679060950714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Anc1A!$B$12:$B$15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Anc1A!$J$12:$J$15</c:f>
              <c:numCache>
                <c:formatCode>General</c:formatCode>
                <c:ptCount val="4"/>
                <c:pt idx="0">
                  <c:v>1.5804653847369894</c:v>
                </c:pt>
                <c:pt idx="1">
                  <c:v>2.9019871178866627</c:v>
                </c:pt>
                <c:pt idx="2">
                  <c:v>4.3396438978781147</c:v>
                </c:pt>
                <c:pt idx="3">
                  <c:v>5.8370409851761957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DD-4133-9BCD-EB83E1F5C3F6}"/>
            </c:ext>
          </c:extLst>
        </c:ser>
        <c:ser>
          <c:idx val="2"/>
          <c:order val="2"/>
          <c:tx>
            <c:v>rep3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6273441171966183E-2"/>
                  <c:y val="0.536798629337999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Anc1A!$B$16:$B$19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Anc1A!$J$16:$J$19</c:f>
              <c:numCache>
                <c:formatCode>General</c:formatCode>
                <c:ptCount val="4"/>
                <c:pt idx="0">
                  <c:v>1.4138718994144714</c:v>
                </c:pt>
                <c:pt idx="1">
                  <c:v>2.5744210632703091</c:v>
                </c:pt>
                <c:pt idx="2">
                  <c:v>3.8740285277683864</c:v>
                </c:pt>
                <c:pt idx="3">
                  <c:v>5.3271587996402276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FDD-4133-9BCD-EB83E1F5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063680"/>
        <c:axId val="1167070240"/>
      </c:scatterChart>
      <c:valAx>
        <c:axId val="116706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</a:t>
                </a:r>
                <a:r>
                  <a:rPr lang="en-US" baseline="0"/>
                  <a:t> time (h)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70240"/>
        <c:crosses val="autoZero"/>
        <c:crossBetween val="midCat"/>
      </c:valAx>
      <c:valAx>
        <c:axId val="116707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Ethylen</a:t>
                </a:r>
                <a:r>
                  <a:rPr lang="en-US" baseline="0"/>
                  <a:t>e (</a:t>
                </a:r>
                <a:r>
                  <a:rPr lang="el-GR" baseline="0"/>
                  <a:t>μ</a:t>
                </a:r>
                <a:r>
                  <a:rPr lang="en-US" baseline="0"/>
                  <a:t>mol/mg/h)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6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8.3669893376004056E-2"/>
          <c:y val="0.89409667541557303"/>
          <c:w val="0.8246119235095613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Standard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154636920384951E-2"/>
                  <c:y val="0.166250000000000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Anc1B!$H$2:$H$7</c:f>
              <c:numCache>
                <c:formatCode>General</c:formatCode>
                <c:ptCount val="6"/>
                <c:pt idx="0">
                  <c:v>0</c:v>
                </c:pt>
                <c:pt idx="1">
                  <c:v>1.1016326778344259</c:v>
                </c:pt>
                <c:pt idx="2">
                  <c:v>12.097818615924465</c:v>
                </c:pt>
                <c:pt idx="3">
                  <c:v>48.590441683919941</c:v>
                </c:pt>
                <c:pt idx="4">
                  <c:v>81.761854833254418</c:v>
                </c:pt>
                <c:pt idx="5">
                  <c:v>173.042165733161</c:v>
                </c:pt>
              </c:numCache>
            </c:numRef>
          </c:xVal>
          <c:yVal>
            <c:numRef>
              <c:f>Anc1B!$I$2:$I$7</c:f>
              <c:numCache>
                <c:formatCode>General</c:formatCode>
                <c:ptCount val="6"/>
                <c:pt idx="0">
                  <c:v>0</c:v>
                </c:pt>
                <c:pt idx="1">
                  <c:v>1.1160714249999999</c:v>
                </c:pt>
                <c:pt idx="2">
                  <c:v>11.16071425</c:v>
                </c:pt>
                <c:pt idx="3">
                  <c:v>33.482142750000001</c:v>
                </c:pt>
                <c:pt idx="4">
                  <c:v>55.803571249999997</c:v>
                </c:pt>
                <c:pt idx="5">
                  <c:v>111.60714249999999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9D-4BD4-9EF5-6A098B3D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679080"/>
        <c:axId val="820681048"/>
      </c:scatterChart>
      <c:valAx>
        <c:axId val="820679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E/M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81048"/>
        <c:crosses val="autoZero"/>
        <c:crossBetween val="midCat"/>
      </c:valAx>
      <c:valAx>
        <c:axId val="82068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Ethyelne</a:t>
                </a:r>
                <a:r>
                  <a:rPr lang="en-US" baseline="0"/>
                  <a:t> (</a:t>
                </a:r>
                <a:r>
                  <a:rPr lang="el-GR" baseline="0">
                    <a:latin typeface="+mn-lt"/>
                    <a:cs typeface="Arial" panose="020B0604020202020204" pitchFamily="34" charset="0"/>
                  </a:rPr>
                  <a:t>μ</a:t>
                </a:r>
                <a:r>
                  <a:rPr lang="en-US" baseline="0"/>
                  <a:t>mol)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79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produced vs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9161161192879"/>
          <c:y val="0.17171296296296296"/>
          <c:w val="0.83401976161430524"/>
          <c:h val="0.4381091426071741"/>
        </c:manualLayout>
      </c:layout>
      <c:scatterChart>
        <c:scatterStyle val="lineMarker"/>
        <c:varyColors val="0"/>
        <c:ser>
          <c:idx val="0"/>
          <c:order val="0"/>
          <c:tx>
            <c:v>rep1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84460041086413"/>
                  <c:y val="0.57828703703703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Anc1B!$B$8:$B$11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Anc1B!$J$8:$J$11</c:f>
              <c:numCache>
                <c:formatCode>General</c:formatCode>
                <c:ptCount val="4"/>
                <c:pt idx="0">
                  <c:v>2.696744165333584</c:v>
                </c:pt>
                <c:pt idx="1">
                  <c:v>5.2662058035499362</c:v>
                </c:pt>
                <c:pt idx="2">
                  <c:v>8.076233385109111</c:v>
                </c:pt>
                <c:pt idx="3">
                  <c:v>10.977576586043881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42-4643-8F0D-83B96BB2D485}"/>
            </c:ext>
          </c:extLst>
        </c:ser>
        <c:ser>
          <c:idx val="1"/>
          <c:order val="1"/>
          <c:tx>
            <c:v>rep2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855273525781529"/>
                  <c:y val="0.524888451443569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Anc1B!$B$12:$B$15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Anc1B!$J$12:$J$15</c:f>
              <c:numCache>
                <c:formatCode>General</c:formatCode>
                <c:ptCount val="4"/>
                <c:pt idx="0">
                  <c:v>1.8568992515748148</c:v>
                </c:pt>
                <c:pt idx="1">
                  <c:v>3.8016391084336147</c:v>
                </c:pt>
                <c:pt idx="2">
                  <c:v>5.8684871353562702</c:v>
                </c:pt>
                <c:pt idx="3">
                  <c:v>7.9765204382890813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42-4643-8F0D-83B96BB2D485}"/>
            </c:ext>
          </c:extLst>
        </c:ser>
        <c:ser>
          <c:idx val="2"/>
          <c:order val="2"/>
          <c:tx>
            <c:v>rep3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6273441171966183E-2"/>
                  <c:y val="0.536798629337999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Anc1B!$B$16:$B$19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Anc1B!$J$16:$J$19</c:f>
              <c:numCache>
                <c:formatCode>General</c:formatCode>
                <c:ptCount val="4"/>
                <c:pt idx="0">
                  <c:v>2.0011458081672364</c:v>
                </c:pt>
                <c:pt idx="1">
                  <c:v>4.1194307296199844</c:v>
                </c:pt>
                <c:pt idx="2">
                  <c:v>6.4027407058205643</c:v>
                </c:pt>
                <c:pt idx="3">
                  <c:v>8.7055033997469735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F42-4643-8F0D-83B96BB2D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063680"/>
        <c:axId val="1167070240"/>
      </c:scatterChart>
      <c:valAx>
        <c:axId val="116706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</a:t>
                </a:r>
                <a:r>
                  <a:rPr lang="en-US" baseline="0"/>
                  <a:t> time (h)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70240"/>
        <c:crosses val="autoZero"/>
        <c:crossBetween val="midCat"/>
      </c:valAx>
      <c:valAx>
        <c:axId val="116707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Ethylen</a:t>
                </a:r>
                <a:r>
                  <a:rPr lang="en-US" baseline="0"/>
                  <a:t>e (</a:t>
                </a:r>
                <a:r>
                  <a:rPr lang="el-GR" baseline="0"/>
                  <a:t>μ</a:t>
                </a:r>
                <a:r>
                  <a:rPr lang="en-US" baseline="0"/>
                  <a:t>mol/mg/h)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6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8.3669893376004056E-2"/>
          <c:y val="0.89409667541557303"/>
          <c:w val="0.8246119235095613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Standard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154636920384951E-2"/>
                  <c:y val="0.166250000000000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'Anc2'!$H$2:$H$7</c:f>
              <c:numCache>
                <c:formatCode>General</c:formatCode>
                <c:ptCount val="6"/>
                <c:pt idx="0">
                  <c:v>0</c:v>
                </c:pt>
                <c:pt idx="1">
                  <c:v>1.3584559984837956</c:v>
                </c:pt>
                <c:pt idx="2">
                  <c:v>16.360916432459355</c:v>
                </c:pt>
                <c:pt idx="3">
                  <c:v>49.81747607871457</c:v>
                </c:pt>
                <c:pt idx="4">
                  <c:v>91.959380618647486</c:v>
                </c:pt>
                <c:pt idx="5">
                  <c:v>189.66115090145715</c:v>
                </c:pt>
              </c:numCache>
            </c:numRef>
          </c:xVal>
          <c:yVal>
            <c:numRef>
              <c:f>'Anc2'!$I$2:$I$7</c:f>
              <c:numCache>
                <c:formatCode>General</c:formatCode>
                <c:ptCount val="6"/>
                <c:pt idx="0">
                  <c:v>0</c:v>
                </c:pt>
                <c:pt idx="1">
                  <c:v>1.1160714249999999</c:v>
                </c:pt>
                <c:pt idx="2">
                  <c:v>11.16071425</c:v>
                </c:pt>
                <c:pt idx="3">
                  <c:v>33.482142750000001</c:v>
                </c:pt>
                <c:pt idx="4">
                  <c:v>55.803571249999997</c:v>
                </c:pt>
                <c:pt idx="5">
                  <c:v>111.60714249999999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64-402C-A4E3-6EEAD5B78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0679080"/>
        <c:axId val="820681048"/>
      </c:scatterChart>
      <c:valAx>
        <c:axId val="820679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E/M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81048"/>
        <c:crosses val="autoZero"/>
        <c:crossBetween val="midCat"/>
      </c:valAx>
      <c:valAx>
        <c:axId val="82068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Ethyelne</a:t>
                </a:r>
                <a:r>
                  <a:rPr lang="en-US" baseline="0"/>
                  <a:t> (</a:t>
                </a:r>
                <a:r>
                  <a:rPr lang="el-GR" baseline="0">
                    <a:latin typeface="+mn-lt"/>
                    <a:cs typeface="Arial" panose="020B0604020202020204" pitchFamily="34" charset="0"/>
                  </a:rPr>
                  <a:t>μ</a:t>
                </a:r>
                <a:r>
                  <a:rPr lang="en-US" baseline="0"/>
                  <a:t>mol)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679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Ethylene</a:t>
            </a:r>
            <a:r>
              <a:rPr lang="en-US" baseline="0"/>
              <a:t> produced vs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9161161192879"/>
          <c:y val="0.17171296296296296"/>
          <c:w val="0.83401976161430524"/>
          <c:h val="0.4381091426071741"/>
        </c:manualLayout>
      </c:layout>
      <c:scatterChart>
        <c:scatterStyle val="lineMarker"/>
        <c:varyColors val="0"/>
        <c:ser>
          <c:idx val="0"/>
          <c:order val="0"/>
          <c:tx>
            <c:v>rep1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784460041086413"/>
                  <c:y val="0.57828703703703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'Anc2'!$B$8:$B$11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'Anc2'!$J$8:$J$11</c:f>
              <c:numCache>
                <c:formatCode>General</c:formatCode>
                <c:ptCount val="4"/>
                <c:pt idx="0">
                  <c:v>1.3801076054004986</c:v>
                </c:pt>
                <c:pt idx="1">
                  <c:v>2.7983321387672331</c:v>
                </c:pt>
                <c:pt idx="2">
                  <c:v>4.166756629430072</c:v>
                </c:pt>
                <c:pt idx="3">
                  <c:v>5.5643364703564817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92-46B3-B933-F0071DC42D5C}"/>
            </c:ext>
          </c:extLst>
        </c:ser>
        <c:ser>
          <c:idx val="1"/>
          <c:order val="1"/>
          <c:tx>
            <c:v>rep2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907867150409015"/>
                  <c:y val="0.566856226305045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'Anc2'!$B$12:$B$15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'Anc2'!$J$12:$J$15</c:f>
              <c:numCache>
                <c:formatCode>General</c:formatCode>
                <c:ptCount val="4"/>
                <c:pt idx="0">
                  <c:v>1.4496880166204211</c:v>
                </c:pt>
                <c:pt idx="1">
                  <c:v>2.9188040900841909</c:v>
                </c:pt>
                <c:pt idx="2">
                  <c:v>4.3913347580528876</c:v>
                </c:pt>
                <c:pt idx="3">
                  <c:v>5.8159350666095877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92-46B3-B933-F0071DC42D5C}"/>
            </c:ext>
          </c:extLst>
        </c:ser>
        <c:ser>
          <c:idx val="2"/>
          <c:order val="2"/>
          <c:tx>
            <c:v>rep3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6273441171966183E-2"/>
                  <c:y val="0.536798629337999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'Anc2'!$B$16:$B$19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'Anc2'!$J$16:$J$19</c:f>
              <c:numCache>
                <c:formatCode>General</c:formatCode>
                <c:ptCount val="4"/>
                <c:pt idx="0">
                  <c:v>1.9039391511591763</c:v>
                </c:pt>
                <c:pt idx="1">
                  <c:v>2.6468832339367117</c:v>
                </c:pt>
                <c:pt idx="2">
                  <c:v>3.940842335238639</c:v>
                </c:pt>
                <c:pt idx="3">
                  <c:v>5.2870819357316101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92-46B3-B933-F0071DC4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063680"/>
        <c:axId val="1167070240"/>
      </c:scatterChart>
      <c:valAx>
        <c:axId val="116706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Incubation</a:t>
                </a:r>
                <a:r>
                  <a:rPr lang="en-US" baseline="0"/>
                  <a:t> time (h)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70240"/>
        <c:crosses val="autoZero"/>
        <c:crossBetween val="midCat"/>
      </c:valAx>
      <c:valAx>
        <c:axId val="116707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Ethylen</a:t>
                </a:r>
                <a:r>
                  <a:rPr lang="en-US" baseline="0"/>
                  <a:t>e (</a:t>
                </a:r>
                <a:r>
                  <a:rPr lang="el-GR" baseline="0"/>
                  <a:t>μ</a:t>
                </a:r>
                <a:r>
                  <a:rPr lang="en-US" baseline="0"/>
                  <a:t>mol/mg/h)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06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8.3669893376004056E-2"/>
          <c:y val="0.89409667541557303"/>
          <c:w val="0.8246119235095613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Bradford Standard Curve</a:t>
            </a:r>
          </a:p>
        </c:rich>
      </c:tx>
      <c:layout>
        <c:manualLayout>
          <c:xMode val="edge"/>
          <c:yMode val="edge"/>
          <c:x val="0.18934256370776492"/>
          <c:y val="3.439446113764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671217649900191E-2"/>
                  <c:y val="0.193310158997162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[1]Bradford!$E$2:$E$6</c:f>
              <c:numCache>
                <c:formatCode>General</c:formatCode>
                <c:ptCount val="5"/>
                <c:pt idx="0">
                  <c:v>0.125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xVal>
          <c:yVal>
            <c:numRef>
              <c:f>[1]Bradford!$D$2:$D$6</c:f>
              <c:numCache>
                <c:formatCode>General</c:formatCode>
                <c:ptCount val="5"/>
                <c:pt idx="0">
                  <c:v>0.10966666666666668</c:v>
                </c:pt>
                <c:pt idx="1">
                  <c:v>0.21233333333333335</c:v>
                </c:pt>
                <c:pt idx="2">
                  <c:v>0.41733333333333333</c:v>
                </c:pt>
                <c:pt idx="3">
                  <c:v>0.59233333333333327</c:v>
                </c:pt>
                <c:pt idx="4">
                  <c:v>0.72799999999999987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D0-45B7-800B-E247A65C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1392208"/>
        <c:axId val="1121373072"/>
      </c:scatterChart>
      <c:valAx>
        <c:axId val="112139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Protein standard</a:t>
                </a:r>
                <a:r>
                  <a:rPr lang="en-US" baseline="0"/>
                  <a:t> concentration (mg/mL)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73072"/>
        <c:crosses val="autoZero"/>
        <c:crossBetween val="midCat"/>
      </c:valAx>
      <c:valAx>
        <c:axId val="112137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Protein standard abs. (595 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9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26194</xdr:colOff>
      <xdr:row>20</xdr:row>
      <xdr:rowOff>21431</xdr:rowOff>
    </xdr:from>
    <xdr:to>
      <xdr:col>7</xdr:col>
      <xdr:colOff>411956</xdr:colOff>
      <xdr:row>35</xdr:row>
      <xdr:rowOff>50006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8A3DE4-AADF-C671-3783-31C2A1F5B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16668</xdr:colOff>
      <xdr:row>20</xdr:row>
      <xdr:rowOff>21431</xdr:rowOff>
    </xdr:from>
    <xdr:to>
      <xdr:col>13</xdr:col>
      <xdr:colOff>607218</xdr:colOff>
      <xdr:row>35</xdr:row>
      <xdr:rowOff>50006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B05BE6-B095-38FA-8610-3DF8A6F86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26194</xdr:colOff>
      <xdr:row>20</xdr:row>
      <xdr:rowOff>21431</xdr:rowOff>
    </xdr:from>
    <xdr:to>
      <xdr:col>7</xdr:col>
      <xdr:colOff>411956</xdr:colOff>
      <xdr:row>35</xdr:row>
      <xdr:rowOff>50006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421959-090F-4713-BB1E-B08043C5C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13</xdr:col>
      <xdr:colOff>590551</xdr:colOff>
      <xdr:row>35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FE2D37-AAD0-487F-AE2B-4F6A8DEE0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26194</xdr:colOff>
      <xdr:row>20</xdr:row>
      <xdr:rowOff>21431</xdr:rowOff>
    </xdr:from>
    <xdr:to>
      <xdr:col>7</xdr:col>
      <xdr:colOff>411956</xdr:colOff>
      <xdr:row>35</xdr:row>
      <xdr:rowOff>50006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2FE1D8-0DA8-4A7E-A468-C137D0502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13</xdr:col>
      <xdr:colOff>604838</xdr:colOff>
      <xdr:row>35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30B0DC-7CE9-49FF-8612-C26387A90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26194</xdr:colOff>
      <xdr:row>20</xdr:row>
      <xdr:rowOff>21431</xdr:rowOff>
    </xdr:from>
    <xdr:to>
      <xdr:col>7</xdr:col>
      <xdr:colOff>411956</xdr:colOff>
      <xdr:row>35</xdr:row>
      <xdr:rowOff>50006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24BF05-2CDB-4857-B2B8-60F3467D1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13</xdr:col>
      <xdr:colOff>590551</xdr:colOff>
      <xdr:row>35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752449-94DF-492E-ABFA-5AC4B50E9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101600</xdr:colOff>
      <xdr:row>0</xdr:row>
      <xdr:rowOff>436562</xdr:rowOff>
    </xdr:from>
    <xdr:to>
      <xdr:col>20</xdr:col>
      <xdr:colOff>511175</xdr:colOff>
      <xdr:row>13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CD4232-8D94-4F53-8E2C-C8723E8FE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etylene-reduction-assa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da\AppData\Roaming\Microsoft\AddIns\XRealSta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"/>
      <sheetName val="AK013"/>
      <sheetName val="AK023"/>
      <sheetName val="AK014"/>
      <sheetName val="Bradford"/>
      <sheetName val="Summary"/>
      <sheetName val="ANOVA + TukeyHSD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>
            <v>0.10966666666666668</v>
          </cell>
          <cell r="E2">
            <v>0.125</v>
          </cell>
        </row>
        <row r="3">
          <cell r="D3">
            <v>0.21233333333333335</v>
          </cell>
          <cell r="E3">
            <v>0.25</v>
          </cell>
        </row>
        <row r="4">
          <cell r="D4">
            <v>0.41733333333333333</v>
          </cell>
          <cell r="E4">
            <v>0.5</v>
          </cell>
        </row>
        <row r="5">
          <cell r="D5">
            <v>0.59233333333333327</v>
          </cell>
          <cell r="E5">
            <v>0.75</v>
          </cell>
        </row>
        <row r="6">
          <cell r="D6">
            <v>0.72799999999999987</v>
          </cell>
          <cell r="E6">
            <v>1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Prime"/>
      <sheetName val="MSSD"/>
    </sheetNames>
    <definedNames>
      <definedName name="QCRIT"/>
      <definedName name="QDIS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FC57-3B6F-4C4C-883D-FAC52F890269}">
  <dimension ref="A1:K21"/>
  <sheetViews>
    <sheetView tabSelected="1" workbookViewId="0">
      <selection activeCell="G12" sqref="G12"/>
    </sheetView>
  </sheetViews>
  <sheetFormatPr defaultRowHeight="14.25" x14ac:dyDescent="0.45"/>
  <cols>
    <col min="1" max="1" width="19.46484375" style="4" customWidth="1"/>
    <col min="2" max="2" width="13.6640625" style="4" bestFit="1" customWidth="1"/>
    <col min="3" max="3" width="8.6640625" style="4" bestFit="1" customWidth="1"/>
    <col min="4" max="4" width="10.46484375" style="4" bestFit="1" customWidth="1"/>
    <col min="5" max="5" width="10.06640625" style="4" bestFit="1" customWidth="1"/>
    <col min="6" max="6" width="8.73046875" style="4" bestFit="1" customWidth="1"/>
    <col min="7" max="8" width="11.19921875" style="4" bestFit="1" customWidth="1"/>
    <col min="9" max="9" width="15.1328125" style="4" bestFit="1" customWidth="1"/>
    <col min="10" max="10" width="13.3984375" style="4" bestFit="1" customWidth="1"/>
    <col min="11" max="11" width="14.06640625" style="4" bestFit="1" customWidth="1"/>
    <col min="12" max="16384" width="9.06640625" style="4"/>
  </cols>
  <sheetData>
    <row r="1" spans="1:11" s="1" customFormat="1" ht="85.5" x14ac:dyDescent="0.45">
      <c r="A1" s="1" t="s">
        <v>12</v>
      </c>
      <c r="B1" s="18" t="s">
        <v>13</v>
      </c>
      <c r="C1" s="18" t="s">
        <v>34</v>
      </c>
      <c r="D1" s="18" t="s">
        <v>14</v>
      </c>
      <c r="E1" s="18" t="s">
        <v>35</v>
      </c>
      <c r="F1" s="18" t="s">
        <v>26</v>
      </c>
      <c r="G1" s="18" t="s">
        <v>15</v>
      </c>
      <c r="H1" s="18" t="s">
        <v>16</v>
      </c>
      <c r="I1" s="18" t="s">
        <v>25</v>
      </c>
      <c r="J1" s="18" t="s">
        <v>36</v>
      </c>
      <c r="K1" s="18" t="s">
        <v>79</v>
      </c>
    </row>
    <row r="2" spans="1:11" s="1" customFormat="1" x14ac:dyDescent="0.45">
      <c r="A2" s="3" t="s">
        <v>17</v>
      </c>
      <c r="B2" s="2" t="s">
        <v>23</v>
      </c>
      <c r="C2" s="2">
        <v>29570</v>
      </c>
      <c r="D2" s="2">
        <v>7332</v>
      </c>
      <c r="E2" s="2">
        <f>D2-$D$2</f>
        <v>0</v>
      </c>
      <c r="F2" s="2">
        <v>43392456</v>
      </c>
      <c r="G2" s="2">
        <f>F2/C2</f>
        <v>1467.4486303686169</v>
      </c>
      <c r="H2" s="2">
        <f>E2/C2</f>
        <v>0</v>
      </c>
      <c r="I2" s="2">
        <v>0</v>
      </c>
      <c r="J2" s="2" t="s">
        <v>23</v>
      </c>
      <c r="K2" s="3" t="s">
        <v>23</v>
      </c>
    </row>
    <row r="3" spans="1:11" s="1" customFormat="1" x14ac:dyDescent="0.45">
      <c r="A3" s="3" t="s">
        <v>18</v>
      </c>
      <c r="B3" s="2" t="s">
        <v>23</v>
      </c>
      <c r="C3" s="2">
        <v>30990</v>
      </c>
      <c r="D3" s="2">
        <v>53594</v>
      </c>
      <c r="E3" s="2">
        <f t="shared" ref="E3:E19" si="0">D3-$D$2</f>
        <v>46262</v>
      </c>
      <c r="F3" s="2">
        <v>45426841</v>
      </c>
      <c r="G3" s="2">
        <f t="shared" ref="G3:G19" si="1">F3/C3</f>
        <v>1465.8548241368183</v>
      </c>
      <c r="H3" s="2">
        <f t="shared" ref="H3:H19" si="2">E3/C3</f>
        <v>1.4928041303646338</v>
      </c>
      <c r="I3" s="2">
        <v>1.1160714249999999</v>
      </c>
      <c r="J3" s="2" t="s">
        <v>23</v>
      </c>
      <c r="K3" s="3" t="s">
        <v>23</v>
      </c>
    </row>
    <row r="4" spans="1:11" s="1" customFormat="1" x14ac:dyDescent="0.45">
      <c r="A4" s="3" t="s">
        <v>19</v>
      </c>
      <c r="B4" s="2" t="s">
        <v>23</v>
      </c>
      <c r="C4" s="2">
        <v>34322</v>
      </c>
      <c r="D4" s="2">
        <v>6037</v>
      </c>
      <c r="E4" s="5">
        <f>D4-$D$2</f>
        <v>-1295</v>
      </c>
      <c r="F4" s="2">
        <v>48112978</v>
      </c>
      <c r="G4" s="2">
        <f t="shared" si="1"/>
        <v>1401.8116077151681</v>
      </c>
      <c r="H4" s="2" t="s">
        <v>23</v>
      </c>
      <c r="I4" s="2">
        <v>11.16071425</v>
      </c>
      <c r="J4" s="2" t="s">
        <v>23</v>
      </c>
      <c r="K4" s="3" t="s">
        <v>23</v>
      </c>
    </row>
    <row r="5" spans="1:11" s="1" customFormat="1" x14ac:dyDescent="0.45">
      <c r="A5" s="3" t="s">
        <v>20</v>
      </c>
      <c r="B5" s="2" t="s">
        <v>23</v>
      </c>
      <c r="C5" s="2">
        <v>30472</v>
      </c>
      <c r="D5" s="2">
        <v>1144169</v>
      </c>
      <c r="E5" s="2">
        <f t="shared" si="0"/>
        <v>1136837</v>
      </c>
      <c r="F5" s="2">
        <v>45438268</v>
      </c>
      <c r="G5" s="2">
        <f t="shared" si="1"/>
        <v>1491.1482016277239</v>
      </c>
      <c r="H5" s="2">
        <f t="shared" si="2"/>
        <v>37.307593856655288</v>
      </c>
      <c r="I5" s="2">
        <v>33.482142750000001</v>
      </c>
      <c r="J5" s="2" t="s">
        <v>23</v>
      </c>
      <c r="K5" s="3" t="s">
        <v>23</v>
      </c>
    </row>
    <row r="6" spans="1:11" s="1" customFormat="1" x14ac:dyDescent="0.45">
      <c r="A6" s="3" t="s">
        <v>21</v>
      </c>
      <c r="B6" s="2" t="s">
        <v>23</v>
      </c>
      <c r="C6" s="2">
        <v>31552</v>
      </c>
      <c r="D6" s="2">
        <v>2036463</v>
      </c>
      <c r="E6" s="2">
        <f t="shared" si="0"/>
        <v>2029131</v>
      </c>
      <c r="F6" s="2">
        <v>46438359</v>
      </c>
      <c r="G6" s="2">
        <f t="shared" si="1"/>
        <v>1471.8039743914808</v>
      </c>
      <c r="H6" s="2">
        <f t="shared" si="2"/>
        <v>64.310693458417845</v>
      </c>
      <c r="I6" s="2">
        <v>55.803571249999997</v>
      </c>
      <c r="J6" s="2" t="s">
        <v>23</v>
      </c>
      <c r="K6" s="3" t="s">
        <v>23</v>
      </c>
    </row>
    <row r="7" spans="1:11" s="1" customFormat="1" x14ac:dyDescent="0.45">
      <c r="A7" s="3" t="s">
        <v>22</v>
      </c>
      <c r="B7" s="2" t="s">
        <v>23</v>
      </c>
      <c r="C7" s="2">
        <v>33845</v>
      </c>
      <c r="D7" s="2">
        <v>4838085</v>
      </c>
      <c r="E7" s="2">
        <f t="shared" si="0"/>
        <v>4830753</v>
      </c>
      <c r="F7" s="2">
        <v>47852746</v>
      </c>
      <c r="G7" s="2">
        <f t="shared" si="1"/>
        <v>1413.879332249963</v>
      </c>
      <c r="H7" s="2">
        <f t="shared" si="2"/>
        <v>142.73165903383071</v>
      </c>
      <c r="I7" s="2">
        <v>111.60714249999999</v>
      </c>
      <c r="J7" s="2" t="s">
        <v>23</v>
      </c>
      <c r="K7" s="3" t="s">
        <v>23</v>
      </c>
    </row>
    <row r="8" spans="1:11" x14ac:dyDescent="0.45">
      <c r="A8" s="9" t="s">
        <v>0</v>
      </c>
      <c r="B8" s="4">
        <v>0.25</v>
      </c>
      <c r="C8" s="4">
        <v>36288</v>
      </c>
      <c r="D8" s="4">
        <v>788975</v>
      </c>
      <c r="E8" s="2">
        <f t="shared" si="0"/>
        <v>781643</v>
      </c>
      <c r="F8" s="4">
        <v>49871027</v>
      </c>
      <c r="G8" s="2">
        <f t="shared" si="1"/>
        <v>1374.3118110670193</v>
      </c>
      <c r="H8" s="2">
        <f t="shared" si="2"/>
        <v>21.539985670194003</v>
      </c>
      <c r="I8" s="7">
        <f>(H8*0.7845+1.831)</f>
        <v>18.729118758267195</v>
      </c>
      <c r="J8" s="4">
        <f>I8/Bradford!$K$2</f>
        <v>3.6778806219652478</v>
      </c>
      <c r="K8" s="8">
        <v>14.603999999999999</v>
      </c>
    </row>
    <row r="9" spans="1:11" x14ac:dyDescent="0.45">
      <c r="A9" s="9"/>
      <c r="B9" s="4">
        <v>0.5</v>
      </c>
      <c r="C9" s="4">
        <v>37015</v>
      </c>
      <c r="D9" s="4">
        <v>1603043</v>
      </c>
      <c r="E9" s="2">
        <f t="shared" si="0"/>
        <v>1595711</v>
      </c>
      <c r="F9" s="4">
        <v>50022420</v>
      </c>
      <c r="G9" s="2">
        <f t="shared" si="1"/>
        <v>1351.409428610023</v>
      </c>
      <c r="H9" s="2">
        <f t="shared" si="2"/>
        <v>43.109847359178708</v>
      </c>
      <c r="I9" s="7">
        <f t="shared" ref="I9:I19" si="3">(H9*0.7845+1.831)</f>
        <v>35.650675253275701</v>
      </c>
      <c r="J9" s="4">
        <f>I9/Bradford!$K$2</f>
        <v>7.0008060371832324</v>
      </c>
      <c r="K9" s="8"/>
    </row>
    <row r="10" spans="1:11" x14ac:dyDescent="0.45">
      <c r="A10" s="9"/>
      <c r="B10" s="4">
        <v>0.75</v>
      </c>
      <c r="C10" s="4">
        <v>36177</v>
      </c>
      <c r="D10" s="4">
        <v>2476271</v>
      </c>
      <c r="E10" s="2">
        <f t="shared" si="0"/>
        <v>2468939</v>
      </c>
      <c r="F10" s="4">
        <v>48496221</v>
      </c>
      <c r="G10" s="2">
        <f t="shared" si="1"/>
        <v>1340.5263288829919</v>
      </c>
      <c r="H10" s="2">
        <f t="shared" si="2"/>
        <v>68.246095585593054</v>
      </c>
      <c r="I10" s="7">
        <f>(H10*0.7845+1.831)</f>
        <v>55.370061986897753</v>
      </c>
      <c r="J10" s="4">
        <f>I10/Bradford!$K$2</f>
        <v>10.873147885227404</v>
      </c>
      <c r="K10" s="8"/>
    </row>
    <row r="11" spans="1:11" x14ac:dyDescent="0.45">
      <c r="A11" s="9"/>
      <c r="B11" s="4">
        <v>1</v>
      </c>
      <c r="C11" s="4">
        <v>34179</v>
      </c>
      <c r="D11" s="4">
        <v>3157320</v>
      </c>
      <c r="E11" s="2">
        <f t="shared" si="0"/>
        <v>3149988</v>
      </c>
      <c r="F11" s="4">
        <v>45356062</v>
      </c>
      <c r="G11" s="2">
        <f t="shared" si="1"/>
        <v>1327.015477339887</v>
      </c>
      <c r="H11" s="2">
        <f t="shared" si="2"/>
        <v>92.161502677082424</v>
      </c>
      <c r="I11" s="7">
        <f t="shared" si="3"/>
        <v>74.131698850171162</v>
      </c>
      <c r="J11" s="4">
        <f>I11/Bradford!$K$2</f>
        <v>14.557414163122811</v>
      </c>
      <c r="K11" s="8"/>
    </row>
    <row r="12" spans="1:11" x14ac:dyDescent="0.45">
      <c r="A12" s="9" t="s">
        <v>1</v>
      </c>
      <c r="B12" s="4">
        <v>0.25</v>
      </c>
      <c r="C12" s="4">
        <v>33099</v>
      </c>
      <c r="D12" s="4">
        <v>363221</v>
      </c>
      <c r="E12" s="2">
        <f t="shared" si="0"/>
        <v>355889</v>
      </c>
      <c r="F12" s="4">
        <v>46473536</v>
      </c>
      <c r="G12" s="2">
        <f t="shared" si="1"/>
        <v>1404.0767394785341</v>
      </c>
      <c r="H12" s="2">
        <f t="shared" si="2"/>
        <v>10.752258376385994</v>
      </c>
      <c r="I12" s="7">
        <f t="shared" si="3"/>
        <v>10.266146696274811</v>
      </c>
      <c r="J12" s="4">
        <f>I12/Bradford!$K$5</f>
        <v>2.4351668752765652</v>
      </c>
      <c r="K12" s="8">
        <v>13.164999999999999</v>
      </c>
    </row>
    <row r="13" spans="1:11" x14ac:dyDescent="0.45">
      <c r="A13" s="9"/>
      <c r="B13" s="4">
        <v>0.5</v>
      </c>
      <c r="C13" s="4">
        <v>32709</v>
      </c>
      <c r="D13" s="4">
        <v>928139</v>
      </c>
      <c r="E13" s="2">
        <f t="shared" si="0"/>
        <v>920807</v>
      </c>
      <c r="F13" s="4">
        <v>45748823</v>
      </c>
      <c r="G13" s="2">
        <f t="shared" si="1"/>
        <v>1398.661622183497</v>
      </c>
      <c r="H13" s="2">
        <f t="shared" si="2"/>
        <v>28.151487358219452</v>
      </c>
      <c r="I13" s="7">
        <f t="shared" si="3"/>
        <v>23.91584183252316</v>
      </c>
      <c r="J13" s="4">
        <f>I13/Bradford!$K$5</f>
        <v>5.6729235951836436</v>
      </c>
      <c r="K13" s="8"/>
    </row>
    <row r="14" spans="1:11" x14ac:dyDescent="0.45">
      <c r="A14" s="9"/>
      <c r="B14" s="4">
        <v>0.75</v>
      </c>
      <c r="C14" s="4">
        <v>32640</v>
      </c>
      <c r="D14" s="4">
        <v>1509955</v>
      </c>
      <c r="E14" s="2">
        <f t="shared" si="0"/>
        <v>1502623</v>
      </c>
      <c r="F14" s="4">
        <v>45160680</v>
      </c>
      <c r="G14" s="2">
        <f t="shared" si="1"/>
        <v>1383.5992647058824</v>
      </c>
      <c r="H14" s="2">
        <f t="shared" si="2"/>
        <v>46.036243872549022</v>
      </c>
      <c r="I14" s="7">
        <f t="shared" si="3"/>
        <v>37.946433318014712</v>
      </c>
      <c r="J14" s="4">
        <f>I14/Bradford!$K$5</f>
        <v>9.0010302974192804</v>
      </c>
      <c r="K14" s="8"/>
    </row>
    <row r="15" spans="1:11" x14ac:dyDescent="0.45">
      <c r="A15" s="9"/>
      <c r="B15" s="4">
        <v>1</v>
      </c>
      <c r="C15" s="4">
        <v>32009</v>
      </c>
      <c r="D15" s="4">
        <v>2047733</v>
      </c>
      <c r="E15" s="2">
        <f t="shared" si="0"/>
        <v>2040401</v>
      </c>
      <c r="F15" s="4">
        <v>44217350</v>
      </c>
      <c r="G15" s="2">
        <f t="shared" si="1"/>
        <v>1381.4036677184542</v>
      </c>
      <c r="H15" s="2">
        <f t="shared" si="2"/>
        <v>63.744603080383641</v>
      </c>
      <c r="I15" s="7">
        <f t="shared" si="3"/>
        <v>51.838641116560964</v>
      </c>
      <c r="J15" s="4">
        <f>I15/Bradford!$K$5</f>
        <v>12.296311891997913</v>
      </c>
      <c r="K15" s="8"/>
    </row>
    <row r="16" spans="1:11" x14ac:dyDescent="0.45">
      <c r="A16" s="9" t="s">
        <v>2</v>
      </c>
      <c r="B16" s="4">
        <v>0.25</v>
      </c>
      <c r="C16" s="4">
        <v>32921</v>
      </c>
      <c r="D16" s="4">
        <v>550948</v>
      </c>
      <c r="E16" s="2">
        <f t="shared" si="0"/>
        <v>543616</v>
      </c>
      <c r="F16" s="4">
        <v>45914680</v>
      </c>
      <c r="G16" s="2">
        <f t="shared" si="1"/>
        <v>1394.6927493089518</v>
      </c>
      <c r="H16" s="2">
        <f t="shared" si="2"/>
        <v>16.512742626287171</v>
      </c>
      <c r="I16" s="7">
        <f t="shared" si="3"/>
        <v>14.785246590322284</v>
      </c>
      <c r="J16" s="4">
        <f>I16/Bradford!$K$8</f>
        <v>2.4631741208569635</v>
      </c>
      <c r="K16" s="8">
        <v>11.504</v>
      </c>
    </row>
    <row r="17" spans="1:11" x14ac:dyDescent="0.45">
      <c r="A17" s="9"/>
      <c r="B17" s="4">
        <v>0.5</v>
      </c>
      <c r="C17" s="4">
        <v>34190</v>
      </c>
      <c r="D17" s="4">
        <v>1374739</v>
      </c>
      <c r="E17" s="2">
        <f t="shared" si="0"/>
        <v>1367407</v>
      </c>
      <c r="F17" s="4">
        <v>47162521</v>
      </c>
      <c r="G17" s="2">
        <f t="shared" si="1"/>
        <v>1379.4244223457151</v>
      </c>
      <c r="H17" s="2">
        <f t="shared" si="2"/>
        <v>39.994355074583211</v>
      </c>
      <c r="I17" s="7">
        <f t="shared" si="3"/>
        <v>33.20657155601053</v>
      </c>
      <c r="J17" s="4">
        <f>I17/Bradford!$K$8</f>
        <v>5.532107104164786</v>
      </c>
      <c r="K17" s="8"/>
    </row>
    <row r="18" spans="1:11" x14ac:dyDescent="0.45">
      <c r="A18" s="9"/>
      <c r="B18" s="4">
        <v>0.75</v>
      </c>
      <c r="C18" s="4">
        <v>33025</v>
      </c>
      <c r="D18" s="4">
        <v>2059173</v>
      </c>
      <c r="E18" s="2">
        <f t="shared" si="0"/>
        <v>2051841</v>
      </c>
      <c r="F18" s="4">
        <v>45420491</v>
      </c>
      <c r="G18" s="2">
        <f t="shared" si="1"/>
        <v>1375.3365934897804</v>
      </c>
      <c r="H18" s="2">
        <f t="shared" si="2"/>
        <v>62.129931869795612</v>
      </c>
      <c r="I18" s="7">
        <f t="shared" si="3"/>
        <v>50.571931551854661</v>
      </c>
      <c r="J18" s="4">
        <f>I18/Bradford!$K$8</f>
        <v>8.4251197488863028</v>
      </c>
      <c r="K18" s="8"/>
    </row>
    <row r="19" spans="1:11" x14ac:dyDescent="0.45">
      <c r="A19" s="9"/>
      <c r="B19" s="4">
        <v>1</v>
      </c>
      <c r="C19" s="4">
        <v>32849</v>
      </c>
      <c r="D19" s="4">
        <v>2716862</v>
      </c>
      <c r="E19" s="2">
        <f>D19-$D$2</f>
        <v>2709530</v>
      </c>
      <c r="F19" s="4">
        <v>44622010</v>
      </c>
      <c r="G19" s="2">
        <f t="shared" si="1"/>
        <v>1358.3978203293859</v>
      </c>
      <c r="H19" s="2">
        <f t="shared" si="2"/>
        <v>82.484398307406622</v>
      </c>
      <c r="I19" s="7">
        <f t="shared" si="3"/>
        <v>66.540010472160489</v>
      </c>
      <c r="J19" s="4">
        <f>I19/Bradford!$K$8</f>
        <v>11.085349898990383</v>
      </c>
      <c r="K19" s="8"/>
    </row>
    <row r="21" spans="1:11" x14ac:dyDescent="0.45">
      <c r="A21" s="6" t="s">
        <v>24</v>
      </c>
    </row>
  </sheetData>
  <mergeCells count="6">
    <mergeCell ref="A8:A11"/>
    <mergeCell ref="A12:A15"/>
    <mergeCell ref="A16:A19"/>
    <mergeCell ref="K8:K11"/>
    <mergeCell ref="K12:K15"/>
    <mergeCell ref="K16:K19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C9A4-9FA5-4BF9-A0A0-632311DCE500}">
  <dimension ref="A1:K21"/>
  <sheetViews>
    <sheetView topLeftCell="A5" workbookViewId="0">
      <selection activeCell="L12" sqref="L12"/>
    </sheetView>
  </sheetViews>
  <sheetFormatPr defaultRowHeight="14.25" x14ac:dyDescent="0.45"/>
  <cols>
    <col min="1" max="1" width="18.9296875" style="4" customWidth="1"/>
    <col min="2" max="2" width="13.6640625" style="4" bestFit="1" customWidth="1"/>
    <col min="3" max="3" width="16.19921875" style="4" bestFit="1" customWidth="1"/>
    <col min="4" max="4" width="10.46484375" style="4" bestFit="1" customWidth="1"/>
    <col min="5" max="5" width="10.06640625" style="4" bestFit="1" customWidth="1"/>
    <col min="6" max="6" width="8.73046875" style="4" bestFit="1" customWidth="1"/>
    <col min="7" max="8" width="11.19921875" style="4" bestFit="1" customWidth="1"/>
    <col min="9" max="9" width="15.1328125" style="4" bestFit="1" customWidth="1"/>
    <col min="10" max="10" width="13.3984375" style="4" bestFit="1" customWidth="1"/>
    <col min="11" max="11" width="14.06640625" style="4" bestFit="1" customWidth="1"/>
    <col min="12" max="16384" width="9.06640625" style="4"/>
  </cols>
  <sheetData>
    <row r="1" spans="1:11" s="1" customFormat="1" ht="85.5" x14ac:dyDescent="0.45">
      <c r="A1" s="1" t="s">
        <v>12</v>
      </c>
      <c r="B1" s="18" t="s">
        <v>13</v>
      </c>
      <c r="C1" s="18" t="s">
        <v>37</v>
      </c>
      <c r="D1" s="18" t="s">
        <v>14</v>
      </c>
      <c r="E1" s="18" t="s">
        <v>38</v>
      </c>
      <c r="F1" s="18" t="s">
        <v>26</v>
      </c>
      <c r="G1" s="18" t="s">
        <v>15</v>
      </c>
      <c r="H1" s="18" t="s">
        <v>16</v>
      </c>
      <c r="I1" s="18" t="s">
        <v>25</v>
      </c>
      <c r="J1" s="18" t="s">
        <v>36</v>
      </c>
      <c r="K1" s="18" t="s">
        <v>79</v>
      </c>
    </row>
    <row r="2" spans="1:11" s="1" customFormat="1" x14ac:dyDescent="0.45">
      <c r="A2" s="3" t="s">
        <v>17</v>
      </c>
      <c r="B2" s="2" t="s">
        <v>23</v>
      </c>
      <c r="C2" s="2">
        <v>25616</v>
      </c>
      <c r="D2" s="2">
        <v>6716</v>
      </c>
      <c r="E2" s="2">
        <f>D2-$D$2</f>
        <v>0</v>
      </c>
      <c r="F2" s="2">
        <v>48578006</v>
      </c>
      <c r="G2" s="2">
        <f>F2/C2</f>
        <v>1896.3931136789506</v>
      </c>
      <c r="H2" s="2">
        <f>E2/C2</f>
        <v>0</v>
      </c>
      <c r="I2" s="2">
        <v>0</v>
      </c>
      <c r="J2" s="2" t="s">
        <v>23</v>
      </c>
      <c r="K2" s="3" t="s">
        <v>23</v>
      </c>
    </row>
    <row r="3" spans="1:11" s="1" customFormat="1" x14ac:dyDescent="0.45">
      <c r="A3" s="3" t="s">
        <v>18</v>
      </c>
      <c r="B3" s="2" t="s">
        <v>23</v>
      </c>
      <c r="C3" s="2">
        <v>27654</v>
      </c>
      <c r="D3" s="2">
        <v>41299</v>
      </c>
      <c r="E3" s="2">
        <f t="shared" ref="E3:E18" si="0">D3-$D$2</f>
        <v>34583</v>
      </c>
      <c r="F3" s="2">
        <v>49828190</v>
      </c>
      <c r="G3" s="2">
        <f t="shared" ref="G3:G19" si="1">F3/C3</f>
        <v>1801.8438562233312</v>
      </c>
      <c r="H3" s="2">
        <f t="shared" ref="H3:H19" si="2">E3/C3</f>
        <v>1.250560497577204</v>
      </c>
      <c r="I3" s="2">
        <v>1.1160714249999999</v>
      </c>
      <c r="J3" s="2" t="s">
        <v>23</v>
      </c>
      <c r="K3" s="3" t="s">
        <v>23</v>
      </c>
    </row>
    <row r="4" spans="1:11" s="1" customFormat="1" x14ac:dyDescent="0.45">
      <c r="A4" s="3" t="s">
        <v>19</v>
      </c>
      <c r="B4" s="2" t="s">
        <v>23</v>
      </c>
      <c r="C4" s="2">
        <v>26109</v>
      </c>
      <c r="D4" s="2">
        <v>349346</v>
      </c>
      <c r="E4" s="10">
        <f>D4-$D$2</f>
        <v>342630</v>
      </c>
      <c r="F4" s="2">
        <v>48435001</v>
      </c>
      <c r="G4" s="2">
        <f t="shared" si="1"/>
        <v>1855.1074725190547</v>
      </c>
      <c r="H4" s="2">
        <f>E4/C4</f>
        <v>13.123061013443641</v>
      </c>
      <c r="I4" s="2">
        <v>11.16071425</v>
      </c>
      <c r="J4" s="2" t="s">
        <v>23</v>
      </c>
      <c r="K4" s="3" t="s">
        <v>23</v>
      </c>
    </row>
    <row r="5" spans="1:11" s="1" customFormat="1" x14ac:dyDescent="0.45">
      <c r="A5" s="3" t="s">
        <v>20</v>
      </c>
      <c r="B5" s="2" t="s">
        <v>23</v>
      </c>
      <c r="C5" s="2">
        <v>24693</v>
      </c>
      <c r="D5" s="2">
        <v>1289050</v>
      </c>
      <c r="E5" s="2">
        <f t="shared" si="0"/>
        <v>1282334</v>
      </c>
      <c r="F5" s="2">
        <v>46553132</v>
      </c>
      <c r="G5" s="2">
        <f t="shared" si="1"/>
        <v>1885.276475114405</v>
      </c>
      <c r="H5" s="2">
        <f t="shared" si="2"/>
        <v>51.93107358360669</v>
      </c>
      <c r="I5" s="2">
        <v>33.482142750000001</v>
      </c>
      <c r="J5" s="2" t="s">
        <v>23</v>
      </c>
      <c r="K5" s="3" t="s">
        <v>23</v>
      </c>
    </row>
    <row r="6" spans="1:11" s="1" customFormat="1" x14ac:dyDescent="0.45">
      <c r="A6" s="3" t="s">
        <v>21</v>
      </c>
      <c r="B6" s="2" t="s">
        <v>23</v>
      </c>
      <c r="C6" s="2">
        <v>24838</v>
      </c>
      <c r="D6" s="2">
        <v>2272782</v>
      </c>
      <c r="E6" s="2">
        <f t="shared" si="0"/>
        <v>2266066</v>
      </c>
      <c r="F6" s="2">
        <v>47832514</v>
      </c>
      <c r="G6" s="2">
        <f t="shared" si="1"/>
        <v>1925.7796118850149</v>
      </c>
      <c r="H6" s="2">
        <f t="shared" si="2"/>
        <v>91.233835252435782</v>
      </c>
      <c r="I6" s="2">
        <v>55.803571249999997</v>
      </c>
      <c r="J6" s="2" t="s">
        <v>23</v>
      </c>
      <c r="K6" s="3" t="s">
        <v>23</v>
      </c>
    </row>
    <row r="7" spans="1:11" s="1" customFormat="1" x14ac:dyDescent="0.45">
      <c r="A7" s="3" t="s">
        <v>22</v>
      </c>
      <c r="B7" s="2" t="s">
        <v>23</v>
      </c>
      <c r="C7" s="2">
        <v>29804</v>
      </c>
      <c r="D7" s="2">
        <v>5738431</v>
      </c>
      <c r="E7" s="2">
        <f t="shared" si="0"/>
        <v>5731715</v>
      </c>
      <c r="F7" s="2">
        <v>52890799</v>
      </c>
      <c r="G7" s="2">
        <f t="shared" si="1"/>
        <v>1774.6208227083614</v>
      </c>
      <c r="H7" s="2">
        <f t="shared" si="2"/>
        <v>192.31361562206416</v>
      </c>
      <c r="I7" s="2">
        <v>111.60714249999999</v>
      </c>
      <c r="J7" s="2" t="s">
        <v>23</v>
      </c>
      <c r="K7" s="3" t="s">
        <v>23</v>
      </c>
    </row>
    <row r="8" spans="1:11" x14ac:dyDescent="0.45">
      <c r="A8" s="9" t="s">
        <v>3</v>
      </c>
      <c r="B8" s="4">
        <v>0.25</v>
      </c>
      <c r="C8" s="4">
        <v>28650</v>
      </c>
      <c r="D8" s="4">
        <v>330159</v>
      </c>
      <c r="E8" s="2">
        <f t="shared" si="0"/>
        <v>323443</v>
      </c>
      <c r="F8" s="4">
        <v>48364946</v>
      </c>
      <c r="G8" s="2">
        <f t="shared" si="1"/>
        <v>1688.1307504363001</v>
      </c>
      <c r="H8" s="2">
        <f t="shared" si="2"/>
        <v>11.289458987783595</v>
      </c>
      <c r="I8" s="7">
        <f>(H8*0.5764)+1.9197</f>
        <v>8.426944160558465</v>
      </c>
      <c r="J8" s="4">
        <f>I8/Bradford!$K$11</f>
        <v>2.0627815856863747</v>
      </c>
      <c r="K8" s="8">
        <v>7.3014000000000001</v>
      </c>
    </row>
    <row r="9" spans="1:11" x14ac:dyDescent="0.45">
      <c r="A9" s="9"/>
      <c r="B9" s="4">
        <v>0.5</v>
      </c>
      <c r="C9" s="4">
        <v>28275</v>
      </c>
      <c r="D9" s="4">
        <v>655412</v>
      </c>
      <c r="E9" s="2">
        <f t="shared" si="0"/>
        <v>648696</v>
      </c>
      <c r="F9" s="4">
        <v>48125781</v>
      </c>
      <c r="G9" s="2">
        <f t="shared" si="1"/>
        <v>1702.0612201591512</v>
      </c>
      <c r="H9" s="2">
        <f t="shared" si="2"/>
        <v>22.942387267904508</v>
      </c>
      <c r="I9" s="7">
        <f t="shared" ref="I9:I19" si="3">(H9*0.5764)+1.9197</f>
        <v>15.14369202122016</v>
      </c>
      <c r="J9" s="4">
        <f>I9/Bradford!$K$11</f>
        <v>3.7069343816096234</v>
      </c>
      <c r="K9" s="8"/>
    </row>
    <row r="10" spans="1:11" x14ac:dyDescent="0.45">
      <c r="A10" s="9"/>
      <c r="B10" s="4">
        <v>0.75</v>
      </c>
      <c r="C10" s="4">
        <v>27622</v>
      </c>
      <c r="D10" s="4">
        <v>997983</v>
      </c>
      <c r="E10" s="2">
        <f t="shared" si="0"/>
        <v>991267</v>
      </c>
      <c r="F10" s="4">
        <v>46834725</v>
      </c>
      <c r="G10" s="2">
        <f t="shared" si="1"/>
        <v>1695.5587937151545</v>
      </c>
      <c r="H10" s="2">
        <f t="shared" si="2"/>
        <v>35.88686554195931</v>
      </c>
      <c r="I10" s="7">
        <f t="shared" si="3"/>
        <v>22.604889298385345</v>
      </c>
      <c r="J10" s="4">
        <f>I10/Bradford!$K$11</f>
        <v>5.533316526461725</v>
      </c>
      <c r="K10" s="8"/>
    </row>
    <row r="11" spans="1:11" x14ac:dyDescent="0.45">
      <c r="A11" s="9"/>
      <c r="B11" s="4">
        <v>1</v>
      </c>
      <c r="C11" s="4">
        <v>27893</v>
      </c>
      <c r="D11" s="4">
        <v>1404112</v>
      </c>
      <c r="E11" s="2">
        <f t="shared" si="0"/>
        <v>1397396</v>
      </c>
      <c r="F11" s="4">
        <v>47202875</v>
      </c>
      <c r="G11" s="2">
        <f t="shared" si="1"/>
        <v>1692.2839063564336</v>
      </c>
      <c r="H11" s="2">
        <f t="shared" si="2"/>
        <v>50.098447639192628</v>
      </c>
      <c r="I11" s="7">
        <f t="shared" si="3"/>
        <v>30.79644521923063</v>
      </c>
      <c r="J11" s="4">
        <f>I11/Bradford!$K$11</f>
        <v>7.538478823694752</v>
      </c>
      <c r="K11" s="8"/>
    </row>
    <row r="12" spans="1:11" x14ac:dyDescent="0.45">
      <c r="A12" s="9" t="s">
        <v>4</v>
      </c>
      <c r="B12" s="4">
        <v>0.25</v>
      </c>
      <c r="C12" s="4">
        <v>29823</v>
      </c>
      <c r="D12" s="4">
        <v>300019</v>
      </c>
      <c r="E12" s="2">
        <f t="shared" si="0"/>
        <v>293303</v>
      </c>
      <c r="F12" s="4">
        <v>49786456</v>
      </c>
      <c r="G12" s="2">
        <f t="shared" si="1"/>
        <v>1669.3979814237334</v>
      </c>
      <c r="H12" s="2">
        <f t="shared" si="2"/>
        <v>9.8347919391074008</v>
      </c>
      <c r="I12" s="7">
        <f t="shared" si="3"/>
        <v>7.588474073701506</v>
      </c>
      <c r="J12" s="4">
        <f>I12/Bradford!$K$14</f>
        <v>1.5804653847369894</v>
      </c>
      <c r="K12" s="8">
        <v>5.6829999999999998</v>
      </c>
    </row>
    <row r="13" spans="1:11" x14ac:dyDescent="0.45">
      <c r="A13" s="9"/>
      <c r="B13" s="4">
        <v>0.5</v>
      </c>
      <c r="C13" s="4">
        <v>28658</v>
      </c>
      <c r="D13" s="4">
        <v>604037</v>
      </c>
      <c r="E13" s="2">
        <f t="shared" si="0"/>
        <v>597321</v>
      </c>
      <c r="F13" s="4">
        <v>48056095</v>
      </c>
      <c r="G13" s="2">
        <f t="shared" si="1"/>
        <v>1676.8823714146138</v>
      </c>
      <c r="H13" s="2">
        <f t="shared" si="2"/>
        <v>20.843080466187452</v>
      </c>
      <c r="I13" s="7">
        <f t="shared" si="3"/>
        <v>13.933651580710448</v>
      </c>
      <c r="J13" s="4">
        <f>I13/Bradford!$K$14</f>
        <v>2.9019871178866627</v>
      </c>
      <c r="K13" s="8"/>
    </row>
    <row r="14" spans="1:11" x14ac:dyDescent="0.45">
      <c r="A14" s="9"/>
      <c r="B14" s="4">
        <v>0.75</v>
      </c>
      <c r="C14" s="4">
        <v>28964</v>
      </c>
      <c r="D14" s="4">
        <v>957279</v>
      </c>
      <c r="E14" s="2">
        <f t="shared" si="0"/>
        <v>950563</v>
      </c>
      <c r="F14" s="4">
        <v>48537631</v>
      </c>
      <c r="G14" s="2">
        <f t="shared" si="1"/>
        <v>1675.7917069465543</v>
      </c>
      <c r="H14" s="2">
        <f t="shared" si="2"/>
        <v>32.818775031073059</v>
      </c>
      <c r="I14" s="7">
        <f t="shared" si="3"/>
        <v>20.83644192791051</v>
      </c>
      <c r="J14" s="4">
        <f>I14/Bradford!$K$14</f>
        <v>4.3396438978781147</v>
      </c>
      <c r="K14" s="8"/>
    </row>
    <row r="15" spans="1:11" x14ac:dyDescent="0.45">
      <c r="A15" s="9"/>
      <c r="B15" s="4">
        <v>1</v>
      </c>
      <c r="C15" s="4">
        <v>28582</v>
      </c>
      <c r="D15" s="4">
        <v>1301255</v>
      </c>
      <c r="E15" s="2">
        <f t="shared" si="0"/>
        <v>1294539</v>
      </c>
      <c r="F15" s="4">
        <v>47555403</v>
      </c>
      <c r="G15" s="2">
        <f t="shared" si="1"/>
        <v>1663.8234903085859</v>
      </c>
      <c r="H15" s="2">
        <f t="shared" si="2"/>
        <v>45.292106920439437</v>
      </c>
      <c r="I15" s="7">
        <f t="shared" si="3"/>
        <v>28.026070428941292</v>
      </c>
      <c r="J15" s="4">
        <f>I15/Bradford!$K$14</f>
        <v>5.8370409851761957</v>
      </c>
      <c r="K15" s="8"/>
    </row>
    <row r="16" spans="1:11" x14ac:dyDescent="0.45">
      <c r="A16" s="9" t="s">
        <v>5</v>
      </c>
      <c r="B16" s="4">
        <v>0.25</v>
      </c>
      <c r="C16" s="4">
        <v>28512</v>
      </c>
      <c r="D16" s="4">
        <v>257733</v>
      </c>
      <c r="E16" s="2">
        <f t="shared" si="0"/>
        <v>251017</v>
      </c>
      <c r="F16" s="4">
        <v>48482025</v>
      </c>
      <c r="G16" s="2">
        <f t="shared" si="1"/>
        <v>1700.407723063973</v>
      </c>
      <c r="H16" s="2">
        <f t="shared" si="2"/>
        <v>8.803907126823793</v>
      </c>
      <c r="I16" s="7">
        <f t="shared" si="3"/>
        <v>6.9942720679012345</v>
      </c>
      <c r="J16" s="4">
        <f>I16/Bradford!$K$17</f>
        <v>1.4138718994144714</v>
      </c>
      <c r="K16" s="8">
        <v>5.2157999999999998</v>
      </c>
    </row>
    <row r="17" spans="1:11" x14ac:dyDescent="0.45">
      <c r="A17" s="9"/>
      <c r="B17" s="4">
        <v>0.5</v>
      </c>
      <c r="C17" s="4">
        <v>28155</v>
      </c>
      <c r="D17" s="4">
        <v>535022</v>
      </c>
      <c r="E17" s="2">
        <f t="shared" si="0"/>
        <v>528306</v>
      </c>
      <c r="F17" s="4">
        <v>47787127</v>
      </c>
      <c r="G17" s="2">
        <f t="shared" si="1"/>
        <v>1697.2874089859706</v>
      </c>
      <c r="H17" s="2">
        <f t="shared" si="2"/>
        <v>18.764198188598829</v>
      </c>
      <c r="I17" s="7">
        <f t="shared" si="3"/>
        <v>12.735383835908367</v>
      </c>
      <c r="J17" s="4">
        <f>I17/Bradford!$K$17</f>
        <v>2.5744210632703091</v>
      </c>
      <c r="K17" s="8"/>
    </row>
    <row r="18" spans="1:11" x14ac:dyDescent="0.45">
      <c r="A18" s="9"/>
      <c r="B18" s="4">
        <v>0.75</v>
      </c>
      <c r="C18" s="4">
        <v>27956</v>
      </c>
      <c r="D18" s="4">
        <v>843102</v>
      </c>
      <c r="E18" s="2">
        <f t="shared" si="0"/>
        <v>836386</v>
      </c>
      <c r="F18" s="4">
        <v>47071917</v>
      </c>
      <c r="G18" s="2">
        <f t="shared" si="1"/>
        <v>1683.7858420374876</v>
      </c>
      <c r="H18" s="2">
        <f t="shared" si="2"/>
        <v>29.917942481041639</v>
      </c>
      <c r="I18" s="7">
        <f t="shared" si="3"/>
        <v>19.1644020460724</v>
      </c>
      <c r="J18" s="4">
        <f>I18/Bradford!$K$17</f>
        <v>3.8740285277683864</v>
      </c>
      <c r="K18" s="8"/>
    </row>
    <row r="19" spans="1:11" x14ac:dyDescent="0.45">
      <c r="A19" s="9"/>
      <c r="B19" s="4">
        <v>1</v>
      </c>
      <c r="C19" s="4">
        <v>27407</v>
      </c>
      <c r="D19" s="4">
        <v>1168479</v>
      </c>
      <c r="E19" s="2">
        <f>D19-$D$2</f>
        <v>1161763</v>
      </c>
      <c r="F19" s="4">
        <v>46278721</v>
      </c>
      <c r="G19" s="2">
        <f t="shared" si="1"/>
        <v>1688.5730287882657</v>
      </c>
      <c r="H19" s="2">
        <f t="shared" si="2"/>
        <v>42.389280110920566</v>
      </c>
      <c r="I19" s="7">
        <f t="shared" si="3"/>
        <v>26.352881055934613</v>
      </c>
      <c r="J19" s="4">
        <f>I19/Bradford!$K$17</f>
        <v>5.3271587996402276</v>
      </c>
      <c r="K19" s="8"/>
    </row>
    <row r="21" spans="1:11" x14ac:dyDescent="0.45">
      <c r="A21" s="11"/>
    </row>
  </sheetData>
  <mergeCells count="6">
    <mergeCell ref="A8:A11"/>
    <mergeCell ref="A12:A15"/>
    <mergeCell ref="A16:A19"/>
    <mergeCell ref="K8:K11"/>
    <mergeCell ref="K12:K15"/>
    <mergeCell ref="K16:K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173C-4AA2-4D77-B134-0D6CDEA76452}">
  <dimension ref="A1:K21"/>
  <sheetViews>
    <sheetView topLeftCell="A7" workbookViewId="0">
      <selection activeCell="M9" sqref="M9"/>
    </sheetView>
  </sheetViews>
  <sheetFormatPr defaultRowHeight="14.25" x14ac:dyDescent="0.45"/>
  <cols>
    <col min="1" max="1" width="18.9296875" style="4" customWidth="1"/>
    <col min="2" max="2" width="13.6640625" style="4" bestFit="1" customWidth="1"/>
    <col min="3" max="3" width="16.19921875" style="4" bestFit="1" customWidth="1"/>
    <col min="4" max="4" width="10.46484375" style="4" bestFit="1" customWidth="1"/>
    <col min="5" max="5" width="10.06640625" style="4" bestFit="1" customWidth="1"/>
    <col min="6" max="6" width="8.73046875" style="4" bestFit="1" customWidth="1"/>
    <col min="7" max="8" width="11.19921875" style="4" bestFit="1" customWidth="1"/>
    <col min="9" max="9" width="15.1328125" style="4" bestFit="1" customWidth="1"/>
    <col min="10" max="10" width="13.19921875" style="4" bestFit="1" customWidth="1"/>
    <col min="11" max="11" width="14.06640625" style="4" bestFit="1" customWidth="1"/>
    <col min="12" max="16384" width="9.06640625" style="4"/>
  </cols>
  <sheetData>
    <row r="1" spans="1:11" s="1" customFormat="1" ht="99.75" x14ac:dyDescent="0.45">
      <c r="A1" s="1" t="s">
        <v>12</v>
      </c>
      <c r="B1" s="18" t="s">
        <v>13</v>
      </c>
      <c r="C1" s="18" t="s">
        <v>37</v>
      </c>
      <c r="D1" s="18" t="s">
        <v>14</v>
      </c>
      <c r="E1" s="18" t="s">
        <v>38</v>
      </c>
      <c r="F1" s="18" t="s">
        <v>26</v>
      </c>
      <c r="G1" s="18" t="s">
        <v>15</v>
      </c>
      <c r="H1" s="18" t="s">
        <v>16</v>
      </c>
      <c r="I1" s="18" t="s">
        <v>25</v>
      </c>
      <c r="J1" s="18" t="s">
        <v>36</v>
      </c>
      <c r="K1" s="18" t="s">
        <v>79</v>
      </c>
    </row>
    <row r="2" spans="1:11" s="1" customFormat="1" x14ac:dyDescent="0.45">
      <c r="A2" s="3" t="s">
        <v>17</v>
      </c>
      <c r="B2" s="2" t="s">
        <v>23</v>
      </c>
      <c r="C2" s="2">
        <v>29550</v>
      </c>
      <c r="D2" s="2">
        <v>6010</v>
      </c>
      <c r="E2" s="2">
        <f>D2-$D$2</f>
        <v>0</v>
      </c>
      <c r="F2" s="2">
        <v>46545033</v>
      </c>
      <c r="G2" s="2">
        <f>F2/C2</f>
        <v>1575.1280203045685</v>
      </c>
      <c r="H2" s="2">
        <f>E2/C2</f>
        <v>0</v>
      </c>
      <c r="I2" s="2">
        <v>0</v>
      </c>
      <c r="J2" s="2" t="s">
        <v>23</v>
      </c>
      <c r="K2" s="3" t="s">
        <v>23</v>
      </c>
    </row>
    <row r="3" spans="1:11" s="1" customFormat="1" x14ac:dyDescent="0.45">
      <c r="A3" s="3" t="s">
        <v>18</v>
      </c>
      <c r="B3" s="2" t="s">
        <v>23</v>
      </c>
      <c r="C3" s="2">
        <v>32952</v>
      </c>
      <c r="D3" s="2">
        <v>42311</v>
      </c>
      <c r="E3" s="2">
        <f t="shared" ref="E3:E18" si="0">D3-$D$2</f>
        <v>36301</v>
      </c>
      <c r="F3" s="2">
        <v>49558248</v>
      </c>
      <c r="G3" s="2">
        <f t="shared" ref="G3:G19" si="1">F3/C3</f>
        <v>1503.9526584122359</v>
      </c>
      <c r="H3" s="2">
        <f t="shared" ref="H3:H19" si="2">E3/C3</f>
        <v>1.1016326778344259</v>
      </c>
      <c r="I3" s="2">
        <v>1.1160714249999999</v>
      </c>
      <c r="J3" s="2" t="s">
        <v>23</v>
      </c>
      <c r="K3" s="3" t="s">
        <v>23</v>
      </c>
    </row>
    <row r="4" spans="1:11" s="1" customFormat="1" x14ac:dyDescent="0.45">
      <c r="A4" s="3" t="s">
        <v>19</v>
      </c>
      <c r="B4" s="2" t="s">
        <v>23</v>
      </c>
      <c r="C4" s="2">
        <v>27643</v>
      </c>
      <c r="D4" s="2">
        <v>340430</v>
      </c>
      <c r="E4" s="10">
        <f>D4-$D$2</f>
        <v>334420</v>
      </c>
      <c r="F4" s="2">
        <v>43114105</v>
      </c>
      <c r="G4" s="2">
        <f t="shared" si="1"/>
        <v>1559.6753246753246</v>
      </c>
      <c r="H4" s="2">
        <f>E4/C4</f>
        <v>12.097818615924465</v>
      </c>
      <c r="I4" s="2">
        <v>11.16071425</v>
      </c>
      <c r="J4" s="2" t="s">
        <v>23</v>
      </c>
      <c r="K4" s="3" t="s">
        <v>23</v>
      </c>
    </row>
    <row r="5" spans="1:11" s="1" customFormat="1" x14ac:dyDescent="0.45">
      <c r="A5" s="3" t="s">
        <v>20</v>
      </c>
      <c r="B5" s="2" t="s">
        <v>23</v>
      </c>
      <c r="C5" s="2">
        <v>28980</v>
      </c>
      <c r="D5" s="2">
        <v>1414161</v>
      </c>
      <c r="E5" s="2">
        <f t="shared" si="0"/>
        <v>1408151</v>
      </c>
      <c r="F5" s="2">
        <v>46044591</v>
      </c>
      <c r="G5" s="2">
        <f t="shared" si="1"/>
        <v>1588.8402691511387</v>
      </c>
      <c r="H5" s="2">
        <f t="shared" si="2"/>
        <v>48.590441683919941</v>
      </c>
      <c r="I5" s="2">
        <v>33.482142750000001</v>
      </c>
      <c r="J5" s="2" t="s">
        <v>23</v>
      </c>
      <c r="K5" s="3" t="s">
        <v>23</v>
      </c>
    </row>
    <row r="6" spans="1:11" s="1" customFormat="1" x14ac:dyDescent="0.45">
      <c r="A6" s="3" t="s">
        <v>21</v>
      </c>
      <c r="B6" s="2" t="s">
        <v>23</v>
      </c>
      <c r="C6" s="2">
        <v>29566</v>
      </c>
      <c r="D6" s="2">
        <v>2423381</v>
      </c>
      <c r="E6" s="2">
        <f t="shared" si="0"/>
        <v>2417371</v>
      </c>
      <c r="F6" s="2">
        <v>45895043</v>
      </c>
      <c r="G6" s="2">
        <f t="shared" si="1"/>
        <v>1552.2912467022932</v>
      </c>
      <c r="H6" s="2">
        <f t="shared" si="2"/>
        <v>81.761854833254418</v>
      </c>
      <c r="I6" s="2">
        <v>55.803571249999997</v>
      </c>
      <c r="J6" s="2" t="s">
        <v>23</v>
      </c>
      <c r="K6" s="3" t="s">
        <v>23</v>
      </c>
    </row>
    <row r="7" spans="1:11" s="1" customFormat="1" x14ac:dyDescent="0.45">
      <c r="A7" s="3" t="s">
        <v>22</v>
      </c>
      <c r="B7" s="2" t="s">
        <v>23</v>
      </c>
      <c r="C7" s="2">
        <v>34815</v>
      </c>
      <c r="D7" s="2">
        <v>6030473</v>
      </c>
      <c r="E7" s="2">
        <f t="shared" si="0"/>
        <v>6024463</v>
      </c>
      <c r="F7" s="2">
        <v>52219182</v>
      </c>
      <c r="G7" s="2">
        <f t="shared" si="1"/>
        <v>1499.9046962516156</v>
      </c>
      <c r="H7" s="2">
        <f t="shared" si="2"/>
        <v>173.042165733161</v>
      </c>
      <c r="I7" s="2">
        <v>111.60714249999999</v>
      </c>
      <c r="J7" s="2" t="s">
        <v>23</v>
      </c>
      <c r="K7" s="3" t="s">
        <v>23</v>
      </c>
    </row>
    <row r="8" spans="1:11" x14ac:dyDescent="0.45">
      <c r="A8" s="9" t="s">
        <v>6</v>
      </c>
      <c r="B8" s="4">
        <v>0.25</v>
      </c>
      <c r="C8" s="4">
        <v>37307</v>
      </c>
      <c r="D8" s="4">
        <v>440881</v>
      </c>
      <c r="E8" s="2">
        <f t="shared" si="0"/>
        <v>434871</v>
      </c>
      <c r="F8" s="4">
        <v>52831362</v>
      </c>
      <c r="G8" s="2">
        <f t="shared" si="1"/>
        <v>1416.1246414881925</v>
      </c>
      <c r="H8" s="2">
        <f t="shared" si="2"/>
        <v>11.656552389631972</v>
      </c>
      <c r="I8" s="7">
        <f>(H8*0.6415)+1.6782</f>
        <v>9.1558783579489091</v>
      </c>
      <c r="J8" s="4">
        <f>I8/Bradford!$K$20</f>
        <v>2.696744165333584</v>
      </c>
      <c r="K8" s="8">
        <v>11.061</v>
      </c>
    </row>
    <row r="9" spans="1:11" x14ac:dyDescent="0.45">
      <c r="A9" s="9"/>
      <c r="B9" s="4">
        <v>0.5</v>
      </c>
      <c r="C9" s="4">
        <v>37587</v>
      </c>
      <c r="D9" s="4">
        <v>955289</v>
      </c>
      <c r="E9" s="2">
        <f t="shared" si="0"/>
        <v>949279</v>
      </c>
      <c r="F9" s="4">
        <v>53835111</v>
      </c>
      <c r="G9" s="2">
        <f t="shared" si="1"/>
        <v>1432.28007023705</v>
      </c>
      <c r="H9" s="2">
        <f t="shared" si="2"/>
        <v>25.255513874477877</v>
      </c>
      <c r="I9" s="7">
        <f t="shared" ref="I9:I19" si="3">(H9*0.6415)+1.6782</f>
        <v>17.879612150477559</v>
      </c>
      <c r="J9" s="4">
        <f>I9/Bradford!$K$20</f>
        <v>5.2662058035499362</v>
      </c>
      <c r="K9" s="8"/>
    </row>
    <row r="10" spans="1:11" x14ac:dyDescent="0.45">
      <c r="A10" s="9"/>
      <c r="B10" s="4">
        <v>0.75</v>
      </c>
      <c r="C10" s="4">
        <v>36819</v>
      </c>
      <c r="D10" s="4">
        <v>1483471</v>
      </c>
      <c r="E10" s="2">
        <f t="shared" si="0"/>
        <v>1477461</v>
      </c>
      <c r="F10" s="4">
        <v>52562683</v>
      </c>
      <c r="G10" s="2">
        <f t="shared" si="1"/>
        <v>1427.5967027893207</v>
      </c>
      <c r="H10" s="2">
        <f t="shared" si="2"/>
        <v>40.127678644178275</v>
      </c>
      <c r="I10" s="7">
        <f t="shared" si="3"/>
        <v>27.420105850240361</v>
      </c>
      <c r="J10" s="4">
        <f>I10/Bradford!$K$20</f>
        <v>8.076233385109111</v>
      </c>
      <c r="K10" s="8"/>
    </row>
    <row r="11" spans="1:11" x14ac:dyDescent="0.45">
      <c r="A11" s="9"/>
      <c r="B11" s="4">
        <v>1</v>
      </c>
      <c r="C11" s="4">
        <v>36524</v>
      </c>
      <c r="D11" s="4">
        <v>2032476</v>
      </c>
      <c r="E11" s="2">
        <f t="shared" si="0"/>
        <v>2026466</v>
      </c>
      <c r="F11" s="4">
        <v>51758344</v>
      </c>
      <c r="G11" s="2">
        <f t="shared" si="1"/>
        <v>1417.1050268316724</v>
      </c>
      <c r="H11" s="2">
        <f t="shared" si="2"/>
        <v>55.483134377395686</v>
      </c>
      <c r="I11" s="7">
        <f t="shared" si="3"/>
        <v>37.270630703099329</v>
      </c>
      <c r="J11" s="4">
        <f>I11/Bradford!$K$20</f>
        <v>10.977576586043881</v>
      </c>
      <c r="K11" s="8"/>
    </row>
    <row r="12" spans="1:11" x14ac:dyDescent="0.45">
      <c r="A12" s="9" t="s">
        <v>7</v>
      </c>
      <c r="B12" s="4">
        <v>0.25</v>
      </c>
      <c r="C12" s="4">
        <v>32015</v>
      </c>
      <c r="D12" s="4">
        <v>374124</v>
      </c>
      <c r="E12" s="2">
        <f t="shared" si="0"/>
        <v>368114</v>
      </c>
      <c r="F12" s="4">
        <v>47800830</v>
      </c>
      <c r="G12" s="2">
        <f t="shared" si="1"/>
        <v>1493.0760580977667</v>
      </c>
      <c r="H12" s="2">
        <f t="shared" si="2"/>
        <v>11.498172731532094</v>
      </c>
      <c r="I12" s="7">
        <f t="shared" si="3"/>
        <v>9.0542778072778383</v>
      </c>
      <c r="J12" s="4">
        <f>I12/Bradford!$K$23</f>
        <v>1.8568992515748148</v>
      </c>
      <c r="K12" s="8">
        <v>8.1702999999999992</v>
      </c>
    </row>
    <row r="13" spans="1:11" x14ac:dyDescent="0.45">
      <c r="A13" s="9"/>
      <c r="B13" s="4">
        <v>0.5</v>
      </c>
      <c r="C13" s="4">
        <v>32502</v>
      </c>
      <c r="D13" s="4">
        <v>860165</v>
      </c>
      <c r="E13" s="2">
        <f t="shared" si="0"/>
        <v>854155</v>
      </c>
      <c r="F13" s="4">
        <v>48407308</v>
      </c>
      <c r="G13" s="2">
        <f t="shared" si="1"/>
        <v>1489.3639776013783</v>
      </c>
      <c r="H13" s="2">
        <f t="shared" si="2"/>
        <v>26.280075072303244</v>
      </c>
      <c r="I13" s="7">
        <f t="shared" si="3"/>
        <v>18.53686815888253</v>
      </c>
      <c r="J13" s="4">
        <f>I13/Bradford!$K$23</f>
        <v>3.8016391084336147</v>
      </c>
      <c r="K13" s="8"/>
    </row>
    <row r="14" spans="1:11" x14ac:dyDescent="0.45">
      <c r="A14" s="9"/>
      <c r="B14" s="4">
        <v>0.75</v>
      </c>
      <c r="C14" s="4">
        <v>31571</v>
      </c>
      <c r="D14" s="4">
        <v>1331680</v>
      </c>
      <c r="E14" s="2">
        <f t="shared" si="0"/>
        <v>1325670</v>
      </c>
      <c r="F14" s="4">
        <v>46951009</v>
      </c>
      <c r="G14" s="2">
        <f t="shared" si="1"/>
        <v>1487.1562193151942</v>
      </c>
      <c r="H14" s="2">
        <f t="shared" si="2"/>
        <v>41.990117512907418</v>
      </c>
      <c r="I14" s="7">
        <f t="shared" si="3"/>
        <v>28.614860384530107</v>
      </c>
      <c r="J14" s="4">
        <f>I14/Bradford!$K$23</f>
        <v>5.8684871353562702</v>
      </c>
      <c r="K14" s="8"/>
    </row>
    <row r="15" spans="1:11" x14ac:dyDescent="0.45">
      <c r="A15" s="9"/>
      <c r="B15" s="4">
        <v>1</v>
      </c>
      <c r="C15" s="4">
        <v>30815</v>
      </c>
      <c r="D15" s="4">
        <v>1793687</v>
      </c>
      <c r="E15" s="2">
        <f t="shared" si="0"/>
        <v>1787677</v>
      </c>
      <c r="F15" s="4">
        <v>45301601</v>
      </c>
      <c r="G15" s="2">
        <f t="shared" si="1"/>
        <v>1470.1152360863216</v>
      </c>
      <c r="H15" s="2">
        <f t="shared" si="2"/>
        <v>58.013207853318193</v>
      </c>
      <c r="I15" s="7">
        <f t="shared" si="3"/>
        <v>38.893672837903615</v>
      </c>
      <c r="J15" s="4">
        <f>I15/Bradford!$K$23</f>
        <v>7.9765204382890813</v>
      </c>
      <c r="K15" s="8"/>
    </row>
    <row r="16" spans="1:11" x14ac:dyDescent="0.45">
      <c r="A16" s="9" t="s">
        <v>8</v>
      </c>
      <c r="B16" s="4">
        <v>0.25</v>
      </c>
      <c r="C16" s="4">
        <v>31460</v>
      </c>
      <c r="D16" s="4">
        <v>430057</v>
      </c>
      <c r="E16" s="2">
        <f t="shared" si="0"/>
        <v>424047</v>
      </c>
      <c r="F16" s="4">
        <v>46884688</v>
      </c>
      <c r="G16" s="2">
        <f t="shared" si="1"/>
        <v>1490.2952320406866</v>
      </c>
      <c r="H16" s="2">
        <f t="shared" si="2"/>
        <v>13.47892561983471</v>
      </c>
      <c r="I16" s="7">
        <f t="shared" si="3"/>
        <v>10.324930785123966</v>
      </c>
      <c r="J16" s="4">
        <f>I16/Bradford!$K$26</f>
        <v>2.0011458081672364</v>
      </c>
      <c r="K16" s="8">
        <v>8.9586000000000006</v>
      </c>
    </row>
    <row r="17" spans="1:11" x14ac:dyDescent="0.45">
      <c r="A17" s="9"/>
      <c r="B17" s="4">
        <v>0.5</v>
      </c>
      <c r="C17" s="4">
        <v>31321</v>
      </c>
      <c r="D17" s="4">
        <v>961803</v>
      </c>
      <c r="E17" s="2">
        <f t="shared" si="0"/>
        <v>955793</v>
      </c>
      <c r="F17" s="4">
        <v>46549574</v>
      </c>
      <c r="G17" s="2">
        <f t="shared" si="1"/>
        <v>1486.2096995625939</v>
      </c>
      <c r="H17" s="2">
        <f t="shared" si="2"/>
        <v>30.516043549056544</v>
      </c>
      <c r="I17" s="7">
        <f t="shared" si="3"/>
        <v>21.254241936719772</v>
      </c>
      <c r="J17" s="4">
        <f>I17/Bradford!$K$26</f>
        <v>4.1194307296199844</v>
      </c>
      <c r="K17" s="8"/>
    </row>
    <row r="18" spans="1:11" x14ac:dyDescent="0.45">
      <c r="A18" s="9"/>
      <c r="B18" s="4">
        <v>0.75</v>
      </c>
      <c r="C18" s="4">
        <v>30545</v>
      </c>
      <c r="D18" s="4">
        <v>1499063</v>
      </c>
      <c r="E18" s="2">
        <f t="shared" si="0"/>
        <v>1493053</v>
      </c>
      <c r="F18" s="4">
        <v>45293524</v>
      </c>
      <c r="G18" s="2">
        <f t="shared" si="1"/>
        <v>1482.8457685382223</v>
      </c>
      <c r="H18" s="2">
        <f t="shared" si="2"/>
        <v>48.880438697004422</v>
      </c>
      <c r="I18" s="7">
        <f t="shared" si="3"/>
        <v>33.035001424128332</v>
      </c>
      <c r="J18" s="4">
        <f>I18/Bradford!$K$26</f>
        <v>6.4027407058205643</v>
      </c>
      <c r="K18" s="8"/>
    </row>
    <row r="19" spans="1:11" x14ac:dyDescent="0.45">
      <c r="A19" s="9"/>
      <c r="B19" s="4">
        <v>1</v>
      </c>
      <c r="C19" s="4">
        <v>30858</v>
      </c>
      <c r="D19" s="4">
        <v>2085879</v>
      </c>
      <c r="E19" s="2">
        <f>D19-$D$2</f>
        <v>2079869</v>
      </c>
      <c r="F19" s="4">
        <v>44979921</v>
      </c>
      <c r="G19" s="2">
        <f t="shared" si="1"/>
        <v>1457.642134940696</v>
      </c>
      <c r="H19" s="2">
        <f t="shared" si="2"/>
        <v>67.401289778987618</v>
      </c>
      <c r="I19" s="7">
        <f t="shared" si="3"/>
        <v>44.916127393220549</v>
      </c>
      <c r="J19" s="4">
        <f>I19/Bradford!$K$26</f>
        <v>8.7055033997469735</v>
      </c>
      <c r="K19" s="8"/>
    </row>
    <row r="21" spans="1:11" x14ac:dyDescent="0.45">
      <c r="A21" s="11"/>
    </row>
  </sheetData>
  <mergeCells count="6">
    <mergeCell ref="A8:A11"/>
    <mergeCell ref="A12:A15"/>
    <mergeCell ref="A16:A19"/>
    <mergeCell ref="K8:K11"/>
    <mergeCell ref="K12:K15"/>
    <mergeCell ref="K16:K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B026-1610-4D03-BC37-0140F8A6FBAE}">
  <dimension ref="A1:K21"/>
  <sheetViews>
    <sheetView topLeftCell="A5" workbookViewId="0">
      <selection activeCell="K20" sqref="K20"/>
    </sheetView>
  </sheetViews>
  <sheetFormatPr defaultRowHeight="14.25" x14ac:dyDescent="0.45"/>
  <cols>
    <col min="1" max="1" width="18.9296875" style="4" customWidth="1"/>
    <col min="2" max="2" width="13.6640625" style="4" bestFit="1" customWidth="1"/>
    <col min="3" max="3" width="16.19921875" style="4" bestFit="1" customWidth="1"/>
    <col min="4" max="4" width="10.46484375" style="4" bestFit="1" customWidth="1"/>
    <col min="5" max="5" width="10.06640625" style="4" bestFit="1" customWidth="1"/>
    <col min="6" max="6" width="8.73046875" style="4" bestFit="1" customWidth="1"/>
    <col min="7" max="8" width="11.19921875" style="4" bestFit="1" customWidth="1"/>
    <col min="9" max="9" width="15.1328125" style="4" bestFit="1" customWidth="1"/>
    <col min="10" max="10" width="13.3984375" style="4" bestFit="1" customWidth="1"/>
    <col min="11" max="11" width="14.06640625" style="4" bestFit="1" customWidth="1"/>
    <col min="12" max="16384" width="9.06640625" style="4"/>
  </cols>
  <sheetData>
    <row r="1" spans="1:11" s="1" customFormat="1" ht="85.5" x14ac:dyDescent="0.45">
      <c r="A1" s="1" t="s">
        <v>12</v>
      </c>
      <c r="B1" s="18" t="s">
        <v>13</v>
      </c>
      <c r="C1" s="18" t="s">
        <v>37</v>
      </c>
      <c r="D1" s="18" t="s">
        <v>14</v>
      </c>
      <c r="E1" s="18" t="s">
        <v>38</v>
      </c>
      <c r="F1" s="18" t="s">
        <v>26</v>
      </c>
      <c r="G1" s="18" t="s">
        <v>15</v>
      </c>
      <c r="H1" s="18" t="s">
        <v>16</v>
      </c>
      <c r="I1" s="18" t="s">
        <v>25</v>
      </c>
      <c r="J1" s="18" t="s">
        <v>36</v>
      </c>
      <c r="K1" s="18" t="s">
        <v>79</v>
      </c>
    </row>
    <row r="2" spans="1:11" s="1" customFormat="1" x14ac:dyDescent="0.45">
      <c r="A2" s="3" t="s">
        <v>17</v>
      </c>
      <c r="B2" s="2" t="s">
        <v>23</v>
      </c>
      <c r="C2" s="2">
        <v>28160</v>
      </c>
      <c r="D2" s="2">
        <v>8229</v>
      </c>
      <c r="E2" s="2">
        <f>D2-$D$2</f>
        <v>0</v>
      </c>
      <c r="F2" s="2">
        <v>50274957</v>
      </c>
      <c r="G2" s="2">
        <f>F2/C2</f>
        <v>1785.3322798295455</v>
      </c>
      <c r="H2" s="2">
        <f>E2/C2</f>
        <v>0</v>
      </c>
      <c r="I2" s="2">
        <v>0</v>
      </c>
      <c r="J2" s="2" t="s">
        <v>23</v>
      </c>
      <c r="K2" s="3" t="s">
        <v>23</v>
      </c>
    </row>
    <row r="3" spans="1:11" s="1" customFormat="1" x14ac:dyDescent="0.45">
      <c r="A3" s="3" t="s">
        <v>18</v>
      </c>
      <c r="B3" s="2" t="s">
        <v>23</v>
      </c>
      <c r="C3" s="2">
        <v>31658</v>
      </c>
      <c r="D3" s="2">
        <v>51235</v>
      </c>
      <c r="E3" s="2">
        <f t="shared" ref="E3:E18" si="0">D3-$D$2</f>
        <v>43006</v>
      </c>
      <c r="F3" s="2">
        <v>55198447</v>
      </c>
      <c r="G3" s="2">
        <f t="shared" ref="G3:G19" si="1">F3/C3</f>
        <v>1743.5860446016804</v>
      </c>
      <c r="H3" s="2">
        <f t="shared" ref="H3:H19" si="2">E3/C3</f>
        <v>1.3584559984837956</v>
      </c>
      <c r="I3" s="2">
        <v>1.1160714249999999</v>
      </c>
      <c r="J3" s="2" t="s">
        <v>23</v>
      </c>
      <c r="K3" s="3" t="s">
        <v>23</v>
      </c>
    </row>
    <row r="4" spans="1:11" s="1" customFormat="1" x14ac:dyDescent="0.45">
      <c r="A4" s="3" t="s">
        <v>19</v>
      </c>
      <c r="B4" s="2" t="s">
        <v>23</v>
      </c>
      <c r="C4" s="2">
        <v>28109</v>
      </c>
      <c r="D4" s="2">
        <v>468118</v>
      </c>
      <c r="E4" s="10">
        <f>D4-$D$2</f>
        <v>459889</v>
      </c>
      <c r="F4" s="2">
        <v>49347748</v>
      </c>
      <c r="G4" s="2">
        <f t="shared" si="1"/>
        <v>1755.5853285424598</v>
      </c>
      <c r="H4" s="2">
        <f>E4/C4</f>
        <v>16.360916432459355</v>
      </c>
      <c r="I4" s="2">
        <v>11.16071425</v>
      </c>
      <c r="J4" s="2" t="s">
        <v>23</v>
      </c>
      <c r="K4" s="3" t="s">
        <v>23</v>
      </c>
    </row>
    <row r="5" spans="1:11" s="1" customFormat="1" x14ac:dyDescent="0.45">
      <c r="A5" s="3" t="s">
        <v>20</v>
      </c>
      <c r="B5" s="2" t="s">
        <v>23</v>
      </c>
      <c r="C5" s="2">
        <v>27695</v>
      </c>
      <c r="D5" s="2">
        <v>1387924</v>
      </c>
      <c r="E5" s="2">
        <f t="shared" si="0"/>
        <v>1379695</v>
      </c>
      <c r="F5" s="2">
        <v>49625913</v>
      </c>
      <c r="G5" s="2">
        <f t="shared" si="1"/>
        <v>1791.8726484925078</v>
      </c>
      <c r="H5" s="2">
        <f t="shared" si="2"/>
        <v>49.81747607871457</v>
      </c>
      <c r="I5" s="2">
        <v>33.482142750000001</v>
      </c>
      <c r="J5" s="2" t="s">
        <v>23</v>
      </c>
      <c r="K5" s="3" t="s">
        <v>23</v>
      </c>
    </row>
    <row r="6" spans="1:11" s="1" customFormat="1" x14ac:dyDescent="0.45">
      <c r="A6" s="3" t="s">
        <v>21</v>
      </c>
      <c r="B6" s="2" t="s">
        <v>23</v>
      </c>
      <c r="C6" s="2">
        <v>27253</v>
      </c>
      <c r="D6" s="2">
        <v>2514398</v>
      </c>
      <c r="E6" s="2">
        <f t="shared" si="0"/>
        <v>2506169</v>
      </c>
      <c r="F6" s="2">
        <v>49643547</v>
      </c>
      <c r="G6" s="2">
        <f t="shared" si="1"/>
        <v>1821.5810002568523</v>
      </c>
      <c r="H6" s="2">
        <f t="shared" si="2"/>
        <v>91.959380618647486</v>
      </c>
      <c r="I6" s="2">
        <v>55.803571249999997</v>
      </c>
      <c r="J6" s="2" t="s">
        <v>23</v>
      </c>
      <c r="K6" s="3" t="s">
        <v>23</v>
      </c>
    </row>
    <row r="7" spans="1:11" s="1" customFormat="1" x14ac:dyDescent="0.45">
      <c r="A7" s="3" t="s">
        <v>22</v>
      </c>
      <c r="B7" s="2" t="s">
        <v>23</v>
      </c>
      <c r="C7" s="2">
        <v>32392</v>
      </c>
      <c r="D7" s="2">
        <v>6151733</v>
      </c>
      <c r="E7" s="2">
        <f t="shared" si="0"/>
        <v>6143504</v>
      </c>
      <c r="F7" s="2">
        <v>55944326</v>
      </c>
      <c r="G7" s="2">
        <f t="shared" si="1"/>
        <v>1727.1031736231168</v>
      </c>
      <c r="H7" s="2">
        <f t="shared" si="2"/>
        <v>189.66115090145715</v>
      </c>
      <c r="I7" s="2">
        <v>111.60714249999999</v>
      </c>
      <c r="J7" s="2" t="s">
        <v>23</v>
      </c>
      <c r="K7" s="3" t="s">
        <v>23</v>
      </c>
    </row>
    <row r="8" spans="1:11" x14ac:dyDescent="0.45">
      <c r="A8" s="9" t="s">
        <v>9</v>
      </c>
      <c r="B8" s="4">
        <v>0.25</v>
      </c>
      <c r="C8" s="4">
        <v>31117</v>
      </c>
      <c r="D8" s="4">
        <v>257851</v>
      </c>
      <c r="E8" s="2">
        <f t="shared" si="0"/>
        <v>249622</v>
      </c>
      <c r="F8" s="4">
        <v>47749030</v>
      </c>
      <c r="G8" s="2">
        <f t="shared" si="1"/>
        <v>1534.4997911109683</v>
      </c>
      <c r="H8" s="2">
        <f t="shared" si="2"/>
        <v>8.0220458270398822</v>
      </c>
      <c r="I8" s="7">
        <f>(H8*0.5862)+1.4143</f>
        <v>6.1168232638107796</v>
      </c>
      <c r="J8" s="4">
        <f>I8/Bradford!$K$29</f>
        <v>1.3801076054004986</v>
      </c>
      <c r="K8" s="8">
        <v>5.5683999999999996</v>
      </c>
    </row>
    <row r="9" spans="1:11" x14ac:dyDescent="0.45">
      <c r="A9" s="9"/>
      <c r="B9" s="4">
        <v>0.5</v>
      </c>
      <c r="C9" s="4">
        <v>31346</v>
      </c>
      <c r="D9" s="4">
        <v>595808</v>
      </c>
      <c r="E9" s="2">
        <f t="shared" si="0"/>
        <v>587579</v>
      </c>
      <c r="F9" s="4">
        <v>48221697</v>
      </c>
      <c r="G9" s="2">
        <f t="shared" si="1"/>
        <v>1538.368436164104</v>
      </c>
      <c r="H9" s="2">
        <f t="shared" si="2"/>
        <v>18.744943533465197</v>
      </c>
      <c r="I9" s="7">
        <f t="shared" ref="I9:I19" si="3">(H9*0.5862)+1.4143</f>
        <v>12.402585899317298</v>
      </c>
      <c r="J9" s="4">
        <f>I9/Bradford!$K$29</f>
        <v>2.7983321387672331</v>
      </c>
      <c r="K9" s="8"/>
    </row>
    <row r="10" spans="1:11" x14ac:dyDescent="0.45">
      <c r="A10" s="9"/>
      <c r="B10" s="4">
        <v>0.75</v>
      </c>
      <c r="C10" s="4">
        <v>29667</v>
      </c>
      <c r="D10" s="4">
        <v>871281</v>
      </c>
      <c r="E10" s="2">
        <f t="shared" si="0"/>
        <v>863052</v>
      </c>
      <c r="F10" s="4">
        <v>45436960</v>
      </c>
      <c r="G10" s="2">
        <f t="shared" si="1"/>
        <v>1531.5657127448005</v>
      </c>
      <c r="H10" s="2">
        <f t="shared" si="2"/>
        <v>29.091313580746284</v>
      </c>
      <c r="I10" s="7">
        <f t="shared" si="3"/>
        <v>18.467628021033473</v>
      </c>
      <c r="J10" s="4">
        <f>I10/Bradford!$K$29</f>
        <v>4.166756629430072</v>
      </c>
      <c r="K10" s="8"/>
    </row>
    <row r="11" spans="1:11" x14ac:dyDescent="0.45">
      <c r="A11" s="9"/>
      <c r="B11" s="4">
        <v>1</v>
      </c>
      <c r="C11" s="4">
        <v>29528</v>
      </c>
      <c r="D11" s="4">
        <v>1179254</v>
      </c>
      <c r="E11" s="2">
        <f t="shared" si="0"/>
        <v>1171025</v>
      </c>
      <c r="F11" s="4">
        <v>45535083</v>
      </c>
      <c r="G11" s="2">
        <f t="shared" si="1"/>
        <v>1542.0984489298294</v>
      </c>
      <c r="H11" s="2">
        <f t="shared" si="2"/>
        <v>39.658121105391494</v>
      </c>
      <c r="I11" s="7">
        <f t="shared" si="3"/>
        <v>24.661890591980498</v>
      </c>
      <c r="J11" s="4">
        <f>I11/Bradford!$K$29</f>
        <v>5.5643364703564817</v>
      </c>
      <c r="K11" s="8"/>
    </row>
    <row r="12" spans="1:11" x14ac:dyDescent="0.45">
      <c r="A12" s="9" t="s">
        <v>10</v>
      </c>
      <c r="B12" s="4">
        <v>0.25</v>
      </c>
      <c r="C12" s="4">
        <v>31878</v>
      </c>
      <c r="D12" s="4">
        <v>266023</v>
      </c>
      <c r="E12" s="2">
        <f t="shared" si="0"/>
        <v>257794</v>
      </c>
      <c r="F12" s="4">
        <v>48944749</v>
      </c>
      <c r="G12" s="2">
        <f t="shared" si="1"/>
        <v>1535.3770311813789</v>
      </c>
      <c r="H12" s="2">
        <f t="shared" si="2"/>
        <v>8.0868937825459568</v>
      </c>
      <c r="I12" s="7">
        <f t="shared" si="3"/>
        <v>6.1548371353284406</v>
      </c>
      <c r="J12" s="4">
        <f>I12/Bradford!$K$32</f>
        <v>1.4496880166204211</v>
      </c>
      <c r="K12" s="8">
        <v>5.8285</v>
      </c>
    </row>
    <row r="13" spans="1:11" x14ac:dyDescent="0.45">
      <c r="A13" s="9"/>
      <c r="B13" s="4">
        <v>0.5</v>
      </c>
      <c r="C13" s="4">
        <v>30259</v>
      </c>
      <c r="D13" s="4">
        <v>574894</v>
      </c>
      <c r="E13" s="2">
        <f t="shared" si="0"/>
        <v>566665</v>
      </c>
      <c r="F13" s="4">
        <v>46475948</v>
      </c>
      <c r="G13" s="2">
        <f t="shared" si="1"/>
        <v>1535.9380019167852</v>
      </c>
      <c r="H13" s="2">
        <f t="shared" si="2"/>
        <v>18.727155557024357</v>
      </c>
      <c r="I13" s="7">
        <f t="shared" si="3"/>
        <v>12.392158587527678</v>
      </c>
      <c r="J13" s="4">
        <f>I13/Bradford!$K$32</f>
        <v>2.9188040900841909</v>
      </c>
      <c r="K13" s="8"/>
    </row>
    <row r="14" spans="1:11" x14ac:dyDescent="0.45">
      <c r="A14" s="9"/>
      <c r="B14" s="4">
        <v>0.75</v>
      </c>
      <c r="C14" s="4">
        <v>30871</v>
      </c>
      <c r="D14" s="4">
        <v>915594</v>
      </c>
      <c r="E14" s="2">
        <f t="shared" si="0"/>
        <v>907365</v>
      </c>
      <c r="F14" s="4">
        <v>47662130</v>
      </c>
      <c r="G14" s="2">
        <f t="shared" si="1"/>
        <v>1543.9127336335073</v>
      </c>
      <c r="H14" s="2">
        <f t="shared" si="2"/>
        <v>29.392147970587281</v>
      </c>
      <c r="I14" s="7">
        <f t="shared" si="3"/>
        <v>18.643977140358267</v>
      </c>
      <c r="J14" s="4">
        <f>I14/Bradford!$K$32</f>
        <v>4.3913347580528876</v>
      </c>
      <c r="K14" s="8"/>
    </row>
    <row r="15" spans="1:11" x14ac:dyDescent="0.45">
      <c r="A15" s="9"/>
      <c r="B15" s="4">
        <v>1</v>
      </c>
      <c r="C15" s="4">
        <v>28624</v>
      </c>
      <c r="D15" s="4">
        <v>1144888</v>
      </c>
      <c r="E15" s="2">
        <f t="shared" si="0"/>
        <v>1136659</v>
      </c>
      <c r="F15" s="4">
        <v>44210832</v>
      </c>
      <c r="G15" s="2">
        <f t="shared" si="1"/>
        <v>1544.5371716042482</v>
      </c>
      <c r="H15" s="2">
        <f t="shared" si="2"/>
        <v>39.709998602571268</v>
      </c>
      <c r="I15" s="7">
        <f t="shared" si="3"/>
        <v>24.692301180827279</v>
      </c>
      <c r="J15" s="4">
        <f>I15/Bradford!$K$32</f>
        <v>5.8159350666095877</v>
      </c>
      <c r="K15" s="8"/>
    </row>
    <row r="16" spans="1:11" x14ac:dyDescent="0.45">
      <c r="A16" s="9" t="s">
        <v>11</v>
      </c>
      <c r="B16" s="4">
        <v>0.25</v>
      </c>
      <c r="C16" s="4">
        <v>33166</v>
      </c>
      <c r="D16" s="4">
        <v>531814</v>
      </c>
      <c r="E16" s="2">
        <f t="shared" si="0"/>
        <v>523585</v>
      </c>
      <c r="F16" s="4">
        <v>50779956</v>
      </c>
      <c r="G16" s="2">
        <f t="shared" si="1"/>
        <v>1531.084725321112</v>
      </c>
      <c r="H16" s="2">
        <f t="shared" si="2"/>
        <v>15.786799734668033</v>
      </c>
      <c r="I16" s="7">
        <f t="shared" si="3"/>
        <v>10.668522004462403</v>
      </c>
      <c r="J16" s="4">
        <f>I16/Bradford!$K$35</f>
        <v>1.9039391511591763</v>
      </c>
      <c r="K16" s="8">
        <v>4.5773999999999999</v>
      </c>
    </row>
    <row r="17" spans="1:11" x14ac:dyDescent="0.45">
      <c r="A17" s="9"/>
      <c r="B17" s="4">
        <v>0.5</v>
      </c>
      <c r="C17" s="4">
        <v>32023</v>
      </c>
      <c r="D17" s="4">
        <v>741187</v>
      </c>
      <c r="E17" s="2">
        <f t="shared" si="0"/>
        <v>732958</v>
      </c>
      <c r="F17" s="4">
        <v>49364373</v>
      </c>
      <c r="G17" s="2">
        <f t="shared" si="1"/>
        <v>1541.5286825094463</v>
      </c>
      <c r="H17" s="2">
        <f t="shared" si="2"/>
        <v>22.888486400399714</v>
      </c>
      <c r="I17" s="7">
        <f t="shared" si="3"/>
        <v>14.831530727914313</v>
      </c>
      <c r="J17" s="4">
        <f>I17/Bradford!$K$35</f>
        <v>2.6468832339367117</v>
      </c>
      <c r="K17" s="8"/>
    </row>
    <row r="18" spans="1:11" x14ac:dyDescent="0.45">
      <c r="A18" s="9"/>
      <c r="B18" s="4">
        <v>0.75</v>
      </c>
      <c r="C18" s="4">
        <v>32149</v>
      </c>
      <c r="D18" s="4">
        <v>1141714</v>
      </c>
      <c r="E18" s="2">
        <f t="shared" si="0"/>
        <v>1133485</v>
      </c>
      <c r="F18" s="4">
        <v>49815212</v>
      </c>
      <c r="G18" s="2">
        <f t="shared" si="1"/>
        <v>1549.5104668885501</v>
      </c>
      <c r="H18" s="2">
        <f t="shared" si="2"/>
        <v>35.257239727518744</v>
      </c>
      <c r="I18" s="7">
        <f t="shared" si="3"/>
        <v>22.08209392827149</v>
      </c>
      <c r="J18" s="4">
        <f>I18/Bradford!$K$35</f>
        <v>3.940842335238639</v>
      </c>
      <c r="K18" s="8"/>
    </row>
    <row r="19" spans="1:11" x14ac:dyDescent="0.45">
      <c r="A19" s="9"/>
      <c r="B19" s="4">
        <v>1</v>
      </c>
      <c r="C19" s="4">
        <v>30135</v>
      </c>
      <c r="D19" s="4">
        <v>1458498</v>
      </c>
      <c r="E19" s="2">
        <f>D19-$D$2</f>
        <v>1450269</v>
      </c>
      <c r="F19" s="4">
        <v>46878441</v>
      </c>
      <c r="G19" s="2">
        <f t="shared" si="1"/>
        <v>1555.6144350423097</v>
      </c>
      <c r="H19" s="2">
        <f t="shared" si="2"/>
        <v>48.12573419611747</v>
      </c>
      <c r="I19" s="7">
        <f t="shared" si="3"/>
        <v>29.625605385764064</v>
      </c>
      <c r="J19" s="4">
        <f>I19/Bradford!$K$35</f>
        <v>5.2870819357316101</v>
      </c>
      <c r="K19" s="8"/>
    </row>
    <row r="21" spans="1:11" x14ac:dyDescent="0.45">
      <c r="A21" s="11"/>
    </row>
  </sheetData>
  <mergeCells count="6">
    <mergeCell ref="A8:A11"/>
    <mergeCell ref="A12:A15"/>
    <mergeCell ref="A16:A19"/>
    <mergeCell ref="K8:K11"/>
    <mergeCell ref="K12:K15"/>
    <mergeCell ref="K16:K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2352-70B2-4C38-8245-D7226E50E47F}">
  <dimension ref="A1:M37"/>
  <sheetViews>
    <sheetView workbookViewId="0">
      <selection activeCell="K9" sqref="K9"/>
    </sheetView>
  </sheetViews>
  <sheetFormatPr defaultRowHeight="14.25" x14ac:dyDescent="0.45"/>
  <cols>
    <col min="1" max="3" width="9.1328125" style="15" bestFit="1" customWidth="1"/>
    <col min="4" max="4" width="11.265625" style="15" bestFit="1" customWidth="1"/>
    <col min="5" max="5" width="9.1328125" style="15" bestFit="1" customWidth="1"/>
    <col min="6" max="6" width="9.1328125" style="15" customWidth="1"/>
    <col min="7" max="7" width="11.59765625" style="15" bestFit="1" customWidth="1"/>
    <col min="8" max="8" width="9.1328125" style="15" bestFit="1" customWidth="1"/>
    <col min="9" max="9" width="11.3984375" style="15" bestFit="1" customWidth="1"/>
    <col min="10" max="10" width="11.265625" style="15" bestFit="1" customWidth="1"/>
    <col min="11" max="11" width="11.59765625" style="15" bestFit="1" customWidth="1"/>
    <col min="12" max="12" width="11.3984375" style="15" bestFit="1" customWidth="1"/>
    <col min="13" max="13" width="9.06640625" style="15"/>
  </cols>
  <sheetData>
    <row r="1" spans="1:13" ht="42.75" x14ac:dyDescent="0.45">
      <c r="A1" s="17" t="s">
        <v>27</v>
      </c>
      <c r="B1" s="17" t="s">
        <v>28</v>
      </c>
      <c r="C1" s="17" t="s">
        <v>29</v>
      </c>
      <c r="D1" s="17" t="s">
        <v>30</v>
      </c>
      <c r="E1" s="17" t="s">
        <v>31</v>
      </c>
      <c r="F1" s="17"/>
      <c r="G1" s="17" t="s">
        <v>32</v>
      </c>
      <c r="H1" s="17" t="s">
        <v>33</v>
      </c>
      <c r="I1" s="17" t="s">
        <v>76</v>
      </c>
      <c r="J1" s="17" t="s">
        <v>77</v>
      </c>
      <c r="K1" s="17" t="s">
        <v>75</v>
      </c>
      <c r="L1" s="17" t="s">
        <v>78</v>
      </c>
      <c r="M1" s="12"/>
    </row>
    <row r="2" spans="1:13" x14ac:dyDescent="0.45">
      <c r="A2" s="13">
        <v>0.112</v>
      </c>
      <c r="B2" s="13">
        <v>0.109</v>
      </c>
      <c r="C2" s="13">
        <v>0.108</v>
      </c>
      <c r="D2" s="19">
        <f>AVERAGE(A2:C2)</f>
        <v>0.10966666666666668</v>
      </c>
      <c r="E2" s="20">
        <v>0.125</v>
      </c>
      <c r="F2" s="14"/>
      <c r="G2" s="15" t="s">
        <v>66</v>
      </c>
      <c r="H2" s="13">
        <v>0.47399999999999998</v>
      </c>
      <c r="I2" s="19">
        <f>(H2-0.0366)/0.7149</f>
        <v>0.61183382291229538</v>
      </c>
      <c r="J2" s="19">
        <f>I2*8</f>
        <v>4.894670583298363</v>
      </c>
      <c r="K2" s="16">
        <f>AVERAGE(J2:J4)</f>
        <v>5.0923672308481374</v>
      </c>
      <c r="L2" s="12">
        <f>_xlfn.STDEV.S(J2:J4)</f>
        <v>0.17130172056817336</v>
      </c>
      <c r="M2" s="12"/>
    </row>
    <row r="3" spans="1:13" x14ac:dyDescent="0.45">
      <c r="A3" s="13">
        <v>0.20599999999999999</v>
      </c>
      <c r="B3" s="13">
        <v>0.214</v>
      </c>
      <c r="C3" s="13">
        <v>0.217</v>
      </c>
      <c r="D3" s="19">
        <f>AVERAGE(A3:C3)</f>
        <v>0.21233333333333335</v>
      </c>
      <c r="E3" s="20">
        <v>0.25</v>
      </c>
      <c r="F3" s="14"/>
      <c r="G3" s="15" t="s">
        <v>67</v>
      </c>
      <c r="H3" s="13">
        <v>0.5</v>
      </c>
      <c r="I3" s="19">
        <f t="shared" ref="I3:I28" si="0">(H3-0.0366)/0.7149</f>
        <v>0.64820254581060288</v>
      </c>
      <c r="J3" s="19">
        <f t="shared" ref="J3:J28" si="1">I3*8</f>
        <v>5.1856203664848231</v>
      </c>
      <c r="K3" s="12"/>
      <c r="L3" s="12"/>
      <c r="M3" s="12"/>
    </row>
    <row r="4" spans="1:13" x14ac:dyDescent="0.45">
      <c r="A4" s="13">
        <v>0.42</v>
      </c>
      <c r="B4" s="13">
        <v>0.42</v>
      </c>
      <c r="C4" s="13">
        <v>0.41199999999999998</v>
      </c>
      <c r="D4" s="19">
        <f>AVERAGE(A4:C4)</f>
        <v>0.41733333333333333</v>
      </c>
      <c r="E4" s="20">
        <v>0.5</v>
      </c>
      <c r="F4" s="14"/>
      <c r="G4" s="15" t="s">
        <v>68</v>
      </c>
      <c r="H4" s="13">
        <v>0.501</v>
      </c>
      <c r="I4" s="19">
        <f t="shared" si="0"/>
        <v>0.64960134284515314</v>
      </c>
      <c r="J4" s="19">
        <f t="shared" si="1"/>
        <v>5.1968107427612251</v>
      </c>
      <c r="K4" s="12"/>
      <c r="L4" s="12"/>
      <c r="M4" s="12"/>
    </row>
    <row r="5" spans="1:13" x14ac:dyDescent="0.45">
      <c r="A5" s="13">
        <v>0.58799999999999997</v>
      </c>
      <c r="B5" s="13">
        <v>0.59599999999999997</v>
      </c>
      <c r="C5" s="13">
        <v>0.59299999999999997</v>
      </c>
      <c r="D5" s="19">
        <f>AVERAGE(A5:C5)</f>
        <v>0.59233333333333327</v>
      </c>
      <c r="E5" s="20">
        <v>0.75</v>
      </c>
      <c r="F5" s="14"/>
      <c r="G5" s="15" t="s">
        <v>69</v>
      </c>
      <c r="H5" s="13">
        <v>0.41599999999999998</v>
      </c>
      <c r="I5" s="19">
        <f t="shared" si="0"/>
        <v>0.53070359490837871</v>
      </c>
      <c r="J5" s="19">
        <f t="shared" si="1"/>
        <v>4.2456287592670297</v>
      </c>
      <c r="K5" s="16">
        <f>AVERAGE(J5:J7)</f>
        <v>4.2157877558632899</v>
      </c>
      <c r="L5" s="12">
        <f t="shared" ref="L5:L26" si="2">_xlfn.STDEV.S(J5:J7)</f>
        <v>8.2485548141915971E-2</v>
      </c>
      <c r="M5" s="12"/>
    </row>
    <row r="6" spans="1:13" x14ac:dyDescent="0.45">
      <c r="A6" s="13">
        <v>0.73</v>
      </c>
      <c r="B6" s="13">
        <v>0.74299999999999999</v>
      </c>
      <c r="C6" s="13">
        <v>0.71099999999999997</v>
      </c>
      <c r="D6" s="19">
        <f>AVERAGE(A6:C6)</f>
        <v>0.72799999999999987</v>
      </c>
      <c r="E6" s="20">
        <v>1</v>
      </c>
      <c r="F6" s="14"/>
      <c r="G6" s="15" t="s">
        <v>70</v>
      </c>
      <c r="H6" s="13">
        <v>0.40500000000000003</v>
      </c>
      <c r="I6" s="19">
        <f t="shared" si="0"/>
        <v>0.51531682752832564</v>
      </c>
      <c r="J6" s="19">
        <f t="shared" si="1"/>
        <v>4.1225346202266051</v>
      </c>
      <c r="K6" s="12"/>
      <c r="L6" s="12"/>
      <c r="M6" s="12"/>
    </row>
    <row r="7" spans="1:13" x14ac:dyDescent="0.45">
      <c r="A7" s="12"/>
      <c r="B7" s="12"/>
      <c r="C7" s="12"/>
      <c r="D7" s="12"/>
      <c r="E7" s="12"/>
      <c r="F7" s="12"/>
      <c r="G7" s="15" t="s">
        <v>71</v>
      </c>
      <c r="H7" s="13">
        <v>0.41899999999999998</v>
      </c>
      <c r="I7" s="19">
        <f t="shared" si="0"/>
        <v>0.53489998601202959</v>
      </c>
      <c r="J7" s="19">
        <f t="shared" si="1"/>
        <v>4.2791998880962367</v>
      </c>
      <c r="K7" s="12"/>
      <c r="L7" s="12"/>
      <c r="M7" s="12"/>
    </row>
    <row r="8" spans="1:13" x14ac:dyDescent="0.45">
      <c r="A8" s="12"/>
      <c r="B8" s="12"/>
      <c r="C8" s="12"/>
      <c r="D8" s="12"/>
      <c r="E8" s="12"/>
      <c r="F8" s="12"/>
      <c r="G8" s="15" t="s">
        <v>72</v>
      </c>
      <c r="H8" s="13">
        <v>0.57299999999999995</v>
      </c>
      <c r="I8" s="19">
        <f t="shared" si="0"/>
        <v>0.75031472933277377</v>
      </c>
      <c r="J8" s="19">
        <f t="shared" si="1"/>
        <v>6.0025178346621901</v>
      </c>
      <c r="K8" s="16">
        <f>AVERAGE(J8:J10)</f>
        <v>6.0025178346621901</v>
      </c>
      <c r="L8" s="12">
        <f t="shared" si="2"/>
        <v>0.12309413904042454</v>
      </c>
      <c r="M8" s="12"/>
    </row>
    <row r="9" spans="1:13" x14ac:dyDescent="0.45">
      <c r="A9" s="12"/>
      <c r="B9" s="12"/>
      <c r="C9" s="12"/>
      <c r="D9" s="12"/>
      <c r="E9" s="12"/>
      <c r="F9" s="12"/>
      <c r="G9" s="15" t="s">
        <v>73</v>
      </c>
      <c r="H9" s="13">
        <v>0.58399999999999996</v>
      </c>
      <c r="I9" s="19">
        <f t="shared" si="0"/>
        <v>0.76570149671282695</v>
      </c>
      <c r="J9" s="19">
        <f t="shared" si="1"/>
        <v>6.1256119737026156</v>
      </c>
      <c r="K9" s="12"/>
      <c r="L9" s="12"/>
      <c r="M9" s="12"/>
    </row>
    <row r="10" spans="1:13" x14ac:dyDescent="0.45">
      <c r="A10" s="12"/>
      <c r="B10" s="12"/>
      <c r="C10" s="12"/>
      <c r="D10" s="12"/>
      <c r="E10" s="12"/>
      <c r="F10" s="12"/>
      <c r="G10" s="15" t="s">
        <v>74</v>
      </c>
      <c r="H10" s="13">
        <v>0.56200000000000006</v>
      </c>
      <c r="I10" s="19">
        <f t="shared" si="0"/>
        <v>0.73492796195272081</v>
      </c>
      <c r="J10" s="19">
        <f t="shared" si="1"/>
        <v>5.8794236956217665</v>
      </c>
      <c r="K10" s="12"/>
      <c r="L10" s="12"/>
      <c r="M10" s="12"/>
    </row>
    <row r="11" spans="1:13" x14ac:dyDescent="0.45">
      <c r="A11" s="12"/>
      <c r="B11" s="12"/>
      <c r="C11" s="12"/>
      <c r="D11" s="12"/>
      <c r="E11" s="12"/>
      <c r="F11" s="12"/>
      <c r="G11" s="15" t="s">
        <v>39</v>
      </c>
      <c r="H11" s="13">
        <v>0.41599999999999998</v>
      </c>
      <c r="I11" s="19">
        <f t="shared" si="0"/>
        <v>0.53070359490837871</v>
      </c>
      <c r="J11" s="19">
        <f t="shared" si="1"/>
        <v>4.2456287592670297</v>
      </c>
      <c r="K11" s="16">
        <f>AVERAGE(J11:J13)</f>
        <v>4.0852333659719307</v>
      </c>
      <c r="L11" s="12">
        <f t="shared" si="2"/>
        <v>0.14775252348832593</v>
      </c>
      <c r="M11" s="12"/>
    </row>
    <row r="12" spans="1:13" x14ac:dyDescent="0.45">
      <c r="G12" s="15" t="s">
        <v>40</v>
      </c>
      <c r="H12" s="13">
        <v>0.39</v>
      </c>
      <c r="I12" s="19">
        <f t="shared" si="0"/>
        <v>0.49433487201007137</v>
      </c>
      <c r="J12" s="19">
        <f t="shared" si="1"/>
        <v>3.954678976080571</v>
      </c>
      <c r="K12" s="12"/>
      <c r="L12" s="12"/>
    </row>
    <row r="13" spans="1:13" x14ac:dyDescent="0.45">
      <c r="G13" s="15" t="s">
        <v>41</v>
      </c>
      <c r="H13" s="13">
        <v>0.39900000000000002</v>
      </c>
      <c r="I13" s="19">
        <f t="shared" si="0"/>
        <v>0.50692404532102397</v>
      </c>
      <c r="J13" s="19">
        <f t="shared" si="1"/>
        <v>4.0553923625681918</v>
      </c>
      <c r="K13" s="12"/>
      <c r="L13" s="12"/>
    </row>
    <row r="14" spans="1:13" x14ac:dyDescent="0.45">
      <c r="G14" s="15" t="s">
        <v>42</v>
      </c>
      <c r="H14" s="13">
        <v>0.45300000000000001</v>
      </c>
      <c r="I14" s="19">
        <f t="shared" si="0"/>
        <v>0.58245908518673939</v>
      </c>
      <c r="J14" s="19">
        <f t="shared" si="1"/>
        <v>4.6596726814939151</v>
      </c>
      <c r="K14" s="16">
        <f>AVERAGE(J14:J16)</f>
        <v>4.8014174476616773</v>
      </c>
      <c r="L14" s="12">
        <f t="shared" si="2"/>
        <v>0.29529308875668997</v>
      </c>
    </row>
    <row r="15" spans="1:13" x14ac:dyDescent="0.45">
      <c r="G15" s="15" t="s">
        <v>43</v>
      </c>
      <c r="H15" s="13">
        <v>0.44800000000000001</v>
      </c>
      <c r="I15" s="19">
        <f t="shared" si="0"/>
        <v>0.57546510001398798</v>
      </c>
      <c r="J15" s="19">
        <f t="shared" si="1"/>
        <v>4.6037208001119039</v>
      </c>
      <c r="K15" s="12"/>
      <c r="L15" s="12"/>
    </row>
    <row r="16" spans="1:13" x14ac:dyDescent="0.45">
      <c r="G16" s="15" t="s">
        <v>44</v>
      </c>
      <c r="H16" s="13">
        <v>0.496</v>
      </c>
      <c r="I16" s="19">
        <f t="shared" si="0"/>
        <v>0.64260735767240174</v>
      </c>
      <c r="J16" s="19">
        <f t="shared" si="1"/>
        <v>5.1408588613792139</v>
      </c>
      <c r="K16" s="12"/>
      <c r="L16" s="12"/>
    </row>
    <row r="17" spans="7:12" x14ac:dyDescent="0.45">
      <c r="G17" s="15" t="s">
        <v>45</v>
      </c>
      <c r="H17" s="13">
        <v>0.5</v>
      </c>
      <c r="I17" s="19">
        <f t="shared" si="0"/>
        <v>0.64820254581060288</v>
      </c>
      <c r="J17" s="19">
        <f t="shared" si="1"/>
        <v>5.1856203664848231</v>
      </c>
      <c r="K17" s="16">
        <f>AVERAGE(J17:J19)</f>
        <v>4.9468923392549078</v>
      </c>
      <c r="L17" s="12">
        <f t="shared" si="2"/>
        <v>0.21418196999047828</v>
      </c>
    </row>
    <row r="18" spans="7:12" x14ac:dyDescent="0.45">
      <c r="G18" s="15" t="s">
        <v>46</v>
      </c>
      <c r="H18" s="13">
        <v>0.46300000000000002</v>
      </c>
      <c r="I18" s="19">
        <f t="shared" si="0"/>
        <v>0.59644705553224231</v>
      </c>
      <c r="J18" s="19">
        <f t="shared" si="1"/>
        <v>4.7715764442579385</v>
      </c>
      <c r="K18" s="12"/>
      <c r="L18" s="12"/>
    </row>
    <row r="19" spans="7:12" x14ac:dyDescent="0.45">
      <c r="G19" s="15" t="s">
        <v>47</v>
      </c>
      <c r="H19" s="13">
        <v>0.47299999999999998</v>
      </c>
      <c r="I19" s="19">
        <f t="shared" si="0"/>
        <v>0.61043502587774512</v>
      </c>
      <c r="J19" s="19">
        <f t="shared" si="1"/>
        <v>4.883480207021961</v>
      </c>
      <c r="K19" s="12"/>
      <c r="L19" s="12"/>
    </row>
    <row r="20" spans="7:12" x14ac:dyDescent="0.45">
      <c r="G20" s="15" t="s">
        <v>57</v>
      </c>
      <c r="H20" s="13">
        <v>0.33900000000000002</v>
      </c>
      <c r="I20" s="19">
        <f t="shared" si="0"/>
        <v>0.42299622324800673</v>
      </c>
      <c r="J20" s="19">
        <f t="shared" si="1"/>
        <v>3.3839697859840538</v>
      </c>
      <c r="K20" s="16">
        <f>AVERAGE(J20:J22)</f>
        <v>3.3951601622604564</v>
      </c>
      <c r="L20" s="12">
        <f t="shared" si="2"/>
        <v>1.1190376276402292E-2</v>
      </c>
    </row>
    <row r="21" spans="7:12" x14ac:dyDescent="0.45">
      <c r="G21" s="15" t="s">
        <v>58</v>
      </c>
      <c r="H21" s="13">
        <v>0.34</v>
      </c>
      <c r="I21" s="19">
        <f t="shared" si="0"/>
        <v>0.42439502028255699</v>
      </c>
      <c r="J21" s="19">
        <f t="shared" si="1"/>
        <v>3.3951601622604559</v>
      </c>
      <c r="L21" s="12"/>
    </row>
    <row r="22" spans="7:12" x14ac:dyDescent="0.45">
      <c r="G22" s="15" t="s">
        <v>59</v>
      </c>
      <c r="H22" s="13">
        <v>0.34100000000000003</v>
      </c>
      <c r="I22" s="19">
        <f t="shared" si="0"/>
        <v>0.4257938173171073</v>
      </c>
      <c r="J22" s="19">
        <f t="shared" si="1"/>
        <v>3.4063505385368584</v>
      </c>
      <c r="L22" s="12"/>
    </row>
    <row r="23" spans="7:12" x14ac:dyDescent="0.45">
      <c r="G23" s="15" t="s">
        <v>60</v>
      </c>
      <c r="H23" s="13">
        <v>0.47899999999999998</v>
      </c>
      <c r="I23" s="19">
        <f t="shared" si="0"/>
        <v>0.61882780808504678</v>
      </c>
      <c r="J23" s="19">
        <f t="shared" si="1"/>
        <v>4.9506224646803743</v>
      </c>
      <c r="K23" s="16">
        <f>AVERAGE(J23:J25)</f>
        <v>4.8760199561710253</v>
      </c>
      <c r="L23" s="12">
        <f t="shared" si="2"/>
        <v>7.2809143641322266E-2</v>
      </c>
    </row>
    <row r="24" spans="7:12" x14ac:dyDescent="0.45">
      <c r="G24" s="15" t="s">
        <v>61</v>
      </c>
      <c r="H24" s="13">
        <v>0.46600000000000003</v>
      </c>
      <c r="I24" s="19">
        <f t="shared" si="0"/>
        <v>0.6006434466358932</v>
      </c>
      <c r="J24" s="19">
        <f t="shared" si="1"/>
        <v>4.8051475730871456</v>
      </c>
      <c r="L24" s="12"/>
    </row>
    <row r="25" spans="7:12" x14ac:dyDescent="0.45">
      <c r="G25" s="15" t="s">
        <v>62</v>
      </c>
      <c r="H25" s="13">
        <v>0.47199999999999998</v>
      </c>
      <c r="I25" s="19">
        <f t="shared" si="0"/>
        <v>0.60903622884319486</v>
      </c>
      <c r="J25" s="19">
        <f t="shared" si="1"/>
        <v>4.8722898307455589</v>
      </c>
      <c r="L25" s="12"/>
    </row>
    <row r="26" spans="7:12" x14ac:dyDescent="0.45">
      <c r="G26" s="15" t="s">
        <v>63</v>
      </c>
      <c r="H26" s="13">
        <v>0.49299999999999999</v>
      </c>
      <c r="I26" s="19">
        <f t="shared" si="0"/>
        <v>0.63841096656875085</v>
      </c>
      <c r="J26" s="19">
        <f t="shared" si="1"/>
        <v>5.1072877325500068</v>
      </c>
      <c r="K26" s="16">
        <f>AVERAGE(J26:J28)</f>
        <v>5.1595094885065507</v>
      </c>
      <c r="L26" s="12">
        <f t="shared" si="2"/>
        <v>4.6589251631638226E-2</v>
      </c>
    </row>
    <row r="27" spans="7:12" x14ac:dyDescent="0.45">
      <c r="G27" s="15" t="s">
        <v>64</v>
      </c>
      <c r="H27" s="13">
        <v>0.499</v>
      </c>
      <c r="I27" s="19">
        <f t="shared" si="0"/>
        <v>0.64680374877605262</v>
      </c>
      <c r="J27" s="19">
        <f t="shared" si="1"/>
        <v>5.174429990208421</v>
      </c>
      <c r="L27" s="12"/>
    </row>
    <row r="28" spans="7:12" x14ac:dyDescent="0.45">
      <c r="G28" s="15" t="s">
        <v>65</v>
      </c>
      <c r="H28" s="13">
        <v>0.501</v>
      </c>
      <c r="I28" s="19">
        <f t="shared" si="0"/>
        <v>0.64960134284515314</v>
      </c>
      <c r="J28" s="19">
        <f t="shared" si="1"/>
        <v>5.1968107427612251</v>
      </c>
      <c r="L28" s="12"/>
    </row>
    <row r="29" spans="7:12" x14ac:dyDescent="0.45">
      <c r="G29" s="15" t="s">
        <v>48</v>
      </c>
      <c r="H29" s="13">
        <v>0.44400000000000001</v>
      </c>
      <c r="I29" s="19">
        <f>(H29-0.0366)/0.7149</f>
        <v>0.56986991187578684</v>
      </c>
      <c r="J29" s="19">
        <f>I29*8</f>
        <v>4.5589592950062947</v>
      </c>
      <c r="K29" s="16">
        <f>AVERAGE(J29:J31)</f>
        <v>4.4321350305404019</v>
      </c>
      <c r="L29" s="12">
        <f>_xlfn.STDEV.S(J29:J31)</f>
        <v>0.20059614356877925</v>
      </c>
    </row>
    <row r="30" spans="7:12" x14ac:dyDescent="0.45">
      <c r="G30" s="15" t="s">
        <v>49</v>
      </c>
      <c r="H30" s="13">
        <v>0.41199999999999998</v>
      </c>
      <c r="I30" s="19">
        <f>(H30-0.0366)/0.7149</f>
        <v>0.52510840677017756</v>
      </c>
      <c r="J30" s="19">
        <f>I30*8</f>
        <v>4.2008672541614205</v>
      </c>
      <c r="K30" s="12"/>
      <c r="L30" s="12"/>
    </row>
    <row r="31" spans="7:12" x14ac:dyDescent="0.45">
      <c r="G31" s="15" t="s">
        <v>50</v>
      </c>
      <c r="H31" s="13">
        <v>0.442</v>
      </c>
      <c r="I31" s="19">
        <f>(H31-0.0366)/0.7149</f>
        <v>0.56707231780668621</v>
      </c>
      <c r="J31" s="19">
        <f>I31*8</f>
        <v>4.5365785424534897</v>
      </c>
      <c r="K31" s="12"/>
      <c r="L31" s="12"/>
    </row>
    <row r="32" spans="7:12" x14ac:dyDescent="0.45">
      <c r="G32" s="15" t="s">
        <v>51</v>
      </c>
      <c r="H32" s="13">
        <v>0.41</v>
      </c>
      <c r="I32" s="19">
        <f>(H32-0.0366)/0.7149</f>
        <v>0.52231081270107704</v>
      </c>
      <c r="J32" s="19">
        <f>I32*8</f>
        <v>4.1784865016086163</v>
      </c>
      <c r="K32" s="16">
        <f>AVERAGE(J32:J34)</f>
        <v>4.2456287592670305</v>
      </c>
      <c r="L32" s="12">
        <f>_xlfn.STDEV.S(J32:J34)</f>
        <v>7.3380204496315452E-2</v>
      </c>
    </row>
    <row r="33" spans="7:12" x14ac:dyDescent="0.45">
      <c r="G33" s="15" t="s">
        <v>52</v>
      </c>
      <c r="H33" s="13">
        <v>0.42299999999999999</v>
      </c>
      <c r="I33" s="19">
        <f>(H33-0.0366)/0.7149</f>
        <v>0.54049517415023074</v>
      </c>
      <c r="J33" s="19">
        <f>I33*8</f>
        <v>4.3239613932018459</v>
      </c>
      <c r="K33" s="12"/>
      <c r="L33" s="12"/>
    </row>
    <row r="34" spans="7:12" x14ac:dyDescent="0.45">
      <c r="G34" s="15" t="s">
        <v>53</v>
      </c>
      <c r="H34" s="13">
        <v>0.41499999999999998</v>
      </c>
      <c r="I34" s="19">
        <f>(H34-0.0366)/0.7149</f>
        <v>0.52930479787382845</v>
      </c>
      <c r="J34" s="19">
        <f>I34*8</f>
        <v>4.2344383829906276</v>
      </c>
      <c r="K34" s="12"/>
      <c r="L34" s="12"/>
    </row>
    <row r="35" spans="7:12" x14ac:dyDescent="0.45">
      <c r="G35" s="15" t="s">
        <v>54</v>
      </c>
      <c r="H35" s="13">
        <v>0.52100000000000002</v>
      </c>
      <c r="I35" s="19">
        <f>(H35-0.0366)/0.7149</f>
        <v>0.67757728353615887</v>
      </c>
      <c r="J35" s="19">
        <f>I35*8</f>
        <v>5.420618268289271</v>
      </c>
      <c r="K35" s="16">
        <f>AVERAGE(J35:J37)</f>
        <v>5.603394414137175</v>
      </c>
      <c r="L35" s="12">
        <f>_xlfn.STDEV.S(J35:J37)</f>
        <v>0.19713280569551131</v>
      </c>
    </row>
    <row r="36" spans="7:12" x14ac:dyDescent="0.45">
      <c r="G36" s="15" t="s">
        <v>55</v>
      </c>
      <c r="H36" s="13">
        <v>0.53500000000000003</v>
      </c>
      <c r="I36" s="19">
        <f>(H36-0.0366)/0.7149</f>
        <v>0.69716044201986294</v>
      </c>
      <c r="J36" s="19">
        <f>I36*8</f>
        <v>5.5772835361589035</v>
      </c>
      <c r="L36" s="12"/>
    </row>
    <row r="37" spans="7:12" x14ac:dyDescent="0.45">
      <c r="G37" s="15" t="s">
        <v>56</v>
      </c>
      <c r="H37" s="13">
        <v>0.55600000000000005</v>
      </c>
      <c r="I37" s="19">
        <f>(H37-0.0366)/0.7149</f>
        <v>0.72653517974541904</v>
      </c>
      <c r="J37" s="19">
        <f>I37*8</f>
        <v>5.8122814379633523</v>
      </c>
      <c r="L37" s="12"/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77FC-B568-4047-8440-18A369FA043F}">
  <dimension ref="A1:T20"/>
  <sheetViews>
    <sheetView workbookViewId="0">
      <selection activeCell="F19" sqref="F19"/>
    </sheetView>
  </sheetViews>
  <sheetFormatPr defaultRowHeight="14.25" x14ac:dyDescent="0.45"/>
  <sheetData>
    <row r="1" spans="1:20" x14ac:dyDescent="0.45">
      <c r="A1" t="s">
        <v>121</v>
      </c>
      <c r="B1" t="s">
        <v>122</v>
      </c>
      <c r="C1" t="s">
        <v>123</v>
      </c>
      <c r="D1" t="s">
        <v>124</v>
      </c>
    </row>
    <row r="2" spans="1:20" x14ac:dyDescent="0.45">
      <c r="A2">
        <v>14.603999999999999</v>
      </c>
      <c r="B2">
        <v>7.3014000000000001</v>
      </c>
      <c r="C2">
        <v>11.061</v>
      </c>
      <c r="D2">
        <v>5.8285</v>
      </c>
    </row>
    <row r="3" spans="1:20" x14ac:dyDescent="0.45">
      <c r="A3">
        <v>13.164999999999999</v>
      </c>
      <c r="B3">
        <v>5.6829999999999998</v>
      </c>
      <c r="C3">
        <v>8.9757999999999996</v>
      </c>
      <c r="D3">
        <v>5.5683999999999996</v>
      </c>
    </row>
    <row r="4" spans="1:20" x14ac:dyDescent="0.45">
      <c r="A4">
        <v>11.504</v>
      </c>
      <c r="B4">
        <v>5.2157999999999998</v>
      </c>
      <c r="C4">
        <v>8.1702999999999992</v>
      </c>
      <c r="D4">
        <v>4.5773999999999999</v>
      </c>
    </row>
    <row r="6" spans="1:20" ht="14.65" thickBot="1" x14ac:dyDescent="0.5">
      <c r="A6" t="s">
        <v>81</v>
      </c>
      <c r="K6" t="s">
        <v>82</v>
      </c>
      <c r="N6" t="s">
        <v>83</v>
      </c>
      <c r="O6">
        <v>0.05</v>
      </c>
    </row>
    <row r="7" spans="1:20" ht="14.65" thickTop="1" x14ac:dyDescent="0.45">
      <c r="K7" s="21" t="s">
        <v>84</v>
      </c>
      <c r="L7" s="21" t="s">
        <v>85</v>
      </c>
      <c r="M7" s="21" t="s">
        <v>80</v>
      </c>
      <c r="N7" s="21" t="s">
        <v>86</v>
      </c>
      <c r="O7" s="21" t="s">
        <v>87</v>
      </c>
      <c r="P7" s="21" t="s">
        <v>88</v>
      </c>
    </row>
    <row r="8" spans="1:20" ht="14.65" thickBot="1" x14ac:dyDescent="0.5">
      <c r="A8" t="s">
        <v>89</v>
      </c>
      <c r="F8" t="s">
        <v>90</v>
      </c>
      <c r="G8">
        <v>0.05</v>
      </c>
      <c r="K8" t="str">
        <f>A1</f>
        <v>WT</v>
      </c>
      <c r="L8">
        <f>AVERAGE(A2:A4)</f>
        <v>13.090999999999999</v>
      </c>
      <c r="M8">
        <f>COUNT(A2:A4)</f>
        <v>3</v>
      </c>
      <c r="N8">
        <f>DEVSQ(A2:A4)</f>
        <v>4.8132139999999985</v>
      </c>
    </row>
    <row r="9" spans="1:20" ht="14.65" thickTop="1" x14ac:dyDescent="0.45">
      <c r="A9" s="21" t="s">
        <v>91</v>
      </c>
      <c r="B9" s="21" t="s">
        <v>92</v>
      </c>
      <c r="C9" s="21" t="s">
        <v>93</v>
      </c>
      <c r="D9" s="21" t="s">
        <v>94</v>
      </c>
      <c r="E9" s="21" t="s">
        <v>95</v>
      </c>
      <c r="F9" s="21" t="s">
        <v>96</v>
      </c>
      <c r="G9" s="21" t="s">
        <v>97</v>
      </c>
      <c r="H9" s="21" t="s">
        <v>98</v>
      </c>
      <c r="I9" s="21" t="s">
        <v>99</v>
      </c>
      <c r="K9" t="str">
        <f>B1</f>
        <v>Anc1A</v>
      </c>
      <c r="L9">
        <f>AVERAGE(B2:B4)</f>
        <v>6.0667333333333344</v>
      </c>
      <c r="M9">
        <f>COUNT(B2:B4)</f>
        <v>3</v>
      </c>
      <c r="N9">
        <f>DEVSQ(B2:B4)</f>
        <v>2.3957405866666672</v>
      </c>
    </row>
    <row r="10" spans="1:20" x14ac:dyDescent="0.45">
      <c r="A10" t="str">
        <f>A1</f>
        <v>WT</v>
      </c>
      <c r="B10">
        <f>COUNT(A2:A4)</f>
        <v>3</v>
      </c>
      <c r="C10">
        <f>SUM(A2:A4)</f>
        <v>39.272999999999996</v>
      </c>
      <c r="D10">
        <f>AVERAGE(A2:A4)</f>
        <v>13.090999999999999</v>
      </c>
      <c r="E10">
        <f>_xlfn.VAR.S(A2:A4)</f>
        <v>2.4066069999999993</v>
      </c>
      <c r="F10">
        <f>DEVSQ(A2:A4)</f>
        <v>4.8132139999999985</v>
      </c>
      <c r="G10">
        <f>SQRT(D18/B10)</f>
        <v>0.72260027908473257</v>
      </c>
      <c r="H10">
        <f>D10-G10*_xlfn.T.INV.2T(G8,C18)</f>
        <v>11.424680768330921</v>
      </c>
      <c r="I10">
        <f>D10+G10*_xlfn.T.INV.2T(G8,C18)</f>
        <v>14.757319231669078</v>
      </c>
      <c r="K10" t="str">
        <f>C1</f>
        <v>Anc1B</v>
      </c>
      <c r="L10">
        <f>AVERAGE(C2:C4)</f>
        <v>9.4023666666666657</v>
      </c>
      <c r="M10">
        <f>COUNT(C2:C4)</f>
        <v>3</v>
      </c>
      <c r="N10">
        <f>DEVSQ(C2:C4)</f>
        <v>4.451011926666669</v>
      </c>
    </row>
    <row r="11" spans="1:20" x14ac:dyDescent="0.45">
      <c r="A11" t="str">
        <f>B1</f>
        <v>Anc1A</v>
      </c>
      <c r="B11">
        <f>COUNT(B2:B4)</f>
        <v>3</v>
      </c>
      <c r="C11">
        <f>SUM(B2:B4)</f>
        <v>18.200200000000002</v>
      </c>
      <c r="D11">
        <f>AVERAGE(B2:B4)</f>
        <v>6.0667333333333344</v>
      </c>
      <c r="E11">
        <f>_xlfn.VAR.S(B2:B4)</f>
        <v>1.1978702933333238</v>
      </c>
      <c r="F11">
        <f>DEVSQ(B2:B4)</f>
        <v>2.3957405866666672</v>
      </c>
      <c r="G11">
        <f>SQRT(D18/B11)</f>
        <v>0.72260027908473257</v>
      </c>
      <c r="H11">
        <f>D11-G11*_xlfn.T.INV.2T(G8,C18)</f>
        <v>4.4004141016642562</v>
      </c>
      <c r="I11">
        <f>D11+G11*_xlfn.T.INV.2T(G8,C18)</f>
        <v>7.7330525650024127</v>
      </c>
      <c r="K11" t="str">
        <f>D1</f>
        <v>Anc2</v>
      </c>
      <c r="L11">
        <f>AVERAGE(D2:D4)</f>
        <v>5.3247666666666662</v>
      </c>
      <c r="M11">
        <f>COUNT(D2:D4)</f>
        <v>3</v>
      </c>
      <c r="N11">
        <f>DEVSQ(D2:D4)</f>
        <v>0.87166140666666658</v>
      </c>
    </row>
    <row r="12" spans="1:20" x14ac:dyDescent="0.45">
      <c r="A12" t="str">
        <f>C1</f>
        <v>Anc1B</v>
      </c>
      <c r="B12">
        <f>COUNT(C2:C4)</f>
        <v>3</v>
      </c>
      <c r="C12">
        <f>SUM(C2:C4)</f>
        <v>28.207099999999997</v>
      </c>
      <c r="D12">
        <f>AVERAGE(C2:C4)</f>
        <v>9.4023666666666657</v>
      </c>
      <c r="E12">
        <f>_xlfn.VAR.S(C2:C4)</f>
        <v>2.2255059633333474</v>
      </c>
      <c r="F12">
        <f>DEVSQ(C2:C4)</f>
        <v>4.451011926666669</v>
      </c>
      <c r="G12">
        <f>SQRT(D18/B12)</f>
        <v>0.72260027908473257</v>
      </c>
      <c r="H12">
        <f>D12-G12*_xlfn.T.INV.2T(G8,C18)</f>
        <v>7.7360474349975874</v>
      </c>
      <c r="I12">
        <f>D12+G12*_xlfn.T.INV.2T(G8,C18)</f>
        <v>11.068685898335744</v>
      </c>
      <c r="K12" s="22"/>
      <c r="L12" s="22"/>
      <c r="M12" s="22">
        <f>SUM(M8:M11)</f>
        <v>12</v>
      </c>
      <c r="N12" s="22">
        <f>SUM(N8:N11)</f>
        <v>12.53162792</v>
      </c>
      <c r="O12" s="22">
        <f>M12-COUNT(M8:M11)</f>
        <v>8</v>
      </c>
      <c r="P12" s="22">
        <f>[2]!QCRIT(COUNT(M8:M11),O12,O6,2)</f>
        <v>4.5289999999999999</v>
      </c>
    </row>
    <row r="13" spans="1:20" ht="14.65" thickBot="1" x14ac:dyDescent="0.5">
      <c r="A13" t="str">
        <f>D1</f>
        <v>Anc2</v>
      </c>
      <c r="B13">
        <f>COUNT(D2:D4)</f>
        <v>3</v>
      </c>
      <c r="C13">
        <f>SUM(D2:D4)</f>
        <v>15.974299999999999</v>
      </c>
      <c r="D13">
        <f>AVERAGE(D2:D4)</f>
        <v>5.3247666666666662</v>
      </c>
      <c r="E13">
        <f>_xlfn.VAR.S(D2:D4)</f>
        <v>0.43583070333333751</v>
      </c>
      <c r="F13">
        <f>DEVSQ(D2:D4)</f>
        <v>0.87166140666666658</v>
      </c>
      <c r="G13">
        <f>SQRT(D18/B13)</f>
        <v>0.72260027908473257</v>
      </c>
      <c r="H13">
        <f>D13-G13*_xlfn.T.INV.2T(G8,C18)</f>
        <v>3.658447434997588</v>
      </c>
      <c r="I13">
        <f>D13+G13*_xlfn.T.INV.2T(G8,C18)</f>
        <v>6.9910858983357445</v>
      </c>
      <c r="K13" t="s">
        <v>100</v>
      </c>
    </row>
    <row r="14" spans="1:20" ht="14.65" thickTop="1" x14ac:dyDescent="0.45">
      <c r="A14" s="22"/>
      <c r="B14" s="22"/>
      <c r="C14" s="22"/>
      <c r="D14" s="22"/>
      <c r="E14" s="22"/>
      <c r="F14" s="22"/>
      <c r="G14" s="22"/>
      <c r="H14" s="22"/>
      <c r="I14" s="22"/>
      <c r="K14" s="21" t="s">
        <v>101</v>
      </c>
      <c r="L14" s="21" t="s">
        <v>102</v>
      </c>
      <c r="M14" s="21" t="s">
        <v>85</v>
      </c>
      <c r="N14" s="21" t="s">
        <v>103</v>
      </c>
      <c r="O14" s="21" t="s">
        <v>104</v>
      </c>
      <c r="P14" s="21" t="s">
        <v>105</v>
      </c>
      <c r="Q14" s="21" t="s">
        <v>106</v>
      </c>
      <c r="R14" s="21" t="s">
        <v>107</v>
      </c>
      <c r="S14" s="21" t="s">
        <v>108</v>
      </c>
      <c r="T14" s="21" t="s">
        <v>109</v>
      </c>
    </row>
    <row r="15" spans="1:20" ht="14.65" thickBot="1" x14ac:dyDescent="0.5">
      <c r="A15" t="s">
        <v>110</v>
      </c>
      <c r="K15" s="22" t="str">
        <f>K8</f>
        <v>WT</v>
      </c>
      <c r="L15" s="22" t="str">
        <f>K9</f>
        <v>Anc1A</v>
      </c>
      <c r="M15" s="22">
        <f>ABS(L8-L9)</f>
        <v>7.0242666666666649</v>
      </c>
      <c r="N15" s="22">
        <f>SQRT(N12/O12/HARMEAN(M8,M9))</f>
        <v>0.72260027908473257</v>
      </c>
      <c r="O15" s="22">
        <f>M15/N15</f>
        <v>9.7208191997432021</v>
      </c>
      <c r="P15" s="22">
        <f>M15-N15*P$12</f>
        <v>3.751610002691911</v>
      </c>
      <c r="Q15" s="22">
        <f>M15+N15*P$12</f>
        <v>10.29692333064142</v>
      </c>
      <c r="R15" s="22">
        <f>[2]!QDIST(O15,COUNT($M$8:$M$11),O$12)</f>
        <v>5.8269538826127842E-4</v>
      </c>
      <c r="S15" s="22">
        <f>N15*P$12</f>
        <v>3.2726566639747539</v>
      </c>
      <c r="T15" s="22">
        <f>M15*SQRT(O$12/N$12)</f>
        <v>5.6123175817154216</v>
      </c>
    </row>
    <row r="16" spans="1:20" ht="14.65" thickTop="1" x14ac:dyDescent="0.45">
      <c r="A16" s="21" t="s">
        <v>111</v>
      </c>
      <c r="B16" s="21" t="s">
        <v>96</v>
      </c>
      <c r="C16" s="21" t="s">
        <v>87</v>
      </c>
      <c r="D16" s="21" t="s">
        <v>112</v>
      </c>
      <c r="E16" s="21" t="s">
        <v>113</v>
      </c>
      <c r="F16" s="21" t="s">
        <v>114</v>
      </c>
      <c r="G16" s="21" t="s">
        <v>115</v>
      </c>
      <c r="H16" s="21" t="s">
        <v>116</v>
      </c>
      <c r="I16" s="21" t="s">
        <v>117</v>
      </c>
      <c r="K16" t="str">
        <f>K8</f>
        <v>WT</v>
      </c>
      <c r="L16" t="str">
        <f>K10</f>
        <v>Anc1B</v>
      </c>
      <c r="M16">
        <f>ABS(L8-L10)</f>
        <v>3.6886333333333337</v>
      </c>
      <c r="N16">
        <f>SQRT(N12/O12/HARMEAN(M8,M10))</f>
        <v>0.72260027908473257</v>
      </c>
      <c r="O16">
        <f t="shared" ref="O16:O20" si="0">M16/N16</f>
        <v>5.1046663557969678</v>
      </c>
      <c r="P16">
        <f t="shared" ref="P16:P20" si="1">M16-N16*P$12</f>
        <v>0.4159766693585798</v>
      </c>
      <c r="Q16">
        <f t="shared" ref="Q16:Q20" si="2">M16+N16*P$12</f>
        <v>6.9612899973080875</v>
      </c>
      <c r="R16">
        <f>[2]!QDIST(O16,COUNT($M$8:$M$11),O$12)</f>
        <v>2.8333897848549894E-2</v>
      </c>
      <c r="S16">
        <f t="shared" ref="S16:S20" si="3">N16*P$12</f>
        <v>3.2726566639747539</v>
      </c>
      <c r="T16">
        <f t="shared" ref="T16:T20" si="4">M16*SQRT(O$12/N$12)</f>
        <v>2.9471804946426059</v>
      </c>
    </row>
    <row r="17" spans="1:20" x14ac:dyDescent="0.45">
      <c r="A17" t="s">
        <v>118</v>
      </c>
      <c r="B17">
        <f>B19-B18</f>
        <v>113.67337821666663</v>
      </c>
      <c r="C17">
        <f>COUNTA(A10:A13)-1</f>
        <v>3</v>
      </c>
      <c r="D17">
        <f>B17/C17</f>
        <v>37.891126072222214</v>
      </c>
      <c r="E17">
        <f>D17/D18</f>
        <v>24.189116570720664</v>
      </c>
      <c r="F17">
        <f>_xlfn.F.DIST.RT(E17,C17,C18)</f>
        <v>2.2952731138848253E-4</v>
      </c>
      <c r="G17">
        <f>B17/B19</f>
        <v>0.90070419309334226</v>
      </c>
      <c r="H17">
        <f>SQRT(DEVSQ(D10:D13)/(D18*C17))</f>
        <v>2.8395490587251504</v>
      </c>
      <c r="I17">
        <f>(B19-C19*D18)/(B19+D18)</f>
        <v>0.85288231084685162</v>
      </c>
      <c r="K17" t="str">
        <f>K8</f>
        <v>WT</v>
      </c>
      <c r="L17" t="str">
        <f>K11</f>
        <v>Anc2</v>
      </c>
      <c r="M17">
        <f>ABS(L8-L11)</f>
        <v>7.7662333333333331</v>
      </c>
      <c r="N17">
        <f>SQRT(N12/O12/HARMEAN(M8,M11))</f>
        <v>0.72260027908473257</v>
      </c>
      <c r="O17">
        <f t="shared" si="0"/>
        <v>10.74762016860868</v>
      </c>
      <c r="P17">
        <f t="shared" si="1"/>
        <v>4.4935766693585792</v>
      </c>
      <c r="Q17">
        <f t="shared" si="2"/>
        <v>11.038889997308086</v>
      </c>
      <c r="R17">
        <f>[2]!QDIST(O17,COUNT($M$8:$M$11),O$12)</f>
        <v>2.8958979163484777E-4</v>
      </c>
      <c r="S17">
        <f t="shared" si="3"/>
        <v>3.2726566639747539</v>
      </c>
      <c r="T17">
        <f t="shared" si="4"/>
        <v>6.2051413974940735</v>
      </c>
    </row>
    <row r="18" spans="1:20" x14ac:dyDescent="0.45">
      <c r="A18" t="s">
        <v>119</v>
      </c>
      <c r="B18">
        <f>SUM(F10:F13)</f>
        <v>12.53162792</v>
      </c>
      <c r="C18">
        <f>C19-C17</f>
        <v>8</v>
      </c>
      <c r="D18">
        <f>B18/C18</f>
        <v>1.56645349</v>
      </c>
      <c r="K18" t="str">
        <f>K9</f>
        <v>Anc1A</v>
      </c>
      <c r="L18" t="str">
        <f>K10</f>
        <v>Anc1B</v>
      </c>
      <c r="M18">
        <f>ABS(L9-L10)</f>
        <v>3.3356333333333312</v>
      </c>
      <c r="N18">
        <f>SQRT(N12/O12/HARMEAN(M9,M10))</f>
        <v>0.72260027908473257</v>
      </c>
      <c r="O18">
        <f t="shared" si="0"/>
        <v>4.6161528439462352</v>
      </c>
      <c r="P18">
        <f t="shared" si="1"/>
        <v>6.2976669358577375E-2</v>
      </c>
      <c r="Q18">
        <f t="shared" si="2"/>
        <v>6.6082899973080851</v>
      </c>
      <c r="R18">
        <f>[2]!QDIST(O18,COUNT($M$8:$M$11),O$12)</f>
        <v>4.5842597748643632E-2</v>
      </c>
      <c r="S18">
        <f t="shared" si="3"/>
        <v>3.2726566639747539</v>
      </c>
      <c r="T18">
        <f t="shared" si="4"/>
        <v>2.6651370870728157</v>
      </c>
    </row>
    <row r="19" spans="1:20" x14ac:dyDescent="0.45">
      <c r="A19" s="23" t="s">
        <v>120</v>
      </c>
      <c r="B19" s="23">
        <f>DEVSQ(A2:D4)</f>
        <v>126.20500613666664</v>
      </c>
      <c r="C19" s="23">
        <f>COUNT(A2:D4)-1</f>
        <v>11</v>
      </c>
      <c r="D19" s="23">
        <f>B19/C19</f>
        <v>11.473182376060604</v>
      </c>
      <c r="E19" s="23"/>
      <c r="F19" s="23"/>
      <c r="G19" s="23"/>
      <c r="H19" s="23"/>
      <c r="I19" s="23"/>
      <c r="K19" t="str">
        <f>K9</f>
        <v>Anc1A</v>
      </c>
      <c r="L19" t="str">
        <f>K11</f>
        <v>Anc2</v>
      </c>
      <c r="M19">
        <f>ABS(L9-L11)</f>
        <v>0.74196666666666822</v>
      </c>
      <c r="N19">
        <f>SQRT(N12/O12/HARMEAN(M9,M11))</f>
        <v>0.72260027908473257</v>
      </c>
      <c r="O19">
        <f t="shared" si="0"/>
        <v>1.026800968865478</v>
      </c>
      <c r="P19">
        <f t="shared" si="1"/>
        <v>-2.5306899973080856</v>
      </c>
      <c r="Q19">
        <f t="shared" si="2"/>
        <v>4.0146233306414221</v>
      </c>
      <c r="R19">
        <f>[2]!QDIST(O19,COUNT($M$8:$M$11),O$12)</f>
        <v>0.88403710503083233</v>
      </c>
      <c r="S19">
        <f t="shared" si="3"/>
        <v>3.2726566639747539</v>
      </c>
      <c r="T19">
        <f t="shared" si="4"/>
        <v>0.5928238157786524</v>
      </c>
    </row>
    <row r="20" spans="1:20" x14ac:dyDescent="0.45">
      <c r="K20" s="23" t="str">
        <f>K10</f>
        <v>Anc1B</v>
      </c>
      <c r="L20" s="23" t="str">
        <f>K11</f>
        <v>Anc2</v>
      </c>
      <c r="M20" s="23">
        <f>ABS(L10-L11)</f>
        <v>4.0775999999999994</v>
      </c>
      <c r="N20" s="23">
        <f>SQRT(N12/O12/HARMEAN(M10,M11))</f>
        <v>0.72260027908473257</v>
      </c>
      <c r="O20" s="23">
        <f t="shared" si="0"/>
        <v>5.6429538128117125</v>
      </c>
      <c r="P20" s="23">
        <f t="shared" si="1"/>
        <v>0.80494333602524559</v>
      </c>
      <c r="Q20" s="23">
        <f t="shared" si="2"/>
        <v>7.3502566639747533</v>
      </c>
      <c r="R20" s="23">
        <f>[2]!QDIST(O20,COUNT($M$8:$M$11),O$12)</f>
        <v>1.6874570040613879E-2</v>
      </c>
      <c r="S20" s="23">
        <f t="shared" si="3"/>
        <v>3.2726566639747539</v>
      </c>
      <c r="T20" s="23">
        <f t="shared" si="4"/>
        <v>3.257960902851468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WT</vt:lpstr>
      <vt:lpstr>Anc1A</vt:lpstr>
      <vt:lpstr>Anc1B</vt:lpstr>
      <vt:lpstr>Anc2</vt:lpstr>
      <vt:lpstr>Bradford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dcterms:created xsi:type="dcterms:W3CDTF">2022-11-25T23:20:49Z</dcterms:created>
  <dcterms:modified xsi:type="dcterms:W3CDTF">2022-11-26T00:29:39Z</dcterms:modified>
</cp:coreProperties>
</file>