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garcia\garcia_nifengineering_2022\20221115_resubmission\elife_fullsubmission\source-data\Figure3-SourceData\"/>
    </mc:Choice>
  </mc:AlternateContent>
  <xr:revisionPtr revIDLastSave="0" documentId="8_{659DD253-267A-4EB7-BDAD-137818BB0CAC}" xr6:coauthVersionLast="47" xr6:coauthVersionMax="47" xr10:uidLastSave="{00000000-0000-0000-0000-000000000000}"/>
  <bookViews>
    <workbookView xWindow="-98" yWindow="-98" windowWidth="20715" windowHeight="13155" activeTab="1" xr2:uid="{71188D04-E956-4423-9936-BDA7DD85CFFD}"/>
  </bookViews>
  <sheets>
    <sheet name="Data" sheetId="1" r:id="rId1"/>
    <sheet name="Statistic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" l="1"/>
  <c r="P17" i="2"/>
  <c r="Q17" i="2"/>
  <c r="S17" i="2"/>
  <c r="T17" i="2"/>
  <c r="O18" i="2"/>
  <c r="P18" i="2"/>
  <c r="Q18" i="2"/>
  <c r="S18" i="2"/>
  <c r="T18" i="2"/>
  <c r="O19" i="2"/>
  <c r="P19" i="2"/>
  <c r="Q19" i="2"/>
  <c r="S19" i="2"/>
  <c r="T19" i="2"/>
  <c r="O20" i="2"/>
  <c r="P20" i="2"/>
  <c r="Q20" i="2"/>
  <c r="S20" i="2"/>
  <c r="T20" i="2"/>
  <c r="O21" i="2"/>
  <c r="P21" i="2"/>
  <c r="Q21" i="2"/>
  <c r="S21" i="2"/>
  <c r="T21" i="2"/>
  <c r="T16" i="2"/>
  <c r="S16" i="2"/>
  <c r="Q16" i="2"/>
  <c r="P16" i="2"/>
  <c r="O16" i="2"/>
  <c r="N21" i="2"/>
  <c r="M21" i="2"/>
  <c r="L21" i="2"/>
  <c r="K21" i="2"/>
  <c r="N20" i="2"/>
  <c r="M20" i="2"/>
  <c r="L20" i="2"/>
  <c r="K20" i="2"/>
  <c r="N19" i="2"/>
  <c r="M19" i="2"/>
  <c r="L19" i="2"/>
  <c r="K19" i="2"/>
  <c r="N18" i="2"/>
  <c r="M18" i="2"/>
  <c r="L18" i="2"/>
  <c r="K18" i="2"/>
  <c r="N17" i="2"/>
  <c r="M17" i="2"/>
  <c r="L17" i="2"/>
  <c r="K17" i="2"/>
  <c r="N16" i="2"/>
  <c r="M16" i="2"/>
  <c r="L16" i="2"/>
  <c r="K16" i="2"/>
  <c r="O13" i="2"/>
  <c r="N13" i="2"/>
  <c r="M13" i="2"/>
  <c r="N12" i="2"/>
  <c r="M12" i="2"/>
  <c r="L12" i="2"/>
  <c r="K12" i="2"/>
  <c r="N11" i="2"/>
  <c r="M11" i="2"/>
  <c r="L11" i="2"/>
  <c r="K11" i="2"/>
  <c r="N10" i="2"/>
  <c r="M10" i="2"/>
  <c r="L10" i="2"/>
  <c r="K10" i="2"/>
  <c r="N9" i="2"/>
  <c r="M9" i="2"/>
  <c r="L9" i="2"/>
  <c r="K9" i="2"/>
  <c r="D20" i="2"/>
  <c r="C20" i="2"/>
  <c r="C19" i="2" s="1"/>
  <c r="D19" i="2" s="1"/>
  <c r="B20" i="2"/>
  <c r="B18" i="2" s="1"/>
  <c r="B19" i="2"/>
  <c r="C18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1" i="1"/>
  <c r="F5" i="1"/>
  <c r="F8" i="1"/>
  <c r="F2" i="1"/>
  <c r="E11" i="1"/>
  <c r="E8" i="1"/>
  <c r="E5" i="1"/>
  <c r="E2" i="1"/>
  <c r="D3" i="1"/>
  <c r="D4" i="1"/>
  <c r="D5" i="1"/>
  <c r="D6" i="1"/>
  <c r="D7" i="1"/>
  <c r="D8" i="1"/>
  <c r="D9" i="1"/>
  <c r="D10" i="1"/>
  <c r="D11" i="1"/>
  <c r="D12" i="1"/>
  <c r="D13" i="1"/>
  <c r="D2" i="1"/>
  <c r="R20" i="2"/>
  <c r="R18" i="2"/>
  <c r="R17" i="2"/>
  <c r="R21" i="2"/>
  <c r="R19" i="2"/>
  <c r="R16" i="2"/>
  <c r="P13" i="2"/>
  <c r="G11" i="2" l="1"/>
  <c r="I11" i="2" s="1"/>
  <c r="G12" i="2"/>
  <c r="H12" i="2" s="1"/>
  <c r="H18" i="2"/>
  <c r="G14" i="2"/>
  <c r="H14" i="2" s="1"/>
  <c r="G18" i="2"/>
  <c r="D18" i="2"/>
  <c r="E18" i="2" s="1"/>
  <c r="F18" i="2" s="1"/>
  <c r="I18" i="2"/>
  <c r="I14" i="2"/>
  <c r="H11" i="2"/>
  <c r="G13" i="2"/>
  <c r="I12" i="2" l="1"/>
  <c r="I13" i="2"/>
  <c r="H13" i="2"/>
</calcChain>
</file>

<file path=xl/sharedStrings.xml><?xml version="1.0" encoding="utf-8"?>
<sst xmlns="http://schemas.openxmlformats.org/spreadsheetml/2006/main" count="66" uniqueCount="62">
  <si>
    <t>DJ2102-rep1</t>
  </si>
  <si>
    <t>DJ2102-rep2</t>
  </si>
  <si>
    <t>DJ2102-rep3</t>
  </si>
  <si>
    <t>Anc1A-rep1</t>
  </si>
  <si>
    <t>Anc1A-rep2</t>
  </si>
  <si>
    <t>Anc1A-rep3</t>
  </si>
  <si>
    <t>Anc1B-rep1</t>
  </si>
  <si>
    <t>Anc1B-rep2</t>
  </si>
  <si>
    <t>Anc1B-rep3</t>
  </si>
  <si>
    <t>Anc2-rep1</t>
  </si>
  <si>
    <t>Anc2-rep2</t>
  </si>
  <si>
    <t>Anc2-rep3</t>
  </si>
  <si>
    <t>Total protein signal</t>
  </si>
  <si>
    <t>Sample</t>
  </si>
  <si>
    <t>NifD signal</t>
  </si>
  <si>
    <t>NifD/total protein</t>
  </si>
  <si>
    <t>mean</t>
  </si>
  <si>
    <t>standard dev</t>
  </si>
  <si>
    <t>DJ2102</t>
  </si>
  <si>
    <t>Anc1A</t>
  </si>
  <si>
    <t>Anc1B</t>
  </si>
  <si>
    <t>Anc2</t>
  </si>
  <si>
    <t>ANOVA: Single Factor</t>
  </si>
  <si>
    <t>DESCRIPTION</t>
  </si>
  <si>
    <t>Alpha</t>
  </si>
  <si>
    <t>Group</t>
  </si>
  <si>
    <t>Count</t>
  </si>
  <si>
    <t>Sum</t>
  </si>
  <si>
    <t>Mean</t>
  </si>
  <si>
    <t>Variance</t>
  </si>
  <si>
    <t>SS</t>
  </si>
  <si>
    <t>Std Err</t>
  </si>
  <si>
    <t>Lower</t>
  </si>
  <si>
    <t>Upper</t>
  </si>
  <si>
    <t>ANOVA</t>
  </si>
  <si>
    <t>Sources</t>
  </si>
  <si>
    <t>df</t>
  </si>
  <si>
    <t>MS</t>
  </si>
  <si>
    <t>F</t>
  </si>
  <si>
    <t>P value</t>
  </si>
  <si>
    <t>Eta-sq</t>
  </si>
  <si>
    <t>RMSSE</t>
  </si>
  <si>
    <t>Omega Sq</t>
  </si>
  <si>
    <t>Between Groups</t>
  </si>
  <si>
    <t>Within Groups</t>
  </si>
  <si>
    <t>Total</t>
  </si>
  <si>
    <t>TUKEY HSD/KRAMER</t>
  </si>
  <si>
    <t>alpha</t>
  </si>
  <si>
    <t>group</t>
  </si>
  <si>
    <t>n</t>
  </si>
  <si>
    <t>ss</t>
  </si>
  <si>
    <t>q-crit</t>
  </si>
  <si>
    <t>Q TEST</t>
  </si>
  <si>
    <t>group 1</t>
  </si>
  <si>
    <t>group 2</t>
  </si>
  <si>
    <t>std err</t>
  </si>
  <si>
    <t>q-stat</t>
  </si>
  <si>
    <t>lower</t>
  </si>
  <si>
    <t>upper</t>
  </si>
  <si>
    <t>p-value</t>
  </si>
  <si>
    <t>mean-crit</t>
  </si>
  <si>
    <t>Cohen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</si>
</sst>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da\AppData\Roaming\Microsoft\AddIns\XRealSta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Wilcoxon Table"/>
      <sheetName val="Mann Table"/>
      <sheetName val="Runs Table"/>
      <sheetName val="KS Table"/>
      <sheetName val="KS2 Table"/>
      <sheetName val="Lil Table"/>
      <sheetName val="AD Table"/>
      <sheetName val="AD2 Table"/>
      <sheetName val="SW Table"/>
      <sheetName val="Stud. Q Table"/>
      <sheetName val="Stud. Q Table 2"/>
      <sheetName val="Sp Rho Table"/>
      <sheetName val="Ken Tau Table"/>
      <sheetName val="Durbin Table"/>
      <sheetName val="Dunnett Table"/>
      <sheetName val="Dunnett 1"/>
      <sheetName val="Prime"/>
      <sheetName val="MSSD"/>
    </sheetNames>
    <definedNames>
      <definedName name="QCRIT"/>
      <definedName name="QDIS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E6E0-53E9-4919-A79D-DDEEE6EE1A47}">
  <dimension ref="A1:F13"/>
  <sheetViews>
    <sheetView workbookViewId="0">
      <selection activeCell="D5" sqref="D5:D13"/>
    </sheetView>
  </sheetViews>
  <sheetFormatPr defaultRowHeight="14.25" x14ac:dyDescent="0.45"/>
  <cols>
    <col min="1" max="1" width="10.73046875" bestFit="1" customWidth="1"/>
    <col min="2" max="2" width="16.46484375" bestFit="1" customWidth="1"/>
    <col min="3" max="3" width="9.3984375" bestFit="1" customWidth="1"/>
    <col min="4" max="4" width="15.3984375" bestFit="1" customWidth="1"/>
    <col min="6" max="6" width="11.3984375" bestFit="1" customWidth="1"/>
  </cols>
  <sheetData>
    <row r="1" spans="1:6" s="1" customFormat="1" x14ac:dyDescent="0.45">
      <c r="A1" s="1" t="s">
        <v>13</v>
      </c>
      <c r="B1" s="1" t="s">
        <v>12</v>
      </c>
      <c r="C1" s="1" t="s">
        <v>14</v>
      </c>
      <c r="D1" s="1" t="s">
        <v>15</v>
      </c>
      <c r="E1" s="1" t="s">
        <v>16</v>
      </c>
      <c r="F1" s="1" t="s">
        <v>17</v>
      </c>
    </row>
    <row r="2" spans="1:6" x14ac:dyDescent="0.45">
      <c r="A2" t="s">
        <v>0</v>
      </c>
      <c r="B2">
        <v>64859.775000000001</v>
      </c>
      <c r="C2">
        <v>2373.0419999999999</v>
      </c>
      <c r="D2">
        <f>C2/B2</f>
        <v>3.6587268457221753E-2</v>
      </c>
      <c r="E2" s="2">
        <f>AVERAGE(D2:D4)</f>
        <v>5.4923553268719595E-2</v>
      </c>
      <c r="F2" s="2">
        <f>_xlfn.STDEV.S(D2:D4)</f>
        <v>3.1719842403467535E-2</v>
      </c>
    </row>
    <row r="3" spans="1:6" x14ac:dyDescent="0.45">
      <c r="A3" t="s">
        <v>1</v>
      </c>
      <c r="B3">
        <v>51839.754000000001</v>
      </c>
      <c r="C3">
        <v>1899.0419999999999</v>
      </c>
      <c r="D3">
        <f t="shared" ref="D3:D13" si="0">C3/B3</f>
        <v>3.6632928466442949E-2</v>
      </c>
      <c r="E3" s="2"/>
      <c r="F3" s="2"/>
    </row>
    <row r="4" spans="1:6" x14ac:dyDescent="0.45">
      <c r="A4" t="s">
        <v>2</v>
      </c>
      <c r="B4">
        <v>51958.218999999997</v>
      </c>
      <c r="C4">
        <v>4756.799</v>
      </c>
      <c r="D4">
        <f t="shared" si="0"/>
        <v>9.1550462882494105E-2</v>
      </c>
      <c r="E4" s="2"/>
      <c r="F4" s="2"/>
    </row>
    <row r="5" spans="1:6" x14ac:dyDescent="0.45">
      <c r="A5" t="s">
        <v>3</v>
      </c>
      <c r="B5">
        <v>45507.733999999997</v>
      </c>
      <c r="C5">
        <v>1591.213</v>
      </c>
      <c r="D5">
        <f t="shared" si="0"/>
        <v>3.4965770873144335E-2</v>
      </c>
      <c r="E5" s="2">
        <f>AVERAGE(D5:D7)</f>
        <v>6.3043019478053311E-2</v>
      </c>
      <c r="F5" s="2">
        <f>_xlfn.STDEV.S(D5:D7)</f>
        <v>3.9515586182182302E-2</v>
      </c>
    </row>
    <row r="6" spans="1:6" x14ac:dyDescent="0.45">
      <c r="A6" t="s">
        <v>4</v>
      </c>
      <c r="B6">
        <v>51009.896999999997</v>
      </c>
      <c r="C6">
        <v>2343.0419999999999</v>
      </c>
      <c r="D6">
        <f t="shared" si="0"/>
        <v>4.5933086279315562E-2</v>
      </c>
      <c r="E6" s="2"/>
      <c r="F6" s="2"/>
    </row>
    <row r="7" spans="1:6" x14ac:dyDescent="0.45">
      <c r="A7" t="s">
        <v>5</v>
      </c>
      <c r="B7">
        <v>35361.784</v>
      </c>
      <c r="C7">
        <v>3827.2130000000002</v>
      </c>
      <c r="D7">
        <f t="shared" si="0"/>
        <v>0.10823020128170005</v>
      </c>
      <c r="E7" s="2"/>
      <c r="F7" s="2"/>
    </row>
    <row r="8" spans="1:6" x14ac:dyDescent="0.45">
      <c r="A8" t="s">
        <v>6</v>
      </c>
      <c r="B8">
        <v>53452.188999999998</v>
      </c>
      <c r="C8">
        <v>4149.0420000000004</v>
      </c>
      <c r="D8">
        <f t="shared" si="0"/>
        <v>7.7621554469920778E-2</v>
      </c>
      <c r="E8" s="2">
        <f>AVERAGE(D8:D10)</f>
        <v>0.10233067165924579</v>
      </c>
      <c r="F8" s="2">
        <f>_xlfn.STDEV.S(D8:D10)</f>
        <v>2.8359315278966117E-2</v>
      </c>
    </row>
    <row r="9" spans="1:6" x14ac:dyDescent="0.45">
      <c r="A9" t="s">
        <v>7</v>
      </c>
      <c r="B9">
        <v>39619.682999999997</v>
      </c>
      <c r="C9">
        <v>3806.4560000000001</v>
      </c>
      <c r="D9">
        <f t="shared" si="0"/>
        <v>9.6074872683862722E-2</v>
      </c>
      <c r="E9" s="2"/>
      <c r="F9" s="2"/>
    </row>
    <row r="10" spans="1:6" x14ac:dyDescent="0.45">
      <c r="A10" t="s">
        <v>8</v>
      </c>
      <c r="B10">
        <v>40681.218999999997</v>
      </c>
      <c r="C10">
        <v>5422.6270000000004</v>
      </c>
      <c r="D10">
        <f t="shared" si="0"/>
        <v>0.13329558782395387</v>
      </c>
      <c r="E10" s="2"/>
      <c r="F10" s="2"/>
    </row>
    <row r="11" spans="1:6" x14ac:dyDescent="0.45">
      <c r="A11" t="s">
        <v>9</v>
      </c>
      <c r="B11">
        <v>71212.331999999995</v>
      </c>
      <c r="C11">
        <v>6225.0420000000004</v>
      </c>
      <c r="D11">
        <f t="shared" si="0"/>
        <v>8.7415224655190346E-2</v>
      </c>
      <c r="E11" s="2">
        <f>AVERAGE(D11:D13)</f>
        <v>9.3916163203433725E-2</v>
      </c>
      <c r="F11" s="2">
        <f>_xlfn.STDEV.S(D11:D13)</f>
        <v>4.0010605595289662E-2</v>
      </c>
    </row>
    <row r="12" spans="1:6" x14ac:dyDescent="0.45">
      <c r="A12" t="s">
        <v>10</v>
      </c>
      <c r="B12">
        <v>38919.197999999997</v>
      </c>
      <c r="C12">
        <v>5323.335</v>
      </c>
      <c r="D12">
        <f t="shared" si="0"/>
        <v>0.13677915459614559</v>
      </c>
      <c r="E12" s="2"/>
      <c r="F12" s="2"/>
    </row>
    <row r="13" spans="1:6" x14ac:dyDescent="0.45">
      <c r="A13" t="s">
        <v>11</v>
      </c>
      <c r="B13">
        <v>38988.006000000001</v>
      </c>
      <c r="C13">
        <v>2243.92</v>
      </c>
      <c r="D13">
        <f t="shared" si="0"/>
        <v>5.7554110358965266E-2</v>
      </c>
      <c r="E13" s="2"/>
      <c r="F13" s="2"/>
    </row>
  </sheetData>
  <mergeCells count="8">
    <mergeCell ref="E2:E4"/>
    <mergeCell ref="E5:E7"/>
    <mergeCell ref="E8:E10"/>
    <mergeCell ref="E11:E13"/>
    <mergeCell ref="F2:F4"/>
    <mergeCell ref="F5:F7"/>
    <mergeCell ref="F8:F10"/>
    <mergeCell ref="F11:F1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E9B5-1CD6-48B4-B28E-27D8EDD4924B}">
  <dimension ref="A1:T21"/>
  <sheetViews>
    <sheetView tabSelected="1" workbookViewId="0">
      <selection activeCell="H4" sqref="H4"/>
    </sheetView>
  </sheetViews>
  <sheetFormatPr defaultRowHeight="14.25" x14ac:dyDescent="0.45"/>
  <sheetData>
    <row r="1" spans="1:20" x14ac:dyDescent="0.45">
      <c r="A1" t="s">
        <v>18</v>
      </c>
      <c r="B1" t="s">
        <v>19</v>
      </c>
      <c r="C1" t="s">
        <v>20</v>
      </c>
      <c r="D1" t="s">
        <v>21</v>
      </c>
    </row>
    <row r="2" spans="1:20" x14ac:dyDescent="0.45">
      <c r="A2">
        <v>3.6587268457221753E-2</v>
      </c>
      <c r="B2">
        <v>3.4965770873144335E-2</v>
      </c>
      <c r="C2">
        <v>7.7621554469920778E-2</v>
      </c>
      <c r="D2">
        <v>8.7415224655190346E-2</v>
      </c>
    </row>
    <row r="3" spans="1:20" x14ac:dyDescent="0.45">
      <c r="A3">
        <v>3.6632928466442949E-2</v>
      </c>
      <c r="B3">
        <v>4.5933086279315562E-2</v>
      </c>
      <c r="C3">
        <v>9.6074872683862722E-2</v>
      </c>
      <c r="D3">
        <v>0.13677915459614559</v>
      </c>
    </row>
    <row r="4" spans="1:20" x14ac:dyDescent="0.45">
      <c r="A4">
        <v>9.1550462882494105E-2</v>
      </c>
      <c r="B4">
        <v>0.10823020128170005</v>
      </c>
      <c r="C4">
        <v>0.13329558782395387</v>
      </c>
      <c r="D4">
        <v>5.7554110358965266E-2</v>
      </c>
    </row>
    <row r="7" spans="1:20" ht="14.65" thickBot="1" x14ac:dyDescent="0.5">
      <c r="A7" t="s">
        <v>22</v>
      </c>
      <c r="K7" t="s">
        <v>46</v>
      </c>
      <c r="N7" t="s">
        <v>47</v>
      </c>
      <c r="O7">
        <v>0.05</v>
      </c>
    </row>
    <row r="8" spans="1:20" ht="14.65" thickTop="1" x14ac:dyDescent="0.45">
      <c r="K8" s="3" t="s">
        <v>48</v>
      </c>
      <c r="L8" s="3" t="s">
        <v>16</v>
      </c>
      <c r="M8" s="3" t="s">
        <v>49</v>
      </c>
      <c r="N8" s="3" t="s">
        <v>50</v>
      </c>
      <c r="O8" s="3" t="s">
        <v>36</v>
      </c>
      <c r="P8" s="3" t="s">
        <v>51</v>
      </c>
    </row>
    <row r="9" spans="1:20" ht="14.65" thickBot="1" x14ac:dyDescent="0.5">
      <c r="A9" t="s">
        <v>23</v>
      </c>
      <c r="F9" t="s">
        <v>24</v>
      </c>
      <c r="G9">
        <v>0.05</v>
      </c>
      <c r="K9" t="str">
        <f>A1</f>
        <v>DJ2102</v>
      </c>
      <c r="L9">
        <f>AVERAGE(A2:A4)</f>
        <v>5.4923553268719595E-2</v>
      </c>
      <c r="M9">
        <f>COUNT(A2:A4)</f>
        <v>3</v>
      </c>
      <c r="N9">
        <f>DEVSQ(A2:A4)</f>
        <v>2.0122968042016317E-3</v>
      </c>
    </row>
    <row r="10" spans="1:20" ht="14.65" thickTop="1" x14ac:dyDescent="0.45">
      <c r="A10" s="3" t="s">
        <v>25</v>
      </c>
      <c r="B10" s="3" t="s">
        <v>26</v>
      </c>
      <c r="C10" s="3" t="s">
        <v>27</v>
      </c>
      <c r="D10" s="3" t="s">
        <v>28</v>
      </c>
      <c r="E10" s="3" t="s">
        <v>29</v>
      </c>
      <c r="F10" s="3" t="s">
        <v>30</v>
      </c>
      <c r="G10" s="3" t="s">
        <v>31</v>
      </c>
      <c r="H10" s="3" t="s">
        <v>32</v>
      </c>
      <c r="I10" s="3" t="s">
        <v>33</v>
      </c>
      <c r="K10" t="str">
        <f>B1</f>
        <v>Anc1A</v>
      </c>
      <c r="L10">
        <f>AVERAGE(B2:B4)</f>
        <v>6.3043019478053311E-2</v>
      </c>
      <c r="M10">
        <f>COUNT(B2:B4)</f>
        <v>3</v>
      </c>
      <c r="N10">
        <f>DEVSQ(B2:B4)</f>
        <v>3.1229631026429543E-3</v>
      </c>
    </row>
    <row r="11" spans="1:20" x14ac:dyDescent="0.45">
      <c r="A11" t="str">
        <f>A1</f>
        <v>DJ2102</v>
      </c>
      <c r="B11">
        <f>COUNT(A2:A4)</f>
        <v>3</v>
      </c>
      <c r="C11">
        <f>SUM(A2:A4)</f>
        <v>0.16477065980615879</v>
      </c>
      <c r="D11">
        <f>AVERAGE(A2:A4)</f>
        <v>5.4923553268719595E-2</v>
      </c>
      <c r="E11">
        <f>_xlfn.VAR.S(A2:A4)</f>
        <v>1.0061484021008172E-3</v>
      </c>
      <c r="F11">
        <f>DEVSQ(A2:A4)</f>
        <v>2.0122968042016317E-3</v>
      </c>
      <c r="G11">
        <f>SQRT(D19/B11)</f>
        <v>2.0356672281703108E-2</v>
      </c>
      <c r="H11">
        <f>D11-G11*_xlfn.T.INV.2T(G9,C19)</f>
        <v>7.9809828081161827E-3</v>
      </c>
      <c r="I11">
        <f>D11+G11*_xlfn.T.INV.2T(G9,C19)</f>
        <v>0.10186612372932301</v>
      </c>
      <c r="K11" t="str">
        <f>C1</f>
        <v>Anc1B</v>
      </c>
      <c r="L11">
        <f>AVERAGE(C2:C4)</f>
        <v>0.10233067165924579</v>
      </c>
      <c r="M11">
        <f>COUNT(C2:C4)</f>
        <v>3</v>
      </c>
      <c r="N11">
        <f>DEVSQ(C2:C4)</f>
        <v>1.6085015261836004E-3</v>
      </c>
    </row>
    <row r="12" spans="1:20" x14ac:dyDescent="0.45">
      <c r="A12" t="str">
        <f>B1</f>
        <v>Anc1A</v>
      </c>
      <c r="B12">
        <f>COUNT(B2:B4)</f>
        <v>3</v>
      </c>
      <c r="C12">
        <f>SUM(B2:B4)</f>
        <v>0.18912905843415995</v>
      </c>
      <c r="D12">
        <f>AVERAGE(B2:B4)</f>
        <v>6.3043019478053311E-2</v>
      </c>
      <c r="E12">
        <f>_xlfn.VAR.S(B2:B4)</f>
        <v>1.5614815513214772E-3</v>
      </c>
      <c r="F12">
        <f>DEVSQ(B2:B4)</f>
        <v>3.1229631026429543E-3</v>
      </c>
      <c r="G12">
        <f>SQRT(D19/B12)</f>
        <v>2.0356672281703108E-2</v>
      </c>
      <c r="H12">
        <f>D12-G12*_xlfn.T.INV.2T(G9,C19)</f>
        <v>1.6100449017449898E-2</v>
      </c>
      <c r="I12">
        <f>D12+G12*_xlfn.T.INV.2T(G9,C19)</f>
        <v>0.10998558993865673</v>
      </c>
      <c r="K12" t="str">
        <f>D1</f>
        <v>Anc2</v>
      </c>
      <c r="L12">
        <f>AVERAGE(D2:D4)</f>
        <v>9.3916163203433725E-2</v>
      </c>
      <c r="M12">
        <f>COUNT(D2:D4)</f>
        <v>3</v>
      </c>
      <c r="N12">
        <f>DEVSQ(D2:D4)</f>
        <v>3.2016971202036451E-3</v>
      </c>
    </row>
    <row r="13" spans="1:20" x14ac:dyDescent="0.45">
      <c r="A13" t="str">
        <f>C1</f>
        <v>Anc1B</v>
      </c>
      <c r="B13">
        <f>COUNT(C2:C4)</f>
        <v>3</v>
      </c>
      <c r="C13">
        <f>SUM(C2:C4)</f>
        <v>0.30699201497773737</v>
      </c>
      <c r="D13">
        <f>AVERAGE(C2:C4)</f>
        <v>0.10233067165924579</v>
      </c>
      <c r="E13">
        <f>_xlfn.VAR.S(C2:C4)</f>
        <v>8.0425076309180096E-4</v>
      </c>
      <c r="F13">
        <f>DEVSQ(C2:C4)</f>
        <v>1.6085015261836004E-3</v>
      </c>
      <c r="G13">
        <f>SQRT(D19/B13)</f>
        <v>2.0356672281703108E-2</v>
      </c>
      <c r="H13">
        <f>D13-G13*_xlfn.T.INV.2T(G9,C19)</f>
        <v>5.5388101198642382E-2</v>
      </c>
      <c r="I13">
        <f>D13+G13*_xlfn.T.INV.2T(G9,C19)</f>
        <v>0.14927324211984921</v>
      </c>
      <c r="K13" s="4"/>
      <c r="L13" s="4"/>
      <c r="M13" s="4">
        <f>SUM(M9:M12)</f>
        <v>12</v>
      </c>
      <c r="N13" s="4">
        <f>SUM(N9:N12)</f>
        <v>9.9454585532318309E-3</v>
      </c>
      <c r="O13" s="4">
        <f>M13-COUNT(M9:M12)</f>
        <v>8</v>
      </c>
      <c r="P13" s="4">
        <f>[1]!QCRIT(COUNT(M9:M12),O13,O7,2)</f>
        <v>4.5289999999999999</v>
      </c>
    </row>
    <row r="14" spans="1:20" ht="14.65" thickBot="1" x14ac:dyDescent="0.5">
      <c r="A14" t="str">
        <f>D1</f>
        <v>Anc2</v>
      </c>
      <c r="B14">
        <f>COUNT(D2:D4)</f>
        <v>3</v>
      </c>
      <c r="C14">
        <f>SUM(D2:D4)</f>
        <v>0.28174848961030119</v>
      </c>
      <c r="D14">
        <f>AVERAGE(D2:D4)</f>
        <v>9.3916163203433725E-2</v>
      </c>
      <c r="E14">
        <f>_xlfn.VAR.S(D2:D4)</f>
        <v>1.6008485601018245E-3</v>
      </c>
      <c r="F14">
        <f>DEVSQ(D2:D4)</f>
        <v>3.2016971202036451E-3</v>
      </c>
      <c r="G14">
        <f>SQRT(D19/B14)</f>
        <v>2.0356672281703108E-2</v>
      </c>
      <c r="H14">
        <f>D14-G14*_xlfn.T.INV.2T(G9,C19)</f>
        <v>4.6973592742830313E-2</v>
      </c>
      <c r="I14">
        <f>D14+G14*_xlfn.T.INV.2T(G9,C19)</f>
        <v>0.14085873366403714</v>
      </c>
      <c r="K14" t="s">
        <v>52</v>
      </c>
    </row>
    <row r="15" spans="1:20" ht="14.65" thickTop="1" x14ac:dyDescent="0.45">
      <c r="A15" s="4"/>
      <c r="B15" s="4"/>
      <c r="C15" s="4"/>
      <c r="D15" s="4"/>
      <c r="E15" s="4"/>
      <c r="F15" s="4"/>
      <c r="G15" s="4"/>
      <c r="H15" s="4"/>
      <c r="I15" s="4"/>
      <c r="K15" s="3" t="s">
        <v>53</v>
      </c>
      <c r="L15" s="3" t="s">
        <v>54</v>
      </c>
      <c r="M15" s="3" t="s">
        <v>16</v>
      </c>
      <c r="N15" s="3" t="s">
        <v>55</v>
      </c>
      <c r="O15" s="3" t="s">
        <v>56</v>
      </c>
      <c r="P15" s="3" t="s">
        <v>57</v>
      </c>
      <c r="Q15" s="3" t="s">
        <v>58</v>
      </c>
      <c r="R15" s="3" t="s">
        <v>59</v>
      </c>
      <c r="S15" s="3" t="s">
        <v>60</v>
      </c>
      <c r="T15" s="3" t="s">
        <v>61</v>
      </c>
    </row>
    <row r="16" spans="1:20" ht="14.65" thickBot="1" x14ac:dyDescent="0.5">
      <c r="A16" t="s">
        <v>34</v>
      </c>
      <c r="K16" s="4" t="str">
        <f>K9</f>
        <v>DJ2102</v>
      </c>
      <c r="L16" s="4" t="str">
        <f>K10</f>
        <v>Anc1A</v>
      </c>
      <c r="M16" s="4">
        <f>ABS(L9-L10)</f>
        <v>8.1194662093337158E-3</v>
      </c>
      <c r="N16" s="4">
        <f>SQRT(N13/O13/HARMEAN(M9,M10))</f>
        <v>2.0356672281703108E-2</v>
      </c>
      <c r="O16" s="4">
        <f>M16/N16</f>
        <v>0.39886019173338155</v>
      </c>
      <c r="P16" s="4">
        <f>M16-N16*P$13</f>
        <v>-8.4075902554499649E-2</v>
      </c>
      <c r="Q16" s="4">
        <f>M16+N16*P$13</f>
        <v>0.10031483497316709</v>
      </c>
      <c r="R16" s="4">
        <f>[1]!QDIST(O16,COUNT($M$9:$M$12),O$13)</f>
        <v>0.99156310614219534</v>
      </c>
      <c r="S16" s="4">
        <f>N16*P$13</f>
        <v>9.2195368763833371E-2</v>
      </c>
      <c r="T16" s="4">
        <f>M16*SQRT(O$13/N$13)</f>
        <v>0.2302820390662936</v>
      </c>
    </row>
    <row r="17" spans="1:20" ht="14.65" thickTop="1" x14ac:dyDescent="0.45">
      <c r="A17" s="3" t="s">
        <v>35</v>
      </c>
      <c r="B17" s="3" t="s">
        <v>30</v>
      </c>
      <c r="C17" s="3" t="s">
        <v>36</v>
      </c>
      <c r="D17" s="3" t="s">
        <v>37</v>
      </c>
      <c r="E17" s="3" t="s">
        <v>38</v>
      </c>
      <c r="F17" s="3" t="s">
        <v>39</v>
      </c>
      <c r="G17" s="3" t="s">
        <v>40</v>
      </c>
      <c r="H17" s="3" t="s">
        <v>41</v>
      </c>
      <c r="I17" s="3" t="s">
        <v>42</v>
      </c>
      <c r="K17" s="6" t="str">
        <f>K9</f>
        <v>DJ2102</v>
      </c>
      <c r="L17" s="6" t="str">
        <f>K11</f>
        <v>Anc1B</v>
      </c>
      <c r="M17" s="6">
        <f>ABS(L9-L11)</f>
        <v>4.74071183905262E-2</v>
      </c>
      <c r="N17" s="6">
        <f>SQRT(N13/O13/HARMEAN(M9,M11))</f>
        <v>2.0356672281703108E-2</v>
      </c>
      <c r="O17" s="6">
        <f t="shared" ref="O17:O21" si="0">M17/N17</f>
        <v>2.3288245610328193</v>
      </c>
      <c r="P17" s="6">
        <f t="shared" ref="P17:P21" si="1">M17-N17*P$13</f>
        <v>-4.4788250373307172E-2</v>
      </c>
      <c r="Q17" s="6">
        <f t="shared" ref="Q17:Q21" si="2">M17+N17*P$13</f>
        <v>0.13960248715435958</v>
      </c>
      <c r="R17" s="6">
        <f>[1]!QDIST(O17,COUNT($M$9:$M$12),O$13)</f>
        <v>0.40759662076864966</v>
      </c>
      <c r="S17" s="6">
        <f t="shared" ref="S17:S21" si="3">N17*P$13</f>
        <v>9.2195368763833371E-2</v>
      </c>
      <c r="T17" s="6">
        <f t="shared" ref="T17:T21" si="4">M17*SQRT(O$13/N$13)</f>
        <v>1.3445474872077101</v>
      </c>
    </row>
    <row r="18" spans="1:20" x14ac:dyDescent="0.45">
      <c r="A18" t="s">
        <v>43</v>
      </c>
      <c r="B18">
        <f>B20-B19</f>
        <v>4.8009441038174491E-3</v>
      </c>
      <c r="C18">
        <f>COUNTA(A11:A14)-1</f>
        <v>3</v>
      </c>
      <c r="D18">
        <f>B18/C18</f>
        <v>1.600314701272483E-3</v>
      </c>
      <c r="E18">
        <f>D18/D19</f>
        <v>1.2872727327408766</v>
      </c>
      <c r="F18">
        <f>_xlfn.F.DIST.RT(E18,C18,C19)</f>
        <v>0.34321840109716023</v>
      </c>
      <c r="G18">
        <f>B18/B20</f>
        <v>0.32556713765865025</v>
      </c>
      <c r="H18">
        <f>SQRT(DEVSQ(D11:D14)/(D19*C18))</f>
        <v>0.65505031174225514</v>
      </c>
      <c r="I18">
        <f>(B20-C20*D19)/(B20+D19)</f>
        <v>6.7005938424920711E-2</v>
      </c>
      <c r="K18" s="6" t="str">
        <f>K9</f>
        <v>DJ2102</v>
      </c>
      <c r="L18" s="6" t="str">
        <f>K12</f>
        <v>Anc2</v>
      </c>
      <c r="M18" s="6">
        <f>ABS(L9-L12)</f>
        <v>3.899260993471413E-2</v>
      </c>
      <c r="N18" s="6">
        <f>SQRT(N13/O13/HARMEAN(M9,M12))</f>
        <v>2.0356672281703108E-2</v>
      </c>
      <c r="O18" s="6">
        <f t="shared" si="0"/>
        <v>1.9154707309289098</v>
      </c>
      <c r="P18" s="6">
        <f t="shared" si="1"/>
        <v>-5.3202758829119241E-2</v>
      </c>
      <c r="Q18" s="6">
        <f t="shared" si="2"/>
        <v>0.13118797869854751</v>
      </c>
      <c r="R18" s="6">
        <f>[1]!QDIST(O18,COUNT($M$9:$M$12),O$13)</f>
        <v>0.5576801354122034</v>
      </c>
      <c r="S18" s="6">
        <f t="shared" si="3"/>
        <v>9.2195368763833371E-2</v>
      </c>
      <c r="T18" s="6">
        <f t="shared" si="4"/>
        <v>1.1058975421266553</v>
      </c>
    </row>
    <row r="19" spans="1:20" x14ac:dyDescent="0.45">
      <c r="A19" t="s">
        <v>44</v>
      </c>
      <c r="B19">
        <f>SUM(F11:F14)</f>
        <v>9.9454585532318309E-3</v>
      </c>
      <c r="C19">
        <f>C20-C18</f>
        <v>8</v>
      </c>
      <c r="D19">
        <f>B19/C19</f>
        <v>1.2431823191539789E-3</v>
      </c>
      <c r="K19" s="6" t="str">
        <f>K10</f>
        <v>Anc1A</v>
      </c>
      <c r="L19" s="6" t="str">
        <f>K11</f>
        <v>Anc1B</v>
      </c>
      <c r="M19" s="6">
        <f>ABS(L10-L11)</f>
        <v>3.9287652181192484E-2</v>
      </c>
      <c r="N19" s="6">
        <f>SQRT(N13/O13/HARMEAN(M10,M11))</f>
        <v>2.0356672281703108E-2</v>
      </c>
      <c r="O19" s="6">
        <f t="shared" si="0"/>
        <v>1.9299643692994377</v>
      </c>
      <c r="P19" s="6">
        <f t="shared" si="1"/>
        <v>-5.2907716582640887E-2</v>
      </c>
      <c r="Q19" s="6">
        <f t="shared" si="2"/>
        <v>0.13148302094502584</v>
      </c>
      <c r="R19" s="6">
        <f>[1]!QDIST(O19,COUNT($M$9:$M$12),O$13)</f>
        <v>0.5520715783369613</v>
      </c>
      <c r="S19" s="6">
        <f t="shared" si="3"/>
        <v>9.2195368763833371E-2</v>
      </c>
      <c r="T19" s="6">
        <f t="shared" si="4"/>
        <v>1.1142654481414167</v>
      </c>
    </row>
    <row r="20" spans="1:20" x14ac:dyDescent="0.45">
      <c r="A20" s="5" t="s">
        <v>45</v>
      </c>
      <c r="B20" s="5">
        <f>DEVSQ(A2:D4)</f>
        <v>1.474640265704928E-2</v>
      </c>
      <c r="C20" s="5">
        <f>COUNT(A2:D4)-1</f>
        <v>11</v>
      </c>
      <c r="D20" s="5">
        <f>B20/C20</f>
        <v>1.3405820597317526E-3</v>
      </c>
      <c r="E20" s="5"/>
      <c r="F20" s="5"/>
      <c r="G20" s="5"/>
      <c r="H20" s="5"/>
      <c r="I20" s="5"/>
      <c r="K20" s="6" t="str">
        <f>K10</f>
        <v>Anc1A</v>
      </c>
      <c r="L20" s="6" t="str">
        <f>K12</f>
        <v>Anc2</v>
      </c>
      <c r="M20" s="6">
        <f>ABS(L10-L12)</f>
        <v>3.0873143725380414E-2</v>
      </c>
      <c r="N20" s="6">
        <f>SQRT(N13/O13/HARMEAN(M10,M12))</f>
        <v>2.0356672281703108E-2</v>
      </c>
      <c r="O20" s="6">
        <f t="shared" si="0"/>
        <v>1.5166105391955282</v>
      </c>
      <c r="P20" s="6">
        <f t="shared" si="1"/>
        <v>-6.1322225038452957E-2</v>
      </c>
      <c r="Q20" s="6">
        <f t="shared" si="2"/>
        <v>0.12306851248921379</v>
      </c>
      <c r="R20" s="6">
        <f>[1]!QDIST(O20,COUNT($M$9:$M$12),O$13)</f>
        <v>0.714657501113664</v>
      </c>
      <c r="S20" s="6">
        <f t="shared" si="3"/>
        <v>9.2195368763833371E-2</v>
      </c>
      <c r="T20" s="6">
        <f t="shared" si="4"/>
        <v>0.87561550306036162</v>
      </c>
    </row>
    <row r="21" spans="1:20" x14ac:dyDescent="0.45">
      <c r="K21" s="5" t="str">
        <f>K11</f>
        <v>Anc1B</v>
      </c>
      <c r="L21" s="5" t="str">
        <f>K12</f>
        <v>Anc2</v>
      </c>
      <c r="M21" s="5">
        <f>ABS(L11-L12)</f>
        <v>8.4145084558120697E-3</v>
      </c>
      <c r="N21" s="5">
        <f>SQRT(N13/O13/HARMEAN(M11,M12))</f>
        <v>2.0356672281703108E-2</v>
      </c>
      <c r="O21" s="5">
        <f t="shared" si="0"/>
        <v>0.41335383010390947</v>
      </c>
      <c r="P21" s="5">
        <f t="shared" si="1"/>
        <v>-8.3780860308021302E-2</v>
      </c>
      <c r="Q21" s="5">
        <f t="shared" si="2"/>
        <v>0.10060987721964544</v>
      </c>
      <c r="R21" s="5">
        <f>[1]!QDIST(O21,COUNT($M$9:$M$12),O$13)</f>
        <v>0.99063748845774524</v>
      </c>
      <c r="S21" s="5">
        <f t="shared" si="3"/>
        <v>9.2195368763833371E-2</v>
      </c>
      <c r="T21" s="5">
        <f t="shared" si="4"/>
        <v>0.23864994508105497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dcterms:created xsi:type="dcterms:W3CDTF">2022-11-26T00:31:57Z</dcterms:created>
  <dcterms:modified xsi:type="dcterms:W3CDTF">2022-11-26T00:40:51Z</dcterms:modified>
</cp:coreProperties>
</file>