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421935/Desktop/eLife/"/>
    </mc:Choice>
  </mc:AlternateContent>
  <xr:revisionPtr revIDLastSave="0" documentId="13_ncr:1_{D98A5761-52F7-8040-8D99-E4DA93AD545C}" xr6:coauthVersionLast="47" xr6:coauthVersionMax="47" xr10:uidLastSave="{00000000-0000-0000-0000-000000000000}"/>
  <bookViews>
    <workbookView xWindow="4000" yWindow="2560" windowWidth="26440" windowHeight="15420" xr2:uid="{FA622AB4-CE0C-5A40-89B0-1F2E724F77A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6" i="1" l="1"/>
  <c r="K406" i="1"/>
  <c r="J406" i="1"/>
  <c r="H406" i="1"/>
  <c r="G406" i="1"/>
  <c r="F406" i="1"/>
  <c r="D406" i="1"/>
  <c r="D407" i="1" s="1"/>
  <c r="C406" i="1"/>
  <c r="C407" i="1" s="1"/>
  <c r="B406" i="1"/>
  <c r="B407" i="1" s="1"/>
  <c r="L403" i="1"/>
  <c r="K403" i="1"/>
  <c r="J403" i="1"/>
  <c r="H403" i="1"/>
  <c r="G403" i="1"/>
  <c r="F403" i="1"/>
  <c r="D403" i="1"/>
  <c r="C403" i="1"/>
  <c r="B403" i="1"/>
  <c r="I394" i="1"/>
  <c r="I395" i="1" s="1"/>
  <c r="H394" i="1"/>
  <c r="H395" i="1" s="1"/>
  <c r="F394" i="1"/>
  <c r="F395" i="1" s="1"/>
  <c r="E394" i="1"/>
  <c r="C394" i="1"/>
  <c r="B394" i="1"/>
  <c r="I391" i="1"/>
  <c r="H391" i="1"/>
  <c r="F391" i="1"/>
  <c r="E391" i="1"/>
  <c r="C391" i="1"/>
  <c r="B391" i="1"/>
  <c r="D235" i="1"/>
  <c r="I235" i="1" s="1"/>
  <c r="J235" i="1" s="1"/>
  <c r="D234" i="1"/>
  <c r="I234" i="1" s="1"/>
  <c r="J234" i="1" s="1"/>
  <c r="D233" i="1"/>
  <c r="I233" i="1" s="1"/>
  <c r="J233" i="1" s="1"/>
  <c r="D232" i="1"/>
  <c r="I232" i="1" s="1"/>
  <c r="J232" i="1" s="1"/>
  <c r="D231" i="1"/>
  <c r="I231" i="1" s="1"/>
  <c r="J231" i="1" s="1"/>
  <c r="D230" i="1"/>
  <c r="I230" i="1" s="1"/>
  <c r="J230" i="1" s="1"/>
  <c r="D226" i="1"/>
  <c r="I226" i="1" s="1"/>
  <c r="J226" i="1" s="1"/>
  <c r="D225" i="1"/>
  <c r="I225" i="1" s="1"/>
  <c r="J225" i="1" s="1"/>
  <c r="D224" i="1"/>
  <c r="I224" i="1" s="1"/>
  <c r="J224" i="1" s="1"/>
  <c r="D223" i="1"/>
  <c r="I223" i="1" s="1"/>
  <c r="J223" i="1" s="1"/>
  <c r="D222" i="1"/>
  <c r="I222" i="1" s="1"/>
  <c r="J222" i="1" s="1"/>
  <c r="D221" i="1"/>
  <c r="I221" i="1" s="1"/>
  <c r="J221" i="1" s="1"/>
  <c r="H217" i="1"/>
  <c r="D217" i="1"/>
  <c r="I217" i="1" s="1"/>
  <c r="J217" i="1" s="1"/>
  <c r="H216" i="1"/>
  <c r="D216" i="1"/>
  <c r="I216" i="1" s="1"/>
  <c r="H215" i="1"/>
  <c r="D215" i="1"/>
  <c r="I215" i="1" s="1"/>
  <c r="H214" i="1"/>
  <c r="D214" i="1"/>
  <c r="I214" i="1" s="1"/>
  <c r="J214" i="1" s="1"/>
  <c r="H213" i="1"/>
  <c r="D213" i="1"/>
  <c r="I213" i="1" s="1"/>
  <c r="J213" i="1" s="1"/>
  <c r="H212" i="1"/>
  <c r="D212" i="1"/>
  <c r="I212" i="1" s="1"/>
  <c r="J212" i="1" s="1"/>
  <c r="H208" i="1"/>
  <c r="D208" i="1"/>
  <c r="I208" i="1" s="1"/>
  <c r="J208" i="1" s="1"/>
  <c r="H207" i="1"/>
  <c r="D207" i="1"/>
  <c r="I207" i="1" s="1"/>
  <c r="H206" i="1"/>
  <c r="D206" i="1"/>
  <c r="I206" i="1" s="1"/>
  <c r="H205" i="1"/>
  <c r="D205" i="1"/>
  <c r="I205" i="1" s="1"/>
  <c r="J205" i="1" s="1"/>
  <c r="H204" i="1"/>
  <c r="D204" i="1"/>
  <c r="I204" i="1" s="1"/>
  <c r="J204" i="1" s="1"/>
  <c r="H203" i="1"/>
  <c r="D203" i="1"/>
  <c r="I203" i="1" s="1"/>
  <c r="J203" i="1" s="1"/>
  <c r="D199" i="1"/>
  <c r="I199" i="1" s="1"/>
  <c r="J199" i="1" s="1"/>
  <c r="D198" i="1"/>
  <c r="I198" i="1" s="1"/>
  <c r="J198" i="1" s="1"/>
  <c r="D197" i="1"/>
  <c r="I197" i="1" s="1"/>
  <c r="J197" i="1" s="1"/>
  <c r="D196" i="1"/>
  <c r="I196" i="1" s="1"/>
  <c r="J196" i="1" s="1"/>
  <c r="D195" i="1"/>
  <c r="I195" i="1" s="1"/>
  <c r="J195" i="1" s="1"/>
  <c r="D194" i="1"/>
  <c r="I194" i="1" s="1"/>
  <c r="J194" i="1" s="1"/>
  <c r="H190" i="1"/>
  <c r="D190" i="1"/>
  <c r="I190" i="1" s="1"/>
  <c r="J190" i="1" s="1"/>
  <c r="H189" i="1"/>
  <c r="D189" i="1"/>
  <c r="I189" i="1" s="1"/>
  <c r="J189" i="1" s="1"/>
  <c r="H188" i="1"/>
  <c r="D188" i="1"/>
  <c r="I188" i="1" s="1"/>
  <c r="J188" i="1" s="1"/>
  <c r="H187" i="1"/>
  <c r="D187" i="1"/>
  <c r="I187" i="1" s="1"/>
  <c r="G141" i="1"/>
  <c r="F141" i="1"/>
  <c r="E141" i="1"/>
  <c r="G140" i="1"/>
  <c r="F140" i="1"/>
  <c r="E140" i="1"/>
  <c r="D140" i="1"/>
  <c r="G139" i="1"/>
  <c r="F139" i="1"/>
  <c r="E139" i="1"/>
  <c r="D139" i="1"/>
  <c r="G138" i="1"/>
  <c r="F138" i="1"/>
  <c r="E138" i="1"/>
  <c r="D138" i="1"/>
  <c r="G137" i="1"/>
  <c r="F137" i="1"/>
  <c r="E137" i="1"/>
  <c r="D137" i="1"/>
  <c r="G136" i="1"/>
  <c r="F136" i="1"/>
  <c r="E136" i="1"/>
  <c r="D136" i="1"/>
  <c r="G135" i="1"/>
  <c r="F135" i="1"/>
  <c r="E135" i="1"/>
  <c r="D135" i="1"/>
  <c r="G134" i="1"/>
  <c r="F134" i="1"/>
  <c r="E134" i="1"/>
  <c r="D134" i="1"/>
  <c r="G133" i="1"/>
  <c r="F133" i="1"/>
  <c r="E133" i="1"/>
  <c r="D133" i="1"/>
  <c r="G130" i="1"/>
  <c r="F130" i="1"/>
  <c r="E130" i="1"/>
  <c r="D130" i="1"/>
  <c r="G129" i="1"/>
  <c r="F129" i="1"/>
  <c r="E129" i="1"/>
  <c r="D129" i="1"/>
  <c r="G128" i="1"/>
  <c r="F128" i="1"/>
  <c r="E128" i="1"/>
  <c r="D128" i="1"/>
  <c r="G127" i="1"/>
  <c r="F127" i="1"/>
  <c r="E127" i="1"/>
  <c r="D127" i="1"/>
  <c r="G126" i="1"/>
  <c r="F126" i="1"/>
  <c r="E126" i="1"/>
  <c r="D126" i="1"/>
  <c r="G125" i="1"/>
  <c r="F125" i="1"/>
  <c r="E125" i="1"/>
  <c r="D125" i="1"/>
  <c r="G124" i="1"/>
  <c r="F124" i="1"/>
  <c r="E124" i="1"/>
  <c r="D124" i="1"/>
  <c r="G123" i="1"/>
  <c r="F123" i="1"/>
  <c r="E123" i="1"/>
  <c r="D123" i="1"/>
  <c r="G122" i="1"/>
  <c r="F122" i="1"/>
  <c r="E122" i="1"/>
  <c r="D122" i="1"/>
  <c r="G119" i="1"/>
  <c r="F119" i="1"/>
  <c r="E119" i="1"/>
  <c r="D119" i="1"/>
  <c r="G118" i="1"/>
  <c r="F118" i="1"/>
  <c r="E118" i="1"/>
  <c r="D118" i="1"/>
  <c r="G117" i="1"/>
  <c r="F117" i="1"/>
  <c r="E117" i="1"/>
  <c r="D117" i="1"/>
  <c r="G116" i="1"/>
  <c r="F116" i="1"/>
  <c r="E116" i="1"/>
  <c r="D116" i="1"/>
  <c r="G115" i="1"/>
  <c r="F115" i="1"/>
  <c r="E115" i="1"/>
  <c r="D115" i="1"/>
  <c r="G114" i="1"/>
  <c r="F114" i="1"/>
  <c r="E114" i="1"/>
  <c r="D114" i="1"/>
  <c r="G113" i="1"/>
  <c r="F113" i="1"/>
  <c r="E113" i="1"/>
  <c r="D113" i="1"/>
  <c r="G112" i="1"/>
  <c r="F112" i="1"/>
  <c r="E112" i="1"/>
  <c r="D112" i="1"/>
  <c r="G111" i="1"/>
  <c r="F111" i="1"/>
  <c r="E111" i="1"/>
  <c r="D111" i="1"/>
  <c r="K59" i="1"/>
  <c r="J59" i="1"/>
  <c r="I59" i="1"/>
  <c r="K58" i="1"/>
  <c r="J58" i="1"/>
  <c r="I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N49" i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39" i="1"/>
  <c r="M39" i="1"/>
  <c r="L39" i="1"/>
  <c r="K39" i="1"/>
  <c r="N38" i="1"/>
  <c r="M38" i="1"/>
  <c r="L38" i="1"/>
  <c r="K38" i="1"/>
  <c r="N37" i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K34" i="1"/>
  <c r="N33" i="1"/>
  <c r="M33" i="1"/>
  <c r="L33" i="1"/>
  <c r="K33" i="1"/>
  <c r="J22" i="1"/>
  <c r="I22" i="1"/>
  <c r="H22" i="1"/>
  <c r="G22" i="1"/>
  <c r="F22" i="1"/>
  <c r="E22" i="1"/>
  <c r="D22" i="1"/>
  <c r="C22" i="1"/>
  <c r="B22" i="1"/>
  <c r="J11" i="1"/>
  <c r="I11" i="1"/>
  <c r="H11" i="1"/>
  <c r="G11" i="1"/>
  <c r="F11" i="1"/>
  <c r="E11" i="1"/>
  <c r="D11" i="1"/>
  <c r="C11" i="1"/>
  <c r="B11" i="1"/>
  <c r="J206" i="1" l="1"/>
  <c r="J215" i="1"/>
  <c r="J407" i="1"/>
  <c r="C395" i="1"/>
  <c r="E395" i="1"/>
  <c r="K407" i="1"/>
  <c r="B395" i="1"/>
  <c r="L407" i="1"/>
  <c r="J187" i="1"/>
  <c r="F407" i="1"/>
  <c r="G407" i="1"/>
  <c r="H407" i="1"/>
  <c r="J207" i="1"/>
  <c r="J216" i="1"/>
</calcChain>
</file>

<file path=xl/sharedStrings.xml><?xml version="1.0" encoding="utf-8"?>
<sst xmlns="http://schemas.openxmlformats.org/spreadsheetml/2006/main" count="615" uniqueCount="126">
  <si>
    <t>Figure 1A</t>
  </si>
  <si>
    <t>Experiment 1 (2021_0221)</t>
  </si>
  <si>
    <t>Peptide group&gt;</t>
  </si>
  <si>
    <t>Aatf</t>
  </si>
  <si>
    <t>Adpgk</t>
  </si>
  <si>
    <t>Cpne1</t>
  </si>
  <si>
    <t>3 mice/group</t>
  </si>
  <si>
    <t>Mouse 1</t>
  </si>
  <si>
    <t>Mouse 2</t>
  </si>
  <si>
    <t>Mouse 3</t>
  </si>
  <si>
    <t>Peptide replicate 1</t>
  </si>
  <si>
    <t>Peptide replicate 2</t>
  </si>
  <si>
    <t>Media only replicate 1 (background)</t>
  </si>
  <si>
    <t>Media only replicate 2 (background)</t>
  </si>
  <si>
    <t>Average peptide - Averaged Media only</t>
  </si>
  <si>
    <t>&lt; Plotted values</t>
  </si>
  <si>
    <t>Experiment 2 (2021_0725)</t>
  </si>
  <si>
    <t>Figure 1B</t>
  </si>
  <si>
    <t>Schematic</t>
  </si>
  <si>
    <t>Figure 1C</t>
  </si>
  <si>
    <t>Experiment 1 (2020_03)</t>
  </si>
  <si>
    <t>Day</t>
  </si>
  <si>
    <t>L1</t>
  </si>
  <si>
    <t>W1</t>
  </si>
  <si>
    <t>L2</t>
  </si>
  <si>
    <t>W2</t>
  </si>
  <si>
    <t>L3</t>
  </si>
  <si>
    <t>W3</t>
  </si>
  <si>
    <t>A1</t>
  </si>
  <si>
    <t>A2</t>
  </si>
  <si>
    <t>A3</t>
  </si>
  <si>
    <t>A4</t>
  </si>
  <si>
    <t>mCherry</t>
  </si>
  <si>
    <t>Experiment 2 (2022_0425)</t>
  </si>
  <si>
    <t>Matched</t>
  </si>
  <si>
    <t>L4</t>
  </si>
  <si>
    <t>W4</t>
  </si>
  <si>
    <t>L5</t>
  </si>
  <si>
    <t>W5</t>
  </si>
  <si>
    <t>A5</t>
  </si>
  <si>
    <t>Date</t>
  </si>
  <si>
    <t>NP</t>
  </si>
  <si>
    <t>L</t>
  </si>
  <si>
    <t>R</t>
  </si>
  <si>
    <t>B</t>
  </si>
  <si>
    <t>OTHER</t>
  </si>
  <si>
    <t>Figure 1D</t>
  </si>
  <si>
    <t>Experiment 1 (2019_0619)</t>
  </si>
  <si>
    <t>DATE</t>
  </si>
  <si>
    <t>DAY:</t>
  </si>
  <si>
    <t>7/16 *Endpoint</t>
  </si>
  <si>
    <t>Experiment 2 (2021_0706)</t>
  </si>
  <si>
    <t>Figure 1E</t>
  </si>
  <si>
    <t>Experiment 1 (2019_0601)</t>
  </si>
  <si>
    <t>File name</t>
  </si>
  <si>
    <t>Sample</t>
  </si>
  <si>
    <t>beads</t>
  </si>
  <si>
    <t>bead input</t>
  </si>
  <si>
    <t>cd8+ counts</t>
  </si>
  <si>
    <t>tube before</t>
  </si>
  <si>
    <t>tube after</t>
  </si>
  <si>
    <t>tumor mass (g)</t>
  </si>
  <si>
    <t>normalized cd8+</t>
  </si>
  <si>
    <t>#cd8+/g tumor</t>
  </si>
  <si>
    <t>Tumor_Adpgk_001_040.fcs</t>
  </si>
  <si>
    <t>Tumor_Adpgk_002_041.fcs</t>
  </si>
  <si>
    <t>Tumor_Aatf_001_044.fcs</t>
  </si>
  <si>
    <t>Tumor_Aatf_002_045.fcs</t>
  </si>
  <si>
    <t>Experiment 2 (2021_0726)</t>
  </si>
  <si>
    <t>tumor_day10_Aatf_001.fcs</t>
  </si>
  <si>
    <t>tumor_day10_Aatf_002.fcs</t>
  </si>
  <si>
    <t>tumor_day10_Aatf_003.fcs</t>
  </si>
  <si>
    <t>tumor_day10_Adpgk_001.fcs</t>
  </si>
  <si>
    <t>tumor_day10_Adpgk_002.fcs</t>
  </si>
  <si>
    <t>tumor_day10_Adpgk_003.fcs</t>
  </si>
  <si>
    <t>Experiment 3 (2020_0330)</t>
  </si>
  <si>
    <t>only ran half sample tumor mass/2</t>
  </si>
  <si>
    <t>Tumor_Aatf_001.fcs</t>
  </si>
  <si>
    <t>Tumor_Aatf_002.fcs</t>
  </si>
  <si>
    <t>Tumor_Aatf_003.fcs</t>
  </si>
  <si>
    <t>Tumor_Adpgk_001.fcs</t>
  </si>
  <si>
    <t>Tumor_Adpgk_002.fcs</t>
  </si>
  <si>
    <t>Tumor_Adpgk_003.fcs</t>
  </si>
  <si>
    <t>Experiment 4 (2021_1019)</t>
  </si>
  <si>
    <t>fx-tumor_aatf_001.fcs</t>
  </si>
  <si>
    <t>fx-tumor_aatf_002.fcs</t>
  </si>
  <si>
    <t>fx-tumor_aatf_003.fcs</t>
  </si>
  <si>
    <t>fx-tumor_adpgk_001.fcs</t>
  </si>
  <si>
    <t>fx-tumor_adpgk_002.fcs</t>
  </si>
  <si>
    <t>fx-tumor_adpgk_003.fcs</t>
  </si>
  <si>
    <t>Experiment 5 (2022_0301)</t>
  </si>
  <si>
    <t>Experiment 6 (2022_0326)</t>
  </si>
  <si>
    <t>Figure 1F</t>
  </si>
  <si>
    <t>%CD8+ (of CD3e+ cells)</t>
  </si>
  <si>
    <t>28.4 %</t>
  </si>
  <si>
    <t>18.6 %</t>
  </si>
  <si>
    <t>18.5 %</t>
  </si>
  <si>
    <t>12.3 %</t>
  </si>
  <si>
    <t>Experiment 3 (2020_0302)</t>
  </si>
  <si>
    <t>TUMOR_d10_aatf_001_010.fcs</t>
  </si>
  <si>
    <t>TUMOR_d10_aatf_002_011.fcs</t>
  </si>
  <si>
    <t>TUMOR_d10_aatf_003_012.fcs</t>
  </si>
  <si>
    <t>TUMOR_d10_adpgk_001_004.fcs</t>
  </si>
  <si>
    <t>TUMOR_d10_adpgk_002_005.fcs</t>
  </si>
  <si>
    <t>TUMOR_d10_adpgk_003_006.fcs</t>
  </si>
  <si>
    <t>Experiment 4 (2020_0330)</t>
  </si>
  <si>
    <t>Experiment 5 (2021_1019)</t>
  </si>
  <si>
    <t>Experiment 6 (2022_0301)</t>
  </si>
  <si>
    <t>Experiment 7 (2022_0326)</t>
  </si>
  <si>
    <t>Experiment 8 (2022_0222)</t>
  </si>
  <si>
    <t>Figure 1G</t>
  </si>
  <si>
    <t>%CD44+CD62L- (of CD8+)</t>
  </si>
  <si>
    <t>76.9 %</t>
  </si>
  <si>
    <t>62.3 %</t>
  </si>
  <si>
    <t>29.5 %</t>
  </si>
  <si>
    <t>39.6 %</t>
  </si>
  <si>
    <t>Figure 1H</t>
  </si>
  <si>
    <t>Experiment 1 (2016_0601)</t>
  </si>
  <si>
    <t>Background replicate 1</t>
  </si>
  <si>
    <t>Background replicate 2</t>
  </si>
  <si>
    <t>Averaged background</t>
  </si>
  <si>
    <t>Peptide 1</t>
  </si>
  <si>
    <t>Averaged peptide</t>
  </si>
  <si>
    <t>Avg Peptide - Avg Background</t>
  </si>
  <si>
    <t>&lt;Plotted values</t>
  </si>
  <si>
    <t>Experiment 2 (2021_0727)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</si>
</sst>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" fontId="3" fillId="0" borderId="0" xfId="0" applyNumberFormat="1" applyFont="1"/>
    <xf numFmtId="0" fontId="3" fillId="0" borderId="0" xfId="0" applyFont="1"/>
    <xf numFmtId="16" fontId="0" fillId="0" borderId="0" xfId="0" applyNumberFormat="1"/>
    <xf numFmtId="16" fontId="1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13B7F-1BB8-B447-9B04-71D17D7B5151}">
  <dimension ref="A1:Q407"/>
  <sheetViews>
    <sheetView tabSelected="1" topLeftCell="A394" workbookViewId="0">
      <selection activeCell="A157" sqref="A157:XFD157"/>
    </sheetView>
  </sheetViews>
  <sheetFormatPr baseColWidth="10" defaultRowHeight="16" x14ac:dyDescent="0.2"/>
  <sheetData>
    <row r="1" spans="1:11" x14ac:dyDescent="0.2">
      <c r="A1" s="1" t="s">
        <v>0</v>
      </c>
    </row>
    <row r="3" spans="1:11" x14ac:dyDescent="0.2">
      <c r="A3" s="1" t="s">
        <v>1</v>
      </c>
    </row>
    <row r="5" spans="1:11" x14ac:dyDescent="0.2">
      <c r="A5" t="s">
        <v>2</v>
      </c>
      <c r="B5" s="2" t="s">
        <v>3</v>
      </c>
      <c r="C5" s="2"/>
      <c r="D5" s="2"/>
      <c r="E5" s="2" t="s">
        <v>4</v>
      </c>
      <c r="F5" s="2"/>
      <c r="G5" s="2"/>
      <c r="H5" s="2" t="s">
        <v>5</v>
      </c>
      <c r="I5" s="2"/>
      <c r="J5" s="2"/>
    </row>
    <row r="6" spans="1:11" x14ac:dyDescent="0.2">
      <c r="A6" t="s">
        <v>6</v>
      </c>
      <c r="B6" t="s">
        <v>7</v>
      </c>
      <c r="C6" t="s">
        <v>8</v>
      </c>
      <c r="D6" t="s">
        <v>9</v>
      </c>
      <c r="E6" t="s">
        <v>7</v>
      </c>
      <c r="F6" t="s">
        <v>8</v>
      </c>
      <c r="G6" t="s">
        <v>9</v>
      </c>
      <c r="H6" t="s">
        <v>7</v>
      </c>
      <c r="I6" t="s">
        <v>8</v>
      </c>
      <c r="J6" t="s">
        <v>9</v>
      </c>
    </row>
    <row r="7" spans="1:11" x14ac:dyDescent="0.2">
      <c r="A7" t="s">
        <v>10</v>
      </c>
      <c r="B7">
        <v>1</v>
      </c>
      <c r="C7">
        <v>0</v>
      </c>
      <c r="D7">
        <v>0</v>
      </c>
      <c r="E7">
        <v>7</v>
      </c>
      <c r="F7">
        <v>25</v>
      </c>
      <c r="G7">
        <v>94</v>
      </c>
      <c r="H7">
        <v>13</v>
      </c>
      <c r="I7">
        <v>166</v>
      </c>
      <c r="J7">
        <v>72</v>
      </c>
    </row>
    <row r="8" spans="1:11" x14ac:dyDescent="0.2">
      <c r="A8" t="s">
        <v>11</v>
      </c>
      <c r="B8">
        <v>0</v>
      </c>
      <c r="C8">
        <v>0</v>
      </c>
      <c r="D8">
        <v>0</v>
      </c>
      <c r="E8">
        <v>9</v>
      </c>
      <c r="F8">
        <v>48</v>
      </c>
      <c r="G8">
        <v>135</v>
      </c>
      <c r="H8">
        <v>7</v>
      </c>
      <c r="I8">
        <v>114</v>
      </c>
      <c r="J8">
        <v>51</v>
      </c>
    </row>
    <row r="9" spans="1:11" ht="68" x14ac:dyDescent="0.2">
      <c r="A9" s="3" t="s">
        <v>12</v>
      </c>
      <c r="B9">
        <v>0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</row>
    <row r="10" spans="1:11" ht="68" x14ac:dyDescent="0.2">
      <c r="A10" s="3" t="s">
        <v>13</v>
      </c>
      <c r="B10">
        <v>0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</row>
    <row r="11" spans="1:11" ht="68" x14ac:dyDescent="0.2">
      <c r="A11" s="3" t="s">
        <v>14</v>
      </c>
      <c r="B11">
        <f t="shared" ref="B11:G11" si="0">AVERAGE(B7:B8)-AVERAGE(B9:B10)</f>
        <v>0.5</v>
      </c>
      <c r="C11">
        <f t="shared" si="0"/>
        <v>0</v>
      </c>
      <c r="D11">
        <f t="shared" si="0"/>
        <v>0</v>
      </c>
      <c r="E11">
        <f t="shared" si="0"/>
        <v>7.5</v>
      </c>
      <c r="F11">
        <f t="shared" si="0"/>
        <v>36.5</v>
      </c>
      <c r="G11">
        <f t="shared" si="0"/>
        <v>114</v>
      </c>
      <c r="H11">
        <f>AVERAGE(H7:H8)-AVERAGE(H9:H10)</f>
        <v>10</v>
      </c>
      <c r="I11">
        <f t="shared" ref="I11:J11" si="1">AVERAGE(I7:I8)-AVERAGE(I9:I10)</f>
        <v>140</v>
      </c>
      <c r="J11">
        <f t="shared" si="1"/>
        <v>61.5</v>
      </c>
      <c r="K11" t="s">
        <v>15</v>
      </c>
    </row>
    <row r="14" spans="1:11" x14ac:dyDescent="0.2">
      <c r="A14" s="1" t="s">
        <v>16</v>
      </c>
    </row>
    <row r="16" spans="1:11" x14ac:dyDescent="0.2">
      <c r="A16" t="s">
        <v>2</v>
      </c>
      <c r="B16" s="2" t="s">
        <v>3</v>
      </c>
      <c r="C16" s="2"/>
      <c r="D16" s="2"/>
      <c r="E16" s="2" t="s">
        <v>4</v>
      </c>
      <c r="F16" s="2"/>
      <c r="G16" s="2"/>
      <c r="H16" s="2" t="s">
        <v>5</v>
      </c>
      <c r="I16" s="2"/>
      <c r="J16" s="2"/>
    </row>
    <row r="17" spans="1:14" x14ac:dyDescent="0.2">
      <c r="A17" t="s">
        <v>6</v>
      </c>
      <c r="B17" t="s">
        <v>7</v>
      </c>
      <c r="C17" t="s">
        <v>8</v>
      </c>
      <c r="D17" t="s">
        <v>9</v>
      </c>
      <c r="E17" t="s">
        <v>7</v>
      </c>
      <c r="F17" t="s">
        <v>8</v>
      </c>
      <c r="G17" t="s">
        <v>9</v>
      </c>
      <c r="H17" t="s">
        <v>7</v>
      </c>
      <c r="I17" t="s">
        <v>8</v>
      </c>
      <c r="J17" t="s">
        <v>9</v>
      </c>
    </row>
    <row r="18" spans="1:14" x14ac:dyDescent="0.2">
      <c r="A18" t="s">
        <v>10</v>
      </c>
      <c r="B18">
        <v>1</v>
      </c>
      <c r="C18">
        <v>0</v>
      </c>
      <c r="D18">
        <v>1</v>
      </c>
      <c r="E18">
        <v>584</v>
      </c>
      <c r="F18">
        <v>1027</v>
      </c>
      <c r="G18">
        <v>169</v>
      </c>
      <c r="H18">
        <v>54</v>
      </c>
      <c r="I18">
        <v>19</v>
      </c>
      <c r="J18">
        <v>5</v>
      </c>
    </row>
    <row r="19" spans="1:14" x14ac:dyDescent="0.2">
      <c r="A19" t="s">
        <v>11</v>
      </c>
      <c r="B19">
        <v>0</v>
      </c>
      <c r="C19">
        <v>0</v>
      </c>
      <c r="D19">
        <v>0</v>
      </c>
      <c r="E19">
        <v>412</v>
      </c>
      <c r="F19">
        <v>982</v>
      </c>
      <c r="G19">
        <v>124</v>
      </c>
      <c r="H19">
        <v>36</v>
      </c>
      <c r="I19">
        <v>21</v>
      </c>
      <c r="J19">
        <v>1</v>
      </c>
    </row>
    <row r="20" spans="1:14" ht="68" x14ac:dyDescent="0.2">
      <c r="A20" s="3" t="s">
        <v>12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1</v>
      </c>
    </row>
    <row r="21" spans="1:14" ht="68" x14ac:dyDescent="0.2">
      <c r="A21" s="3" t="s">
        <v>13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1</v>
      </c>
      <c r="J21">
        <v>0</v>
      </c>
    </row>
    <row r="22" spans="1:14" ht="68" x14ac:dyDescent="0.2">
      <c r="A22" s="3" t="s">
        <v>14</v>
      </c>
      <c r="B22">
        <f t="shared" ref="B22:G22" si="2">AVERAGE(B18:B19)-AVERAGE(B20:B21)</f>
        <v>0.5</v>
      </c>
      <c r="C22">
        <f t="shared" si="2"/>
        <v>0</v>
      </c>
      <c r="D22">
        <f t="shared" si="2"/>
        <v>0.5</v>
      </c>
      <c r="E22">
        <f t="shared" si="2"/>
        <v>498</v>
      </c>
      <c r="F22">
        <f t="shared" si="2"/>
        <v>1004.5</v>
      </c>
      <c r="G22">
        <f t="shared" si="2"/>
        <v>146.5</v>
      </c>
      <c r="H22">
        <f>AVERAGE(H18:H19)-AVERAGE(H20:H21)</f>
        <v>45</v>
      </c>
      <c r="I22">
        <f t="shared" ref="I22:J22" si="3">AVERAGE(I18:I19)-AVERAGE(I20:I21)</f>
        <v>19.5</v>
      </c>
      <c r="J22">
        <f t="shared" si="3"/>
        <v>2.5</v>
      </c>
      <c r="K22" t="s">
        <v>15</v>
      </c>
    </row>
    <row r="24" spans="1:14" x14ac:dyDescent="0.2">
      <c r="A24" s="1" t="s">
        <v>17</v>
      </c>
    </row>
    <row r="26" spans="1:14" x14ac:dyDescent="0.2">
      <c r="A26" t="s">
        <v>18</v>
      </c>
    </row>
    <row r="28" spans="1:14" x14ac:dyDescent="0.2">
      <c r="A28" s="1" t="s">
        <v>19</v>
      </c>
    </row>
    <row r="30" spans="1:14" x14ac:dyDescent="0.2">
      <c r="A30" s="1" t="s">
        <v>20</v>
      </c>
    </row>
    <row r="31" spans="1:14" ht="17" thickBot="1" x14ac:dyDescent="0.25"/>
    <row r="32" spans="1:14" ht="18" thickTop="1" thickBot="1" x14ac:dyDescent="0.25">
      <c r="A32" s="4" t="s">
        <v>4</v>
      </c>
      <c r="B32" t="s">
        <v>21</v>
      </c>
      <c r="C32" s="5" t="s">
        <v>22</v>
      </c>
      <c r="D32" s="6" t="s">
        <v>23</v>
      </c>
      <c r="E32" s="5" t="s">
        <v>24</v>
      </c>
      <c r="F32" s="6" t="s">
        <v>25</v>
      </c>
      <c r="G32" s="5" t="s">
        <v>26</v>
      </c>
      <c r="H32" s="6" t="s">
        <v>27</v>
      </c>
      <c r="I32" s="5" t="s">
        <v>26</v>
      </c>
      <c r="J32" s="7" t="s">
        <v>27</v>
      </c>
      <c r="K32" s="8" t="s">
        <v>28</v>
      </c>
      <c r="L32" s="8" t="s">
        <v>29</v>
      </c>
      <c r="M32" s="8" t="s">
        <v>30</v>
      </c>
      <c r="N32" s="8" t="s">
        <v>31</v>
      </c>
    </row>
    <row r="33" spans="1:14" ht="17" thickTop="1" x14ac:dyDescent="0.2">
      <c r="A33" s="9">
        <v>45108</v>
      </c>
      <c r="B33">
        <v>7</v>
      </c>
      <c r="C33">
        <v>4.6399999999999997</v>
      </c>
      <c r="D33">
        <v>4.12</v>
      </c>
      <c r="E33">
        <v>3.53</v>
      </c>
      <c r="F33">
        <v>4.04</v>
      </c>
      <c r="G33">
        <v>5.51</v>
      </c>
      <c r="H33">
        <v>4.6500000000000004</v>
      </c>
      <c r="I33">
        <v>5.4</v>
      </c>
      <c r="J33">
        <v>4.57</v>
      </c>
      <c r="K33">
        <f t="shared" ref="K33:K39" si="4">C33*D33</f>
        <v>19.116799999999998</v>
      </c>
      <c r="L33">
        <f t="shared" ref="L33:L39" si="5">E33*F33</f>
        <v>14.261199999999999</v>
      </c>
      <c r="M33">
        <f t="shared" ref="M33:M39" si="6">G33*H33</f>
        <v>25.621500000000001</v>
      </c>
      <c r="N33">
        <f t="shared" ref="N33:N39" si="7">I33*J33</f>
        <v>24.678000000000004</v>
      </c>
    </row>
    <row r="34" spans="1:14" x14ac:dyDescent="0.2">
      <c r="A34" s="9">
        <v>45111</v>
      </c>
      <c r="B34">
        <v>10</v>
      </c>
      <c r="C34">
        <v>4.41</v>
      </c>
      <c r="D34">
        <v>4.01</v>
      </c>
      <c r="E34">
        <v>3.13</v>
      </c>
      <c r="F34">
        <v>4.7</v>
      </c>
      <c r="G34">
        <v>3.88</v>
      </c>
      <c r="H34">
        <v>3.36</v>
      </c>
      <c r="I34">
        <v>5.55</v>
      </c>
      <c r="J34">
        <v>4.58</v>
      </c>
      <c r="K34">
        <f t="shared" si="4"/>
        <v>17.684100000000001</v>
      </c>
      <c r="L34">
        <f t="shared" si="5"/>
        <v>14.711</v>
      </c>
      <c r="M34">
        <f t="shared" si="6"/>
        <v>13.036799999999999</v>
      </c>
      <c r="N34">
        <f t="shared" si="7"/>
        <v>25.419</v>
      </c>
    </row>
    <row r="35" spans="1:14" x14ac:dyDescent="0.2">
      <c r="A35" s="9">
        <v>45115</v>
      </c>
      <c r="B35">
        <v>14</v>
      </c>
      <c r="C35">
        <v>4.4400000000000004</v>
      </c>
      <c r="D35">
        <v>4.3499999999999996</v>
      </c>
      <c r="E35">
        <v>2.4900000000000002</v>
      </c>
      <c r="F35">
        <v>2.4900000000000002</v>
      </c>
      <c r="G35">
        <v>0</v>
      </c>
      <c r="H35">
        <v>0</v>
      </c>
      <c r="I35">
        <v>6.62</v>
      </c>
      <c r="J35">
        <v>5.55</v>
      </c>
      <c r="K35">
        <f t="shared" si="4"/>
        <v>19.314</v>
      </c>
      <c r="L35">
        <f t="shared" si="5"/>
        <v>6.2001000000000008</v>
      </c>
      <c r="M35">
        <f t="shared" si="6"/>
        <v>0</v>
      </c>
      <c r="N35">
        <f t="shared" si="7"/>
        <v>36.741</v>
      </c>
    </row>
    <row r="36" spans="1:14" x14ac:dyDescent="0.2">
      <c r="A36" s="9">
        <v>45118</v>
      </c>
      <c r="B36">
        <v>17</v>
      </c>
      <c r="C36">
        <v>5.57</v>
      </c>
      <c r="D36">
        <v>5.07</v>
      </c>
      <c r="E36">
        <v>3.68</v>
      </c>
      <c r="F36">
        <v>3.51</v>
      </c>
      <c r="G36">
        <v>2.69</v>
      </c>
      <c r="H36">
        <v>2.87</v>
      </c>
      <c r="I36">
        <v>7.57</v>
      </c>
      <c r="J36">
        <v>6.53</v>
      </c>
      <c r="K36">
        <f t="shared" si="4"/>
        <v>28.239900000000002</v>
      </c>
      <c r="L36">
        <f t="shared" si="5"/>
        <v>12.9168</v>
      </c>
      <c r="M36">
        <f t="shared" si="6"/>
        <v>7.7202999999999999</v>
      </c>
      <c r="N36">
        <f t="shared" si="7"/>
        <v>49.432100000000005</v>
      </c>
    </row>
    <row r="37" spans="1:14" x14ac:dyDescent="0.2">
      <c r="A37" s="9">
        <v>45122</v>
      </c>
      <c r="B37">
        <v>21</v>
      </c>
      <c r="C37">
        <v>6.57</v>
      </c>
      <c r="D37">
        <v>5.85</v>
      </c>
      <c r="E37">
        <v>3.72</v>
      </c>
      <c r="F37">
        <v>4.6399999999999997</v>
      </c>
      <c r="G37">
        <v>3.89</v>
      </c>
      <c r="H37">
        <v>4.1100000000000003</v>
      </c>
      <c r="I37">
        <v>8.76</v>
      </c>
      <c r="J37">
        <v>7.14</v>
      </c>
      <c r="K37">
        <f t="shared" si="4"/>
        <v>38.4345</v>
      </c>
      <c r="L37">
        <f t="shared" si="5"/>
        <v>17.2608</v>
      </c>
      <c r="M37">
        <f t="shared" si="6"/>
        <v>15.987900000000002</v>
      </c>
      <c r="N37">
        <f t="shared" si="7"/>
        <v>62.546399999999998</v>
      </c>
    </row>
    <row r="38" spans="1:14" x14ac:dyDescent="0.2">
      <c r="A38" s="9">
        <v>45125</v>
      </c>
      <c r="B38">
        <v>24</v>
      </c>
      <c r="C38">
        <v>7.33</v>
      </c>
      <c r="D38">
        <v>6.35</v>
      </c>
      <c r="E38">
        <v>4.53</v>
      </c>
      <c r="F38">
        <v>4.5999999999999996</v>
      </c>
      <c r="G38">
        <v>4.6399999999999997</v>
      </c>
      <c r="H38">
        <v>4.8</v>
      </c>
      <c r="I38">
        <v>9.39</v>
      </c>
      <c r="J38">
        <v>8.14</v>
      </c>
      <c r="K38">
        <f t="shared" si="4"/>
        <v>46.545499999999997</v>
      </c>
      <c r="L38">
        <f t="shared" si="5"/>
        <v>20.838000000000001</v>
      </c>
      <c r="M38">
        <f t="shared" si="6"/>
        <v>22.271999999999998</v>
      </c>
      <c r="N38">
        <f t="shared" si="7"/>
        <v>76.434600000000003</v>
      </c>
    </row>
    <row r="39" spans="1:14" x14ac:dyDescent="0.2">
      <c r="A39" s="9">
        <v>45129</v>
      </c>
      <c r="B39">
        <v>28</v>
      </c>
      <c r="C39">
        <v>9.18</v>
      </c>
      <c r="D39">
        <v>6.9</v>
      </c>
      <c r="E39">
        <v>6.64</v>
      </c>
      <c r="F39">
        <v>6</v>
      </c>
      <c r="G39">
        <v>5.9</v>
      </c>
      <c r="H39">
        <v>5.97</v>
      </c>
      <c r="I39">
        <v>8.9600000000000009</v>
      </c>
      <c r="J39">
        <v>7.9</v>
      </c>
      <c r="K39">
        <f t="shared" si="4"/>
        <v>63.341999999999999</v>
      </c>
      <c r="L39">
        <f t="shared" si="5"/>
        <v>39.839999999999996</v>
      </c>
      <c r="M39">
        <f t="shared" si="6"/>
        <v>35.222999999999999</v>
      </c>
      <c r="N39">
        <f t="shared" si="7"/>
        <v>70.784000000000006</v>
      </c>
    </row>
    <row r="41" spans="1:14" ht="17" thickBot="1" x14ac:dyDescent="0.25">
      <c r="E41" s="10"/>
      <c r="F41" s="10"/>
    </row>
    <row r="42" spans="1:14" ht="18" thickTop="1" thickBot="1" x14ac:dyDescent="0.25">
      <c r="A42" s="1" t="s">
        <v>3</v>
      </c>
      <c r="B42" t="s">
        <v>21</v>
      </c>
      <c r="C42" s="5" t="s">
        <v>22</v>
      </c>
      <c r="D42" s="6" t="s">
        <v>23</v>
      </c>
      <c r="E42" s="5" t="s">
        <v>24</v>
      </c>
      <c r="F42" s="6" t="s">
        <v>25</v>
      </c>
      <c r="G42" s="5" t="s">
        <v>26</v>
      </c>
      <c r="H42" s="6" t="s">
        <v>27</v>
      </c>
      <c r="I42" s="5" t="s">
        <v>26</v>
      </c>
      <c r="J42" s="7" t="s">
        <v>27</v>
      </c>
      <c r="K42" s="8" t="s">
        <v>28</v>
      </c>
      <c r="L42" s="8" t="s">
        <v>29</v>
      </c>
      <c r="M42" s="8" t="s">
        <v>30</v>
      </c>
      <c r="N42" s="8" t="s">
        <v>31</v>
      </c>
    </row>
    <row r="43" spans="1:14" ht="17" thickTop="1" x14ac:dyDescent="0.2">
      <c r="A43" s="11">
        <v>44013</v>
      </c>
      <c r="B43">
        <v>7</v>
      </c>
      <c r="C43">
        <v>4.63</v>
      </c>
      <c r="D43">
        <v>3.9</v>
      </c>
      <c r="E43">
        <v>4.21</v>
      </c>
      <c r="F43">
        <v>3.73</v>
      </c>
      <c r="G43">
        <v>5.16</v>
      </c>
      <c r="H43">
        <v>4.33</v>
      </c>
      <c r="I43">
        <v>4.92</v>
      </c>
      <c r="J43">
        <v>3.81</v>
      </c>
      <c r="K43">
        <f>C43*D43</f>
        <v>18.056999999999999</v>
      </c>
      <c r="L43">
        <f>E43*F43</f>
        <v>15.7033</v>
      </c>
      <c r="M43">
        <f>G43*H43</f>
        <v>22.3428</v>
      </c>
      <c r="N43">
        <f>I43*J43</f>
        <v>18.745200000000001</v>
      </c>
    </row>
    <row r="44" spans="1:14" x14ac:dyDescent="0.2">
      <c r="A44" s="11">
        <v>44016</v>
      </c>
      <c r="B44">
        <v>10</v>
      </c>
      <c r="C44">
        <v>5.78</v>
      </c>
      <c r="D44">
        <v>4.87</v>
      </c>
      <c r="E44">
        <v>4.6399999999999997</v>
      </c>
      <c r="F44">
        <v>3.98</v>
      </c>
      <c r="G44">
        <v>5.1100000000000003</v>
      </c>
      <c r="H44">
        <v>4.1500000000000004</v>
      </c>
      <c r="I44">
        <v>5.55</v>
      </c>
      <c r="J44">
        <v>4.38</v>
      </c>
      <c r="K44">
        <f t="shared" ref="K44:K49" si="8">C44*D44</f>
        <v>28.148600000000002</v>
      </c>
      <c r="L44">
        <f t="shared" ref="L44:L49" si="9">E44*F44</f>
        <v>18.467199999999998</v>
      </c>
      <c r="M44">
        <f t="shared" ref="M44:M49" si="10">G44*H44</f>
        <v>21.206500000000002</v>
      </c>
      <c r="N44">
        <f t="shared" ref="N44:N49" si="11">I44*J44</f>
        <v>24.308999999999997</v>
      </c>
    </row>
    <row r="45" spans="1:14" x14ac:dyDescent="0.2">
      <c r="A45" s="11">
        <v>44020</v>
      </c>
      <c r="B45">
        <v>14</v>
      </c>
      <c r="C45">
        <v>6.61</v>
      </c>
      <c r="D45">
        <v>6.67</v>
      </c>
      <c r="E45">
        <v>5.28</v>
      </c>
      <c r="F45">
        <v>5.07</v>
      </c>
      <c r="G45">
        <v>5.86</v>
      </c>
      <c r="H45">
        <v>5.26</v>
      </c>
      <c r="I45">
        <v>6.13</v>
      </c>
      <c r="J45">
        <v>5.44</v>
      </c>
      <c r="K45">
        <f t="shared" si="8"/>
        <v>44.088700000000003</v>
      </c>
      <c r="L45">
        <f t="shared" si="9"/>
        <v>26.769600000000004</v>
      </c>
      <c r="M45">
        <f t="shared" si="10"/>
        <v>30.823599999999999</v>
      </c>
      <c r="N45">
        <f t="shared" si="11"/>
        <v>33.347200000000001</v>
      </c>
    </row>
    <row r="46" spans="1:14" x14ac:dyDescent="0.2">
      <c r="A46" s="11">
        <v>44023</v>
      </c>
      <c r="B46">
        <v>17</v>
      </c>
      <c r="C46">
        <v>5.22</v>
      </c>
      <c r="D46">
        <v>5.13</v>
      </c>
      <c r="E46">
        <v>7.73</v>
      </c>
      <c r="F46">
        <v>7.01</v>
      </c>
      <c r="G46">
        <v>7.05</v>
      </c>
      <c r="H46">
        <v>6.2</v>
      </c>
      <c r="I46">
        <v>7.14</v>
      </c>
      <c r="J46">
        <v>6.39</v>
      </c>
      <c r="K46">
        <f t="shared" si="8"/>
        <v>26.778599999999997</v>
      </c>
      <c r="L46">
        <f t="shared" si="9"/>
        <v>54.1873</v>
      </c>
      <c r="M46">
        <f t="shared" si="10"/>
        <v>43.71</v>
      </c>
      <c r="N46">
        <f t="shared" si="11"/>
        <v>45.624599999999994</v>
      </c>
    </row>
    <row r="47" spans="1:14" x14ac:dyDescent="0.2">
      <c r="A47" s="11">
        <v>44027</v>
      </c>
      <c r="B47">
        <v>21</v>
      </c>
      <c r="C47">
        <v>9.19</v>
      </c>
      <c r="D47">
        <v>8.09</v>
      </c>
      <c r="E47">
        <v>5.42</v>
      </c>
      <c r="F47">
        <v>5.42</v>
      </c>
      <c r="G47">
        <v>8.23</v>
      </c>
      <c r="H47">
        <v>6.72</v>
      </c>
      <c r="I47">
        <v>8.09</v>
      </c>
      <c r="J47">
        <v>7.05</v>
      </c>
      <c r="K47">
        <f t="shared" si="8"/>
        <v>74.347099999999998</v>
      </c>
      <c r="L47">
        <f t="shared" si="9"/>
        <v>29.3764</v>
      </c>
      <c r="M47">
        <f t="shared" si="10"/>
        <v>55.305599999999998</v>
      </c>
      <c r="N47">
        <f t="shared" si="11"/>
        <v>57.034499999999994</v>
      </c>
    </row>
    <row r="48" spans="1:14" x14ac:dyDescent="0.2">
      <c r="A48" s="11">
        <v>44030</v>
      </c>
      <c r="B48">
        <v>24</v>
      </c>
      <c r="C48">
        <v>9.5</v>
      </c>
      <c r="D48">
        <v>7.74</v>
      </c>
      <c r="E48">
        <v>7.15</v>
      </c>
      <c r="F48">
        <v>6.6</v>
      </c>
      <c r="G48">
        <v>8.58</v>
      </c>
      <c r="H48">
        <v>7.58</v>
      </c>
      <c r="I48">
        <v>8.85</v>
      </c>
      <c r="J48">
        <v>7.58</v>
      </c>
      <c r="K48">
        <f t="shared" si="8"/>
        <v>73.53</v>
      </c>
      <c r="L48">
        <f t="shared" si="9"/>
        <v>47.19</v>
      </c>
      <c r="M48">
        <f t="shared" si="10"/>
        <v>65.0364</v>
      </c>
      <c r="N48">
        <f t="shared" si="11"/>
        <v>67.082999999999998</v>
      </c>
    </row>
    <row r="49" spans="1:14" x14ac:dyDescent="0.2">
      <c r="A49" s="11">
        <v>44034</v>
      </c>
      <c r="B49">
        <v>28</v>
      </c>
      <c r="C49">
        <v>10.75</v>
      </c>
      <c r="D49">
        <v>9.36</v>
      </c>
      <c r="E49">
        <v>7.23</v>
      </c>
      <c r="F49">
        <v>7.05</v>
      </c>
      <c r="G49">
        <v>9.27</v>
      </c>
      <c r="H49">
        <v>7.98</v>
      </c>
      <c r="I49">
        <v>9.76</v>
      </c>
      <c r="J49">
        <v>7.99</v>
      </c>
      <c r="K49">
        <f t="shared" si="8"/>
        <v>100.61999999999999</v>
      </c>
      <c r="L49">
        <f t="shared" si="9"/>
        <v>50.971499999999999</v>
      </c>
      <c r="M49">
        <f t="shared" si="10"/>
        <v>73.974599999999995</v>
      </c>
      <c r="N49">
        <f t="shared" si="11"/>
        <v>77.982399999999998</v>
      </c>
    </row>
    <row r="51" spans="1:14" ht="17" thickBot="1" x14ac:dyDescent="0.25"/>
    <row r="52" spans="1:14" ht="18" thickTop="1" thickBot="1" x14ac:dyDescent="0.25">
      <c r="A52" s="1" t="s">
        <v>32</v>
      </c>
      <c r="B52" t="s">
        <v>21</v>
      </c>
      <c r="C52" s="5" t="s">
        <v>22</v>
      </c>
      <c r="D52" s="6" t="s">
        <v>23</v>
      </c>
      <c r="E52" s="5" t="s">
        <v>24</v>
      </c>
      <c r="F52" s="6" t="s">
        <v>25</v>
      </c>
      <c r="G52" s="5" t="s">
        <v>26</v>
      </c>
      <c r="H52" s="6" t="s">
        <v>27</v>
      </c>
      <c r="I52" s="5" t="s">
        <v>28</v>
      </c>
      <c r="J52" s="7" t="s">
        <v>29</v>
      </c>
      <c r="K52" s="6" t="s">
        <v>30</v>
      </c>
    </row>
    <row r="53" spans="1:14" ht="17" thickTop="1" x14ac:dyDescent="0.2">
      <c r="A53" s="11">
        <v>44048</v>
      </c>
      <c r="B53">
        <v>7</v>
      </c>
      <c r="C53">
        <v>5.51</v>
      </c>
      <c r="D53">
        <v>4.25</v>
      </c>
      <c r="E53">
        <v>4.37</v>
      </c>
      <c r="F53">
        <v>2.92</v>
      </c>
      <c r="G53">
        <v>4.34</v>
      </c>
      <c r="H53">
        <v>3.27</v>
      </c>
      <c r="I53">
        <f t="shared" ref="I53:I59" si="12">C53*D53</f>
        <v>23.4175</v>
      </c>
      <c r="J53">
        <f t="shared" ref="J53:J59" si="13">E53*F53</f>
        <v>12.760400000000001</v>
      </c>
      <c r="K53">
        <f t="shared" ref="K53:K59" si="14">G53*H53</f>
        <v>14.191799999999999</v>
      </c>
    </row>
    <row r="54" spans="1:14" x14ac:dyDescent="0.2">
      <c r="A54" s="11">
        <v>44051</v>
      </c>
      <c r="B54">
        <v>10</v>
      </c>
      <c r="C54">
        <v>6.76</v>
      </c>
      <c r="D54">
        <v>5.7</v>
      </c>
      <c r="E54">
        <v>5.8</v>
      </c>
      <c r="F54">
        <v>3.84</v>
      </c>
      <c r="G54">
        <v>5.67</v>
      </c>
      <c r="H54">
        <v>4.09</v>
      </c>
      <c r="I54">
        <f t="shared" si="12"/>
        <v>38.531999999999996</v>
      </c>
      <c r="J54">
        <f t="shared" si="13"/>
        <v>22.271999999999998</v>
      </c>
      <c r="K54">
        <f t="shared" si="14"/>
        <v>23.190300000000001</v>
      </c>
    </row>
    <row r="55" spans="1:14" x14ac:dyDescent="0.2">
      <c r="A55" s="11">
        <v>44055</v>
      </c>
      <c r="B55">
        <v>14</v>
      </c>
      <c r="C55">
        <v>7.42</v>
      </c>
      <c r="D55">
        <v>6.17</v>
      </c>
      <c r="E55">
        <v>6.88</v>
      </c>
      <c r="F55">
        <v>4.97</v>
      </c>
      <c r="G55">
        <v>6.42</v>
      </c>
      <c r="H55">
        <v>5.21</v>
      </c>
      <c r="I55">
        <f t="shared" si="12"/>
        <v>45.781399999999998</v>
      </c>
      <c r="J55">
        <f t="shared" si="13"/>
        <v>34.193599999999996</v>
      </c>
      <c r="K55">
        <f t="shared" si="14"/>
        <v>33.4482</v>
      </c>
    </row>
    <row r="56" spans="1:14" x14ac:dyDescent="0.2">
      <c r="A56" s="12">
        <v>44060</v>
      </c>
      <c r="B56" s="1">
        <v>19</v>
      </c>
      <c r="C56">
        <v>10</v>
      </c>
      <c r="D56">
        <v>7.8</v>
      </c>
      <c r="E56">
        <v>6.4</v>
      </c>
      <c r="F56">
        <v>7.2</v>
      </c>
      <c r="G56">
        <v>8.49</v>
      </c>
      <c r="H56">
        <v>7.18</v>
      </c>
      <c r="I56">
        <f t="shared" si="12"/>
        <v>78</v>
      </c>
      <c r="J56">
        <f t="shared" si="13"/>
        <v>46.080000000000005</v>
      </c>
      <c r="K56">
        <f t="shared" si="14"/>
        <v>60.958199999999998</v>
      </c>
    </row>
    <row r="57" spans="1:14" x14ac:dyDescent="0.2">
      <c r="A57" s="11">
        <v>44062</v>
      </c>
      <c r="B57">
        <v>21</v>
      </c>
      <c r="C57">
        <v>10.07</v>
      </c>
      <c r="D57">
        <v>8.56</v>
      </c>
      <c r="E57">
        <v>7.1</v>
      </c>
      <c r="F57">
        <v>8.23</v>
      </c>
      <c r="G57">
        <v>9.02</v>
      </c>
      <c r="H57">
        <v>7.95</v>
      </c>
      <c r="I57">
        <f t="shared" si="12"/>
        <v>86.199200000000005</v>
      </c>
      <c r="J57">
        <f t="shared" si="13"/>
        <v>58.433</v>
      </c>
      <c r="K57">
        <f t="shared" si="14"/>
        <v>71.709000000000003</v>
      </c>
    </row>
    <row r="58" spans="1:14" x14ac:dyDescent="0.2">
      <c r="A58" s="11">
        <v>44065</v>
      </c>
      <c r="B58">
        <v>24</v>
      </c>
      <c r="C58">
        <v>10.98</v>
      </c>
      <c r="D58">
        <v>9.26</v>
      </c>
      <c r="E58">
        <v>8.2200000000000006</v>
      </c>
      <c r="F58">
        <v>8.3000000000000007</v>
      </c>
      <c r="G58">
        <v>9.16</v>
      </c>
      <c r="H58">
        <v>8.15</v>
      </c>
      <c r="I58">
        <f t="shared" si="12"/>
        <v>101.6748</v>
      </c>
      <c r="J58">
        <f t="shared" si="13"/>
        <v>68.226000000000013</v>
      </c>
      <c r="K58">
        <f t="shared" si="14"/>
        <v>74.654000000000011</v>
      </c>
    </row>
    <row r="59" spans="1:14" x14ac:dyDescent="0.2">
      <c r="A59" s="11">
        <v>44069</v>
      </c>
      <c r="B59">
        <v>28</v>
      </c>
      <c r="C59">
        <v>13.12</v>
      </c>
      <c r="D59">
        <v>10.43</v>
      </c>
      <c r="E59">
        <v>9.27</v>
      </c>
      <c r="F59">
        <v>9.18</v>
      </c>
      <c r="G59">
        <v>11.02</v>
      </c>
      <c r="H59">
        <v>9.27</v>
      </c>
      <c r="I59">
        <f t="shared" si="12"/>
        <v>136.8416</v>
      </c>
      <c r="J59">
        <f t="shared" si="13"/>
        <v>85.09859999999999</v>
      </c>
      <c r="K59">
        <f t="shared" si="14"/>
        <v>102.15539999999999</v>
      </c>
    </row>
    <row r="62" spans="1:14" x14ac:dyDescent="0.2">
      <c r="A62" s="1" t="s">
        <v>33</v>
      </c>
    </row>
    <row r="63" spans="1:14" x14ac:dyDescent="0.2">
      <c r="A63" t="s">
        <v>34</v>
      </c>
    </row>
    <row r="65" spans="1:17" ht="17" thickBo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ht="18" thickTop="1" thickBot="1" x14ac:dyDescent="0.25">
      <c r="A66" s="13" t="s">
        <v>3</v>
      </c>
      <c r="B66" s="13"/>
      <c r="C66" s="5" t="s">
        <v>22</v>
      </c>
      <c r="D66" s="6" t="s">
        <v>23</v>
      </c>
      <c r="E66" s="5" t="s">
        <v>24</v>
      </c>
      <c r="F66" s="6" t="s">
        <v>25</v>
      </c>
      <c r="G66" s="5" t="s">
        <v>26</v>
      </c>
      <c r="H66" s="6" t="s">
        <v>27</v>
      </c>
      <c r="I66" s="5" t="s">
        <v>35</v>
      </c>
      <c r="J66" s="7" t="s">
        <v>36</v>
      </c>
      <c r="K66" s="5" t="s">
        <v>37</v>
      </c>
      <c r="L66" s="7" t="s">
        <v>38</v>
      </c>
      <c r="M66" s="14" t="s">
        <v>28</v>
      </c>
      <c r="N66" s="14" t="s">
        <v>29</v>
      </c>
      <c r="O66" s="14" t="s">
        <v>30</v>
      </c>
      <c r="P66" s="14" t="s">
        <v>31</v>
      </c>
      <c r="Q66" s="14" t="s">
        <v>39</v>
      </c>
    </row>
    <row r="67" spans="1:17" ht="17" thickTop="1" x14ac:dyDescent="0.2">
      <c r="A67" s="13" t="s">
        <v>21</v>
      </c>
      <c r="B67" s="13" t="s">
        <v>40</v>
      </c>
      <c r="C67" s="15" t="s">
        <v>41</v>
      </c>
      <c r="D67" s="15"/>
      <c r="E67" s="15" t="s">
        <v>42</v>
      </c>
      <c r="F67" s="15"/>
      <c r="G67" s="15" t="s">
        <v>43</v>
      </c>
      <c r="H67" s="15"/>
      <c r="I67" s="15" t="s">
        <v>44</v>
      </c>
      <c r="J67" s="15"/>
      <c r="K67" s="15" t="s">
        <v>45</v>
      </c>
      <c r="L67" s="15"/>
      <c r="M67" s="13" t="s">
        <v>41</v>
      </c>
      <c r="N67" s="13" t="s">
        <v>42</v>
      </c>
      <c r="O67" s="13" t="s">
        <v>43</v>
      </c>
      <c r="P67" s="13" t="s">
        <v>44</v>
      </c>
      <c r="Q67" s="13" t="s">
        <v>45</v>
      </c>
    </row>
    <row r="68" spans="1:17" x14ac:dyDescent="0.2">
      <c r="A68" s="13">
        <v>6</v>
      </c>
      <c r="B68" s="16">
        <v>45047</v>
      </c>
      <c r="C68" s="13">
        <v>3.95</v>
      </c>
      <c r="D68" s="13">
        <v>3.95</v>
      </c>
      <c r="E68" s="13">
        <v>5.25</v>
      </c>
      <c r="F68" s="13">
        <v>2.44</v>
      </c>
      <c r="G68" s="13">
        <v>4.13</v>
      </c>
      <c r="H68" s="13">
        <v>2.63</v>
      </c>
      <c r="I68" s="13">
        <v>5.23</v>
      </c>
      <c r="J68" s="13">
        <v>2.75</v>
      </c>
      <c r="K68" s="13">
        <v>5.17</v>
      </c>
      <c r="L68" s="13">
        <v>3.77</v>
      </c>
      <c r="M68" s="13">
        <v>15.602499999999999</v>
      </c>
      <c r="N68" s="13">
        <v>12.81</v>
      </c>
      <c r="O68" s="13">
        <v>10.8619</v>
      </c>
      <c r="P68" s="13">
        <v>14.3825</v>
      </c>
      <c r="Q68" s="13">
        <v>19.4909</v>
      </c>
    </row>
    <row r="69" spans="1:17" x14ac:dyDescent="0.2">
      <c r="A69" s="13">
        <v>8</v>
      </c>
      <c r="B69" s="16">
        <v>45049</v>
      </c>
      <c r="C69" s="13">
        <v>5.85</v>
      </c>
      <c r="D69" s="13">
        <v>4.5999999999999996</v>
      </c>
      <c r="E69" s="13">
        <v>2.54</v>
      </c>
      <c r="F69" s="13">
        <v>5.72</v>
      </c>
      <c r="G69" s="13">
        <v>6.58</v>
      </c>
      <c r="H69" s="13">
        <v>4.24</v>
      </c>
      <c r="I69" s="13">
        <v>4.54</v>
      </c>
      <c r="J69" s="13">
        <v>3.8</v>
      </c>
      <c r="K69" s="13">
        <v>5.6</v>
      </c>
      <c r="L69" s="13">
        <v>5.67</v>
      </c>
      <c r="M69" s="13">
        <v>26.91</v>
      </c>
      <c r="N69" s="13">
        <v>14.5288</v>
      </c>
      <c r="O69" s="13">
        <v>27.8992</v>
      </c>
      <c r="P69" s="13">
        <v>17.251999999999999</v>
      </c>
      <c r="Q69" s="13">
        <v>31.751999999999999</v>
      </c>
    </row>
    <row r="70" spans="1:17" x14ac:dyDescent="0.2">
      <c r="A70" s="13">
        <v>10</v>
      </c>
      <c r="B70" s="16">
        <v>45051</v>
      </c>
      <c r="C70" s="13">
        <v>5.6</v>
      </c>
      <c r="D70" s="13">
        <v>4.12</v>
      </c>
      <c r="E70" s="13">
        <v>7.31</v>
      </c>
      <c r="F70" s="13">
        <v>3.56</v>
      </c>
      <c r="G70" s="13">
        <v>6.97</v>
      </c>
      <c r="H70" s="13">
        <v>4.57</v>
      </c>
      <c r="I70" s="13">
        <v>4.95</v>
      </c>
      <c r="J70" s="13">
        <v>3.56</v>
      </c>
      <c r="K70" s="13">
        <v>5.7</v>
      </c>
      <c r="L70" s="13">
        <v>5.31</v>
      </c>
      <c r="M70" s="13">
        <v>23.071999999999999</v>
      </c>
      <c r="N70" s="13">
        <v>26.023599999999998</v>
      </c>
      <c r="O70" s="13">
        <v>31.852900000000002</v>
      </c>
      <c r="P70" s="13">
        <v>17.622</v>
      </c>
      <c r="Q70" s="13">
        <v>30.266999999999999</v>
      </c>
    </row>
    <row r="71" spans="1:17" x14ac:dyDescent="0.2">
      <c r="A71" s="13">
        <v>14</v>
      </c>
      <c r="B71" s="16">
        <v>45055</v>
      </c>
      <c r="C71" s="13">
        <v>6.47</v>
      </c>
      <c r="D71" s="13">
        <v>5.55</v>
      </c>
      <c r="E71" s="13">
        <v>8.99</v>
      </c>
      <c r="F71" s="13">
        <v>4.2699999999999996</v>
      </c>
      <c r="G71" s="13">
        <v>8.4600000000000009</v>
      </c>
      <c r="H71" s="13">
        <v>4.92</v>
      </c>
      <c r="I71" s="13">
        <v>6.07</v>
      </c>
      <c r="J71" s="13">
        <v>4.74</v>
      </c>
      <c r="K71" s="13">
        <v>7.47</v>
      </c>
      <c r="L71" s="13">
        <v>6.53</v>
      </c>
      <c r="M71" s="13">
        <v>35.908499999999997</v>
      </c>
      <c r="N71" s="13">
        <v>38.387300000000003</v>
      </c>
      <c r="O71" s="13">
        <v>41.623199999999997</v>
      </c>
      <c r="P71" s="13">
        <v>28.771799999999999</v>
      </c>
      <c r="Q71" s="13">
        <v>48.7791</v>
      </c>
    </row>
    <row r="72" spans="1:17" x14ac:dyDescent="0.2">
      <c r="A72" s="13">
        <v>16</v>
      </c>
      <c r="B72" s="16">
        <v>45057</v>
      </c>
      <c r="C72" s="13">
        <v>5.54</v>
      </c>
      <c r="D72" s="13">
        <v>6.35</v>
      </c>
      <c r="E72" s="13">
        <v>9.5299999999999994</v>
      </c>
      <c r="F72" s="13">
        <v>5</v>
      </c>
      <c r="G72" s="13">
        <v>8.01</v>
      </c>
      <c r="H72" s="13">
        <v>5.34</v>
      </c>
      <c r="I72" s="13">
        <v>4.8600000000000003</v>
      </c>
      <c r="J72" s="13">
        <v>5.09</v>
      </c>
      <c r="K72" s="13">
        <v>8.1199999999999992</v>
      </c>
      <c r="L72" s="13">
        <v>5.4</v>
      </c>
      <c r="M72" s="13">
        <v>35.179000000000002</v>
      </c>
      <c r="N72" s="13">
        <v>47.65</v>
      </c>
      <c r="O72" s="13">
        <v>42.773400000000002</v>
      </c>
      <c r="P72" s="13">
        <v>24.737400000000001</v>
      </c>
      <c r="Q72" s="13">
        <v>43.847999999999999</v>
      </c>
    </row>
    <row r="73" spans="1:17" x14ac:dyDescent="0.2">
      <c r="A73" s="13">
        <v>18</v>
      </c>
      <c r="B73" s="16">
        <v>45059</v>
      </c>
      <c r="C73" s="13">
        <v>6.26</v>
      </c>
      <c r="D73" s="13">
        <v>6.96</v>
      </c>
      <c r="E73" s="13">
        <v>8.92</v>
      </c>
      <c r="F73" s="13">
        <v>5.24</v>
      </c>
      <c r="G73" s="13">
        <v>8.9</v>
      </c>
      <c r="H73" s="13">
        <v>6.24</v>
      </c>
      <c r="I73" s="13">
        <v>5.72</v>
      </c>
      <c r="J73" s="13">
        <v>7.24</v>
      </c>
      <c r="K73" s="13">
        <v>8.31</v>
      </c>
      <c r="L73" s="13">
        <v>5.72</v>
      </c>
      <c r="M73" s="13">
        <v>43.569600000000001</v>
      </c>
      <c r="N73" s="13">
        <v>46.7408</v>
      </c>
      <c r="O73" s="13">
        <v>55.536000000000001</v>
      </c>
      <c r="P73" s="13">
        <v>41.412799999999997</v>
      </c>
      <c r="Q73" s="13">
        <v>47.533200000000001</v>
      </c>
    </row>
    <row r="74" spans="1:17" x14ac:dyDescent="0.2">
      <c r="A74" s="13">
        <v>20</v>
      </c>
      <c r="B74" s="16">
        <v>45061</v>
      </c>
      <c r="C74" s="13">
        <v>6.85</v>
      </c>
      <c r="D74" s="13">
        <v>7.73</v>
      </c>
      <c r="E74" s="13">
        <v>10.62</v>
      </c>
      <c r="F74" s="13">
        <v>7.27</v>
      </c>
      <c r="G74" s="13">
        <v>9.82</v>
      </c>
      <c r="H74" s="13">
        <v>7.2</v>
      </c>
      <c r="I74" s="13">
        <v>6.63</v>
      </c>
      <c r="J74" s="13">
        <v>7.54</v>
      </c>
      <c r="K74" s="13">
        <v>9.31</v>
      </c>
      <c r="L74" s="13">
        <v>6.72</v>
      </c>
      <c r="M74" s="13">
        <v>52.950499999999998</v>
      </c>
      <c r="N74" s="13">
        <v>77.207400000000007</v>
      </c>
      <c r="O74" s="13">
        <v>70.703999999999994</v>
      </c>
      <c r="P74" s="13">
        <v>49.990200000000002</v>
      </c>
      <c r="Q74" s="13">
        <v>62.563200000000002</v>
      </c>
    </row>
    <row r="75" spans="1:17" x14ac:dyDescent="0.2">
      <c r="A75" s="13">
        <v>23</v>
      </c>
      <c r="B75" s="16">
        <v>45064</v>
      </c>
      <c r="C75" s="13">
        <v>8.5399999999999991</v>
      </c>
      <c r="D75" s="13">
        <v>6.96</v>
      </c>
      <c r="E75" s="13">
        <v>10.06</v>
      </c>
      <c r="F75" s="13">
        <v>6.88</v>
      </c>
      <c r="G75" s="13">
        <v>11.9</v>
      </c>
      <c r="H75" s="13">
        <v>7.79</v>
      </c>
      <c r="I75" s="13">
        <v>9.39</v>
      </c>
      <c r="J75" s="13">
        <v>6.21</v>
      </c>
      <c r="K75" s="13">
        <v>10.33</v>
      </c>
      <c r="L75" s="13">
        <v>7.66</v>
      </c>
      <c r="M75" s="13">
        <v>59.438400000000001</v>
      </c>
      <c r="N75" s="13">
        <v>69.212800000000001</v>
      </c>
      <c r="O75" s="13">
        <v>92.700999999999993</v>
      </c>
      <c r="P75" s="13">
        <v>58.311900000000001</v>
      </c>
      <c r="Q75" s="13">
        <v>79.127799999999993</v>
      </c>
    </row>
    <row r="76" spans="1:17" x14ac:dyDescent="0.2">
      <c r="A76" s="13">
        <v>25</v>
      </c>
      <c r="B76" s="16">
        <v>45066</v>
      </c>
      <c r="C76" s="13">
        <v>9.2200000000000006</v>
      </c>
      <c r="D76" s="13">
        <v>6.85</v>
      </c>
      <c r="E76" s="13">
        <v>11.13</v>
      </c>
      <c r="F76" s="13">
        <v>6.92</v>
      </c>
      <c r="G76" s="13">
        <v>12.32</v>
      </c>
      <c r="H76" s="13">
        <v>8.2100000000000009</v>
      </c>
      <c r="I76" s="13">
        <v>10.14</v>
      </c>
      <c r="J76" s="13">
        <v>7.38</v>
      </c>
      <c r="K76" s="13">
        <v>10.69</v>
      </c>
      <c r="L76" s="13">
        <v>8.26</v>
      </c>
      <c r="M76" s="13">
        <v>63.156999999999996</v>
      </c>
      <c r="N76" s="13">
        <v>77.019599999999997</v>
      </c>
      <c r="O76" s="13">
        <v>101.1472</v>
      </c>
      <c r="P76" s="13">
        <v>74.833200000000005</v>
      </c>
      <c r="Q76" s="13">
        <v>88.299400000000006</v>
      </c>
    </row>
    <row r="77" spans="1:17" x14ac:dyDescent="0.2">
      <c r="A77" s="13">
        <v>27</v>
      </c>
      <c r="B77" s="16">
        <v>45068</v>
      </c>
      <c r="C77" s="13">
        <v>9.07</v>
      </c>
      <c r="D77" s="13">
        <v>7.85</v>
      </c>
      <c r="E77" s="13">
        <v>12.3</v>
      </c>
      <c r="F77" s="13">
        <v>8.4700000000000006</v>
      </c>
      <c r="G77" s="13">
        <v>13.03</v>
      </c>
      <c r="H77" s="13">
        <v>9.0299999999999994</v>
      </c>
      <c r="I77" s="13">
        <v>9.0399999999999991</v>
      </c>
      <c r="J77" s="13">
        <v>8.08</v>
      </c>
      <c r="K77" s="13">
        <v>11.28</v>
      </c>
      <c r="L77" s="13">
        <v>8.83</v>
      </c>
      <c r="M77" s="13">
        <v>71.1995</v>
      </c>
      <c r="N77" s="13">
        <v>104.181</v>
      </c>
      <c r="O77" s="13">
        <v>117.6609</v>
      </c>
      <c r="P77" s="13">
        <v>73.043199999999999</v>
      </c>
      <c r="Q77" s="13">
        <v>99.602400000000003</v>
      </c>
    </row>
    <row r="78" spans="1:17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x14ac:dyDescent="0.2">
      <c r="A79" s="13" t="s">
        <v>32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x14ac:dyDescent="0.2">
      <c r="A80" s="13" t="s">
        <v>21</v>
      </c>
      <c r="B80" s="13" t="s">
        <v>40</v>
      </c>
      <c r="C80" s="15" t="s">
        <v>41</v>
      </c>
      <c r="D80" s="15"/>
      <c r="E80" s="15" t="s">
        <v>42</v>
      </c>
      <c r="F80" s="15"/>
      <c r="G80" s="15" t="s">
        <v>43</v>
      </c>
      <c r="H80" s="15"/>
      <c r="I80" s="15" t="s">
        <v>44</v>
      </c>
      <c r="J80" s="15"/>
      <c r="K80" s="15" t="s">
        <v>45</v>
      </c>
      <c r="L80" s="15"/>
      <c r="M80" s="13" t="s">
        <v>41</v>
      </c>
      <c r="N80" s="13" t="s">
        <v>42</v>
      </c>
      <c r="O80" s="13" t="s">
        <v>43</v>
      </c>
      <c r="P80" s="13" t="s">
        <v>44</v>
      </c>
      <c r="Q80" s="13" t="s">
        <v>45</v>
      </c>
    </row>
    <row r="81" spans="1:17" x14ac:dyDescent="0.2">
      <c r="A81" s="13">
        <v>6</v>
      </c>
      <c r="B81" s="16">
        <v>45047</v>
      </c>
      <c r="C81" s="13">
        <v>6.33</v>
      </c>
      <c r="D81" s="13">
        <v>3.23</v>
      </c>
      <c r="E81" s="13">
        <v>5.3</v>
      </c>
      <c r="F81" s="13">
        <v>4.91</v>
      </c>
      <c r="G81" s="13">
        <v>6.96</v>
      </c>
      <c r="H81" s="13">
        <v>3.83</v>
      </c>
      <c r="I81" s="13">
        <v>5.75</v>
      </c>
      <c r="J81" s="13">
        <v>3.45</v>
      </c>
      <c r="K81" s="13">
        <v>4.9000000000000004</v>
      </c>
      <c r="L81" s="13">
        <v>2.87</v>
      </c>
      <c r="M81" s="13">
        <v>20.445900000000002</v>
      </c>
      <c r="N81" s="13">
        <v>26.023</v>
      </c>
      <c r="O81" s="13">
        <v>26.6568</v>
      </c>
      <c r="P81" s="13">
        <v>19.837499999999999</v>
      </c>
      <c r="Q81" s="13">
        <v>14.063000000000001</v>
      </c>
    </row>
    <row r="82" spans="1:17" x14ac:dyDescent="0.2">
      <c r="A82" s="13">
        <v>8</v>
      </c>
      <c r="B82" s="16">
        <v>45049</v>
      </c>
      <c r="C82" s="13">
        <v>7.83</v>
      </c>
      <c r="D82" s="13">
        <v>4.6500000000000004</v>
      </c>
      <c r="E82" s="13">
        <v>5.17</v>
      </c>
      <c r="F82" s="13">
        <v>3.87</v>
      </c>
      <c r="G82" s="13">
        <v>7.85</v>
      </c>
      <c r="H82" s="13">
        <v>4.87</v>
      </c>
      <c r="I82" s="13">
        <v>6.03</v>
      </c>
      <c r="J82" s="13">
        <v>3.8</v>
      </c>
      <c r="K82" s="13">
        <v>5.23</v>
      </c>
      <c r="L82" s="13">
        <v>3.98</v>
      </c>
      <c r="M82" s="13">
        <v>36.409500000000001</v>
      </c>
      <c r="N82" s="13">
        <v>20.007899999999999</v>
      </c>
      <c r="O82" s="13">
        <v>38.229500000000002</v>
      </c>
      <c r="P82" s="13">
        <v>22.914000000000001</v>
      </c>
      <c r="Q82" s="13">
        <v>20.8154</v>
      </c>
    </row>
    <row r="83" spans="1:17" x14ac:dyDescent="0.2">
      <c r="A83" s="13">
        <v>10</v>
      </c>
      <c r="B83" s="16">
        <v>45051</v>
      </c>
      <c r="C83" s="13">
        <v>7.01</v>
      </c>
      <c r="D83" s="13">
        <v>4.66</v>
      </c>
      <c r="E83" s="13">
        <v>4.99</v>
      </c>
      <c r="F83" s="13">
        <v>5.24</v>
      </c>
      <c r="G83" s="13">
        <v>8.16</v>
      </c>
      <c r="H83" s="13">
        <v>4.3899999999999997</v>
      </c>
      <c r="I83" s="13">
        <v>5.47</v>
      </c>
      <c r="J83" s="13">
        <v>3.49</v>
      </c>
      <c r="K83" s="13">
        <v>6.42</v>
      </c>
      <c r="L83" s="13">
        <v>5.14</v>
      </c>
      <c r="M83" s="13">
        <v>32.666600000000003</v>
      </c>
      <c r="N83" s="13">
        <v>26.147600000000001</v>
      </c>
      <c r="O83" s="13">
        <v>35.822400000000002</v>
      </c>
      <c r="P83" s="13">
        <v>19.090299999999999</v>
      </c>
      <c r="Q83" s="13">
        <v>32.998800000000003</v>
      </c>
    </row>
    <row r="84" spans="1:17" x14ac:dyDescent="0.2">
      <c r="A84" s="13">
        <v>14</v>
      </c>
      <c r="B84" s="16">
        <v>45055</v>
      </c>
      <c r="C84" s="13">
        <v>9.07</v>
      </c>
      <c r="D84" s="13">
        <v>5.6</v>
      </c>
      <c r="E84" s="13">
        <v>7.13</v>
      </c>
      <c r="F84" s="13">
        <v>6.85</v>
      </c>
      <c r="G84" s="13">
        <v>8.91</v>
      </c>
      <c r="H84" s="13">
        <v>6.53</v>
      </c>
      <c r="I84" s="13">
        <v>7.55</v>
      </c>
      <c r="J84" s="13">
        <v>5.31</v>
      </c>
      <c r="K84" s="13">
        <v>6.57</v>
      </c>
      <c r="L84" s="13">
        <v>6.44</v>
      </c>
      <c r="M84" s="13">
        <v>50.792000000000002</v>
      </c>
      <c r="N84" s="13">
        <v>48.840499999999999</v>
      </c>
      <c r="O84" s="13">
        <v>58.182299999999998</v>
      </c>
      <c r="P84" s="13">
        <v>40.090499999999999</v>
      </c>
      <c r="Q84" s="13">
        <v>42.3108</v>
      </c>
    </row>
    <row r="85" spans="1:17" x14ac:dyDescent="0.2">
      <c r="A85" s="13">
        <v>16</v>
      </c>
      <c r="B85" s="16">
        <v>45057</v>
      </c>
      <c r="C85" s="13">
        <v>10.119999999999999</v>
      </c>
      <c r="D85" s="13">
        <v>6.27</v>
      </c>
      <c r="E85" s="13">
        <v>6.78</v>
      </c>
      <c r="F85" s="13">
        <v>7.5</v>
      </c>
      <c r="G85" s="13">
        <v>10.14</v>
      </c>
      <c r="H85" s="13">
        <v>6.65</v>
      </c>
      <c r="I85" s="13">
        <v>7.9</v>
      </c>
      <c r="J85" s="13">
        <v>5.56</v>
      </c>
      <c r="K85" s="13">
        <v>9.1</v>
      </c>
      <c r="L85" s="13">
        <v>6.54</v>
      </c>
      <c r="M85" s="13">
        <v>63.452399999999997</v>
      </c>
      <c r="N85" s="13">
        <v>50.85</v>
      </c>
      <c r="O85" s="13">
        <v>67.430999999999997</v>
      </c>
      <c r="P85" s="13">
        <v>43.923999999999999</v>
      </c>
      <c r="Q85" s="13">
        <v>59.514000000000003</v>
      </c>
    </row>
    <row r="86" spans="1:17" x14ac:dyDescent="0.2">
      <c r="A86" s="13">
        <v>18</v>
      </c>
      <c r="B86" s="16">
        <v>45059</v>
      </c>
      <c r="C86" s="13">
        <v>11.43</v>
      </c>
      <c r="D86" s="13">
        <v>6.96</v>
      </c>
      <c r="E86" s="13">
        <v>8.68</v>
      </c>
      <c r="F86" s="13">
        <v>7.13</v>
      </c>
      <c r="G86" s="13">
        <v>10.199999999999999</v>
      </c>
      <c r="H86" s="13">
        <v>7.81</v>
      </c>
      <c r="I86" s="13">
        <v>8.32</v>
      </c>
      <c r="J86" s="13">
        <v>6.75</v>
      </c>
      <c r="K86" s="13">
        <v>9.26</v>
      </c>
      <c r="L86" s="13">
        <v>8.6</v>
      </c>
      <c r="M86" s="13">
        <v>79.552800000000005</v>
      </c>
      <c r="N86" s="13">
        <v>61.888399999999997</v>
      </c>
      <c r="O86" s="13">
        <v>79.662000000000006</v>
      </c>
      <c r="P86" s="13">
        <v>56.16</v>
      </c>
      <c r="Q86" s="13">
        <v>79.635999999999996</v>
      </c>
    </row>
    <row r="87" spans="1:17" x14ac:dyDescent="0.2">
      <c r="A87" s="13">
        <v>20</v>
      </c>
      <c r="B87" s="16">
        <v>45061</v>
      </c>
      <c r="C87" s="13">
        <v>11.67</v>
      </c>
      <c r="D87" s="13">
        <v>7.04</v>
      </c>
      <c r="E87" s="13">
        <v>9.5299999999999994</v>
      </c>
      <c r="F87" s="13">
        <v>8.27</v>
      </c>
      <c r="G87" s="13">
        <v>11.2</v>
      </c>
      <c r="H87" s="13">
        <v>8.1999999999999993</v>
      </c>
      <c r="I87" s="13">
        <v>8.8000000000000007</v>
      </c>
      <c r="J87" s="13">
        <v>7.08</v>
      </c>
      <c r="K87" s="13">
        <v>10.36</v>
      </c>
      <c r="L87" s="13">
        <v>8.94</v>
      </c>
      <c r="M87" s="13">
        <v>82.156800000000004</v>
      </c>
      <c r="N87" s="13">
        <v>78.813100000000006</v>
      </c>
      <c r="O87" s="13">
        <v>91.84</v>
      </c>
      <c r="P87" s="13">
        <v>62.304000000000002</v>
      </c>
      <c r="Q87" s="13">
        <v>92.618399999999994</v>
      </c>
    </row>
    <row r="88" spans="1:17" x14ac:dyDescent="0.2">
      <c r="A88" s="13">
        <v>23</v>
      </c>
      <c r="B88" s="16">
        <v>45064</v>
      </c>
      <c r="C88" s="13">
        <v>12.48</v>
      </c>
      <c r="D88" s="13">
        <v>8.65</v>
      </c>
      <c r="E88" s="13">
        <v>9.6999999999999993</v>
      </c>
      <c r="F88" s="13">
        <v>8.6300000000000008</v>
      </c>
      <c r="G88" s="13">
        <v>12.31</v>
      </c>
      <c r="H88" s="13">
        <v>9.66</v>
      </c>
      <c r="I88" s="13">
        <v>10.63</v>
      </c>
      <c r="J88" s="13">
        <v>9.69</v>
      </c>
      <c r="K88" s="13">
        <v>10.74</v>
      </c>
      <c r="L88" s="13">
        <v>10.37</v>
      </c>
      <c r="M88" s="13">
        <v>107.952</v>
      </c>
      <c r="N88" s="13">
        <v>83.710999999999999</v>
      </c>
      <c r="O88" s="13">
        <v>118.91459999999999</v>
      </c>
      <c r="P88" s="13">
        <v>103.0047</v>
      </c>
      <c r="Q88" s="13">
        <v>111.3738</v>
      </c>
    </row>
    <row r="89" spans="1:17" x14ac:dyDescent="0.2">
      <c r="A89" s="13">
        <v>25</v>
      </c>
      <c r="B89" s="16">
        <v>45066</v>
      </c>
      <c r="C89" s="13">
        <v>12.24</v>
      </c>
      <c r="D89" s="13">
        <v>9.07</v>
      </c>
      <c r="E89" s="13">
        <v>10.81</v>
      </c>
      <c r="F89" s="13">
        <v>8.9</v>
      </c>
      <c r="G89" s="13">
        <v>13.2</v>
      </c>
      <c r="H89" s="13">
        <v>9.9499999999999993</v>
      </c>
      <c r="I89" s="13">
        <v>9.89</v>
      </c>
      <c r="J89" s="13">
        <v>8.2100000000000009</v>
      </c>
      <c r="K89" s="13">
        <v>13.74</v>
      </c>
      <c r="L89" s="13">
        <v>11.62</v>
      </c>
      <c r="M89" s="13">
        <v>111.0168</v>
      </c>
      <c r="N89" s="13">
        <v>96.209000000000003</v>
      </c>
      <c r="O89" s="13">
        <v>131.34</v>
      </c>
      <c r="P89" s="13">
        <v>81.196899999999999</v>
      </c>
      <c r="Q89" s="13">
        <v>159.65880000000001</v>
      </c>
    </row>
    <row r="90" spans="1:17" x14ac:dyDescent="0.2">
      <c r="A90" s="13">
        <v>27</v>
      </c>
      <c r="B90" s="16">
        <v>45068</v>
      </c>
      <c r="C90" s="13">
        <v>12.95</v>
      </c>
      <c r="D90" s="13">
        <v>11.02</v>
      </c>
      <c r="E90" s="13">
        <v>10.37</v>
      </c>
      <c r="F90" s="13">
        <v>11.23</v>
      </c>
      <c r="G90" s="13">
        <v>14.57</v>
      </c>
      <c r="H90" s="13">
        <v>11.8</v>
      </c>
      <c r="I90" s="13">
        <v>10.93</v>
      </c>
      <c r="J90" s="13">
        <v>10.93</v>
      </c>
      <c r="K90" s="13">
        <v>13.72</v>
      </c>
      <c r="L90" s="13">
        <v>12.71</v>
      </c>
      <c r="M90" s="13">
        <v>142.709</v>
      </c>
      <c r="N90" s="13">
        <v>116.4551</v>
      </c>
      <c r="O90" s="13">
        <v>171.92599999999999</v>
      </c>
      <c r="P90" s="13">
        <v>119.4649</v>
      </c>
      <c r="Q90" s="13">
        <v>174.38120000000001</v>
      </c>
    </row>
    <row r="91" spans="1:17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 x14ac:dyDescent="0.2">
      <c r="A92" s="13" t="s">
        <v>4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 x14ac:dyDescent="0.2">
      <c r="A93" s="13" t="s">
        <v>21</v>
      </c>
      <c r="B93" s="13" t="s">
        <v>40</v>
      </c>
      <c r="C93" s="15" t="s">
        <v>41</v>
      </c>
      <c r="D93" s="15"/>
      <c r="E93" s="15" t="s">
        <v>42</v>
      </c>
      <c r="F93" s="15"/>
      <c r="G93" s="15" t="s">
        <v>43</v>
      </c>
      <c r="H93" s="15"/>
      <c r="I93" s="15" t="s">
        <v>44</v>
      </c>
      <c r="J93" s="15"/>
      <c r="K93" s="15" t="s">
        <v>45</v>
      </c>
      <c r="L93" s="15"/>
      <c r="M93" s="13" t="s">
        <v>41</v>
      </c>
      <c r="N93" s="13" t="s">
        <v>42</v>
      </c>
      <c r="O93" s="13" t="s">
        <v>43</v>
      </c>
      <c r="P93" s="13" t="s">
        <v>44</v>
      </c>
      <c r="Q93" s="13" t="s">
        <v>45</v>
      </c>
    </row>
    <row r="94" spans="1:17" x14ac:dyDescent="0.2">
      <c r="A94" s="13">
        <v>6</v>
      </c>
      <c r="B94" s="16">
        <v>45047</v>
      </c>
      <c r="C94" s="13">
        <v>5.86</v>
      </c>
      <c r="D94" s="13">
        <v>3.08</v>
      </c>
      <c r="E94" s="13">
        <v>5.91</v>
      </c>
      <c r="F94" s="13">
        <v>3.75</v>
      </c>
      <c r="G94" s="13">
        <v>5.17</v>
      </c>
      <c r="H94" s="13">
        <v>3.36</v>
      </c>
      <c r="I94" s="13">
        <v>3.52</v>
      </c>
      <c r="J94" s="13">
        <v>6.34</v>
      </c>
      <c r="K94" s="13">
        <v>5.01</v>
      </c>
      <c r="L94" s="13">
        <v>3.24</v>
      </c>
      <c r="M94" s="13">
        <v>18.0488</v>
      </c>
      <c r="N94" s="13">
        <v>22.162500000000001</v>
      </c>
      <c r="O94" s="13">
        <v>17.371200000000002</v>
      </c>
      <c r="P94" s="13">
        <v>22.316800000000001</v>
      </c>
      <c r="Q94" s="13">
        <v>16.232399999999998</v>
      </c>
    </row>
    <row r="95" spans="1:17" x14ac:dyDescent="0.2">
      <c r="A95" s="13">
        <v>8</v>
      </c>
      <c r="B95" s="16">
        <v>45049</v>
      </c>
      <c r="C95" s="13">
        <v>6.93</v>
      </c>
      <c r="D95" s="13">
        <v>3.64</v>
      </c>
      <c r="E95" s="13">
        <v>5.71</v>
      </c>
      <c r="F95" s="13">
        <v>4.07</v>
      </c>
      <c r="G95" s="13">
        <v>5.38</v>
      </c>
      <c r="H95" s="13">
        <v>4.34</v>
      </c>
      <c r="I95" s="13">
        <v>7.59</v>
      </c>
      <c r="J95" s="13">
        <v>4.5</v>
      </c>
      <c r="K95" s="13">
        <v>5.37</v>
      </c>
      <c r="L95" s="13">
        <v>3.59</v>
      </c>
      <c r="M95" s="13">
        <v>25.225200000000001</v>
      </c>
      <c r="N95" s="13">
        <v>23.239699999999999</v>
      </c>
      <c r="O95" s="13">
        <v>23.3492</v>
      </c>
      <c r="P95" s="13">
        <v>34.155000000000001</v>
      </c>
      <c r="Q95" s="13">
        <v>19.278300000000002</v>
      </c>
    </row>
    <row r="96" spans="1:17" x14ac:dyDescent="0.2">
      <c r="A96" s="13">
        <v>10</v>
      </c>
      <c r="B96" s="16">
        <v>45051</v>
      </c>
      <c r="C96" s="13">
        <v>5.89</v>
      </c>
      <c r="D96" s="13">
        <v>3.8</v>
      </c>
      <c r="E96" s="13">
        <v>4.93</v>
      </c>
      <c r="F96" s="13">
        <v>4.03</v>
      </c>
      <c r="G96" s="13">
        <v>4.3</v>
      </c>
      <c r="H96" s="13">
        <v>3.11</v>
      </c>
      <c r="I96" s="13">
        <v>7.53</v>
      </c>
      <c r="J96" s="13">
        <v>4.54</v>
      </c>
      <c r="K96" s="13">
        <v>6.42</v>
      </c>
      <c r="L96" s="13">
        <v>5.14</v>
      </c>
      <c r="M96" s="13">
        <v>22.382000000000001</v>
      </c>
      <c r="N96" s="13">
        <v>19.867899999999999</v>
      </c>
      <c r="O96" s="13">
        <v>13.372999999999999</v>
      </c>
      <c r="P96" s="13">
        <v>34.186199999999999</v>
      </c>
      <c r="Q96" s="13">
        <v>32.998800000000003</v>
      </c>
    </row>
    <row r="97" spans="1:17" x14ac:dyDescent="0.2">
      <c r="A97" s="13">
        <v>14</v>
      </c>
      <c r="B97" s="16">
        <v>45055</v>
      </c>
      <c r="C97" s="13">
        <v>3.88</v>
      </c>
      <c r="D97" s="13">
        <v>6.26</v>
      </c>
      <c r="E97" s="13">
        <v>5.45</v>
      </c>
      <c r="F97" s="13">
        <v>4.29</v>
      </c>
      <c r="G97" s="13">
        <v>3.51</v>
      </c>
      <c r="H97" s="13">
        <v>2.4300000000000002</v>
      </c>
      <c r="I97" s="13">
        <v>5.4</v>
      </c>
      <c r="J97" s="13">
        <v>5.14</v>
      </c>
      <c r="K97" s="13">
        <v>7.8</v>
      </c>
      <c r="L97" s="13">
        <v>6.05</v>
      </c>
      <c r="M97" s="13">
        <v>24.288799999999998</v>
      </c>
      <c r="N97" s="13">
        <v>23.380500000000001</v>
      </c>
      <c r="O97" s="13">
        <v>8.5292999999999992</v>
      </c>
      <c r="P97" s="13">
        <v>27.756</v>
      </c>
      <c r="Q97" s="13">
        <v>47.19</v>
      </c>
    </row>
    <row r="98" spans="1:17" x14ac:dyDescent="0.2">
      <c r="A98" s="13">
        <v>16</v>
      </c>
      <c r="B98" s="16">
        <v>45057</v>
      </c>
      <c r="C98" s="13">
        <v>5.6</v>
      </c>
      <c r="D98" s="13">
        <v>3.22</v>
      </c>
      <c r="E98" s="13">
        <v>6.61</v>
      </c>
      <c r="F98" s="13">
        <v>5.71</v>
      </c>
      <c r="G98" s="13">
        <v>2.5299999999999998</v>
      </c>
      <c r="H98" s="13">
        <v>3.35</v>
      </c>
      <c r="I98" s="13">
        <v>7.87</v>
      </c>
      <c r="J98" s="13">
        <v>6.07</v>
      </c>
      <c r="K98" s="13">
        <v>6.26</v>
      </c>
      <c r="L98" s="13">
        <v>5.54</v>
      </c>
      <c r="M98" s="13">
        <v>18.032</v>
      </c>
      <c r="N98" s="13">
        <v>37.743099999999998</v>
      </c>
      <c r="O98" s="13">
        <v>8.4755000000000003</v>
      </c>
      <c r="P98" s="13">
        <v>47.770899999999997</v>
      </c>
      <c r="Q98" s="13">
        <v>34.680399999999999</v>
      </c>
    </row>
    <row r="99" spans="1:17" x14ac:dyDescent="0.2">
      <c r="A99" s="13">
        <v>18</v>
      </c>
      <c r="B99" s="16">
        <v>45059</v>
      </c>
      <c r="C99" s="13">
        <v>3.38</v>
      </c>
      <c r="D99" s="13">
        <v>6.47</v>
      </c>
      <c r="E99" s="13">
        <v>6.63</v>
      </c>
      <c r="F99" s="13">
        <v>5.77</v>
      </c>
      <c r="G99" s="13">
        <v>0</v>
      </c>
      <c r="H99" s="13">
        <v>0</v>
      </c>
      <c r="I99" s="13">
        <v>8.89</v>
      </c>
      <c r="J99" s="13">
        <v>7.31</v>
      </c>
      <c r="K99" s="13">
        <v>8.19</v>
      </c>
      <c r="L99" s="13">
        <v>6.54</v>
      </c>
      <c r="M99" s="13">
        <v>21.868600000000001</v>
      </c>
      <c r="N99" s="13">
        <v>38.255099999999999</v>
      </c>
      <c r="O99" s="13">
        <v>0</v>
      </c>
      <c r="P99" s="13">
        <v>64.985900000000001</v>
      </c>
      <c r="Q99" s="13">
        <v>53.562600000000003</v>
      </c>
    </row>
    <row r="100" spans="1:17" x14ac:dyDescent="0.2">
      <c r="A100" s="13">
        <v>20</v>
      </c>
      <c r="B100" s="16">
        <v>45061</v>
      </c>
      <c r="C100" s="13">
        <v>4.5599999999999996</v>
      </c>
      <c r="D100" s="13">
        <v>3.81</v>
      </c>
      <c r="E100" s="13">
        <v>6.29</v>
      </c>
      <c r="F100" s="13">
        <v>6.29</v>
      </c>
      <c r="G100" s="13">
        <v>0</v>
      </c>
      <c r="H100" s="13">
        <v>0</v>
      </c>
      <c r="I100" s="13">
        <v>10.46</v>
      </c>
      <c r="J100" s="13">
        <v>6.45</v>
      </c>
      <c r="K100" s="13">
        <v>9.3000000000000007</v>
      </c>
      <c r="L100" s="13">
        <v>7.16</v>
      </c>
      <c r="M100" s="13">
        <v>17.3736</v>
      </c>
      <c r="N100" s="13">
        <v>39.564100000000003</v>
      </c>
      <c r="O100" s="13">
        <v>0</v>
      </c>
      <c r="P100" s="13">
        <v>67.466999999999999</v>
      </c>
      <c r="Q100" s="13">
        <v>66.587999999999994</v>
      </c>
    </row>
    <row r="101" spans="1:17" x14ac:dyDescent="0.2">
      <c r="A101" s="13">
        <v>23</v>
      </c>
      <c r="B101" s="16">
        <v>45064</v>
      </c>
      <c r="C101" s="13">
        <v>7.91</v>
      </c>
      <c r="D101" s="13">
        <v>4.93</v>
      </c>
      <c r="E101" s="13">
        <v>7.1</v>
      </c>
      <c r="F101" s="13">
        <v>6.39</v>
      </c>
      <c r="G101" s="13">
        <v>0</v>
      </c>
      <c r="H101" s="13">
        <v>0</v>
      </c>
      <c r="I101" s="13">
        <v>10.74</v>
      </c>
      <c r="J101" s="13">
        <v>8.59</v>
      </c>
      <c r="K101" s="13">
        <v>9.31</v>
      </c>
      <c r="L101" s="13">
        <v>8.42</v>
      </c>
      <c r="M101" s="13">
        <v>38.996299999999998</v>
      </c>
      <c r="N101" s="13">
        <v>45.369</v>
      </c>
      <c r="O101" s="13">
        <v>0</v>
      </c>
      <c r="P101" s="13">
        <v>92.256600000000006</v>
      </c>
      <c r="Q101" s="13">
        <v>78.390199999999993</v>
      </c>
    </row>
    <row r="102" spans="1:17" x14ac:dyDescent="0.2">
      <c r="A102" s="13">
        <v>25</v>
      </c>
      <c r="B102" s="16">
        <v>45066</v>
      </c>
      <c r="C102" s="13">
        <v>9.4</v>
      </c>
      <c r="D102" s="13">
        <v>4.45</v>
      </c>
      <c r="E102" s="13">
        <v>7.79</v>
      </c>
      <c r="F102" s="13">
        <v>7.45</v>
      </c>
      <c r="G102" s="13">
        <v>0</v>
      </c>
      <c r="H102" s="13">
        <v>0</v>
      </c>
      <c r="I102" s="13">
        <v>11.13</v>
      </c>
      <c r="J102" s="13">
        <v>8.75</v>
      </c>
      <c r="K102" s="13">
        <v>9.59</v>
      </c>
      <c r="L102" s="13">
        <v>9.0399999999999991</v>
      </c>
      <c r="M102" s="13">
        <v>41.83</v>
      </c>
      <c r="N102" s="13">
        <v>58.035499999999999</v>
      </c>
      <c r="O102" s="13">
        <v>0</v>
      </c>
      <c r="P102" s="13">
        <v>97.387500000000003</v>
      </c>
      <c r="Q102" s="13">
        <v>86.693600000000004</v>
      </c>
    </row>
    <row r="103" spans="1:17" x14ac:dyDescent="0.2">
      <c r="A103" s="13">
        <v>27</v>
      </c>
      <c r="B103" s="16">
        <v>45068</v>
      </c>
      <c r="C103" s="13">
        <v>10.76</v>
      </c>
      <c r="D103" s="13">
        <v>6.1</v>
      </c>
      <c r="E103" s="13">
        <v>8.6199999999999992</v>
      </c>
      <c r="F103" s="13">
        <v>7.96</v>
      </c>
      <c r="G103" s="13">
        <v>0</v>
      </c>
      <c r="H103" s="13">
        <v>0</v>
      </c>
      <c r="I103" s="13">
        <v>12.17</v>
      </c>
      <c r="J103" s="13">
        <v>10</v>
      </c>
      <c r="K103" s="13">
        <v>10.81</v>
      </c>
      <c r="L103" s="13">
        <v>9.91</v>
      </c>
      <c r="M103" s="13">
        <v>65.635999999999996</v>
      </c>
      <c r="N103" s="13">
        <v>68.615200000000002</v>
      </c>
      <c r="O103" s="13">
        <v>0</v>
      </c>
      <c r="P103" s="13">
        <v>121.7</v>
      </c>
      <c r="Q103" s="13">
        <v>107.1271</v>
      </c>
    </row>
    <row r="106" spans="1:17" x14ac:dyDescent="0.2">
      <c r="A106" s="1" t="s">
        <v>46</v>
      </c>
    </row>
    <row r="108" spans="1:17" x14ac:dyDescent="0.2">
      <c r="A108" s="1" t="s">
        <v>47</v>
      </c>
    </row>
    <row r="109" spans="1:17" x14ac:dyDescent="0.2">
      <c r="A109" t="s">
        <v>34</v>
      </c>
    </row>
    <row r="110" spans="1:17" x14ac:dyDescent="0.2">
      <c r="A110" s="1" t="s">
        <v>32</v>
      </c>
      <c r="B110" t="s">
        <v>48</v>
      </c>
      <c r="C110" t="s">
        <v>49</v>
      </c>
      <c r="D110" t="s">
        <v>41</v>
      </c>
      <c r="E110" t="s">
        <v>43</v>
      </c>
      <c r="F110" t="s">
        <v>42</v>
      </c>
      <c r="G110" t="s">
        <v>44</v>
      </c>
    </row>
    <row r="111" spans="1:17" x14ac:dyDescent="0.2">
      <c r="A111" s="12"/>
      <c r="B111" s="11">
        <v>43640</v>
      </c>
      <c r="C111">
        <v>5</v>
      </c>
      <c r="D111">
        <f>4.51*3.42</f>
        <v>15.424199999999999</v>
      </c>
      <c r="E111">
        <f>3.5*4.24</f>
        <v>14.84</v>
      </c>
      <c r="F111">
        <f>2.44*4.2</f>
        <v>10.247999999999999</v>
      </c>
      <c r="G111">
        <f>3.26*4.16</f>
        <v>13.5616</v>
      </c>
    </row>
    <row r="112" spans="1:17" x14ac:dyDescent="0.2">
      <c r="A112" s="12"/>
      <c r="B112" s="11">
        <v>43642</v>
      </c>
      <c r="C112">
        <v>7</v>
      </c>
      <c r="D112">
        <f>4.71*4.1</f>
        <v>19.311</v>
      </c>
      <c r="E112">
        <f>4.45*4.25</f>
        <v>18.912500000000001</v>
      </c>
      <c r="F112">
        <f>5.11*3.19</f>
        <v>16.300900000000002</v>
      </c>
      <c r="G112">
        <f>4.17*4.16</f>
        <v>17.347200000000001</v>
      </c>
    </row>
    <row r="113" spans="1:7" x14ac:dyDescent="0.2">
      <c r="A113" s="12"/>
      <c r="B113" s="11">
        <v>43644</v>
      </c>
      <c r="C113">
        <v>9</v>
      </c>
      <c r="D113">
        <f>5.46*4.33</f>
        <v>23.6418</v>
      </c>
      <c r="E113">
        <f>5.42*4.25</f>
        <v>23.035</v>
      </c>
      <c r="F113">
        <f>4.9*4.17</f>
        <v>20.433</v>
      </c>
      <c r="G113">
        <f>4.66*4.66</f>
        <v>21.715600000000002</v>
      </c>
    </row>
    <row r="114" spans="1:7" x14ac:dyDescent="0.2">
      <c r="A114" s="12"/>
      <c r="B114" s="11">
        <v>43647</v>
      </c>
      <c r="C114">
        <v>12</v>
      </c>
      <c r="D114">
        <f>6.67*5.36</f>
        <v>35.751200000000004</v>
      </c>
      <c r="E114">
        <f>5.95*5.23</f>
        <v>31.118500000000004</v>
      </c>
      <c r="F114">
        <f>5.94*5.35</f>
        <v>31.779</v>
      </c>
      <c r="G114">
        <f>6.43*4.35</f>
        <v>27.970499999999998</v>
      </c>
    </row>
    <row r="115" spans="1:7" x14ac:dyDescent="0.2">
      <c r="A115" s="12"/>
      <c r="B115" s="11">
        <v>43649</v>
      </c>
      <c r="C115">
        <v>14</v>
      </c>
      <c r="D115">
        <f>7.17*5.57</f>
        <v>39.936900000000001</v>
      </c>
      <c r="E115">
        <f>6.68*5.37</f>
        <v>35.871600000000001</v>
      </c>
      <c r="F115">
        <f>5.65*5.84</f>
        <v>32.996000000000002</v>
      </c>
      <c r="G115">
        <f>5.09*5.5</f>
        <v>27.994999999999997</v>
      </c>
    </row>
    <row r="116" spans="1:7" x14ac:dyDescent="0.2">
      <c r="A116" s="12"/>
      <c r="B116" s="11">
        <v>43654</v>
      </c>
      <c r="C116">
        <v>19</v>
      </c>
      <c r="D116">
        <f>7.95*8.71</f>
        <v>69.244500000000002</v>
      </c>
      <c r="E116">
        <f>8.76*7.09</f>
        <v>62.108399999999996</v>
      </c>
      <c r="F116">
        <f>8.73*7.48</f>
        <v>65.30040000000001</v>
      </c>
      <c r="G116">
        <f>8.03*7.06</f>
        <v>56.691799999999994</v>
      </c>
    </row>
    <row r="117" spans="1:7" x14ac:dyDescent="0.2">
      <c r="A117" s="12"/>
      <c r="B117" s="11">
        <v>43656</v>
      </c>
      <c r="C117">
        <v>21</v>
      </c>
      <c r="D117">
        <f>9.02*8.53</f>
        <v>76.940599999999989</v>
      </c>
      <c r="E117">
        <f>8.95*8.12</f>
        <v>72.673999999999992</v>
      </c>
      <c r="F117">
        <f>9.4*8.12</f>
        <v>76.327999999999989</v>
      </c>
      <c r="G117">
        <f>8.41*8.3</f>
        <v>69.803000000000011</v>
      </c>
    </row>
    <row r="118" spans="1:7" x14ac:dyDescent="0.2">
      <c r="A118" s="12"/>
      <c r="B118" s="11">
        <v>43658</v>
      </c>
      <c r="C118">
        <v>23</v>
      </c>
      <c r="D118">
        <f>10.65*8.61</f>
        <v>91.6965</v>
      </c>
      <c r="E118">
        <f>9.54*8.31</f>
        <v>79.2774</v>
      </c>
      <c r="F118">
        <f>10.32*8.36</f>
        <v>86.275199999999998</v>
      </c>
      <c r="G118">
        <f>9.15*8.17</f>
        <v>74.755499999999998</v>
      </c>
    </row>
    <row r="119" spans="1:7" x14ac:dyDescent="0.2">
      <c r="A119" s="1"/>
      <c r="B119" t="s">
        <v>50</v>
      </c>
      <c r="C119">
        <v>27</v>
      </c>
      <c r="D119">
        <f>11.74*10.68</f>
        <v>125.3832</v>
      </c>
      <c r="E119">
        <f>11.14*9.95</f>
        <v>110.843</v>
      </c>
      <c r="F119">
        <f>11.03*10.62</f>
        <v>117.13859999999998</v>
      </c>
      <c r="G119">
        <f>10.08*10.07</f>
        <v>101.5056</v>
      </c>
    </row>
    <row r="120" spans="1:7" x14ac:dyDescent="0.2">
      <c r="A120" s="1"/>
    </row>
    <row r="121" spans="1:7" x14ac:dyDescent="0.2">
      <c r="A121" s="1" t="s">
        <v>4</v>
      </c>
      <c r="B121" t="s">
        <v>48</v>
      </c>
      <c r="C121" t="s">
        <v>49</v>
      </c>
      <c r="D121" t="s">
        <v>41</v>
      </c>
      <c r="E121" t="s">
        <v>43</v>
      </c>
      <c r="F121" t="s">
        <v>42</v>
      </c>
      <c r="G121" t="s">
        <v>44</v>
      </c>
    </row>
    <row r="122" spans="1:7" x14ac:dyDescent="0.2">
      <c r="A122" s="12"/>
      <c r="B122" s="11">
        <v>43640</v>
      </c>
      <c r="C122">
        <v>5</v>
      </c>
      <c r="D122">
        <f>3.26*(3.65)</f>
        <v>11.898999999999999</v>
      </c>
      <c r="E122">
        <f>3.42*5.37</f>
        <v>18.365400000000001</v>
      </c>
      <c r="F122">
        <f>2.6*3.42</f>
        <v>8.8919999999999995</v>
      </c>
      <c r="G122">
        <f>3.6*4</f>
        <v>14.4</v>
      </c>
    </row>
    <row r="123" spans="1:7" x14ac:dyDescent="0.2">
      <c r="A123" s="12"/>
      <c r="B123" s="11">
        <v>43642</v>
      </c>
      <c r="C123">
        <v>7</v>
      </c>
      <c r="D123">
        <f>3.86*4.35</f>
        <v>16.790999999999997</v>
      </c>
      <c r="E123">
        <f>4.36*5.97</f>
        <v>26.029199999999999</v>
      </c>
      <c r="F123">
        <f>3.61*4.1</f>
        <v>14.800999999999998</v>
      </c>
      <c r="G123">
        <f>4.95*3.94</f>
        <v>19.503</v>
      </c>
    </row>
    <row r="124" spans="1:7" x14ac:dyDescent="0.2">
      <c r="A124" s="12"/>
      <c r="B124" s="11">
        <v>43644</v>
      </c>
      <c r="C124">
        <v>9</v>
      </c>
      <c r="D124">
        <f>4.5*4.24</f>
        <v>19.080000000000002</v>
      </c>
      <c r="E124">
        <f>6.64*5.34</f>
        <v>35.457599999999999</v>
      </c>
      <c r="F124">
        <f>4.17*3.57</f>
        <v>14.886899999999999</v>
      </c>
      <c r="G124">
        <f>4.31*4.75</f>
        <v>20.472499999999997</v>
      </c>
    </row>
    <row r="125" spans="1:7" x14ac:dyDescent="0.2">
      <c r="A125" s="12"/>
      <c r="B125" s="11">
        <v>43647</v>
      </c>
      <c r="C125">
        <v>12</v>
      </c>
      <c r="D125">
        <f>5.37*4.76</f>
        <v>25.561199999999999</v>
      </c>
      <c r="E125">
        <f>7.33*6.36</f>
        <v>46.6188</v>
      </c>
      <c r="F125">
        <f>4.42*3.95</f>
        <v>17.459</v>
      </c>
      <c r="G125">
        <f>5.37*5.09</f>
        <v>27.333300000000001</v>
      </c>
    </row>
    <row r="126" spans="1:7" x14ac:dyDescent="0.2">
      <c r="A126" s="12"/>
      <c r="B126" s="11">
        <v>43649</v>
      </c>
      <c r="C126">
        <v>14</v>
      </c>
      <c r="D126">
        <f>5*4.92</f>
        <v>24.6</v>
      </c>
      <c r="E126">
        <f>8.54*6.03</f>
        <v>51.496199999999995</v>
      </c>
      <c r="F126">
        <f>4.8*4.75</f>
        <v>22.8</v>
      </c>
      <c r="G126">
        <f>5.61*5.66</f>
        <v>31.752600000000001</v>
      </c>
    </row>
    <row r="127" spans="1:7" x14ac:dyDescent="0.2">
      <c r="A127" s="12"/>
      <c r="B127" s="11">
        <v>43654</v>
      </c>
      <c r="C127">
        <v>19</v>
      </c>
      <c r="D127">
        <f>7.46*7.96</f>
        <v>59.381599999999999</v>
      </c>
      <c r="E127">
        <f>10.73*8.56</f>
        <v>91.848800000000011</v>
      </c>
      <c r="F127">
        <f>7.45*7.41</f>
        <v>55.204500000000003</v>
      </c>
      <c r="G127">
        <f>8.6*8.33</f>
        <v>71.637999999999991</v>
      </c>
    </row>
    <row r="128" spans="1:7" x14ac:dyDescent="0.2">
      <c r="A128" s="12"/>
      <c r="B128" s="11">
        <v>43656</v>
      </c>
      <c r="C128">
        <v>21</v>
      </c>
      <c r="D128">
        <f>8.86*7.61</f>
        <v>67.424599999999998</v>
      </c>
      <c r="E128">
        <f>9.07*11.2</f>
        <v>101.584</v>
      </c>
      <c r="F128">
        <f>8.04*8.28</f>
        <v>66.57119999999999</v>
      </c>
      <c r="G128">
        <f>9.13*8.53</f>
        <v>77.878900000000002</v>
      </c>
    </row>
    <row r="129" spans="1:7" x14ac:dyDescent="0.2">
      <c r="A129" s="12"/>
      <c r="B129" s="11">
        <v>43658</v>
      </c>
      <c r="C129">
        <v>23</v>
      </c>
      <c r="D129">
        <f>9.85*9.81</f>
        <v>96.628500000000003</v>
      </c>
      <c r="E129">
        <f>11.61*10.54</f>
        <v>122.36939999999998</v>
      </c>
      <c r="F129">
        <f>8.37*9.6</f>
        <v>80.35199999999999</v>
      </c>
      <c r="G129">
        <f>10.42*9.45</f>
        <v>98.468999999999994</v>
      </c>
    </row>
    <row r="130" spans="1:7" x14ac:dyDescent="0.2">
      <c r="A130" s="1"/>
      <c r="B130" t="s">
        <v>50</v>
      </c>
      <c r="C130">
        <v>27</v>
      </c>
      <c r="D130">
        <f>12.17*9.49</f>
        <v>115.4933</v>
      </c>
      <c r="E130">
        <f>12.77*11.13</f>
        <v>142.1301</v>
      </c>
      <c r="F130">
        <f>10.71*9.82</f>
        <v>105.17220000000002</v>
      </c>
      <c r="G130">
        <f>11.38*11.37</f>
        <v>129.39060000000001</v>
      </c>
    </row>
    <row r="131" spans="1:7" x14ac:dyDescent="0.2">
      <c r="A131" s="1"/>
    </row>
    <row r="132" spans="1:7" x14ac:dyDescent="0.2">
      <c r="A132" s="1" t="s">
        <v>3</v>
      </c>
      <c r="B132" t="s">
        <v>48</v>
      </c>
      <c r="C132" t="s">
        <v>49</v>
      </c>
      <c r="D132" t="s">
        <v>41</v>
      </c>
      <c r="E132" t="s">
        <v>43</v>
      </c>
      <c r="F132" t="s">
        <v>42</v>
      </c>
      <c r="G132" t="s">
        <v>44</v>
      </c>
    </row>
    <row r="133" spans="1:7" x14ac:dyDescent="0.2">
      <c r="A133" s="11"/>
      <c r="B133" s="11">
        <v>43640</v>
      </c>
      <c r="C133">
        <v>5</v>
      </c>
      <c r="D133">
        <f>2.6*3.46</f>
        <v>8.9960000000000004</v>
      </c>
      <c r="E133">
        <f>3.14*4.3</f>
        <v>13.502000000000001</v>
      </c>
      <c r="F133">
        <f>2.8*4.04</f>
        <v>11.311999999999999</v>
      </c>
      <c r="G133">
        <f>2.7*3.56</f>
        <v>9.6120000000000001</v>
      </c>
    </row>
    <row r="134" spans="1:7" x14ac:dyDescent="0.2">
      <c r="A134" s="11"/>
      <c r="B134" s="11">
        <v>43642</v>
      </c>
      <c r="C134">
        <v>7</v>
      </c>
      <c r="D134">
        <f>4.21*3.46</f>
        <v>14.566599999999999</v>
      </c>
      <c r="E134">
        <f>5.23*4.37</f>
        <v>22.855100000000004</v>
      </c>
      <c r="F134">
        <f>3.9*4.58</f>
        <v>17.861999999999998</v>
      </c>
      <c r="G134">
        <f>3.27*5.46</f>
        <v>17.854199999999999</v>
      </c>
    </row>
    <row r="135" spans="1:7" x14ac:dyDescent="0.2">
      <c r="A135" s="11"/>
      <c r="B135" s="11">
        <v>43644</v>
      </c>
      <c r="C135">
        <v>9</v>
      </c>
      <c r="D135">
        <f>4.6*3.9</f>
        <v>17.939999999999998</v>
      </c>
      <c r="E135">
        <f>6*4.32</f>
        <v>25.92</v>
      </c>
      <c r="F135">
        <f>5.15*3.73</f>
        <v>19.209500000000002</v>
      </c>
      <c r="G135">
        <f>3.54*5.71</f>
        <v>20.2134</v>
      </c>
    </row>
    <row r="136" spans="1:7" x14ac:dyDescent="0.2">
      <c r="A136" s="11"/>
      <c r="B136" s="11">
        <v>43647</v>
      </c>
      <c r="C136">
        <v>12</v>
      </c>
      <c r="D136">
        <f>4.48*3.53</f>
        <v>15.814400000000001</v>
      </c>
      <c r="E136">
        <f>7.01*5.47</f>
        <v>38.344699999999996</v>
      </c>
      <c r="F136">
        <f>5.4*4.44</f>
        <v>23.976000000000003</v>
      </c>
      <c r="G136">
        <f>5.47*4.88</f>
        <v>26.693599999999996</v>
      </c>
    </row>
    <row r="137" spans="1:7" x14ac:dyDescent="0.2">
      <c r="A137" s="11"/>
      <c r="B137" s="11">
        <v>43649</v>
      </c>
      <c r="C137">
        <v>14</v>
      </c>
      <c r="D137">
        <f>5.09*4.24</f>
        <v>21.581600000000002</v>
      </c>
      <c r="E137">
        <f>5.86*6.73</f>
        <v>39.437800000000003</v>
      </c>
      <c r="F137">
        <f>5.26*5.05</f>
        <v>26.562999999999999</v>
      </c>
      <c r="G137">
        <f>5.04*5.73</f>
        <v>28.879200000000001</v>
      </c>
    </row>
    <row r="138" spans="1:7" x14ac:dyDescent="0.2">
      <c r="A138" s="11"/>
      <c r="B138" s="11">
        <v>43654</v>
      </c>
      <c r="C138">
        <v>19</v>
      </c>
      <c r="D138">
        <f>6.35*7.82</f>
        <v>49.656999999999996</v>
      </c>
      <c r="E138">
        <f>8.67*9.6</f>
        <v>83.231999999999999</v>
      </c>
      <c r="F138">
        <f>8.89*6.68</f>
        <v>59.385200000000005</v>
      </c>
      <c r="G138">
        <f>8.53*8.09</f>
        <v>69.0077</v>
      </c>
    </row>
    <row r="139" spans="1:7" x14ac:dyDescent="0.2">
      <c r="A139" s="11"/>
      <c r="B139" s="11">
        <v>43656</v>
      </c>
      <c r="C139">
        <v>21</v>
      </c>
      <c r="D139">
        <f>7.03*6.52</f>
        <v>45.835599999999999</v>
      </c>
      <c r="E139">
        <f>9.67*8.64</f>
        <v>83.5488</v>
      </c>
      <c r="F139">
        <f>8.43*7.89</f>
        <v>66.512699999999995</v>
      </c>
      <c r="G139">
        <f>8.65*8.52</f>
        <v>73.697999999999993</v>
      </c>
    </row>
    <row r="140" spans="1:7" x14ac:dyDescent="0.2">
      <c r="A140" s="11"/>
      <c r="B140" s="11">
        <v>43658</v>
      </c>
      <c r="C140">
        <v>23</v>
      </c>
      <c r="D140">
        <f>8.8*7.14</f>
        <v>62.832000000000001</v>
      </c>
      <c r="E140">
        <f>10.24*10.02</f>
        <v>102.6048</v>
      </c>
      <c r="F140">
        <f>9.11*8.5</f>
        <v>77.435000000000002</v>
      </c>
      <c r="G140">
        <f>9.26*8.64</f>
        <v>80.006399999999999</v>
      </c>
    </row>
    <row r="141" spans="1:7" x14ac:dyDescent="0.2">
      <c r="B141" t="s">
        <v>50</v>
      </c>
      <c r="C141">
        <v>27</v>
      </c>
      <c r="D141" s="10">
        <v>80.136300000000006</v>
      </c>
      <c r="E141">
        <f>11.2*10.58</f>
        <v>118.496</v>
      </c>
      <c r="F141">
        <f>10.65*9.27</f>
        <v>98.725499999999997</v>
      </c>
      <c r="G141">
        <f>11.41*9.64</f>
        <v>109.9924</v>
      </c>
    </row>
    <row r="144" spans="1:7" x14ac:dyDescent="0.2">
      <c r="A144" s="1" t="s">
        <v>51</v>
      </c>
    </row>
    <row r="145" spans="1:11" x14ac:dyDescent="0.2">
      <c r="A145" t="s">
        <v>34</v>
      </c>
    </row>
    <row r="146" spans="1:11" ht="17" thickBot="1" x14ac:dyDescent="0.25">
      <c r="A146" s="4" t="s">
        <v>32</v>
      </c>
      <c r="B146" s="4"/>
      <c r="C146" s="17">
        <v>4199</v>
      </c>
      <c r="D146" s="17"/>
      <c r="E146" s="17">
        <v>4202</v>
      </c>
      <c r="F146" s="17"/>
      <c r="G146" s="17">
        <v>4504</v>
      </c>
      <c r="H146" s="17"/>
      <c r="I146" s="10"/>
      <c r="J146" s="10"/>
      <c r="K146" s="10"/>
    </row>
    <row r="147" spans="1:11" ht="18" thickTop="1" thickBot="1" x14ac:dyDescent="0.25">
      <c r="A147" s="10"/>
      <c r="B147" s="10" t="s">
        <v>21</v>
      </c>
      <c r="C147" s="18" t="s">
        <v>22</v>
      </c>
      <c r="D147" s="19" t="s">
        <v>23</v>
      </c>
      <c r="E147" s="20" t="s">
        <v>24</v>
      </c>
      <c r="F147" s="19" t="s">
        <v>25</v>
      </c>
      <c r="G147" s="20" t="s">
        <v>26</v>
      </c>
      <c r="H147" s="19" t="s">
        <v>27</v>
      </c>
      <c r="I147" s="20" t="s">
        <v>28</v>
      </c>
      <c r="J147" s="20" t="s">
        <v>29</v>
      </c>
      <c r="K147" s="19" t="s">
        <v>30</v>
      </c>
    </row>
    <row r="148" spans="1:11" ht="17" thickTop="1" x14ac:dyDescent="0.2">
      <c r="A148" s="9">
        <v>45119</v>
      </c>
      <c r="B148" s="10">
        <v>6</v>
      </c>
      <c r="C148" s="10">
        <v>5.69</v>
      </c>
      <c r="D148" s="10">
        <v>3.8</v>
      </c>
      <c r="E148" s="10">
        <v>4.3499999999999996</v>
      </c>
      <c r="F148" s="10">
        <v>5.38</v>
      </c>
      <c r="G148" s="10">
        <v>4.75</v>
      </c>
      <c r="H148" s="10">
        <v>3.69</v>
      </c>
      <c r="I148" s="10">
        <v>21.622</v>
      </c>
      <c r="J148" s="10">
        <v>23.402999999999999</v>
      </c>
      <c r="K148" s="10">
        <v>17.5275</v>
      </c>
    </row>
    <row r="149" spans="1:11" x14ac:dyDescent="0.2">
      <c r="A149" s="9">
        <v>45121</v>
      </c>
      <c r="B149" s="10">
        <v>8</v>
      </c>
      <c r="C149" s="10">
        <v>6</v>
      </c>
      <c r="D149" s="10">
        <v>4.6100000000000003</v>
      </c>
      <c r="E149" s="10">
        <v>6.28</v>
      </c>
      <c r="F149" s="10">
        <v>4.68</v>
      </c>
      <c r="G149" s="10">
        <v>5.31</v>
      </c>
      <c r="H149" s="10">
        <v>4.03</v>
      </c>
      <c r="I149" s="10">
        <v>27.66</v>
      </c>
      <c r="J149" s="10">
        <v>29.3904</v>
      </c>
      <c r="K149" s="10">
        <v>21.3993</v>
      </c>
    </row>
    <row r="150" spans="1:11" x14ac:dyDescent="0.2">
      <c r="A150" s="9">
        <v>45123</v>
      </c>
      <c r="B150" s="10">
        <v>10</v>
      </c>
      <c r="C150" s="10">
        <v>6.25</v>
      </c>
      <c r="D150" s="10">
        <v>4.78</v>
      </c>
      <c r="E150" s="10">
        <v>6.23</v>
      </c>
      <c r="F150" s="10">
        <v>4.7699999999999996</v>
      </c>
      <c r="G150" s="10">
        <v>5.28</v>
      </c>
      <c r="H150" s="10">
        <v>4.18</v>
      </c>
      <c r="I150" s="10">
        <v>29.875</v>
      </c>
      <c r="J150" s="10">
        <v>29.717099999999999</v>
      </c>
      <c r="K150" s="10">
        <v>22.070399999999999</v>
      </c>
    </row>
    <row r="151" spans="1:11" x14ac:dyDescent="0.2">
      <c r="A151" s="9">
        <v>45126</v>
      </c>
      <c r="B151" s="10">
        <v>13</v>
      </c>
      <c r="C151" s="10">
        <v>7.27</v>
      </c>
      <c r="D151" s="10">
        <v>5.79</v>
      </c>
      <c r="E151" s="10">
        <v>7.19</v>
      </c>
      <c r="F151" s="10">
        <v>5.78</v>
      </c>
      <c r="G151" s="10">
        <v>5.94</v>
      </c>
      <c r="H151" s="10">
        <v>5.22</v>
      </c>
      <c r="I151" s="10">
        <v>42.093299999999999</v>
      </c>
      <c r="J151" s="10">
        <v>41.558199999999999</v>
      </c>
      <c r="K151" s="10">
        <v>31.006799999999998</v>
      </c>
    </row>
    <row r="152" spans="1:11" x14ac:dyDescent="0.2">
      <c r="A152" s="9">
        <v>45128</v>
      </c>
      <c r="B152" s="10">
        <v>15</v>
      </c>
      <c r="C152" s="10">
        <v>8.3800000000000008</v>
      </c>
      <c r="D152" s="10">
        <v>6.53</v>
      </c>
      <c r="E152" s="10">
        <v>7.88</v>
      </c>
      <c r="F152" s="10">
        <v>6.15</v>
      </c>
      <c r="G152" s="10">
        <v>6.31</v>
      </c>
      <c r="H152" s="10">
        <v>5.45</v>
      </c>
      <c r="I152" s="10">
        <v>54.721400000000003</v>
      </c>
      <c r="J152" s="10">
        <v>48.462000000000003</v>
      </c>
      <c r="K152" s="10">
        <v>34.389499999999998</v>
      </c>
    </row>
    <row r="153" spans="1:11" x14ac:dyDescent="0.2">
      <c r="A153" s="9">
        <v>45130</v>
      </c>
      <c r="B153" s="10">
        <v>17</v>
      </c>
      <c r="C153" s="10">
        <v>8.5500000000000007</v>
      </c>
      <c r="D153" s="10">
        <v>7.33</v>
      </c>
      <c r="E153" s="10">
        <v>8.33</v>
      </c>
      <c r="F153" s="10">
        <v>6.89</v>
      </c>
      <c r="G153" s="10">
        <v>6.06</v>
      </c>
      <c r="H153" s="10">
        <v>6.67</v>
      </c>
      <c r="I153" s="10">
        <v>62.671500000000002</v>
      </c>
      <c r="J153" s="10">
        <v>57.393700000000003</v>
      </c>
      <c r="K153" s="10">
        <v>40.420200000000001</v>
      </c>
    </row>
    <row r="154" spans="1:11" x14ac:dyDescent="0.2">
      <c r="A154" s="9">
        <v>45133</v>
      </c>
      <c r="B154" s="10">
        <v>20</v>
      </c>
      <c r="C154" s="10">
        <v>9.8000000000000007</v>
      </c>
      <c r="D154" s="10">
        <v>7.83</v>
      </c>
      <c r="E154" s="10">
        <v>9.41</v>
      </c>
      <c r="F154" s="10">
        <v>7.41</v>
      </c>
      <c r="G154" s="10">
        <v>8.77</v>
      </c>
      <c r="H154" s="10">
        <v>7.39</v>
      </c>
      <c r="I154" s="10">
        <v>76.733999999999995</v>
      </c>
      <c r="J154" s="10">
        <v>69.728099999999998</v>
      </c>
      <c r="K154" s="10">
        <v>64.810299999999998</v>
      </c>
    </row>
    <row r="155" spans="1:11" x14ac:dyDescent="0.2">
      <c r="A155" s="9">
        <v>45135</v>
      </c>
      <c r="B155" s="10">
        <v>22</v>
      </c>
      <c r="C155" s="10">
        <v>10.1</v>
      </c>
      <c r="D155" s="10">
        <v>8.67</v>
      </c>
      <c r="E155" s="10">
        <v>10.41</v>
      </c>
      <c r="F155" s="10">
        <v>8.51</v>
      </c>
      <c r="G155" s="10">
        <v>8.5</v>
      </c>
      <c r="H155" s="10">
        <v>8.64</v>
      </c>
      <c r="I155" s="10">
        <v>87.566999999999993</v>
      </c>
      <c r="J155" s="10">
        <v>88.589100000000002</v>
      </c>
      <c r="K155" s="10">
        <v>73.44</v>
      </c>
    </row>
    <row r="156" spans="1:11" x14ac:dyDescent="0.2">
      <c r="A156" s="9">
        <v>45137</v>
      </c>
      <c r="B156" s="10">
        <v>24</v>
      </c>
      <c r="C156" s="10">
        <v>11.53</v>
      </c>
      <c r="D156" s="10">
        <v>9.11</v>
      </c>
      <c r="E156" s="10">
        <v>11.04</v>
      </c>
      <c r="F156" s="10">
        <v>8.99</v>
      </c>
      <c r="G156" s="10">
        <v>9.75</v>
      </c>
      <c r="H156" s="10">
        <v>9.14</v>
      </c>
      <c r="I156" s="10">
        <v>105.03830000000001</v>
      </c>
      <c r="J156" s="10">
        <v>99.249600000000001</v>
      </c>
      <c r="K156" s="10">
        <v>89.114999999999995</v>
      </c>
    </row>
    <row r="157" spans="1:1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</row>
    <row r="158" spans="1:11" x14ac:dyDescent="0.2">
      <c r="A158" s="4" t="s">
        <v>4</v>
      </c>
      <c r="B158" s="10"/>
      <c r="C158" s="17">
        <v>4448</v>
      </c>
      <c r="D158" s="17"/>
      <c r="E158" s="17">
        <v>4449</v>
      </c>
      <c r="F158" s="17"/>
      <c r="G158" s="17">
        <v>4195</v>
      </c>
      <c r="H158" s="17"/>
      <c r="I158" s="10"/>
      <c r="J158" s="10"/>
      <c r="K158" s="10"/>
    </row>
    <row r="159" spans="1:11" ht="18" thickTop="1" thickBot="1" x14ac:dyDescent="0.25">
      <c r="A159" s="10"/>
      <c r="B159" s="10" t="s">
        <v>21</v>
      </c>
      <c r="C159" s="18" t="s">
        <v>22</v>
      </c>
      <c r="D159" s="19" t="s">
        <v>23</v>
      </c>
      <c r="E159" s="20" t="s">
        <v>24</v>
      </c>
      <c r="F159" s="19" t="s">
        <v>25</v>
      </c>
      <c r="G159" s="20" t="s">
        <v>26</v>
      </c>
      <c r="H159" s="19" t="s">
        <v>27</v>
      </c>
      <c r="I159" s="20" t="s">
        <v>28</v>
      </c>
      <c r="J159" s="20" t="s">
        <v>29</v>
      </c>
      <c r="K159" s="19" t="s">
        <v>30</v>
      </c>
    </row>
    <row r="160" spans="1:11" ht="17" thickTop="1" x14ac:dyDescent="0.2">
      <c r="A160" s="9">
        <v>45119</v>
      </c>
      <c r="B160" s="10">
        <v>6</v>
      </c>
      <c r="C160" s="10">
        <v>5.72</v>
      </c>
      <c r="D160" s="10">
        <v>4.0199999999999996</v>
      </c>
      <c r="E160" s="10">
        <v>5.14</v>
      </c>
      <c r="F160" s="10">
        <v>4.74</v>
      </c>
      <c r="G160" s="10">
        <v>4.0199999999999996</v>
      </c>
      <c r="H160" s="10">
        <v>3.85</v>
      </c>
      <c r="I160" s="10">
        <v>22.994399999999999</v>
      </c>
      <c r="J160" s="10">
        <v>24.363600000000002</v>
      </c>
      <c r="K160" s="10">
        <v>15.477</v>
      </c>
    </row>
    <row r="161" spans="1:11" x14ac:dyDescent="0.2">
      <c r="A161" s="9">
        <v>45121</v>
      </c>
      <c r="B161" s="10">
        <v>8</v>
      </c>
      <c r="C161" s="10">
        <v>7.05</v>
      </c>
      <c r="D161" s="10">
        <v>5.59</v>
      </c>
      <c r="E161" s="10">
        <v>6.44</v>
      </c>
      <c r="F161" s="10">
        <v>5.19</v>
      </c>
      <c r="G161" s="10">
        <v>5.0199999999999996</v>
      </c>
      <c r="H161" s="10">
        <v>4.0599999999999996</v>
      </c>
      <c r="I161" s="10">
        <v>39.409500000000001</v>
      </c>
      <c r="J161" s="10">
        <v>33.4236</v>
      </c>
      <c r="K161" s="10">
        <v>20.3812</v>
      </c>
    </row>
    <row r="162" spans="1:11" x14ac:dyDescent="0.2">
      <c r="A162" s="9">
        <v>45123</v>
      </c>
      <c r="B162" s="10">
        <v>10</v>
      </c>
      <c r="C162" s="10">
        <v>6.96</v>
      </c>
      <c r="D162" s="10">
        <v>5.6</v>
      </c>
      <c r="E162" s="10">
        <v>6.65</v>
      </c>
      <c r="F162" s="10">
        <v>5.96</v>
      </c>
      <c r="G162" s="10">
        <v>5.32</v>
      </c>
      <c r="H162" s="10">
        <v>4.33</v>
      </c>
      <c r="I162" s="10">
        <v>38.975999999999999</v>
      </c>
      <c r="J162" s="10">
        <v>39.634</v>
      </c>
      <c r="K162" s="10">
        <v>23.035599999999999</v>
      </c>
    </row>
    <row r="163" spans="1:11" x14ac:dyDescent="0.2">
      <c r="A163" s="9">
        <v>45126</v>
      </c>
      <c r="B163" s="10">
        <v>13</v>
      </c>
      <c r="C163" s="10">
        <v>8.0500000000000007</v>
      </c>
      <c r="D163" s="10">
        <v>6.53</v>
      </c>
      <c r="E163" s="10">
        <v>7.49</v>
      </c>
      <c r="F163" s="10">
        <v>6.54</v>
      </c>
      <c r="G163" s="10">
        <v>6.19</v>
      </c>
      <c r="H163" s="10">
        <v>5.09</v>
      </c>
      <c r="I163" s="10">
        <v>52.566499999999998</v>
      </c>
      <c r="J163" s="10">
        <v>48.9846</v>
      </c>
      <c r="K163" s="10">
        <v>31.507100000000001</v>
      </c>
    </row>
    <row r="164" spans="1:11" x14ac:dyDescent="0.2">
      <c r="A164" s="9">
        <v>45128</v>
      </c>
      <c r="B164" s="10">
        <v>15</v>
      </c>
      <c r="C164" s="10">
        <v>9.2200000000000006</v>
      </c>
      <c r="D164" s="10">
        <v>7.46</v>
      </c>
      <c r="E164" s="10">
        <v>8.7100000000000009</v>
      </c>
      <c r="F164" s="10">
        <v>7.31</v>
      </c>
      <c r="G164" s="10">
        <v>6.85</v>
      </c>
      <c r="H164" s="10">
        <v>6.04</v>
      </c>
      <c r="I164" s="10">
        <v>68.781199999999998</v>
      </c>
      <c r="J164" s="10">
        <v>63.670099999999998</v>
      </c>
      <c r="K164" s="10">
        <v>41.374000000000002</v>
      </c>
    </row>
    <row r="165" spans="1:11" x14ac:dyDescent="0.2">
      <c r="A165" s="9">
        <v>45130</v>
      </c>
      <c r="B165" s="10">
        <v>17</v>
      </c>
      <c r="C165" s="10">
        <v>9.76</v>
      </c>
      <c r="D165" s="10">
        <v>8.31</v>
      </c>
      <c r="E165" s="10">
        <v>9.2899999999999991</v>
      </c>
      <c r="F165" s="10">
        <v>7.85</v>
      </c>
      <c r="G165" s="10">
        <v>7.73</v>
      </c>
      <c r="H165" s="10">
        <v>6.2</v>
      </c>
      <c r="I165" s="10">
        <v>81.105599999999995</v>
      </c>
      <c r="J165" s="10">
        <v>72.926500000000004</v>
      </c>
      <c r="K165" s="10">
        <v>47.926000000000002</v>
      </c>
    </row>
    <row r="166" spans="1:11" x14ac:dyDescent="0.2">
      <c r="A166" s="9">
        <v>45133</v>
      </c>
      <c r="B166" s="10">
        <v>20</v>
      </c>
      <c r="C166" s="10">
        <v>11.13</v>
      </c>
      <c r="D166" s="10">
        <v>9.64</v>
      </c>
      <c r="E166" s="10">
        <v>10.62</v>
      </c>
      <c r="F166" s="10">
        <v>9.59</v>
      </c>
      <c r="G166" s="10">
        <v>8.52</v>
      </c>
      <c r="H166" s="10">
        <v>8.52</v>
      </c>
      <c r="I166" s="10">
        <v>107.2932</v>
      </c>
      <c r="J166" s="10">
        <v>101.8458</v>
      </c>
      <c r="K166" s="10">
        <v>72.590400000000002</v>
      </c>
    </row>
    <row r="167" spans="1:11" x14ac:dyDescent="0.2">
      <c r="A167" s="9">
        <v>45135</v>
      </c>
      <c r="B167" s="10">
        <v>22</v>
      </c>
      <c r="C167" s="10">
        <v>11.16</v>
      </c>
      <c r="D167" s="10">
        <v>10.130000000000001</v>
      </c>
      <c r="E167" s="10">
        <v>10.81</v>
      </c>
      <c r="F167" s="10">
        <v>9.39</v>
      </c>
      <c r="G167" s="10">
        <v>8.9600000000000009</v>
      </c>
      <c r="H167" s="10">
        <v>8.7799999999999994</v>
      </c>
      <c r="I167" s="10">
        <v>113.0508</v>
      </c>
      <c r="J167" s="10">
        <v>101.5059</v>
      </c>
      <c r="K167" s="10">
        <v>78.668800000000005</v>
      </c>
    </row>
    <row r="168" spans="1:11" x14ac:dyDescent="0.2">
      <c r="A168" s="9">
        <v>45137</v>
      </c>
      <c r="B168" s="10">
        <v>24</v>
      </c>
      <c r="C168" s="10">
        <v>11.58</v>
      </c>
      <c r="D168" s="10">
        <v>10.63</v>
      </c>
      <c r="E168" s="10">
        <v>11.73</v>
      </c>
      <c r="F168" s="10">
        <v>10.46</v>
      </c>
      <c r="G168" s="10">
        <v>9.7799999999999994</v>
      </c>
      <c r="H168" s="10">
        <v>9.69</v>
      </c>
      <c r="I168" s="10">
        <v>123.0954</v>
      </c>
      <c r="J168" s="10">
        <v>122.69580000000001</v>
      </c>
      <c r="K168" s="10">
        <v>94.768199999999993</v>
      </c>
    </row>
    <row r="169" spans="1:1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</row>
    <row r="170" spans="1:11" ht="17" thickBot="1" x14ac:dyDescent="0.25">
      <c r="A170" s="4" t="s">
        <v>3</v>
      </c>
      <c r="B170" s="10"/>
      <c r="C170" s="17">
        <v>4450</v>
      </c>
      <c r="D170" s="17"/>
      <c r="E170" s="17">
        <v>4451</v>
      </c>
      <c r="F170" s="17"/>
      <c r="G170" s="17">
        <v>4446</v>
      </c>
      <c r="H170" s="17"/>
      <c r="I170" s="10"/>
      <c r="J170" s="10"/>
      <c r="K170" s="10"/>
    </row>
    <row r="171" spans="1:11" ht="18" thickTop="1" thickBot="1" x14ac:dyDescent="0.25">
      <c r="A171" s="10"/>
      <c r="B171" s="10" t="s">
        <v>21</v>
      </c>
      <c r="C171" s="18" t="s">
        <v>22</v>
      </c>
      <c r="D171" s="19" t="s">
        <v>23</v>
      </c>
      <c r="E171" s="20" t="s">
        <v>24</v>
      </c>
      <c r="F171" s="19" t="s">
        <v>25</v>
      </c>
      <c r="G171" s="20" t="s">
        <v>26</v>
      </c>
      <c r="H171" s="19" t="s">
        <v>27</v>
      </c>
      <c r="I171" s="20" t="s">
        <v>28</v>
      </c>
      <c r="J171" s="20" t="s">
        <v>29</v>
      </c>
      <c r="K171" s="19" t="s">
        <v>30</v>
      </c>
    </row>
    <row r="172" spans="1:11" ht="17" thickTop="1" x14ac:dyDescent="0.2">
      <c r="A172" s="9">
        <v>45119</v>
      </c>
      <c r="B172" s="10">
        <v>6</v>
      </c>
      <c r="C172" s="10">
        <v>4.68</v>
      </c>
      <c r="D172" s="10">
        <v>5.68</v>
      </c>
      <c r="E172" s="10">
        <v>5.69</v>
      </c>
      <c r="F172" s="10">
        <v>3.75</v>
      </c>
      <c r="G172" s="10">
        <v>4.43</v>
      </c>
      <c r="H172" s="10">
        <v>4.57</v>
      </c>
      <c r="I172" s="10">
        <v>26.5824</v>
      </c>
      <c r="J172" s="10">
        <v>21.337499999999999</v>
      </c>
      <c r="K172" s="10">
        <v>20.245100000000001</v>
      </c>
    </row>
    <row r="173" spans="1:11" x14ac:dyDescent="0.2">
      <c r="A173" s="9">
        <v>45121</v>
      </c>
      <c r="B173" s="10">
        <v>8</v>
      </c>
      <c r="C173" s="10">
        <v>7.18</v>
      </c>
      <c r="D173" s="10">
        <v>5.35</v>
      </c>
      <c r="E173" s="10">
        <v>6.83</v>
      </c>
      <c r="F173" s="10">
        <v>4.12</v>
      </c>
      <c r="G173" s="10">
        <v>5.13</v>
      </c>
      <c r="H173" s="10">
        <v>5.22</v>
      </c>
      <c r="I173" s="10">
        <v>38.412999999999997</v>
      </c>
      <c r="J173" s="10">
        <v>28.139600000000002</v>
      </c>
      <c r="K173" s="10">
        <v>26.778600000000001</v>
      </c>
    </row>
    <row r="174" spans="1:11" x14ac:dyDescent="0.2">
      <c r="A174" s="9">
        <v>45123</v>
      </c>
      <c r="B174" s="10">
        <v>10</v>
      </c>
      <c r="C174" s="10">
        <v>6.75</v>
      </c>
      <c r="D174" s="10">
        <v>5.87</v>
      </c>
      <c r="E174" s="10">
        <v>7.22</v>
      </c>
      <c r="F174" s="10">
        <v>4.6100000000000003</v>
      </c>
      <c r="G174" s="10">
        <v>5.6</v>
      </c>
      <c r="H174" s="10">
        <v>5.6</v>
      </c>
      <c r="I174" s="10">
        <v>39.622500000000002</v>
      </c>
      <c r="J174" s="10">
        <v>33.284199999999998</v>
      </c>
      <c r="K174" s="10">
        <v>31.36</v>
      </c>
    </row>
    <row r="175" spans="1:11" x14ac:dyDescent="0.2">
      <c r="A175" s="9">
        <v>45126</v>
      </c>
      <c r="B175" s="10">
        <v>13</v>
      </c>
      <c r="C175" s="10">
        <v>8.0299999999999994</v>
      </c>
      <c r="D175" s="10">
        <v>7.25</v>
      </c>
      <c r="E175" s="10">
        <v>8.59</v>
      </c>
      <c r="F175" s="10">
        <v>5.2</v>
      </c>
      <c r="G175" s="10">
        <v>5.55</v>
      </c>
      <c r="H175" s="10">
        <v>6.35</v>
      </c>
      <c r="I175" s="10">
        <v>58.217500000000001</v>
      </c>
      <c r="J175" s="10">
        <v>44.667999999999999</v>
      </c>
      <c r="K175" s="10">
        <v>35.2425</v>
      </c>
    </row>
    <row r="176" spans="1:11" x14ac:dyDescent="0.2">
      <c r="A176" s="9">
        <v>45128</v>
      </c>
      <c r="B176" s="10">
        <v>15</v>
      </c>
      <c r="C176" s="10">
        <v>8.73</v>
      </c>
      <c r="D176" s="10">
        <v>7.93</v>
      </c>
      <c r="E176" s="10">
        <v>9.65</v>
      </c>
      <c r="F176" s="10">
        <v>6.13</v>
      </c>
      <c r="G176" s="10">
        <v>7.29</v>
      </c>
      <c r="H176" s="10">
        <v>7.73</v>
      </c>
      <c r="I176" s="10">
        <v>69.228899999999996</v>
      </c>
      <c r="J176" s="10">
        <v>59.154499999999999</v>
      </c>
      <c r="K176" s="10">
        <v>56.351700000000001</v>
      </c>
    </row>
    <row r="177" spans="1:11" x14ac:dyDescent="0.2">
      <c r="A177" s="9">
        <v>45130</v>
      </c>
      <c r="B177" s="10">
        <v>17</v>
      </c>
      <c r="C177" s="10">
        <v>9.49</v>
      </c>
      <c r="D177" s="10">
        <v>8.36</v>
      </c>
      <c r="E177" s="10">
        <v>6.72</v>
      </c>
      <c r="F177" s="10">
        <v>10.78</v>
      </c>
      <c r="G177" s="10">
        <v>8.2200000000000006</v>
      </c>
      <c r="H177" s="10">
        <v>7.3</v>
      </c>
      <c r="I177" s="10">
        <v>79.336399999999998</v>
      </c>
      <c r="J177" s="10">
        <v>72.441599999999994</v>
      </c>
      <c r="K177" s="10">
        <v>60.006</v>
      </c>
    </row>
    <row r="178" spans="1:11" x14ac:dyDescent="0.2">
      <c r="A178" s="9">
        <v>45133</v>
      </c>
      <c r="B178" s="10">
        <v>20</v>
      </c>
      <c r="C178" s="10">
        <v>10.09</v>
      </c>
      <c r="D178" s="10">
        <v>9.25</v>
      </c>
      <c r="E178" s="10">
        <v>11.69</v>
      </c>
      <c r="F178" s="10">
        <v>8.09</v>
      </c>
      <c r="G178" s="10">
        <v>8.19</v>
      </c>
      <c r="H178" s="10">
        <v>9.2200000000000006</v>
      </c>
      <c r="I178" s="10">
        <v>93.332499999999996</v>
      </c>
      <c r="J178" s="10">
        <v>94.572100000000006</v>
      </c>
      <c r="K178" s="10">
        <v>75.511799999999994</v>
      </c>
    </row>
    <row r="179" spans="1:11" x14ac:dyDescent="0.2">
      <c r="A179" s="9">
        <v>45135</v>
      </c>
      <c r="B179" s="10">
        <v>22</v>
      </c>
      <c r="C179" s="10">
        <v>10.45</v>
      </c>
      <c r="D179" s="10">
        <v>9.5500000000000007</v>
      </c>
      <c r="E179" s="10">
        <v>12.74</v>
      </c>
      <c r="F179" s="10">
        <v>8.3699999999999992</v>
      </c>
      <c r="G179" s="10">
        <v>8.57</v>
      </c>
      <c r="H179" s="10">
        <v>9.4</v>
      </c>
      <c r="I179" s="10">
        <v>99.797499999999999</v>
      </c>
      <c r="J179" s="10">
        <v>106.63379999999999</v>
      </c>
      <c r="K179" s="10">
        <v>80.558000000000007</v>
      </c>
    </row>
    <row r="180" spans="1:11" x14ac:dyDescent="0.2">
      <c r="A180" s="9">
        <v>45137</v>
      </c>
      <c r="B180" s="10">
        <v>24</v>
      </c>
      <c r="C180" s="10">
        <v>11.55</v>
      </c>
      <c r="D180" s="10">
        <v>10.18</v>
      </c>
      <c r="E180" s="10">
        <v>13.29</v>
      </c>
      <c r="F180" s="10">
        <v>8.91</v>
      </c>
      <c r="G180" s="10">
        <v>10.44</v>
      </c>
      <c r="H180" s="10">
        <v>9.7799999999999994</v>
      </c>
      <c r="I180" s="10">
        <v>117.57899999999999</v>
      </c>
      <c r="J180" s="10">
        <v>118.4139</v>
      </c>
      <c r="K180" s="10">
        <v>102.1032</v>
      </c>
    </row>
    <row r="183" spans="1:11" x14ac:dyDescent="0.2">
      <c r="A183" s="1" t="s">
        <v>52</v>
      </c>
    </row>
    <row r="185" spans="1:11" x14ac:dyDescent="0.2">
      <c r="A185" t="s">
        <v>53</v>
      </c>
    </row>
    <row r="186" spans="1:11" x14ac:dyDescent="0.2">
      <c r="A186" t="s">
        <v>54</v>
      </c>
      <c r="B186" t="s">
        <v>55</v>
      </c>
      <c r="C186" t="s">
        <v>56</v>
      </c>
      <c r="D186" t="s">
        <v>57</v>
      </c>
      <c r="E186" t="s">
        <v>58</v>
      </c>
      <c r="F186" t="s">
        <v>59</v>
      </c>
      <c r="G186" t="s">
        <v>60</v>
      </c>
      <c r="H186" t="s">
        <v>61</v>
      </c>
      <c r="I186" t="s">
        <v>62</v>
      </c>
      <c r="J186" t="s">
        <v>63</v>
      </c>
    </row>
    <row r="187" spans="1:11" x14ac:dyDescent="0.2">
      <c r="A187" t="s">
        <v>64</v>
      </c>
      <c r="B187" t="s">
        <v>4</v>
      </c>
      <c r="C187">
        <v>15351</v>
      </c>
      <c r="D187">
        <f>20*1030</f>
        <v>20600</v>
      </c>
      <c r="E187">
        <v>1271</v>
      </c>
      <c r="F187">
        <v>1.4966999999999999</v>
      </c>
      <c r="G187">
        <v>1.5224</v>
      </c>
      <c r="H187">
        <f>G187-F187</f>
        <v>2.5700000000000056E-2</v>
      </c>
      <c r="I187">
        <f>E187/C187*D187</f>
        <v>1705.5957266627581</v>
      </c>
      <c r="J187">
        <f>I187/H187</f>
        <v>66365.59247714997</v>
      </c>
    </row>
    <row r="188" spans="1:11" x14ac:dyDescent="0.2">
      <c r="A188" t="s">
        <v>65</v>
      </c>
      <c r="B188" t="s">
        <v>4</v>
      </c>
      <c r="C188">
        <v>15091</v>
      </c>
      <c r="D188">
        <f t="shared" ref="D188:D190" si="15">20*1030</f>
        <v>20600</v>
      </c>
      <c r="E188">
        <v>366</v>
      </c>
      <c r="F188">
        <v>1.4898</v>
      </c>
      <c r="G188">
        <v>1.5155000000000001</v>
      </c>
      <c r="H188">
        <f>G188-F188</f>
        <v>2.5700000000000056E-2</v>
      </c>
      <c r="I188">
        <f t="shared" ref="I188:I190" si="16">E188/C188*D188</f>
        <v>499.60903849976808</v>
      </c>
      <c r="J188">
        <f t="shared" ref="J188:J190" si="17">I188/H188</f>
        <v>19440.040408551245</v>
      </c>
    </row>
    <row r="189" spans="1:11" x14ac:dyDescent="0.2">
      <c r="A189" t="s">
        <v>66</v>
      </c>
      <c r="B189" t="s">
        <v>3</v>
      </c>
      <c r="C189">
        <v>14985</v>
      </c>
      <c r="D189">
        <f t="shared" si="15"/>
        <v>20600</v>
      </c>
      <c r="E189">
        <v>1298</v>
      </c>
      <c r="F189">
        <v>1.4822</v>
      </c>
      <c r="G189">
        <v>1.5083</v>
      </c>
      <c r="H189">
        <f>G189-F189</f>
        <v>2.6100000000000012E-2</v>
      </c>
      <c r="I189">
        <f t="shared" si="16"/>
        <v>1784.371037704371</v>
      </c>
      <c r="J189">
        <f t="shared" si="17"/>
        <v>68366.706425454802</v>
      </c>
    </row>
    <row r="190" spans="1:11" x14ac:dyDescent="0.2">
      <c r="A190" t="s">
        <v>67</v>
      </c>
      <c r="B190" t="s">
        <v>3</v>
      </c>
      <c r="C190">
        <v>14600</v>
      </c>
      <c r="D190">
        <f t="shared" si="15"/>
        <v>20600</v>
      </c>
      <c r="E190">
        <v>1236</v>
      </c>
      <c r="F190">
        <v>1.4822</v>
      </c>
      <c r="G190">
        <v>1.5258</v>
      </c>
      <c r="H190">
        <f>G190-F190</f>
        <v>4.3600000000000083E-2</v>
      </c>
      <c r="I190">
        <f t="shared" si="16"/>
        <v>1743.9452054794519</v>
      </c>
      <c r="J190">
        <f t="shared" si="17"/>
        <v>39998.743244941485</v>
      </c>
    </row>
    <row r="192" spans="1:11" x14ac:dyDescent="0.2">
      <c r="A192" t="s">
        <v>68</v>
      </c>
    </row>
    <row r="193" spans="1:10" x14ac:dyDescent="0.2">
      <c r="A193" t="s">
        <v>54</v>
      </c>
      <c r="B193" t="s">
        <v>55</v>
      </c>
      <c r="C193" t="s">
        <v>56</v>
      </c>
      <c r="D193" t="s">
        <v>57</v>
      </c>
      <c r="E193" t="s">
        <v>58</v>
      </c>
      <c r="F193" t="s">
        <v>59</v>
      </c>
      <c r="G193" t="s">
        <v>60</v>
      </c>
      <c r="H193" t="s">
        <v>61</v>
      </c>
      <c r="I193" t="s">
        <v>62</v>
      </c>
      <c r="J193" t="s">
        <v>63</v>
      </c>
    </row>
    <row r="194" spans="1:10" x14ac:dyDescent="0.2">
      <c r="A194" t="s">
        <v>69</v>
      </c>
      <c r="B194" t="s">
        <v>3</v>
      </c>
      <c r="C194">
        <v>35998</v>
      </c>
      <c r="D194">
        <f>0.045*1010000</f>
        <v>45450</v>
      </c>
      <c r="E194">
        <v>323</v>
      </c>
      <c r="H194">
        <v>4.8599999999999977E-2</v>
      </c>
      <c r="I194">
        <f>E194/C194*D194</f>
        <v>407.81015611978444</v>
      </c>
      <c r="J194">
        <f>I194/H194</f>
        <v>8391.1554757157337</v>
      </c>
    </row>
    <row r="195" spans="1:10" x14ac:dyDescent="0.2">
      <c r="A195" t="s">
        <v>70</v>
      </c>
      <c r="B195" t="s">
        <v>3</v>
      </c>
      <c r="C195">
        <v>35667</v>
      </c>
      <c r="D195">
        <f t="shared" ref="D195:D199" si="18">0.045*1010000</f>
        <v>45450</v>
      </c>
      <c r="E195">
        <v>204</v>
      </c>
      <c r="H195">
        <v>4.3600000000000083E-2</v>
      </c>
      <c r="I195">
        <f t="shared" ref="I195:I199" si="19">E195/C195*D195</f>
        <v>259.95457986373958</v>
      </c>
      <c r="J195">
        <f t="shared" ref="J195:J199" si="20">I195/H195</f>
        <v>5962.2610060490615</v>
      </c>
    </row>
    <row r="196" spans="1:10" x14ac:dyDescent="0.2">
      <c r="A196" t="s">
        <v>71</v>
      </c>
      <c r="B196" t="s">
        <v>3</v>
      </c>
      <c r="C196">
        <v>37083</v>
      </c>
      <c r="D196">
        <f t="shared" si="18"/>
        <v>45450</v>
      </c>
      <c r="E196">
        <v>121</v>
      </c>
      <c r="H196">
        <v>7.1900000000000075E-2</v>
      </c>
      <c r="I196">
        <f t="shared" si="19"/>
        <v>148.30110832456921</v>
      </c>
      <c r="J196">
        <f t="shared" si="20"/>
        <v>2062.6023410927546</v>
      </c>
    </row>
    <row r="197" spans="1:10" x14ac:dyDescent="0.2">
      <c r="A197" t="s">
        <v>72</v>
      </c>
      <c r="B197" t="s">
        <v>4</v>
      </c>
      <c r="C197">
        <v>36976</v>
      </c>
      <c r="D197">
        <f t="shared" si="18"/>
        <v>45450</v>
      </c>
      <c r="E197">
        <v>448</v>
      </c>
      <c r="H197">
        <v>6.1899999999999844E-2</v>
      </c>
      <c r="I197">
        <f t="shared" si="19"/>
        <v>550.6707053223713</v>
      </c>
      <c r="J197">
        <f t="shared" si="20"/>
        <v>8896.1341732208839</v>
      </c>
    </row>
    <row r="198" spans="1:10" x14ac:dyDescent="0.2">
      <c r="A198" t="s">
        <v>73</v>
      </c>
      <c r="B198" t="s">
        <v>4</v>
      </c>
      <c r="C198">
        <v>36237</v>
      </c>
      <c r="D198">
        <f t="shared" si="18"/>
        <v>45450</v>
      </c>
      <c r="E198">
        <v>348</v>
      </c>
      <c r="H198">
        <v>6.0200000000000031E-2</v>
      </c>
      <c r="I198">
        <f t="shared" si="19"/>
        <v>436.47652951403256</v>
      </c>
      <c r="J198">
        <f t="shared" si="20"/>
        <v>7250.4406896018663</v>
      </c>
    </row>
    <row r="199" spans="1:10" x14ac:dyDescent="0.2">
      <c r="A199" t="s">
        <v>74</v>
      </c>
      <c r="B199" t="s">
        <v>4</v>
      </c>
      <c r="C199">
        <v>35664</v>
      </c>
      <c r="D199">
        <f t="shared" si="18"/>
        <v>45450</v>
      </c>
      <c r="E199">
        <v>939</v>
      </c>
      <c r="H199">
        <v>5.3300000000000125E-2</v>
      </c>
      <c r="I199">
        <f t="shared" si="19"/>
        <v>1196.6562920592194</v>
      </c>
      <c r="J199">
        <f t="shared" si="20"/>
        <v>22451.337562086614</v>
      </c>
    </row>
    <row r="201" spans="1:10" x14ac:dyDescent="0.2">
      <c r="A201" t="s">
        <v>75</v>
      </c>
    </row>
    <row r="202" spans="1:10" ht="68" x14ac:dyDescent="0.2">
      <c r="A202" t="s">
        <v>54</v>
      </c>
      <c r="B202" t="s">
        <v>55</v>
      </c>
      <c r="C202" t="s">
        <v>56</v>
      </c>
      <c r="D202" t="s">
        <v>57</v>
      </c>
      <c r="E202" t="s">
        <v>58</v>
      </c>
      <c r="G202" t="s">
        <v>61</v>
      </c>
      <c r="H202" s="3" t="s">
        <v>76</v>
      </c>
      <c r="I202" t="s">
        <v>62</v>
      </c>
      <c r="J202" t="s">
        <v>63</v>
      </c>
    </row>
    <row r="203" spans="1:10" x14ac:dyDescent="0.2">
      <c r="A203" t="s">
        <v>77</v>
      </c>
      <c r="B203" t="s">
        <v>3</v>
      </c>
      <c r="C203">
        <v>20996</v>
      </c>
      <c r="D203">
        <f>0.04*1030000</f>
        <v>41200</v>
      </c>
      <c r="E203">
        <v>423</v>
      </c>
      <c r="G203">
        <v>8.3600000000000119E-2</v>
      </c>
      <c r="H203">
        <f>G203/2</f>
        <v>4.1800000000000059E-2</v>
      </c>
      <c r="I203">
        <f>E203/C203*D203</f>
        <v>830.04381787007048</v>
      </c>
      <c r="J203">
        <f>I203/H203</f>
        <v>19857.507604547114</v>
      </c>
    </row>
    <row r="204" spans="1:10" x14ac:dyDescent="0.2">
      <c r="A204" t="s">
        <v>78</v>
      </c>
      <c r="B204" t="s">
        <v>3</v>
      </c>
      <c r="C204">
        <v>21174</v>
      </c>
      <c r="D204">
        <f t="shared" ref="D204:D208" si="21">0.04*1030000</f>
        <v>41200</v>
      </c>
      <c r="E204">
        <v>1259</v>
      </c>
      <c r="G204">
        <v>6.5299999999999914E-2</v>
      </c>
      <c r="H204">
        <f t="shared" ref="H204:H208" si="22">G204/2</f>
        <v>3.2649999999999957E-2</v>
      </c>
      <c r="I204">
        <f t="shared" ref="I204:I208" si="23">E204/C204*D204</f>
        <v>2449.7402474733162</v>
      </c>
      <c r="J204">
        <f t="shared" ref="J204:J208" si="24">I204/H204</f>
        <v>75030.329172230311</v>
      </c>
    </row>
    <row r="205" spans="1:10" x14ac:dyDescent="0.2">
      <c r="A205" t="s">
        <v>79</v>
      </c>
      <c r="B205" t="s">
        <v>3</v>
      </c>
      <c r="C205">
        <v>21698</v>
      </c>
      <c r="D205">
        <f t="shared" si="21"/>
        <v>41200</v>
      </c>
      <c r="E205">
        <v>406</v>
      </c>
      <c r="G205">
        <v>7.1099999999999941E-2</v>
      </c>
      <c r="H205">
        <f t="shared" si="22"/>
        <v>3.5549999999999971E-2</v>
      </c>
      <c r="I205">
        <f t="shared" si="23"/>
        <v>770.90976126831958</v>
      </c>
      <c r="J205">
        <f t="shared" si="24"/>
        <v>21685.225352132777</v>
      </c>
    </row>
    <row r="206" spans="1:10" x14ac:dyDescent="0.2">
      <c r="A206" t="s">
        <v>80</v>
      </c>
      <c r="B206" t="s">
        <v>4</v>
      </c>
      <c r="C206">
        <v>20707</v>
      </c>
      <c r="D206">
        <f t="shared" si="21"/>
        <v>41200</v>
      </c>
      <c r="E206">
        <v>577</v>
      </c>
      <c r="G206">
        <v>6.6699999999999982E-2</v>
      </c>
      <c r="H206">
        <f t="shared" si="22"/>
        <v>3.3349999999999991E-2</v>
      </c>
      <c r="I206">
        <f t="shared" si="23"/>
        <v>1148.0368957357416</v>
      </c>
      <c r="J206">
        <f t="shared" si="24"/>
        <v>34423.894924609951</v>
      </c>
    </row>
    <row r="207" spans="1:10" x14ac:dyDescent="0.2">
      <c r="A207" t="s">
        <v>81</v>
      </c>
      <c r="B207" t="s">
        <v>4</v>
      </c>
      <c r="C207">
        <v>19772</v>
      </c>
      <c r="D207">
        <f t="shared" si="21"/>
        <v>41200</v>
      </c>
      <c r="E207">
        <v>1128</v>
      </c>
      <c r="G207">
        <v>0.10089999999999999</v>
      </c>
      <c r="H207">
        <f t="shared" si="22"/>
        <v>5.0449999999999995E-2</v>
      </c>
      <c r="I207">
        <f t="shared" si="23"/>
        <v>2350.4754197855555</v>
      </c>
      <c r="J207">
        <f t="shared" si="24"/>
        <v>46590.196626076424</v>
      </c>
    </row>
    <row r="208" spans="1:10" x14ac:dyDescent="0.2">
      <c r="A208" t="s">
        <v>82</v>
      </c>
      <c r="B208" t="s">
        <v>4</v>
      </c>
      <c r="C208">
        <v>18848</v>
      </c>
      <c r="D208">
        <f t="shared" si="21"/>
        <v>41200</v>
      </c>
      <c r="E208">
        <v>1322</v>
      </c>
      <c r="G208">
        <v>8.8400000000000034E-2</v>
      </c>
      <c r="H208">
        <f t="shared" si="22"/>
        <v>4.4200000000000017E-2</v>
      </c>
      <c r="I208">
        <f t="shared" si="23"/>
        <v>2889.7707979626489</v>
      </c>
      <c r="J208">
        <f t="shared" si="24"/>
        <v>65379.429818159449</v>
      </c>
    </row>
    <row r="210" spans="1:10" x14ac:dyDescent="0.2">
      <c r="A210" t="s">
        <v>83</v>
      </c>
    </row>
    <row r="211" spans="1:10" ht="68" x14ac:dyDescent="0.2">
      <c r="A211" t="s">
        <v>54</v>
      </c>
      <c r="B211" t="s">
        <v>55</v>
      </c>
      <c r="C211" t="s">
        <v>56</v>
      </c>
      <c r="D211" t="s">
        <v>57</v>
      </c>
      <c r="E211" t="s">
        <v>58</v>
      </c>
      <c r="G211" t="s">
        <v>61</v>
      </c>
      <c r="H211" s="3" t="s">
        <v>76</v>
      </c>
      <c r="I211" t="s">
        <v>62</v>
      </c>
      <c r="J211" t="s">
        <v>63</v>
      </c>
    </row>
    <row r="212" spans="1:10" x14ac:dyDescent="0.2">
      <c r="A212" t="s">
        <v>84</v>
      </c>
      <c r="B212" t="s">
        <v>3</v>
      </c>
      <c r="C212">
        <v>25702</v>
      </c>
      <c r="D212">
        <f>0.035*991000</f>
        <v>34685</v>
      </c>
      <c r="E212">
        <v>170</v>
      </c>
      <c r="G212">
        <v>8.3899999999999864E-2</v>
      </c>
      <c r="H212">
        <f>G212/2</f>
        <v>4.1949999999999932E-2</v>
      </c>
      <c r="I212">
        <f>E212/C212*D212</f>
        <v>229.4159987549607</v>
      </c>
      <c r="J212">
        <f>I212/H212</f>
        <v>5468.7961562565215</v>
      </c>
    </row>
    <row r="213" spans="1:10" x14ac:dyDescent="0.2">
      <c r="A213" t="s">
        <v>85</v>
      </c>
      <c r="B213" t="s">
        <v>3</v>
      </c>
      <c r="C213">
        <v>22175</v>
      </c>
      <c r="D213">
        <f t="shared" ref="D213:D217" si="25">0.035*991000</f>
        <v>34685</v>
      </c>
      <c r="E213">
        <v>318</v>
      </c>
      <c r="G213">
        <v>9.9600000000000133E-2</v>
      </c>
      <c r="H213">
        <f t="shared" ref="H213:H217" si="26">G213/2</f>
        <v>4.9800000000000066E-2</v>
      </c>
      <c r="I213">
        <f t="shared" ref="I213:I217" si="27">E213/C213*D213</f>
        <v>497.39932356257043</v>
      </c>
      <c r="J213">
        <f t="shared" ref="J213:J217" si="28">I213/H213</f>
        <v>9987.9382241479871</v>
      </c>
    </row>
    <row r="214" spans="1:10" x14ac:dyDescent="0.2">
      <c r="A214" t="s">
        <v>86</v>
      </c>
      <c r="B214" t="s">
        <v>3</v>
      </c>
      <c r="C214">
        <v>22511</v>
      </c>
      <c r="D214">
        <f t="shared" si="25"/>
        <v>34685</v>
      </c>
      <c r="E214">
        <v>141</v>
      </c>
      <c r="G214">
        <v>7.0699999999999985E-2</v>
      </c>
      <c r="H214">
        <f t="shared" si="26"/>
        <v>3.5349999999999993E-2</v>
      </c>
      <c r="I214">
        <f t="shared" si="27"/>
        <v>217.25312069654834</v>
      </c>
      <c r="J214">
        <f t="shared" si="28"/>
        <v>6145.7742771300818</v>
      </c>
    </row>
    <row r="215" spans="1:10" x14ac:dyDescent="0.2">
      <c r="A215" t="s">
        <v>87</v>
      </c>
      <c r="B215" t="s">
        <v>4</v>
      </c>
      <c r="C215">
        <v>23032</v>
      </c>
      <c r="D215">
        <f t="shared" si="25"/>
        <v>34685</v>
      </c>
      <c r="E215">
        <v>64</v>
      </c>
      <c r="G215">
        <v>8.3899999999999864E-2</v>
      </c>
      <c r="H215">
        <f t="shared" si="26"/>
        <v>4.1949999999999932E-2</v>
      </c>
      <c r="I215">
        <f t="shared" si="27"/>
        <v>96.380687738798187</v>
      </c>
      <c r="J215">
        <f t="shared" si="28"/>
        <v>2297.5134145124753</v>
      </c>
    </row>
    <row r="216" spans="1:10" x14ac:dyDescent="0.2">
      <c r="A216" t="s">
        <v>88</v>
      </c>
      <c r="B216" t="s">
        <v>4</v>
      </c>
      <c r="C216">
        <v>24449</v>
      </c>
      <c r="D216">
        <f t="shared" si="25"/>
        <v>34685</v>
      </c>
      <c r="E216">
        <v>224</v>
      </c>
      <c r="G216">
        <v>9.9600000000000133E-2</v>
      </c>
      <c r="H216">
        <f t="shared" si="26"/>
        <v>4.9800000000000066E-2</v>
      </c>
      <c r="I216">
        <f t="shared" si="27"/>
        <v>317.78150435600639</v>
      </c>
      <c r="J216">
        <f t="shared" si="28"/>
        <v>6381.1547059438954</v>
      </c>
    </row>
    <row r="217" spans="1:10" x14ac:dyDescent="0.2">
      <c r="A217" t="s">
        <v>89</v>
      </c>
      <c r="B217" t="s">
        <v>4</v>
      </c>
      <c r="C217">
        <v>23042</v>
      </c>
      <c r="D217">
        <f t="shared" si="25"/>
        <v>34685</v>
      </c>
      <c r="E217">
        <v>254</v>
      </c>
      <c r="G217">
        <v>7.0699999999999985E-2</v>
      </c>
      <c r="H217">
        <f t="shared" si="26"/>
        <v>3.5349999999999993E-2</v>
      </c>
      <c r="I217">
        <f t="shared" si="27"/>
        <v>382.34484853745334</v>
      </c>
      <c r="J217">
        <f t="shared" si="28"/>
        <v>10815.978742219333</v>
      </c>
    </row>
    <row r="219" spans="1:10" x14ac:dyDescent="0.2">
      <c r="A219" t="s">
        <v>90</v>
      </c>
    </row>
    <row r="220" spans="1:10" x14ac:dyDescent="0.2">
      <c r="A220" t="s">
        <v>54</v>
      </c>
      <c r="B220" t="s">
        <v>55</v>
      </c>
      <c r="C220" t="s">
        <v>56</v>
      </c>
      <c r="D220" t="s">
        <v>57</v>
      </c>
      <c r="E220" t="s">
        <v>58</v>
      </c>
      <c r="H220" t="s">
        <v>61</v>
      </c>
      <c r="I220" t="s">
        <v>62</v>
      </c>
      <c r="J220" t="s">
        <v>63</v>
      </c>
    </row>
    <row r="221" spans="1:10" x14ac:dyDescent="0.2">
      <c r="A221" s="21" t="s">
        <v>77</v>
      </c>
      <c r="B221" t="s">
        <v>3</v>
      </c>
      <c r="C221" s="21">
        <v>25598</v>
      </c>
      <c r="D221">
        <f>0.05*991000</f>
        <v>49550</v>
      </c>
      <c r="E221" s="21">
        <v>631</v>
      </c>
      <c r="H221" s="21">
        <v>0.2361999999999993</v>
      </c>
      <c r="I221">
        <f>E221/C221*D221</f>
        <v>1221.4255019923432</v>
      </c>
      <c r="J221">
        <f>I221/H221</f>
        <v>5171.1494580539666</v>
      </c>
    </row>
    <row r="222" spans="1:10" x14ac:dyDescent="0.2">
      <c r="A222" s="21" t="s">
        <v>78</v>
      </c>
      <c r="B222" t="s">
        <v>3</v>
      </c>
      <c r="C222" s="21">
        <v>27234</v>
      </c>
      <c r="D222">
        <f t="shared" ref="D222:D226" si="29">0.05*991000</f>
        <v>49550</v>
      </c>
      <c r="E222" s="21">
        <v>948</v>
      </c>
      <c r="H222" s="21">
        <v>0.34670000000000023</v>
      </c>
      <c r="I222">
        <f t="shared" ref="I222:I226" si="30">E222/C222*D222</f>
        <v>1724.8072262612911</v>
      </c>
      <c r="J222">
        <f t="shared" ref="J222:J226" si="31">I222/H222</f>
        <v>4974.9271019939142</v>
      </c>
    </row>
    <row r="223" spans="1:10" x14ac:dyDescent="0.2">
      <c r="A223" s="21" t="s">
        <v>79</v>
      </c>
      <c r="B223" t="s">
        <v>3</v>
      </c>
      <c r="C223" s="21">
        <v>19861</v>
      </c>
      <c r="D223">
        <f t="shared" si="29"/>
        <v>49550</v>
      </c>
      <c r="E223" s="21">
        <v>720</v>
      </c>
      <c r="H223" s="21">
        <v>0.36990000000000034</v>
      </c>
      <c r="I223">
        <f t="shared" si="30"/>
        <v>1796.2841750163636</v>
      </c>
      <c r="J223">
        <f t="shared" si="31"/>
        <v>4856.1345634397458</v>
      </c>
    </row>
    <row r="224" spans="1:10" x14ac:dyDescent="0.2">
      <c r="A224" t="s">
        <v>80</v>
      </c>
      <c r="B224" t="s">
        <v>4</v>
      </c>
      <c r="C224">
        <v>19798</v>
      </c>
      <c r="D224">
        <f t="shared" si="29"/>
        <v>49550</v>
      </c>
      <c r="E224">
        <v>2759</v>
      </c>
      <c r="H224">
        <v>0.26249999999999929</v>
      </c>
      <c r="I224">
        <f t="shared" si="30"/>
        <v>6905.1646630972818</v>
      </c>
      <c r="J224">
        <f t="shared" si="31"/>
        <v>26305.38919275162</v>
      </c>
    </row>
    <row r="225" spans="1:10" x14ac:dyDescent="0.2">
      <c r="A225" t="s">
        <v>81</v>
      </c>
      <c r="B225" t="s">
        <v>4</v>
      </c>
      <c r="C225">
        <v>15232</v>
      </c>
      <c r="D225">
        <f t="shared" si="29"/>
        <v>49550</v>
      </c>
      <c r="E225">
        <v>2029</v>
      </c>
      <c r="H225">
        <v>0.42989999999999995</v>
      </c>
      <c r="I225">
        <f t="shared" si="30"/>
        <v>6600.3774947478987</v>
      </c>
      <c r="J225">
        <f t="shared" si="31"/>
        <v>15353.285635608047</v>
      </c>
    </row>
    <row r="226" spans="1:10" x14ac:dyDescent="0.2">
      <c r="A226" t="s">
        <v>82</v>
      </c>
      <c r="B226" t="s">
        <v>4</v>
      </c>
      <c r="C226">
        <v>25484</v>
      </c>
      <c r="D226">
        <f t="shared" si="29"/>
        <v>49550</v>
      </c>
      <c r="E226">
        <v>1164</v>
      </c>
      <c r="H226">
        <v>0.34109999999999996</v>
      </c>
      <c r="I226">
        <f t="shared" si="30"/>
        <v>2263.2318317375607</v>
      </c>
      <c r="J226">
        <f t="shared" si="31"/>
        <v>6635.0977183745554</v>
      </c>
    </row>
    <row r="228" spans="1:10" x14ac:dyDescent="0.2">
      <c r="A228" t="s">
        <v>91</v>
      </c>
    </row>
    <row r="229" spans="1:10" x14ac:dyDescent="0.2">
      <c r="A229" t="s">
        <v>54</v>
      </c>
      <c r="B229" t="s">
        <v>55</v>
      </c>
      <c r="C229" t="s">
        <v>56</v>
      </c>
      <c r="D229" t="s">
        <v>57</v>
      </c>
      <c r="E229" t="s">
        <v>58</v>
      </c>
      <c r="H229" t="s">
        <v>61</v>
      </c>
      <c r="I229" t="s">
        <v>62</v>
      </c>
      <c r="J229" t="s">
        <v>63</v>
      </c>
    </row>
    <row r="230" spans="1:10" x14ac:dyDescent="0.2">
      <c r="A230" t="s">
        <v>77</v>
      </c>
      <c r="B230" t="s">
        <v>3</v>
      </c>
      <c r="C230">
        <v>36011</v>
      </c>
      <c r="D230">
        <f>974000*0.05</f>
        <v>48700</v>
      </c>
      <c r="E230">
        <v>3300</v>
      </c>
      <c r="H230">
        <v>0.1767000000000003</v>
      </c>
      <c r="I230">
        <f>E230/C230*D230</f>
        <v>4462.8030324067649</v>
      </c>
      <c r="J230">
        <f>I230/H230</f>
        <v>25256.383884588326</v>
      </c>
    </row>
    <row r="231" spans="1:10" x14ac:dyDescent="0.2">
      <c r="A231" t="s">
        <v>78</v>
      </c>
      <c r="B231" t="s">
        <v>3</v>
      </c>
      <c r="C231">
        <v>36703</v>
      </c>
      <c r="D231">
        <f t="shared" ref="D231:D235" si="32">974000*0.05</f>
        <v>48700</v>
      </c>
      <c r="E231">
        <v>4804</v>
      </c>
      <c r="H231">
        <v>0.20140000000000047</v>
      </c>
      <c r="I231">
        <f t="shared" ref="I231:I235" si="33">E231/C231*D231</f>
        <v>6374.2691333133525</v>
      </c>
      <c r="J231">
        <f t="shared" ref="J231:J235" si="34">I231/H231</f>
        <v>31649.797086957984</v>
      </c>
    </row>
    <row r="232" spans="1:10" x14ac:dyDescent="0.2">
      <c r="A232" t="s">
        <v>79</v>
      </c>
      <c r="B232" t="s">
        <v>3</v>
      </c>
      <c r="C232">
        <v>35098</v>
      </c>
      <c r="D232">
        <f t="shared" si="32"/>
        <v>48700</v>
      </c>
      <c r="E232">
        <v>3691</v>
      </c>
      <c r="H232">
        <v>0.15159999999999973</v>
      </c>
      <c r="I232">
        <f t="shared" si="33"/>
        <v>5121.4228730981822</v>
      </c>
      <c r="J232">
        <f t="shared" si="34"/>
        <v>33782.472777692557</v>
      </c>
    </row>
    <row r="233" spans="1:10" x14ac:dyDescent="0.2">
      <c r="A233" t="s">
        <v>80</v>
      </c>
      <c r="B233" t="s">
        <v>4</v>
      </c>
      <c r="C233">
        <v>26158</v>
      </c>
      <c r="D233">
        <f t="shared" si="32"/>
        <v>48700</v>
      </c>
      <c r="E233">
        <v>15745</v>
      </c>
      <c r="H233">
        <v>0.2909000000000006</v>
      </c>
      <c r="I233">
        <f t="shared" si="33"/>
        <v>29313.460509213244</v>
      </c>
      <c r="J233">
        <f t="shared" si="34"/>
        <v>100768.16950571738</v>
      </c>
    </row>
    <row r="234" spans="1:10" x14ac:dyDescent="0.2">
      <c r="A234" t="s">
        <v>81</v>
      </c>
      <c r="B234" t="s">
        <v>4</v>
      </c>
      <c r="C234">
        <v>22233</v>
      </c>
      <c r="D234">
        <f t="shared" si="32"/>
        <v>48700</v>
      </c>
      <c r="E234">
        <v>23752</v>
      </c>
      <c r="H234">
        <v>0.28220000000000045</v>
      </c>
      <c r="I234">
        <f t="shared" si="33"/>
        <v>52027.274771735705</v>
      </c>
      <c r="J234">
        <f t="shared" si="34"/>
        <v>184363.12817765991</v>
      </c>
    </row>
    <row r="235" spans="1:10" x14ac:dyDescent="0.2">
      <c r="A235" t="s">
        <v>82</v>
      </c>
      <c r="B235" t="s">
        <v>4</v>
      </c>
      <c r="C235">
        <v>28954</v>
      </c>
      <c r="D235">
        <f t="shared" si="32"/>
        <v>48700</v>
      </c>
      <c r="E235">
        <v>14132</v>
      </c>
      <c r="H235">
        <v>0.26790000000000003</v>
      </c>
      <c r="I235">
        <f t="shared" si="33"/>
        <v>23769.717482903918</v>
      </c>
      <c r="J235">
        <f t="shared" si="34"/>
        <v>88726.082429652539</v>
      </c>
    </row>
    <row r="238" spans="1:10" x14ac:dyDescent="0.2">
      <c r="A238" s="1" t="s">
        <v>92</v>
      </c>
    </row>
    <row r="240" spans="1:10" x14ac:dyDescent="0.2">
      <c r="A240" t="s">
        <v>53</v>
      </c>
    </row>
    <row r="241" spans="1:3" x14ac:dyDescent="0.2">
      <c r="A241" t="s">
        <v>54</v>
      </c>
      <c r="B241" t="s">
        <v>55</v>
      </c>
      <c r="C241" t="s">
        <v>93</v>
      </c>
    </row>
    <row r="242" spans="1:3" x14ac:dyDescent="0.2">
      <c r="A242" t="s">
        <v>64</v>
      </c>
      <c r="B242" t="s">
        <v>4</v>
      </c>
      <c r="C242" t="s">
        <v>94</v>
      </c>
    </row>
    <row r="243" spans="1:3" x14ac:dyDescent="0.2">
      <c r="A243" t="s">
        <v>65</v>
      </c>
      <c r="B243" t="s">
        <v>4</v>
      </c>
      <c r="C243" t="s">
        <v>95</v>
      </c>
    </row>
    <row r="244" spans="1:3" x14ac:dyDescent="0.2">
      <c r="A244" t="s">
        <v>66</v>
      </c>
      <c r="B244" t="s">
        <v>3</v>
      </c>
      <c r="C244" t="s">
        <v>96</v>
      </c>
    </row>
    <row r="245" spans="1:3" x14ac:dyDescent="0.2">
      <c r="A245" t="s">
        <v>67</v>
      </c>
      <c r="B245" t="s">
        <v>3</v>
      </c>
      <c r="C245" t="s">
        <v>97</v>
      </c>
    </row>
    <row r="247" spans="1:3" x14ac:dyDescent="0.2">
      <c r="A247" t="s">
        <v>68</v>
      </c>
    </row>
    <row r="248" spans="1:3" x14ac:dyDescent="0.2">
      <c r="A248" t="s">
        <v>54</v>
      </c>
      <c r="B248" t="s">
        <v>55</v>
      </c>
      <c r="C248" t="s">
        <v>93</v>
      </c>
    </row>
    <row r="249" spans="1:3" x14ac:dyDescent="0.2">
      <c r="A249" t="s">
        <v>69</v>
      </c>
      <c r="B249" t="s">
        <v>3</v>
      </c>
      <c r="C249">
        <v>5.42</v>
      </c>
    </row>
    <row r="250" spans="1:3" x14ac:dyDescent="0.2">
      <c r="A250" t="s">
        <v>70</v>
      </c>
      <c r="B250" t="s">
        <v>3</v>
      </c>
      <c r="C250">
        <v>5.12</v>
      </c>
    </row>
    <row r="251" spans="1:3" x14ac:dyDescent="0.2">
      <c r="A251" t="s">
        <v>71</v>
      </c>
      <c r="B251" t="s">
        <v>3</v>
      </c>
      <c r="C251">
        <v>4.24</v>
      </c>
    </row>
    <row r="252" spans="1:3" x14ac:dyDescent="0.2">
      <c r="A252" t="s">
        <v>72</v>
      </c>
      <c r="B252" t="s">
        <v>4</v>
      </c>
      <c r="C252">
        <v>21.2</v>
      </c>
    </row>
    <row r="253" spans="1:3" x14ac:dyDescent="0.2">
      <c r="A253" t="s">
        <v>73</v>
      </c>
      <c r="B253" t="s">
        <v>4</v>
      </c>
      <c r="C253">
        <v>14.6</v>
      </c>
    </row>
    <row r="254" spans="1:3" x14ac:dyDescent="0.2">
      <c r="A254" t="s">
        <v>74</v>
      </c>
      <c r="B254" t="s">
        <v>4</v>
      </c>
      <c r="C254">
        <v>15.6</v>
      </c>
    </row>
    <row r="256" spans="1:3" x14ac:dyDescent="0.2">
      <c r="A256" t="s">
        <v>98</v>
      </c>
    </row>
    <row r="257" spans="1:3" x14ac:dyDescent="0.2">
      <c r="A257" t="s">
        <v>54</v>
      </c>
      <c r="B257" t="s">
        <v>55</v>
      </c>
      <c r="C257" t="s">
        <v>93</v>
      </c>
    </row>
    <row r="258" spans="1:3" x14ac:dyDescent="0.2">
      <c r="A258" s="22" t="s">
        <v>99</v>
      </c>
      <c r="B258" t="s">
        <v>3</v>
      </c>
      <c r="C258" s="22">
        <v>11.8</v>
      </c>
    </row>
    <row r="259" spans="1:3" x14ac:dyDescent="0.2">
      <c r="A259" s="22" t="s">
        <v>100</v>
      </c>
      <c r="B259" t="s">
        <v>3</v>
      </c>
      <c r="C259" s="22">
        <v>9.7200000000000006</v>
      </c>
    </row>
    <row r="260" spans="1:3" x14ac:dyDescent="0.2">
      <c r="A260" s="22" t="s">
        <v>101</v>
      </c>
      <c r="B260" t="s">
        <v>3</v>
      </c>
      <c r="C260" s="22">
        <v>11</v>
      </c>
    </row>
    <row r="261" spans="1:3" x14ac:dyDescent="0.2">
      <c r="A261" s="23" t="s">
        <v>102</v>
      </c>
      <c r="B261" t="s">
        <v>4</v>
      </c>
      <c r="C261" s="24">
        <v>34.1</v>
      </c>
    </row>
    <row r="262" spans="1:3" x14ac:dyDescent="0.2">
      <c r="A262" s="23" t="s">
        <v>103</v>
      </c>
      <c r="B262" t="s">
        <v>4</v>
      </c>
      <c r="C262" s="24">
        <v>21.8</v>
      </c>
    </row>
    <row r="263" spans="1:3" x14ac:dyDescent="0.2">
      <c r="A263" s="23" t="s">
        <v>104</v>
      </c>
      <c r="B263" t="s">
        <v>4</v>
      </c>
      <c r="C263" s="24">
        <v>16.600000000000001</v>
      </c>
    </row>
    <row r="265" spans="1:3" x14ac:dyDescent="0.2">
      <c r="A265" t="s">
        <v>105</v>
      </c>
    </row>
    <row r="266" spans="1:3" x14ac:dyDescent="0.2">
      <c r="A266" t="s">
        <v>54</v>
      </c>
      <c r="B266" t="s">
        <v>55</v>
      </c>
      <c r="C266" t="s">
        <v>93</v>
      </c>
    </row>
    <row r="267" spans="1:3" x14ac:dyDescent="0.2">
      <c r="A267" t="s">
        <v>77</v>
      </c>
      <c r="B267" t="s">
        <v>3</v>
      </c>
      <c r="C267">
        <v>2.61</v>
      </c>
    </row>
    <row r="268" spans="1:3" x14ac:dyDescent="0.2">
      <c r="A268" t="s">
        <v>78</v>
      </c>
      <c r="B268" t="s">
        <v>3</v>
      </c>
      <c r="C268">
        <v>8.07</v>
      </c>
    </row>
    <row r="269" spans="1:3" x14ac:dyDescent="0.2">
      <c r="A269" t="s">
        <v>79</v>
      </c>
      <c r="B269" t="s">
        <v>3</v>
      </c>
      <c r="C269">
        <v>2.64</v>
      </c>
    </row>
    <row r="270" spans="1:3" x14ac:dyDescent="0.2">
      <c r="A270" t="s">
        <v>80</v>
      </c>
      <c r="B270" t="s">
        <v>4</v>
      </c>
      <c r="C270">
        <v>7.99</v>
      </c>
    </row>
    <row r="271" spans="1:3" x14ac:dyDescent="0.2">
      <c r="A271" t="s">
        <v>81</v>
      </c>
      <c r="B271" t="s">
        <v>4</v>
      </c>
      <c r="C271">
        <v>6.68</v>
      </c>
    </row>
    <row r="272" spans="1:3" x14ac:dyDescent="0.2">
      <c r="A272" t="s">
        <v>82</v>
      </c>
      <c r="B272" t="s">
        <v>4</v>
      </c>
      <c r="C272">
        <v>8.3800000000000008</v>
      </c>
    </row>
    <row r="274" spans="1:3" x14ac:dyDescent="0.2">
      <c r="A274" t="s">
        <v>106</v>
      </c>
    </row>
    <row r="275" spans="1:3" x14ac:dyDescent="0.2">
      <c r="A275" t="s">
        <v>54</v>
      </c>
      <c r="B275" t="s">
        <v>55</v>
      </c>
      <c r="C275" t="s">
        <v>93</v>
      </c>
    </row>
    <row r="276" spans="1:3" x14ac:dyDescent="0.2">
      <c r="A276" t="s">
        <v>84</v>
      </c>
      <c r="B276" t="s">
        <v>3</v>
      </c>
      <c r="C276">
        <v>8.59</v>
      </c>
    </row>
    <row r="277" spans="1:3" x14ac:dyDescent="0.2">
      <c r="A277" t="s">
        <v>85</v>
      </c>
      <c r="B277" t="s">
        <v>3</v>
      </c>
      <c r="C277">
        <v>6.8</v>
      </c>
    </row>
    <row r="278" spans="1:3" x14ac:dyDescent="0.2">
      <c r="A278" t="s">
        <v>86</v>
      </c>
      <c r="B278" t="s">
        <v>3</v>
      </c>
      <c r="C278">
        <v>6.8</v>
      </c>
    </row>
    <row r="279" spans="1:3" x14ac:dyDescent="0.2">
      <c r="A279" t="s">
        <v>87</v>
      </c>
      <c r="B279" t="s">
        <v>4</v>
      </c>
      <c r="C279">
        <v>7.21</v>
      </c>
    </row>
    <row r="280" spans="1:3" x14ac:dyDescent="0.2">
      <c r="A280" t="s">
        <v>88</v>
      </c>
      <c r="B280" t="s">
        <v>4</v>
      </c>
      <c r="C280">
        <v>10.6</v>
      </c>
    </row>
    <row r="281" spans="1:3" x14ac:dyDescent="0.2">
      <c r="A281" t="s">
        <v>89</v>
      </c>
      <c r="B281" t="s">
        <v>4</v>
      </c>
      <c r="C281">
        <v>11.4</v>
      </c>
    </row>
    <row r="283" spans="1:3" x14ac:dyDescent="0.2">
      <c r="A283" t="s">
        <v>107</v>
      </c>
    </row>
    <row r="284" spans="1:3" x14ac:dyDescent="0.2">
      <c r="A284" t="s">
        <v>54</v>
      </c>
      <c r="B284" t="s">
        <v>55</v>
      </c>
      <c r="C284" t="s">
        <v>93</v>
      </c>
    </row>
    <row r="285" spans="1:3" x14ac:dyDescent="0.2">
      <c r="A285" s="21" t="s">
        <v>77</v>
      </c>
      <c r="B285" t="s">
        <v>3</v>
      </c>
      <c r="C285" s="21">
        <v>6.93</v>
      </c>
    </row>
    <row r="286" spans="1:3" x14ac:dyDescent="0.2">
      <c r="A286" s="21" t="s">
        <v>78</v>
      </c>
      <c r="B286" t="s">
        <v>3</v>
      </c>
      <c r="C286" s="21">
        <v>9.17</v>
      </c>
    </row>
    <row r="287" spans="1:3" x14ac:dyDescent="0.2">
      <c r="A287" s="21" t="s">
        <v>79</v>
      </c>
      <c r="B287" t="s">
        <v>3</v>
      </c>
      <c r="C287" s="21">
        <v>6.44</v>
      </c>
    </row>
    <row r="288" spans="1:3" x14ac:dyDescent="0.2">
      <c r="A288" t="s">
        <v>80</v>
      </c>
      <c r="B288" t="s">
        <v>4</v>
      </c>
      <c r="C288">
        <v>13.7</v>
      </c>
    </row>
    <row r="289" spans="1:3" x14ac:dyDescent="0.2">
      <c r="A289" t="s">
        <v>81</v>
      </c>
      <c r="B289" t="s">
        <v>4</v>
      </c>
      <c r="C289">
        <v>14.9</v>
      </c>
    </row>
    <row r="290" spans="1:3" x14ac:dyDescent="0.2">
      <c r="A290" t="s">
        <v>82</v>
      </c>
      <c r="B290" t="s">
        <v>4</v>
      </c>
      <c r="C290">
        <v>11.6</v>
      </c>
    </row>
    <row r="292" spans="1:3" x14ac:dyDescent="0.2">
      <c r="A292" t="s">
        <v>108</v>
      </c>
    </row>
    <row r="293" spans="1:3" x14ac:dyDescent="0.2">
      <c r="A293" t="s">
        <v>54</v>
      </c>
      <c r="B293" t="s">
        <v>55</v>
      </c>
      <c r="C293" t="s">
        <v>93</v>
      </c>
    </row>
    <row r="294" spans="1:3" x14ac:dyDescent="0.2">
      <c r="A294" t="s">
        <v>77</v>
      </c>
      <c r="B294" t="s">
        <v>3</v>
      </c>
      <c r="C294">
        <v>15.3</v>
      </c>
    </row>
    <row r="295" spans="1:3" x14ac:dyDescent="0.2">
      <c r="A295" t="s">
        <v>78</v>
      </c>
      <c r="B295" t="s">
        <v>3</v>
      </c>
      <c r="C295">
        <v>17.3</v>
      </c>
    </row>
    <row r="296" spans="1:3" x14ac:dyDescent="0.2">
      <c r="A296" t="s">
        <v>79</v>
      </c>
      <c r="B296" t="s">
        <v>3</v>
      </c>
      <c r="C296">
        <v>21.6</v>
      </c>
    </row>
    <row r="297" spans="1:3" x14ac:dyDescent="0.2">
      <c r="A297" t="s">
        <v>80</v>
      </c>
      <c r="B297" t="s">
        <v>4</v>
      </c>
      <c r="C297">
        <v>27.2</v>
      </c>
    </row>
    <row r="298" spans="1:3" x14ac:dyDescent="0.2">
      <c r="A298" t="s">
        <v>81</v>
      </c>
      <c r="B298" t="s">
        <v>4</v>
      </c>
      <c r="C298">
        <v>28.1</v>
      </c>
    </row>
    <row r="299" spans="1:3" x14ac:dyDescent="0.2">
      <c r="A299" t="s">
        <v>82</v>
      </c>
      <c r="B299" t="s">
        <v>4</v>
      </c>
      <c r="C299">
        <v>30.7</v>
      </c>
    </row>
    <row r="301" spans="1:3" x14ac:dyDescent="0.2">
      <c r="A301" t="s">
        <v>109</v>
      </c>
    </row>
    <row r="302" spans="1:3" x14ac:dyDescent="0.2">
      <c r="A302" t="s">
        <v>54</v>
      </c>
      <c r="B302" t="s">
        <v>55</v>
      </c>
      <c r="C302" t="s">
        <v>93</v>
      </c>
    </row>
    <row r="303" spans="1:3" x14ac:dyDescent="0.2">
      <c r="A303" t="s">
        <v>77</v>
      </c>
      <c r="B303" t="s">
        <v>3</v>
      </c>
      <c r="C303">
        <v>17.5</v>
      </c>
    </row>
    <row r="304" spans="1:3" x14ac:dyDescent="0.2">
      <c r="A304" t="s">
        <v>78</v>
      </c>
      <c r="B304" t="s">
        <v>3</v>
      </c>
      <c r="C304">
        <v>5.05</v>
      </c>
    </row>
    <row r="305" spans="1:3" x14ac:dyDescent="0.2">
      <c r="A305" t="s">
        <v>79</v>
      </c>
      <c r="B305" t="s">
        <v>3</v>
      </c>
      <c r="C305">
        <v>9.24</v>
      </c>
    </row>
    <row r="306" spans="1:3" x14ac:dyDescent="0.2">
      <c r="A306" t="s">
        <v>80</v>
      </c>
      <c r="B306" t="s">
        <v>4</v>
      </c>
      <c r="C306">
        <v>17.3</v>
      </c>
    </row>
    <row r="307" spans="1:3" x14ac:dyDescent="0.2">
      <c r="A307" t="s">
        <v>81</v>
      </c>
      <c r="B307" t="s">
        <v>4</v>
      </c>
      <c r="C307">
        <v>6.05</v>
      </c>
    </row>
    <row r="308" spans="1:3" x14ac:dyDescent="0.2">
      <c r="A308" t="s">
        <v>82</v>
      </c>
      <c r="B308" t="s">
        <v>4</v>
      </c>
      <c r="C308">
        <v>14.9</v>
      </c>
    </row>
    <row r="311" spans="1:3" x14ac:dyDescent="0.2">
      <c r="A311" s="1" t="s">
        <v>110</v>
      </c>
    </row>
    <row r="313" spans="1:3" x14ac:dyDescent="0.2">
      <c r="A313" t="s">
        <v>53</v>
      </c>
    </row>
    <row r="314" spans="1:3" x14ac:dyDescent="0.2">
      <c r="A314" t="s">
        <v>54</v>
      </c>
      <c r="B314" t="s">
        <v>55</v>
      </c>
      <c r="C314" t="s">
        <v>111</v>
      </c>
    </row>
    <row r="315" spans="1:3" x14ac:dyDescent="0.2">
      <c r="A315" t="s">
        <v>64</v>
      </c>
      <c r="B315" t="s">
        <v>4</v>
      </c>
      <c r="C315" t="s">
        <v>112</v>
      </c>
    </row>
    <row r="316" spans="1:3" x14ac:dyDescent="0.2">
      <c r="A316" t="s">
        <v>65</v>
      </c>
      <c r="B316" t="s">
        <v>4</v>
      </c>
      <c r="C316" t="s">
        <v>113</v>
      </c>
    </row>
    <row r="317" spans="1:3" x14ac:dyDescent="0.2">
      <c r="A317" t="s">
        <v>66</v>
      </c>
      <c r="B317" t="s">
        <v>3</v>
      </c>
      <c r="C317" t="s">
        <v>114</v>
      </c>
    </row>
    <row r="318" spans="1:3" x14ac:dyDescent="0.2">
      <c r="A318" t="s">
        <v>67</v>
      </c>
      <c r="B318" t="s">
        <v>3</v>
      </c>
      <c r="C318" t="s">
        <v>115</v>
      </c>
    </row>
    <row r="320" spans="1:3" x14ac:dyDescent="0.2">
      <c r="A320" t="s">
        <v>68</v>
      </c>
    </row>
    <row r="321" spans="1:3" x14ac:dyDescent="0.2">
      <c r="A321" t="s">
        <v>54</v>
      </c>
      <c r="B321" t="s">
        <v>55</v>
      </c>
      <c r="C321" t="s">
        <v>111</v>
      </c>
    </row>
    <row r="322" spans="1:3" x14ac:dyDescent="0.2">
      <c r="A322" t="s">
        <v>69</v>
      </c>
      <c r="B322" t="s">
        <v>3</v>
      </c>
      <c r="C322">
        <v>56</v>
      </c>
    </row>
    <row r="323" spans="1:3" x14ac:dyDescent="0.2">
      <c r="A323" t="s">
        <v>70</v>
      </c>
      <c r="B323" t="s">
        <v>3</v>
      </c>
      <c r="C323">
        <v>66.7</v>
      </c>
    </row>
    <row r="324" spans="1:3" x14ac:dyDescent="0.2">
      <c r="A324" t="s">
        <v>71</v>
      </c>
      <c r="B324" t="s">
        <v>3</v>
      </c>
      <c r="C324">
        <v>62</v>
      </c>
    </row>
    <row r="325" spans="1:3" x14ac:dyDescent="0.2">
      <c r="A325" t="s">
        <v>72</v>
      </c>
      <c r="B325" t="s">
        <v>4</v>
      </c>
      <c r="C325">
        <v>88.6</v>
      </c>
    </row>
    <row r="326" spans="1:3" x14ac:dyDescent="0.2">
      <c r="A326" t="s">
        <v>73</v>
      </c>
      <c r="B326" t="s">
        <v>4</v>
      </c>
      <c r="C326">
        <v>78.7</v>
      </c>
    </row>
    <row r="327" spans="1:3" x14ac:dyDescent="0.2">
      <c r="A327" t="s">
        <v>74</v>
      </c>
      <c r="B327" t="s">
        <v>4</v>
      </c>
      <c r="C327">
        <v>87</v>
      </c>
    </row>
    <row r="329" spans="1:3" x14ac:dyDescent="0.2">
      <c r="A329" t="s">
        <v>98</v>
      </c>
    </row>
    <row r="330" spans="1:3" x14ac:dyDescent="0.2">
      <c r="A330" t="s">
        <v>54</v>
      </c>
      <c r="B330" t="s">
        <v>55</v>
      </c>
      <c r="C330" t="s">
        <v>111</v>
      </c>
    </row>
    <row r="331" spans="1:3" x14ac:dyDescent="0.2">
      <c r="A331" s="22" t="s">
        <v>99</v>
      </c>
      <c r="B331" t="s">
        <v>3</v>
      </c>
      <c r="C331" s="22">
        <v>23</v>
      </c>
    </row>
    <row r="332" spans="1:3" x14ac:dyDescent="0.2">
      <c r="A332" s="22" t="s">
        <v>100</v>
      </c>
      <c r="B332" t="s">
        <v>3</v>
      </c>
      <c r="C332" s="22">
        <v>37.299999999999997</v>
      </c>
    </row>
    <row r="333" spans="1:3" x14ac:dyDescent="0.2">
      <c r="A333" s="22" t="s">
        <v>101</v>
      </c>
      <c r="B333" t="s">
        <v>3</v>
      </c>
      <c r="C333" s="22">
        <v>56.4</v>
      </c>
    </row>
    <row r="334" spans="1:3" x14ac:dyDescent="0.2">
      <c r="A334" s="23" t="s">
        <v>102</v>
      </c>
      <c r="B334" t="s">
        <v>4</v>
      </c>
      <c r="C334" s="23">
        <v>81.099999999999994</v>
      </c>
    </row>
    <row r="335" spans="1:3" x14ac:dyDescent="0.2">
      <c r="A335" s="23" t="s">
        <v>103</v>
      </c>
      <c r="B335" t="s">
        <v>4</v>
      </c>
      <c r="C335" s="23">
        <v>80.3</v>
      </c>
    </row>
    <row r="336" spans="1:3" x14ac:dyDescent="0.2">
      <c r="A336" s="23" t="s">
        <v>104</v>
      </c>
      <c r="B336" t="s">
        <v>4</v>
      </c>
      <c r="C336" s="23">
        <v>75.3</v>
      </c>
    </row>
    <row r="338" spans="1:3" x14ac:dyDescent="0.2">
      <c r="A338" t="s">
        <v>105</v>
      </c>
    </row>
    <row r="339" spans="1:3" x14ac:dyDescent="0.2">
      <c r="A339" t="s">
        <v>54</v>
      </c>
      <c r="B339" t="s">
        <v>55</v>
      </c>
      <c r="C339" t="s">
        <v>111</v>
      </c>
    </row>
    <row r="340" spans="1:3" x14ac:dyDescent="0.2">
      <c r="A340" t="s">
        <v>77</v>
      </c>
      <c r="B340" t="s">
        <v>3</v>
      </c>
      <c r="C340">
        <v>68.8</v>
      </c>
    </row>
    <row r="341" spans="1:3" x14ac:dyDescent="0.2">
      <c r="A341" t="s">
        <v>78</v>
      </c>
      <c r="B341" t="s">
        <v>3</v>
      </c>
      <c r="C341">
        <v>90.1</v>
      </c>
    </row>
    <row r="342" spans="1:3" x14ac:dyDescent="0.2">
      <c r="A342" t="s">
        <v>79</v>
      </c>
      <c r="B342" t="s">
        <v>3</v>
      </c>
      <c r="C342">
        <v>79.599999999999994</v>
      </c>
    </row>
    <row r="343" spans="1:3" x14ac:dyDescent="0.2">
      <c r="A343" t="s">
        <v>80</v>
      </c>
      <c r="B343" t="s">
        <v>4</v>
      </c>
      <c r="C343">
        <v>88.7</v>
      </c>
    </row>
    <row r="344" spans="1:3" x14ac:dyDescent="0.2">
      <c r="A344" t="s">
        <v>81</v>
      </c>
      <c r="B344" t="s">
        <v>4</v>
      </c>
      <c r="C344">
        <v>79.900000000000006</v>
      </c>
    </row>
    <row r="345" spans="1:3" x14ac:dyDescent="0.2">
      <c r="A345" t="s">
        <v>82</v>
      </c>
      <c r="B345" t="s">
        <v>4</v>
      </c>
      <c r="C345">
        <v>82.1</v>
      </c>
    </row>
    <row r="347" spans="1:3" x14ac:dyDescent="0.2">
      <c r="A347" t="s">
        <v>106</v>
      </c>
    </row>
    <row r="348" spans="1:3" x14ac:dyDescent="0.2">
      <c r="A348" t="s">
        <v>54</v>
      </c>
      <c r="B348" t="s">
        <v>55</v>
      </c>
      <c r="C348" t="s">
        <v>111</v>
      </c>
    </row>
    <row r="349" spans="1:3" x14ac:dyDescent="0.2">
      <c r="A349" t="s">
        <v>84</v>
      </c>
      <c r="B349" t="s">
        <v>3</v>
      </c>
      <c r="C349">
        <v>74.7</v>
      </c>
    </row>
    <row r="350" spans="1:3" x14ac:dyDescent="0.2">
      <c r="A350" t="s">
        <v>85</v>
      </c>
      <c r="B350" t="s">
        <v>3</v>
      </c>
      <c r="C350">
        <v>65.400000000000006</v>
      </c>
    </row>
    <row r="351" spans="1:3" x14ac:dyDescent="0.2">
      <c r="A351" t="s">
        <v>86</v>
      </c>
      <c r="B351" t="s">
        <v>3</v>
      </c>
      <c r="C351">
        <v>66</v>
      </c>
    </row>
    <row r="352" spans="1:3" x14ac:dyDescent="0.2">
      <c r="A352" t="s">
        <v>87</v>
      </c>
      <c r="B352" t="s">
        <v>4</v>
      </c>
      <c r="C352">
        <v>71.900000000000006</v>
      </c>
    </row>
    <row r="353" spans="1:3" x14ac:dyDescent="0.2">
      <c r="A353" t="s">
        <v>88</v>
      </c>
      <c r="B353" t="s">
        <v>4</v>
      </c>
      <c r="C353">
        <v>60.3</v>
      </c>
    </row>
    <row r="354" spans="1:3" x14ac:dyDescent="0.2">
      <c r="A354" t="s">
        <v>89</v>
      </c>
      <c r="B354" t="s">
        <v>4</v>
      </c>
      <c r="C354">
        <v>78</v>
      </c>
    </row>
    <row r="356" spans="1:3" x14ac:dyDescent="0.2">
      <c r="A356" t="s">
        <v>107</v>
      </c>
    </row>
    <row r="357" spans="1:3" x14ac:dyDescent="0.2">
      <c r="A357" t="s">
        <v>54</v>
      </c>
      <c r="B357" t="s">
        <v>55</v>
      </c>
      <c r="C357" t="s">
        <v>111</v>
      </c>
    </row>
    <row r="358" spans="1:3" x14ac:dyDescent="0.2">
      <c r="A358" s="21" t="s">
        <v>77</v>
      </c>
      <c r="B358" t="s">
        <v>3</v>
      </c>
      <c r="C358" s="21">
        <v>25.5</v>
      </c>
    </row>
    <row r="359" spans="1:3" x14ac:dyDescent="0.2">
      <c r="A359" s="21" t="s">
        <v>78</v>
      </c>
      <c r="B359" t="s">
        <v>3</v>
      </c>
      <c r="C359" s="21">
        <v>6.01</v>
      </c>
    </row>
    <row r="360" spans="1:3" x14ac:dyDescent="0.2">
      <c r="A360" s="21" t="s">
        <v>79</v>
      </c>
      <c r="B360" t="s">
        <v>3</v>
      </c>
      <c r="C360" s="21">
        <v>26.5</v>
      </c>
    </row>
    <row r="361" spans="1:3" x14ac:dyDescent="0.2">
      <c r="A361" t="s">
        <v>80</v>
      </c>
      <c r="B361" t="s">
        <v>4</v>
      </c>
      <c r="C361">
        <v>24.5</v>
      </c>
    </row>
    <row r="362" spans="1:3" x14ac:dyDescent="0.2">
      <c r="A362" t="s">
        <v>81</v>
      </c>
      <c r="B362" t="s">
        <v>4</v>
      </c>
      <c r="C362">
        <v>42.7</v>
      </c>
    </row>
    <row r="363" spans="1:3" x14ac:dyDescent="0.2">
      <c r="A363" t="s">
        <v>82</v>
      </c>
      <c r="B363" t="s">
        <v>4</v>
      </c>
      <c r="C363">
        <v>34.700000000000003</v>
      </c>
    </row>
    <row r="365" spans="1:3" x14ac:dyDescent="0.2">
      <c r="A365" t="s">
        <v>108</v>
      </c>
    </row>
    <row r="366" spans="1:3" x14ac:dyDescent="0.2">
      <c r="A366" t="s">
        <v>54</v>
      </c>
      <c r="B366" t="s">
        <v>55</v>
      </c>
      <c r="C366" t="s">
        <v>111</v>
      </c>
    </row>
    <row r="367" spans="1:3" x14ac:dyDescent="0.2">
      <c r="A367" t="s">
        <v>77</v>
      </c>
      <c r="B367" t="s">
        <v>3</v>
      </c>
      <c r="C367">
        <v>76.900000000000006</v>
      </c>
    </row>
    <row r="368" spans="1:3" x14ac:dyDescent="0.2">
      <c r="A368" t="s">
        <v>78</v>
      </c>
      <c r="B368" t="s">
        <v>3</v>
      </c>
      <c r="C368">
        <v>73.099999999999994</v>
      </c>
    </row>
    <row r="369" spans="1:3" x14ac:dyDescent="0.2">
      <c r="A369" t="s">
        <v>79</v>
      </c>
      <c r="B369" t="s">
        <v>3</v>
      </c>
      <c r="C369">
        <v>80.099999999999994</v>
      </c>
    </row>
    <row r="370" spans="1:3" x14ac:dyDescent="0.2">
      <c r="A370" t="s">
        <v>80</v>
      </c>
      <c r="B370" t="s">
        <v>4</v>
      </c>
      <c r="C370">
        <v>74.900000000000006</v>
      </c>
    </row>
    <row r="371" spans="1:3" x14ac:dyDescent="0.2">
      <c r="A371" t="s">
        <v>81</v>
      </c>
      <c r="B371" t="s">
        <v>4</v>
      </c>
      <c r="C371">
        <v>75.099999999999994</v>
      </c>
    </row>
    <row r="372" spans="1:3" x14ac:dyDescent="0.2">
      <c r="A372" t="s">
        <v>82</v>
      </c>
      <c r="B372" t="s">
        <v>4</v>
      </c>
      <c r="C372">
        <v>79.2</v>
      </c>
    </row>
    <row r="374" spans="1:3" x14ac:dyDescent="0.2">
      <c r="A374" t="s">
        <v>109</v>
      </c>
    </row>
    <row r="375" spans="1:3" x14ac:dyDescent="0.2">
      <c r="A375" t="s">
        <v>54</v>
      </c>
      <c r="B375" t="s">
        <v>55</v>
      </c>
      <c r="C375" t="s">
        <v>111</v>
      </c>
    </row>
    <row r="376" spans="1:3" x14ac:dyDescent="0.2">
      <c r="A376" t="s">
        <v>77</v>
      </c>
      <c r="B376" t="s">
        <v>3</v>
      </c>
      <c r="C376">
        <v>50.1</v>
      </c>
    </row>
    <row r="377" spans="1:3" x14ac:dyDescent="0.2">
      <c r="A377" t="s">
        <v>78</v>
      </c>
      <c r="B377" t="s">
        <v>3</v>
      </c>
      <c r="C377">
        <v>60.9</v>
      </c>
    </row>
    <row r="378" spans="1:3" x14ac:dyDescent="0.2">
      <c r="A378" t="s">
        <v>79</v>
      </c>
      <c r="B378" t="s">
        <v>3</v>
      </c>
      <c r="C378">
        <v>61.2</v>
      </c>
    </row>
    <row r="379" spans="1:3" x14ac:dyDescent="0.2">
      <c r="A379" t="s">
        <v>80</v>
      </c>
      <c r="B379" t="s">
        <v>4</v>
      </c>
      <c r="C379">
        <v>58</v>
      </c>
    </row>
    <row r="380" spans="1:3" x14ac:dyDescent="0.2">
      <c r="A380" t="s">
        <v>81</v>
      </c>
      <c r="B380" t="s">
        <v>4</v>
      </c>
      <c r="C380">
        <v>70.7</v>
      </c>
    </row>
    <row r="381" spans="1:3" x14ac:dyDescent="0.2">
      <c r="A381" t="s">
        <v>82</v>
      </c>
      <c r="B381" t="s">
        <v>4</v>
      </c>
      <c r="C381">
        <v>67</v>
      </c>
    </row>
    <row r="384" spans="1:3" x14ac:dyDescent="0.2">
      <c r="A384" s="1" t="s">
        <v>116</v>
      </c>
    </row>
    <row r="386" spans="1:12" x14ac:dyDescent="0.2">
      <c r="A386" s="1" t="s">
        <v>117</v>
      </c>
    </row>
    <row r="388" spans="1:12" x14ac:dyDescent="0.2">
      <c r="B388" s="25" t="s">
        <v>3</v>
      </c>
      <c r="C388" s="25"/>
      <c r="D388" s="26"/>
      <c r="E388" s="25" t="s">
        <v>4</v>
      </c>
      <c r="F388" s="25"/>
      <c r="G388" s="26"/>
      <c r="H388" s="25" t="s">
        <v>5</v>
      </c>
      <c r="I388" s="25"/>
      <c r="J388" s="26"/>
      <c r="K388" s="26"/>
      <c r="L388" s="26"/>
    </row>
    <row r="389" spans="1:12" ht="34" x14ac:dyDescent="0.2">
      <c r="A389" s="27" t="s">
        <v>118</v>
      </c>
      <c r="B389">
        <v>6</v>
      </c>
      <c r="C389">
        <v>21</v>
      </c>
      <c r="E389">
        <v>4</v>
      </c>
      <c r="F389">
        <v>21</v>
      </c>
      <c r="H389">
        <v>6</v>
      </c>
      <c r="I389">
        <v>0</v>
      </c>
    </row>
    <row r="390" spans="1:12" ht="34" x14ac:dyDescent="0.2">
      <c r="A390" s="27" t="s">
        <v>119</v>
      </c>
      <c r="B390">
        <v>6</v>
      </c>
      <c r="C390">
        <v>16</v>
      </c>
      <c r="E390">
        <v>2</v>
      </c>
      <c r="F390">
        <v>35</v>
      </c>
      <c r="H390">
        <v>0</v>
      </c>
      <c r="I390">
        <v>6</v>
      </c>
    </row>
    <row r="391" spans="1:12" ht="34" x14ac:dyDescent="0.2">
      <c r="A391" s="27" t="s">
        <v>120</v>
      </c>
      <c r="B391">
        <f>AVERAGE(B389:B390)</f>
        <v>6</v>
      </c>
      <c r="C391">
        <f t="shared" ref="C391" si="35">AVERAGE(C389:C390)</f>
        <v>18.5</v>
      </c>
      <c r="E391">
        <f t="shared" ref="E391:F391" si="36">AVERAGE(E389:E390)</f>
        <v>3</v>
      </c>
      <c r="F391">
        <f t="shared" si="36"/>
        <v>28</v>
      </c>
      <c r="H391">
        <f t="shared" ref="H391:I391" si="37">AVERAGE(H389:H390)</f>
        <v>3</v>
      </c>
      <c r="I391">
        <f t="shared" si="37"/>
        <v>3</v>
      </c>
    </row>
    <row r="392" spans="1:12" ht="17" x14ac:dyDescent="0.2">
      <c r="A392" s="27" t="s">
        <v>121</v>
      </c>
      <c r="B392">
        <v>38</v>
      </c>
      <c r="C392">
        <v>26</v>
      </c>
      <c r="E392">
        <v>580</v>
      </c>
      <c r="F392">
        <v>181</v>
      </c>
      <c r="H392">
        <v>4</v>
      </c>
      <c r="I392">
        <v>44</v>
      </c>
    </row>
    <row r="393" spans="1:12" x14ac:dyDescent="0.2">
      <c r="A393" s="27"/>
    </row>
    <row r="394" spans="1:12" ht="34" x14ac:dyDescent="0.2">
      <c r="A394" s="27" t="s">
        <v>122</v>
      </c>
      <c r="B394">
        <f>AVERAGE(B392:B393)</f>
        <v>38</v>
      </c>
      <c r="C394">
        <f>AVERAGE(C392:C393)</f>
        <v>26</v>
      </c>
      <c r="E394">
        <f>AVERAGE(E392:E393)</f>
        <v>580</v>
      </c>
      <c r="F394">
        <f>AVERAGE(F392:F393)</f>
        <v>181</v>
      </c>
      <c r="H394">
        <f>AVERAGE(H392:H393)</f>
        <v>4</v>
      </c>
      <c r="I394">
        <f>AVERAGE(I392:I393)</f>
        <v>44</v>
      </c>
    </row>
    <row r="395" spans="1:12" ht="51" x14ac:dyDescent="0.2">
      <c r="A395" s="27" t="s">
        <v>123</v>
      </c>
      <c r="B395">
        <f>B394-B391</f>
        <v>32</v>
      </c>
      <c r="C395">
        <f>C394-C391</f>
        <v>7.5</v>
      </c>
      <c r="E395">
        <f>E394-E391</f>
        <v>577</v>
      </c>
      <c r="F395">
        <f>F394-F391</f>
        <v>153</v>
      </c>
      <c r="H395">
        <f>H394-H391</f>
        <v>1</v>
      </c>
      <c r="I395">
        <f>I394-I391</f>
        <v>41</v>
      </c>
      <c r="J395" t="s">
        <v>124</v>
      </c>
    </row>
    <row r="398" spans="1:12" x14ac:dyDescent="0.2">
      <c r="A398" s="1" t="s">
        <v>125</v>
      </c>
    </row>
    <row r="400" spans="1:12" x14ac:dyDescent="0.2">
      <c r="B400" s="25" t="s">
        <v>3</v>
      </c>
      <c r="C400" s="25"/>
      <c r="D400" s="25"/>
      <c r="F400" s="25" t="s">
        <v>4</v>
      </c>
      <c r="G400" s="25"/>
      <c r="H400" s="25"/>
      <c r="J400" s="25" t="s">
        <v>5</v>
      </c>
      <c r="K400" s="25"/>
      <c r="L400" s="25"/>
    </row>
    <row r="401" spans="1:13" ht="34" x14ac:dyDescent="0.2">
      <c r="A401" s="27" t="s">
        <v>118</v>
      </c>
      <c r="B401">
        <v>8</v>
      </c>
      <c r="C401">
        <v>33</v>
      </c>
      <c r="D401">
        <v>32</v>
      </c>
      <c r="F401">
        <v>8</v>
      </c>
      <c r="G401">
        <v>6</v>
      </c>
      <c r="H401">
        <v>226</v>
      </c>
      <c r="J401">
        <v>12</v>
      </c>
      <c r="K401">
        <v>11</v>
      </c>
      <c r="L401">
        <v>42</v>
      </c>
    </row>
    <row r="402" spans="1:13" ht="34" x14ac:dyDescent="0.2">
      <c r="A402" s="27" t="s">
        <v>119</v>
      </c>
      <c r="B402">
        <v>7</v>
      </c>
      <c r="C402">
        <v>24</v>
      </c>
      <c r="D402">
        <v>11</v>
      </c>
      <c r="F402">
        <v>8</v>
      </c>
      <c r="G402">
        <v>7</v>
      </c>
      <c r="H402">
        <v>140</v>
      </c>
      <c r="J402">
        <v>12</v>
      </c>
      <c r="K402">
        <v>7</v>
      </c>
      <c r="L402">
        <v>9</v>
      </c>
    </row>
    <row r="403" spans="1:13" ht="34" x14ac:dyDescent="0.2">
      <c r="A403" s="27" t="s">
        <v>120</v>
      </c>
      <c r="B403">
        <f>AVERAGE(B401:B402)</f>
        <v>7.5</v>
      </c>
      <c r="C403">
        <f t="shared" ref="C403:D403" si="38">AVERAGE(C401:C402)</f>
        <v>28.5</v>
      </c>
      <c r="D403">
        <f t="shared" si="38"/>
        <v>21.5</v>
      </c>
      <c r="F403">
        <f t="shared" ref="F403:H403" si="39">AVERAGE(F401:F402)</f>
        <v>8</v>
      </c>
      <c r="G403">
        <f t="shared" si="39"/>
        <v>6.5</v>
      </c>
      <c r="H403">
        <f t="shared" si="39"/>
        <v>183</v>
      </c>
      <c r="J403">
        <f t="shared" ref="J403:L403" si="40">AVERAGE(J401:J402)</f>
        <v>12</v>
      </c>
      <c r="K403">
        <f t="shared" si="40"/>
        <v>9</v>
      </c>
      <c r="L403">
        <f t="shared" si="40"/>
        <v>25.5</v>
      </c>
    </row>
    <row r="404" spans="1:13" ht="34" x14ac:dyDescent="0.2">
      <c r="A404" s="27" t="s">
        <v>10</v>
      </c>
      <c r="B404">
        <v>5</v>
      </c>
      <c r="C404">
        <v>18</v>
      </c>
      <c r="D404">
        <v>12</v>
      </c>
      <c r="F404">
        <v>189</v>
      </c>
      <c r="G404">
        <v>71</v>
      </c>
      <c r="H404">
        <v>624</v>
      </c>
      <c r="J404">
        <v>29</v>
      </c>
      <c r="K404">
        <v>26</v>
      </c>
      <c r="L404">
        <v>73</v>
      </c>
    </row>
    <row r="405" spans="1:13" ht="34" x14ac:dyDescent="0.2">
      <c r="A405" s="27" t="s">
        <v>11</v>
      </c>
      <c r="B405">
        <v>4</v>
      </c>
      <c r="C405">
        <v>19</v>
      </c>
      <c r="D405">
        <v>14</v>
      </c>
      <c r="F405">
        <v>204</v>
      </c>
      <c r="G405">
        <v>58</v>
      </c>
      <c r="H405">
        <v>614</v>
      </c>
      <c r="J405">
        <v>28</v>
      </c>
      <c r="K405">
        <v>33</v>
      </c>
      <c r="L405">
        <v>46</v>
      </c>
    </row>
    <row r="406" spans="1:13" ht="34" x14ac:dyDescent="0.2">
      <c r="A406" s="27" t="s">
        <v>122</v>
      </c>
      <c r="B406">
        <f>AVERAGE(B404:B405)</f>
        <v>4.5</v>
      </c>
      <c r="C406">
        <f>AVERAGE(C404:C405)</f>
        <v>18.5</v>
      </c>
      <c r="D406">
        <f>AVERAGE(D404:D405)</f>
        <v>13</v>
      </c>
      <c r="F406">
        <f>AVERAGE(F404:F405)</f>
        <v>196.5</v>
      </c>
      <c r="G406">
        <f>AVERAGE(G404:G405)</f>
        <v>64.5</v>
      </c>
      <c r="H406">
        <f>AVERAGE(H404:H405)</f>
        <v>619</v>
      </c>
      <c r="J406">
        <f>AVERAGE(J404:J405)</f>
        <v>28.5</v>
      </c>
      <c r="K406">
        <f>AVERAGE(K404:K405)</f>
        <v>29.5</v>
      </c>
      <c r="L406">
        <f>AVERAGE(L404:L405)</f>
        <v>59.5</v>
      </c>
    </row>
    <row r="407" spans="1:13" ht="51" x14ac:dyDescent="0.2">
      <c r="A407" s="27" t="s">
        <v>123</v>
      </c>
      <c r="B407">
        <f>B406-B403</f>
        <v>-3</v>
      </c>
      <c r="C407">
        <f>C406-C403</f>
        <v>-10</v>
      </c>
      <c r="D407">
        <f>D406-D403</f>
        <v>-8.5</v>
      </c>
      <c r="F407">
        <f>F406-F403</f>
        <v>188.5</v>
      </c>
      <c r="G407">
        <f>G406-G403</f>
        <v>58</v>
      </c>
      <c r="H407">
        <f>H406-H403</f>
        <v>436</v>
      </c>
      <c r="J407">
        <f>J406-J403</f>
        <v>16.5</v>
      </c>
      <c r="K407">
        <f>K406-K403</f>
        <v>20.5</v>
      </c>
      <c r="L407">
        <f>L406-L403</f>
        <v>34</v>
      </c>
      <c r="M407" t="s">
        <v>124</v>
      </c>
    </row>
  </sheetData>
  <mergeCells count="36">
    <mergeCell ref="B388:C388"/>
    <mergeCell ref="E388:F388"/>
    <mergeCell ref="H388:I388"/>
    <mergeCell ref="B400:D400"/>
    <mergeCell ref="F400:H400"/>
    <mergeCell ref="J400:L400"/>
    <mergeCell ref="C158:D158"/>
    <mergeCell ref="E158:F158"/>
    <mergeCell ref="G158:H158"/>
    <mergeCell ref="C170:D170"/>
    <mergeCell ref="E170:F170"/>
    <mergeCell ref="G170:H170"/>
    <mergeCell ref="C93:D93"/>
    <mergeCell ref="E93:F93"/>
    <mergeCell ref="G93:H93"/>
    <mergeCell ref="I93:J93"/>
    <mergeCell ref="K93:L93"/>
    <mergeCell ref="C146:D146"/>
    <mergeCell ref="E146:F146"/>
    <mergeCell ref="G146:H146"/>
    <mergeCell ref="C67:D67"/>
    <mergeCell ref="E67:F67"/>
    <mergeCell ref="G67:H67"/>
    <mergeCell ref="I67:J67"/>
    <mergeCell ref="K67:L67"/>
    <mergeCell ref="C80:D80"/>
    <mergeCell ref="E80:F80"/>
    <mergeCell ref="G80:H80"/>
    <mergeCell ref="I80:J80"/>
    <mergeCell ref="K80:L80"/>
    <mergeCell ref="B5:D5"/>
    <mergeCell ref="E5:G5"/>
    <mergeCell ref="H5:J5"/>
    <mergeCell ref="B16:D16"/>
    <mergeCell ref="E16:G16"/>
    <mergeCell ref="H16:J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Nguyen</dc:creator>
  <cp:lastModifiedBy>Kim Nguyen</cp:lastModifiedBy>
  <dcterms:created xsi:type="dcterms:W3CDTF">2023-06-27T16:14:19Z</dcterms:created>
  <dcterms:modified xsi:type="dcterms:W3CDTF">2023-06-27T16:22:14Z</dcterms:modified>
</cp:coreProperties>
</file>