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13_ncr:1_{4D5557C5-2C18-024C-94AD-42BDE9A35AA8}" xr6:coauthVersionLast="47" xr6:coauthVersionMax="47" xr10:uidLastSave="{00000000-0000-0000-0000-000000000000}"/>
  <bookViews>
    <workbookView xWindow="13280" yWindow="1820" windowWidth="26440" windowHeight="15420" xr2:uid="{D5B25201-4B85-E64E-A01A-9EA1BB56B1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I105" i="1" s="1"/>
  <c r="J105" i="1" s="1"/>
  <c r="D104" i="1"/>
  <c r="I104" i="1" s="1"/>
  <c r="J104" i="1" s="1"/>
  <c r="D103" i="1"/>
  <c r="I103" i="1" s="1"/>
  <c r="J103" i="1" s="1"/>
  <c r="D102" i="1"/>
  <c r="I102" i="1" s="1"/>
  <c r="J102" i="1" s="1"/>
  <c r="I101" i="1"/>
  <c r="J101" i="1" s="1"/>
  <c r="D101" i="1"/>
  <c r="H97" i="1"/>
  <c r="D97" i="1"/>
  <c r="I97" i="1" s="1"/>
  <c r="J97" i="1" s="1"/>
  <c r="H96" i="1"/>
  <c r="D96" i="1"/>
  <c r="I96" i="1" s="1"/>
  <c r="J96" i="1" s="1"/>
  <c r="H95" i="1"/>
  <c r="D95" i="1"/>
  <c r="I95" i="1" s="1"/>
  <c r="J95" i="1" s="1"/>
  <c r="H94" i="1"/>
  <c r="D94" i="1"/>
  <c r="I94" i="1" s="1"/>
  <c r="J94" i="1" s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Q59" i="1"/>
  <c r="P59" i="1"/>
  <c r="O59" i="1"/>
  <c r="N59" i="1"/>
  <c r="M59" i="1"/>
  <c r="Q58" i="1"/>
  <c r="P58" i="1"/>
  <c r="O58" i="1"/>
  <c r="N58" i="1"/>
  <c r="M58" i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</calcChain>
</file>

<file path=xl/sharedStrings.xml><?xml version="1.0" encoding="utf-8"?>
<sst xmlns="http://schemas.openxmlformats.org/spreadsheetml/2006/main" count="233" uniqueCount="69">
  <si>
    <t>Supplemental Figure 1A</t>
  </si>
  <si>
    <t>Experiment 1 (2022_0813)</t>
  </si>
  <si>
    <t>Matched values</t>
  </si>
  <si>
    <t>Cpne1</t>
  </si>
  <si>
    <t>NP</t>
  </si>
  <si>
    <t>R</t>
  </si>
  <si>
    <t>L</t>
  </si>
  <si>
    <t>B</t>
  </si>
  <si>
    <t>2R</t>
  </si>
  <si>
    <t>A1</t>
  </si>
  <si>
    <t>A2</t>
  </si>
  <si>
    <t>A3</t>
  </si>
  <si>
    <t>A4</t>
  </si>
  <si>
    <t>A5</t>
  </si>
  <si>
    <t>Date</t>
  </si>
  <si>
    <t>Day</t>
  </si>
  <si>
    <t>W</t>
  </si>
  <si>
    <t>mCherry</t>
  </si>
  <si>
    <t>Experiment 2 (2022_0815)</t>
  </si>
  <si>
    <t>Supplemental Figure 1B</t>
  </si>
  <si>
    <t>Experiment 2019_0619</t>
  </si>
  <si>
    <t>Matched</t>
  </si>
  <si>
    <t>DATE</t>
  </si>
  <si>
    <t>DAY:</t>
  </si>
  <si>
    <t>7/16 *Endpoint</t>
  </si>
  <si>
    <t>Supplemental Figure 1C</t>
  </si>
  <si>
    <t>Experiment 1 (2019_0601)</t>
  </si>
  <si>
    <t>File name</t>
  </si>
  <si>
    <t>Sample</t>
  </si>
  <si>
    <t>beads</t>
  </si>
  <si>
    <t>bead input</t>
  </si>
  <si>
    <t>cd8+ counts</t>
  </si>
  <si>
    <t>tube before</t>
  </si>
  <si>
    <t>tube after</t>
  </si>
  <si>
    <t>tumor mass (g)</t>
  </si>
  <si>
    <t>normalized cd8+</t>
  </si>
  <si>
    <t>#cd8+/g tumor</t>
  </si>
  <si>
    <t>Tumor_mCherry_001_038.fcs</t>
  </si>
  <si>
    <t>Tumor_mCherry_002_039.fcs</t>
  </si>
  <si>
    <t>Tumor_Cpne1_001_042.fcs</t>
  </si>
  <si>
    <t>Tumor_Cpne1_002_043.fcs</t>
  </si>
  <si>
    <t>Experiment 2 (2021_0726)</t>
  </si>
  <si>
    <t>tumor_day10_mCherry_001.fcs</t>
  </si>
  <si>
    <t>tumor_day10_mCherry_003.fcs</t>
  </si>
  <si>
    <t>tumor_day10_Cpne1_001.fcs</t>
  </si>
  <si>
    <t>tumor_day10_Cpne1_002.fcs</t>
  </si>
  <si>
    <t>tumor_day10_Cpne1_003.fcs</t>
  </si>
  <si>
    <t>Supplemental Figure 1D</t>
  </si>
  <si>
    <t>%CD8+ (of CD3e+ cells)</t>
  </si>
  <si>
    <t>6.97 %</t>
  </si>
  <si>
    <t>10.5 %</t>
  </si>
  <si>
    <t>16.7 %</t>
  </si>
  <si>
    <t>11.2 %</t>
  </si>
  <si>
    <t>Supplemental Figure 1E</t>
  </si>
  <si>
    <t>%CD44+CD62L+ (of CD8+)</t>
  </si>
  <si>
    <t>41.2 %</t>
  </si>
  <si>
    <t>40.9 %</t>
  </si>
  <si>
    <t>37.8 %</t>
  </si>
  <si>
    <t>23.4 %</t>
  </si>
  <si>
    <t>Supplemental Figure 1F</t>
  </si>
  <si>
    <t>IC50 values (nM) from NetMHCpan-4.0 server</t>
  </si>
  <si>
    <t>Adpgk</t>
  </si>
  <si>
    <t>Aatf</t>
  </si>
  <si>
    <t>Supplemental Figure 1G</t>
  </si>
  <si>
    <t>Experiment 2021_0714</t>
  </si>
  <si>
    <t>Peptide concentration [uM]</t>
  </si>
  <si>
    <t>MFI mH-2Db</t>
  </si>
  <si>
    <t>MFI mH-2Kb</t>
  </si>
  <si>
    <t xml:space="preserve">&lt;Not plotted, population shifted in all channels (live/dead gate as well).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</si>
</sst>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11" fontId="5" fillId="0" borderId="0" xfId="0" applyNumberFormat="1" applyFont="1"/>
    <xf numFmtId="0" fontId="5" fillId="0" borderId="0" xfId="0" applyFont="1"/>
    <xf numFmtId="11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498F-45E7-C647-AF36-33DBD3D0FF49}">
  <dimension ref="A1:Q191"/>
  <sheetViews>
    <sheetView tabSelected="1" topLeftCell="A58" workbookViewId="0">
      <selection activeCell="A150" sqref="A150"/>
    </sheetView>
  </sheetViews>
  <sheetFormatPr baseColWidth="10" defaultRowHeight="16" x14ac:dyDescent="0.2"/>
  <sheetData>
    <row r="1" spans="1:17" x14ac:dyDescent="0.2">
      <c r="A1" s="1" t="s">
        <v>0</v>
      </c>
    </row>
    <row r="3" spans="1:17" x14ac:dyDescent="0.2">
      <c r="A3" s="1" t="s">
        <v>1</v>
      </c>
    </row>
    <row r="4" spans="1:17" x14ac:dyDescent="0.2">
      <c r="C4" t="s">
        <v>2</v>
      </c>
    </row>
    <row r="5" spans="1:17" x14ac:dyDescent="0.2">
      <c r="A5" s="2" t="s">
        <v>3</v>
      </c>
      <c r="B5" s="3"/>
      <c r="C5" s="4" t="s">
        <v>4</v>
      </c>
      <c r="D5" s="5"/>
      <c r="E5" s="4" t="s">
        <v>5</v>
      </c>
      <c r="F5" s="5"/>
      <c r="G5" s="4" t="s">
        <v>6</v>
      </c>
      <c r="H5" s="5"/>
      <c r="I5" s="4" t="s">
        <v>7</v>
      </c>
      <c r="J5" s="5"/>
      <c r="K5" s="4" t="s">
        <v>8</v>
      </c>
      <c r="L5" s="5"/>
      <c r="M5" s="6" t="s">
        <v>9</v>
      </c>
      <c r="N5" s="6" t="s">
        <v>10</v>
      </c>
      <c r="O5" s="6" t="s">
        <v>11</v>
      </c>
      <c r="P5" s="6" t="s">
        <v>12</v>
      </c>
      <c r="Q5" s="6" t="s">
        <v>13</v>
      </c>
    </row>
    <row r="6" spans="1:17" x14ac:dyDescent="0.2">
      <c r="A6" s="3" t="s">
        <v>14</v>
      </c>
      <c r="B6" s="3" t="s">
        <v>15</v>
      </c>
      <c r="C6" s="7" t="s">
        <v>6</v>
      </c>
      <c r="D6" s="8" t="s">
        <v>16</v>
      </c>
      <c r="E6" s="8" t="s">
        <v>6</v>
      </c>
      <c r="F6" s="8" t="s">
        <v>16</v>
      </c>
      <c r="G6" s="8" t="s">
        <v>6</v>
      </c>
      <c r="H6" s="8" t="s">
        <v>16</v>
      </c>
      <c r="I6" s="8" t="s">
        <v>6</v>
      </c>
      <c r="J6" s="8" t="s">
        <v>16</v>
      </c>
      <c r="K6" s="8" t="s">
        <v>6</v>
      </c>
      <c r="L6" s="8" t="s">
        <v>16</v>
      </c>
      <c r="M6" s="8"/>
      <c r="N6" s="8"/>
      <c r="O6" s="8"/>
      <c r="P6" s="8"/>
      <c r="Q6" s="8"/>
    </row>
    <row r="7" spans="1:17" x14ac:dyDescent="0.2">
      <c r="A7" s="9">
        <v>44792</v>
      </c>
      <c r="B7" s="3">
        <v>6</v>
      </c>
      <c r="C7" s="10">
        <v>4.9000000000000004</v>
      </c>
      <c r="D7" s="11">
        <v>3.29</v>
      </c>
      <c r="E7" s="11">
        <v>3.46</v>
      </c>
      <c r="F7" s="11">
        <v>5.76</v>
      </c>
      <c r="G7" s="11">
        <v>6.44</v>
      </c>
      <c r="H7" s="11">
        <v>4.0999999999999996</v>
      </c>
      <c r="I7" s="11">
        <v>3.4</v>
      </c>
      <c r="J7" s="11">
        <v>5.34</v>
      </c>
      <c r="K7" s="11">
        <v>4.57</v>
      </c>
      <c r="L7" s="11">
        <v>3.44</v>
      </c>
      <c r="M7" s="8">
        <v>16.120999999999999</v>
      </c>
      <c r="N7" s="8">
        <v>19.929600000000001</v>
      </c>
      <c r="O7" s="8">
        <v>26.404</v>
      </c>
      <c r="P7" s="8">
        <v>18.155999999999999</v>
      </c>
      <c r="Q7" s="8">
        <v>15.720800000000001</v>
      </c>
    </row>
    <row r="8" spans="1:17" x14ac:dyDescent="0.2">
      <c r="A8" s="9">
        <v>44794</v>
      </c>
      <c r="B8" s="3">
        <v>8</v>
      </c>
      <c r="C8" s="10">
        <v>7.18</v>
      </c>
      <c r="D8" s="11">
        <v>4.66</v>
      </c>
      <c r="E8" s="11">
        <v>8</v>
      </c>
      <c r="F8" s="11">
        <v>5.16</v>
      </c>
      <c r="G8" s="11">
        <v>7.01</v>
      </c>
      <c r="H8" s="11">
        <v>5.03</v>
      </c>
      <c r="I8" s="11">
        <v>7.91</v>
      </c>
      <c r="J8" s="11">
        <v>4.12</v>
      </c>
      <c r="K8" s="11">
        <v>2.92</v>
      </c>
      <c r="L8" s="11">
        <v>7</v>
      </c>
      <c r="M8" s="8">
        <v>33.458799999999997</v>
      </c>
      <c r="N8" s="8">
        <v>41.28</v>
      </c>
      <c r="O8" s="8">
        <v>35.260300000000001</v>
      </c>
      <c r="P8" s="8">
        <v>32.589199999999998</v>
      </c>
      <c r="Q8" s="8">
        <v>20.440000000000001</v>
      </c>
    </row>
    <row r="9" spans="1:17" x14ac:dyDescent="0.2">
      <c r="A9" s="9">
        <v>44796</v>
      </c>
      <c r="B9" s="3">
        <v>10</v>
      </c>
      <c r="C9" s="10">
        <v>6.16</v>
      </c>
      <c r="D9" s="11">
        <v>4.68</v>
      </c>
      <c r="E9" s="11">
        <v>8.74</v>
      </c>
      <c r="F9" s="11">
        <v>6.36</v>
      </c>
      <c r="G9" s="11">
        <v>7.35</v>
      </c>
      <c r="H9" s="11">
        <v>5.42</v>
      </c>
      <c r="I9" s="11">
        <v>7.62</v>
      </c>
      <c r="J9" s="11">
        <v>5.33</v>
      </c>
      <c r="K9" s="11">
        <v>7.8</v>
      </c>
      <c r="L9" s="11">
        <v>5.95</v>
      </c>
      <c r="M9" s="8">
        <v>28.828800000000001</v>
      </c>
      <c r="N9" s="8">
        <v>55.586399999999998</v>
      </c>
      <c r="O9" s="8">
        <v>39.837000000000003</v>
      </c>
      <c r="P9" s="8">
        <v>40.614600000000003</v>
      </c>
      <c r="Q9" s="8">
        <v>46.41</v>
      </c>
    </row>
    <row r="10" spans="1:17" x14ac:dyDescent="0.2">
      <c r="A10" s="9">
        <v>44798</v>
      </c>
      <c r="B10" s="3">
        <v>12</v>
      </c>
      <c r="C10" s="10">
        <v>7.32</v>
      </c>
      <c r="D10" s="11">
        <v>5.52</v>
      </c>
      <c r="E10" s="11">
        <v>9.76</v>
      </c>
      <c r="F10" s="11">
        <v>6.9</v>
      </c>
      <c r="G10" s="11">
        <v>7.49</v>
      </c>
      <c r="H10" s="11">
        <v>5.68</v>
      </c>
      <c r="I10" s="11">
        <v>8.09</v>
      </c>
      <c r="J10" s="11">
        <v>5.32</v>
      </c>
      <c r="K10" s="11">
        <v>8.27</v>
      </c>
      <c r="L10" s="11">
        <v>7.8</v>
      </c>
      <c r="M10" s="8">
        <v>40.406399999999998</v>
      </c>
      <c r="N10" s="8">
        <v>67.343999999999994</v>
      </c>
      <c r="O10" s="8">
        <v>42.543199999999999</v>
      </c>
      <c r="P10" s="8">
        <v>43.038800000000002</v>
      </c>
      <c r="Q10" s="8">
        <v>64.506</v>
      </c>
    </row>
    <row r="11" spans="1:17" x14ac:dyDescent="0.2">
      <c r="A11" s="9">
        <v>44802</v>
      </c>
      <c r="B11" s="3">
        <v>16</v>
      </c>
      <c r="C11" s="10">
        <v>8.1</v>
      </c>
      <c r="D11" s="11">
        <v>5.98</v>
      </c>
      <c r="E11" s="11">
        <v>9.41</v>
      </c>
      <c r="F11" s="11">
        <v>7.74</v>
      </c>
      <c r="G11" s="11">
        <v>8.3000000000000007</v>
      </c>
      <c r="H11" s="11">
        <v>5.7</v>
      </c>
      <c r="I11" s="11">
        <v>9.56</v>
      </c>
      <c r="J11" s="11">
        <v>7.2</v>
      </c>
      <c r="K11" s="11">
        <v>8.8000000000000007</v>
      </c>
      <c r="L11" s="11">
        <v>9.19</v>
      </c>
      <c r="M11" s="8">
        <v>48.438000000000002</v>
      </c>
      <c r="N11" s="8">
        <v>72.833399999999997</v>
      </c>
      <c r="O11" s="8">
        <v>47.31</v>
      </c>
      <c r="P11" s="8">
        <v>68.831999999999994</v>
      </c>
      <c r="Q11" s="8">
        <v>80.872</v>
      </c>
    </row>
    <row r="12" spans="1:17" x14ac:dyDescent="0.2">
      <c r="A12" s="9">
        <v>44804</v>
      </c>
      <c r="B12" s="3">
        <v>18</v>
      </c>
      <c r="C12" s="10">
        <v>8.6999999999999993</v>
      </c>
      <c r="D12" s="11">
        <v>6.6</v>
      </c>
      <c r="E12" s="11">
        <v>9.1</v>
      </c>
      <c r="F12" s="11">
        <v>9.1</v>
      </c>
      <c r="G12" s="11">
        <v>9</v>
      </c>
      <c r="H12" s="11">
        <v>5.6</v>
      </c>
      <c r="I12" s="11">
        <v>6</v>
      </c>
      <c r="J12" s="11">
        <v>8.1</v>
      </c>
      <c r="K12" s="11">
        <v>7</v>
      </c>
      <c r="L12" s="11">
        <v>5.8</v>
      </c>
      <c r="M12" s="8">
        <v>57.42</v>
      </c>
      <c r="N12" s="8">
        <v>82.81</v>
      </c>
      <c r="O12" s="8">
        <v>50.4</v>
      </c>
      <c r="P12" s="8">
        <v>48.6</v>
      </c>
      <c r="Q12" s="8">
        <v>40.6</v>
      </c>
    </row>
    <row r="13" spans="1:17" x14ac:dyDescent="0.2">
      <c r="A13" s="9">
        <v>44806</v>
      </c>
      <c r="B13" s="3">
        <v>20</v>
      </c>
      <c r="C13" s="10">
        <v>5.2</v>
      </c>
      <c r="D13" s="11">
        <v>9.5</v>
      </c>
      <c r="E13" s="11">
        <v>9.5</v>
      </c>
      <c r="F13" s="11">
        <v>9.5</v>
      </c>
      <c r="G13" s="11">
        <v>5.6</v>
      </c>
      <c r="H13" s="11">
        <v>8.9</v>
      </c>
      <c r="I13" s="11">
        <v>7</v>
      </c>
      <c r="J13" s="11">
        <v>9.9</v>
      </c>
      <c r="K13" s="11">
        <v>7.1</v>
      </c>
      <c r="L13" s="11">
        <v>9.5</v>
      </c>
      <c r="M13" s="8">
        <v>49.4</v>
      </c>
      <c r="N13" s="8">
        <v>90.25</v>
      </c>
      <c r="O13" s="8">
        <v>49.84</v>
      </c>
      <c r="P13" s="8">
        <v>69.3</v>
      </c>
      <c r="Q13" s="8">
        <v>67.45</v>
      </c>
    </row>
    <row r="14" spans="1:17" x14ac:dyDescent="0.2">
      <c r="A14" s="9">
        <v>44809</v>
      </c>
      <c r="B14" s="3">
        <v>23</v>
      </c>
      <c r="C14" s="10">
        <v>7.2</v>
      </c>
      <c r="D14" s="11">
        <v>9.3000000000000007</v>
      </c>
      <c r="E14" s="11">
        <v>10.9</v>
      </c>
      <c r="F14" s="11">
        <v>10.9</v>
      </c>
      <c r="G14" s="11">
        <v>11.6</v>
      </c>
      <c r="H14" s="11">
        <v>7.7</v>
      </c>
      <c r="I14" s="11">
        <v>7</v>
      </c>
      <c r="J14" s="11">
        <v>9.9</v>
      </c>
      <c r="K14" s="11">
        <v>7.7</v>
      </c>
      <c r="L14" s="11">
        <v>9.1999999999999993</v>
      </c>
      <c r="M14" s="8">
        <v>66.959999999999994</v>
      </c>
      <c r="N14" s="8">
        <v>118.81</v>
      </c>
      <c r="O14" s="8">
        <v>89.32</v>
      </c>
      <c r="P14" s="8">
        <v>69.3</v>
      </c>
      <c r="Q14" s="8">
        <v>70.84</v>
      </c>
    </row>
    <row r="19" spans="1:17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">
      <c r="A20" s="2" t="s">
        <v>17</v>
      </c>
      <c r="B20" s="3"/>
      <c r="C20" s="4" t="s">
        <v>4</v>
      </c>
      <c r="D20" s="5"/>
      <c r="E20" s="4" t="s">
        <v>5</v>
      </c>
      <c r="F20" s="5"/>
      <c r="G20" s="4" t="s">
        <v>6</v>
      </c>
      <c r="H20" s="5"/>
      <c r="I20" s="4" t="s">
        <v>7</v>
      </c>
      <c r="J20" s="5"/>
      <c r="K20" s="4" t="s">
        <v>8</v>
      </c>
      <c r="L20" s="5"/>
      <c r="M20" s="6" t="s">
        <v>9</v>
      </c>
      <c r="N20" s="6" t="s">
        <v>10</v>
      </c>
      <c r="O20" s="6" t="s">
        <v>11</v>
      </c>
      <c r="P20" s="6" t="s">
        <v>12</v>
      </c>
      <c r="Q20" s="6" t="s">
        <v>13</v>
      </c>
    </row>
    <row r="21" spans="1:17" x14ac:dyDescent="0.2">
      <c r="A21" s="3" t="s">
        <v>14</v>
      </c>
      <c r="B21" s="3" t="s">
        <v>15</v>
      </c>
      <c r="C21" s="7" t="s">
        <v>6</v>
      </c>
      <c r="D21" s="8" t="s">
        <v>16</v>
      </c>
      <c r="E21" s="8" t="s">
        <v>6</v>
      </c>
      <c r="F21" s="8" t="s">
        <v>16</v>
      </c>
      <c r="G21" s="8" t="s">
        <v>6</v>
      </c>
      <c r="H21" s="8" t="s">
        <v>16</v>
      </c>
      <c r="I21" s="8" t="s">
        <v>6</v>
      </c>
      <c r="J21" s="8" t="s">
        <v>16</v>
      </c>
      <c r="K21" s="8" t="s">
        <v>6</v>
      </c>
      <c r="L21" s="8" t="s">
        <v>16</v>
      </c>
      <c r="M21" s="8"/>
      <c r="N21" s="8"/>
      <c r="O21" s="8"/>
      <c r="P21" s="8"/>
      <c r="Q21" s="8"/>
    </row>
    <row r="22" spans="1:17" x14ac:dyDescent="0.2">
      <c r="A22" s="9">
        <v>44792</v>
      </c>
      <c r="B22" s="3">
        <v>6</v>
      </c>
      <c r="C22" s="10">
        <v>6.98</v>
      </c>
      <c r="D22" s="11">
        <v>4.0599999999999996</v>
      </c>
      <c r="E22" s="11">
        <v>4.3600000000000003</v>
      </c>
      <c r="F22" s="11">
        <v>2.11</v>
      </c>
      <c r="G22" s="11">
        <v>7.23</v>
      </c>
      <c r="H22" s="11">
        <v>3.8</v>
      </c>
      <c r="I22" s="11">
        <v>5.18</v>
      </c>
      <c r="J22" s="11">
        <v>3.68</v>
      </c>
      <c r="K22" s="11">
        <v>5.25</v>
      </c>
      <c r="L22" s="11">
        <v>2.56</v>
      </c>
      <c r="M22" s="8">
        <v>28.338799999999999</v>
      </c>
      <c r="N22" s="8">
        <v>9.1996000000000002</v>
      </c>
      <c r="O22" s="8">
        <v>27.474</v>
      </c>
      <c r="P22" s="8">
        <v>19.0624</v>
      </c>
      <c r="Q22" s="8">
        <v>13.44</v>
      </c>
    </row>
    <row r="23" spans="1:17" x14ac:dyDescent="0.2">
      <c r="A23" s="9">
        <v>44794</v>
      </c>
      <c r="B23" s="3">
        <v>8</v>
      </c>
      <c r="C23" s="10">
        <v>7.2</v>
      </c>
      <c r="D23" s="11">
        <v>5.76</v>
      </c>
      <c r="E23" s="11">
        <v>6.6</v>
      </c>
      <c r="F23" s="11">
        <v>2.82</v>
      </c>
      <c r="G23" s="11">
        <v>8.09</v>
      </c>
      <c r="H23" s="11">
        <v>6.16</v>
      </c>
      <c r="I23" s="11">
        <v>9.17</v>
      </c>
      <c r="J23" s="11">
        <v>4.33</v>
      </c>
      <c r="K23" s="11">
        <v>5.9</v>
      </c>
      <c r="L23" s="11">
        <v>3.38</v>
      </c>
      <c r="M23" s="8">
        <v>41.472000000000001</v>
      </c>
      <c r="N23" s="8">
        <v>18.611999999999998</v>
      </c>
      <c r="O23" s="8">
        <v>49.834400000000002</v>
      </c>
      <c r="P23" s="8">
        <v>39.706099999999999</v>
      </c>
      <c r="Q23" s="8">
        <v>19.942</v>
      </c>
    </row>
    <row r="24" spans="1:17" x14ac:dyDescent="0.2">
      <c r="A24" s="9">
        <v>44796</v>
      </c>
      <c r="B24" s="3">
        <v>10</v>
      </c>
      <c r="C24" s="10">
        <v>9.24</v>
      </c>
      <c r="D24" s="11">
        <v>6.98</v>
      </c>
      <c r="E24" s="11">
        <v>6.85</v>
      </c>
      <c r="F24" s="11">
        <v>3.87</v>
      </c>
      <c r="G24" s="11">
        <v>8.5500000000000007</v>
      </c>
      <c r="H24" s="11">
        <v>6.58</v>
      </c>
      <c r="I24" s="11">
        <v>8.8699999999999992</v>
      </c>
      <c r="J24" s="11">
        <v>5.35</v>
      </c>
      <c r="K24" s="11">
        <v>6.58</v>
      </c>
      <c r="L24" s="11">
        <v>3.94</v>
      </c>
      <c r="M24" s="8">
        <v>64.495199999999997</v>
      </c>
      <c r="N24" s="8">
        <v>26.509499999999999</v>
      </c>
      <c r="O24" s="8">
        <v>56.259</v>
      </c>
      <c r="P24" s="8">
        <v>47.454500000000003</v>
      </c>
      <c r="Q24" s="8">
        <v>25.9252</v>
      </c>
    </row>
    <row r="25" spans="1:17" x14ac:dyDescent="0.2">
      <c r="A25" s="9">
        <v>44798</v>
      </c>
      <c r="B25" s="3">
        <v>12</v>
      </c>
      <c r="C25" s="10">
        <v>10.47</v>
      </c>
      <c r="D25" s="11">
        <v>7.89</v>
      </c>
      <c r="E25" s="11">
        <v>7.42</v>
      </c>
      <c r="F25" s="11">
        <v>4.8600000000000003</v>
      </c>
      <c r="G25" s="11">
        <v>9.6999999999999993</v>
      </c>
      <c r="H25" s="11">
        <v>7.3</v>
      </c>
      <c r="I25" s="11">
        <v>9.9700000000000006</v>
      </c>
      <c r="J25" s="11">
        <v>6.91</v>
      </c>
      <c r="K25" s="11">
        <v>7</v>
      </c>
      <c r="L25" s="11">
        <v>5.49</v>
      </c>
      <c r="M25" s="8">
        <v>82.6083</v>
      </c>
      <c r="N25" s="8">
        <v>36.061199999999999</v>
      </c>
      <c r="O25" s="8">
        <v>70.81</v>
      </c>
      <c r="P25" s="8">
        <v>68.892700000000005</v>
      </c>
      <c r="Q25" s="8">
        <v>38.43</v>
      </c>
    </row>
    <row r="26" spans="1:17" x14ac:dyDescent="0.2">
      <c r="A26" s="9">
        <v>44802</v>
      </c>
      <c r="B26" s="3">
        <v>16</v>
      </c>
      <c r="C26" s="10">
        <v>9.61</v>
      </c>
      <c r="D26" s="11">
        <v>10.57</v>
      </c>
      <c r="E26" s="11">
        <v>10.72</v>
      </c>
      <c r="F26" s="11">
        <v>6.28</v>
      </c>
      <c r="G26" s="11">
        <v>10.27</v>
      </c>
      <c r="H26" s="11">
        <v>10.45</v>
      </c>
      <c r="I26" s="11">
        <v>10.8</v>
      </c>
      <c r="J26" s="11">
        <v>7.38</v>
      </c>
      <c r="K26" s="11">
        <v>7.59</v>
      </c>
      <c r="L26" s="11">
        <v>5.72</v>
      </c>
      <c r="M26" s="8">
        <v>101.57769999999999</v>
      </c>
      <c r="N26" s="8">
        <v>67.321600000000004</v>
      </c>
      <c r="O26" s="8">
        <v>107.3215</v>
      </c>
      <c r="P26" s="8">
        <v>79.703999999999994</v>
      </c>
      <c r="Q26" s="8">
        <v>43.4148</v>
      </c>
    </row>
    <row r="27" spans="1:17" x14ac:dyDescent="0.2">
      <c r="A27" s="9">
        <v>44804</v>
      </c>
      <c r="B27" s="3">
        <v>18</v>
      </c>
      <c r="C27" s="10">
        <v>11.5</v>
      </c>
      <c r="D27" s="11">
        <v>9</v>
      </c>
      <c r="E27" s="11">
        <v>7</v>
      </c>
      <c r="F27" s="11">
        <v>8.4</v>
      </c>
      <c r="G27" s="11">
        <v>10.7</v>
      </c>
      <c r="H27" s="11">
        <v>12</v>
      </c>
      <c r="I27" s="11">
        <v>5.8</v>
      </c>
      <c r="J27" s="11">
        <v>11.2</v>
      </c>
      <c r="K27" s="11">
        <v>6.1</v>
      </c>
      <c r="L27" s="11">
        <v>10.7</v>
      </c>
      <c r="M27" s="8">
        <v>103.5</v>
      </c>
      <c r="N27" s="8">
        <v>58.8</v>
      </c>
      <c r="O27" s="8">
        <v>128.4</v>
      </c>
      <c r="P27" s="8">
        <v>64.959999999999994</v>
      </c>
      <c r="Q27" s="8">
        <v>65.27</v>
      </c>
    </row>
    <row r="28" spans="1:17" x14ac:dyDescent="0.2">
      <c r="A28" s="9">
        <v>44806</v>
      </c>
      <c r="B28" s="3">
        <v>20</v>
      </c>
      <c r="C28" s="10">
        <v>11.6</v>
      </c>
      <c r="D28" s="11">
        <v>9.1999999999999993</v>
      </c>
      <c r="E28" s="11">
        <v>11.2</v>
      </c>
      <c r="F28" s="11">
        <v>5.6</v>
      </c>
      <c r="G28" s="11">
        <v>8.6999999999999993</v>
      </c>
      <c r="H28" s="11">
        <v>12</v>
      </c>
      <c r="I28" s="11">
        <v>6.3</v>
      </c>
      <c r="J28" s="11">
        <v>12.4</v>
      </c>
      <c r="K28" s="11">
        <v>7.5</v>
      </c>
      <c r="L28" s="11">
        <v>8.5</v>
      </c>
      <c r="M28" s="8">
        <v>106.72</v>
      </c>
      <c r="N28" s="8">
        <v>62.72</v>
      </c>
      <c r="O28" s="8">
        <v>104.4</v>
      </c>
      <c r="P28" s="8">
        <v>78.12</v>
      </c>
      <c r="Q28" s="8">
        <v>63.75</v>
      </c>
    </row>
    <row r="29" spans="1:17" x14ac:dyDescent="0.2">
      <c r="A29" s="9">
        <v>44809</v>
      </c>
      <c r="B29" s="3">
        <v>23</v>
      </c>
      <c r="C29" s="10">
        <v>13.1</v>
      </c>
      <c r="D29" s="11">
        <v>9.5</v>
      </c>
      <c r="E29" s="11">
        <v>9.9</v>
      </c>
      <c r="F29" s="11">
        <v>12.7</v>
      </c>
      <c r="G29" s="11">
        <v>12.3</v>
      </c>
      <c r="H29" s="11">
        <v>13.4</v>
      </c>
      <c r="I29" s="11">
        <v>8</v>
      </c>
      <c r="J29" s="11">
        <v>11.7</v>
      </c>
      <c r="K29" s="11">
        <v>7.6</v>
      </c>
      <c r="L29" s="11">
        <v>11.4</v>
      </c>
      <c r="M29" s="8">
        <v>124.45</v>
      </c>
      <c r="N29" s="8">
        <v>125.73</v>
      </c>
      <c r="O29" s="8">
        <v>164.82</v>
      </c>
      <c r="P29" s="8">
        <v>93.6</v>
      </c>
      <c r="Q29" s="8">
        <v>86.64</v>
      </c>
    </row>
    <row r="33" spans="1:17" x14ac:dyDescent="0.2">
      <c r="A33" s="1" t="s">
        <v>18</v>
      </c>
    </row>
    <row r="34" spans="1:17" x14ac:dyDescent="0.2">
      <c r="A34" s="13" t="s">
        <v>3</v>
      </c>
      <c r="B34" s="13"/>
      <c r="C34" s="14" t="s">
        <v>4</v>
      </c>
      <c r="D34" s="14"/>
      <c r="E34" s="14" t="s">
        <v>5</v>
      </c>
      <c r="F34" s="14"/>
      <c r="G34" s="14" t="s">
        <v>6</v>
      </c>
      <c r="H34" s="14"/>
      <c r="I34" s="14" t="s">
        <v>7</v>
      </c>
      <c r="J34" s="14"/>
      <c r="K34" s="14" t="s">
        <v>8</v>
      </c>
      <c r="L34" s="14"/>
      <c r="M34" s="15" t="s">
        <v>9</v>
      </c>
      <c r="N34" s="15" t="s">
        <v>10</v>
      </c>
      <c r="O34" s="15" t="s">
        <v>11</v>
      </c>
      <c r="P34" s="15" t="s">
        <v>12</v>
      </c>
      <c r="Q34" s="15" t="s">
        <v>13</v>
      </c>
    </row>
    <row r="35" spans="1:17" x14ac:dyDescent="0.2">
      <c r="A35" s="13" t="s">
        <v>14</v>
      </c>
      <c r="B35" s="13" t="s">
        <v>15</v>
      </c>
      <c r="C35" s="15" t="s">
        <v>6</v>
      </c>
      <c r="D35" s="15" t="s">
        <v>16</v>
      </c>
      <c r="E35" s="15" t="s">
        <v>6</v>
      </c>
      <c r="F35" s="15" t="s">
        <v>16</v>
      </c>
      <c r="G35" s="15" t="s">
        <v>6</v>
      </c>
      <c r="H35" s="15" t="s">
        <v>16</v>
      </c>
      <c r="I35" s="15" t="s">
        <v>6</v>
      </c>
      <c r="J35" s="15" t="s">
        <v>16</v>
      </c>
      <c r="K35" s="15" t="s">
        <v>6</v>
      </c>
      <c r="L35" s="15" t="s">
        <v>16</v>
      </c>
      <c r="M35" s="15"/>
      <c r="N35" s="15"/>
      <c r="O35" s="15"/>
      <c r="P35" s="15"/>
      <c r="Q35" s="15"/>
    </row>
    <row r="36" spans="1:17" x14ac:dyDescent="0.2">
      <c r="A36" s="16">
        <v>44796</v>
      </c>
      <c r="B36" s="13">
        <v>8</v>
      </c>
      <c r="C36" s="17">
        <v>7.34</v>
      </c>
      <c r="D36" s="17">
        <v>5.27</v>
      </c>
      <c r="E36" s="17">
        <v>8.23</v>
      </c>
      <c r="F36" s="17">
        <v>5.4</v>
      </c>
      <c r="G36" s="17">
        <v>6.17</v>
      </c>
      <c r="H36" s="17">
        <v>3.49</v>
      </c>
      <c r="I36" s="17">
        <v>6.22</v>
      </c>
      <c r="J36" s="17">
        <v>3.65</v>
      </c>
      <c r="K36" s="17">
        <v>6.67</v>
      </c>
      <c r="L36" s="17">
        <v>4.8600000000000003</v>
      </c>
      <c r="M36" s="15">
        <f>C36*D36</f>
        <v>38.681799999999996</v>
      </c>
      <c r="N36" s="15">
        <f>E36*F36</f>
        <v>44.442000000000007</v>
      </c>
      <c r="O36" s="15">
        <f>G36*H36</f>
        <v>21.533300000000001</v>
      </c>
      <c r="P36" s="15">
        <f>I36*J36</f>
        <v>22.702999999999999</v>
      </c>
      <c r="Q36" s="15">
        <f>K36*L36</f>
        <v>32.416200000000003</v>
      </c>
    </row>
    <row r="37" spans="1:17" x14ac:dyDescent="0.2">
      <c r="A37" s="16">
        <v>44798</v>
      </c>
      <c r="B37" s="13">
        <v>10</v>
      </c>
      <c r="C37" s="17">
        <v>7.22</v>
      </c>
      <c r="D37" s="17">
        <v>6.92</v>
      </c>
      <c r="E37" s="17">
        <v>8.4700000000000006</v>
      </c>
      <c r="F37" s="17">
        <v>6.75</v>
      </c>
      <c r="G37" s="17">
        <v>8.27</v>
      </c>
      <c r="H37" s="17">
        <v>4.79</v>
      </c>
      <c r="I37" s="17">
        <v>7.62</v>
      </c>
      <c r="J37" s="17">
        <v>5.03</v>
      </c>
      <c r="K37" s="17">
        <v>8.0299999999999994</v>
      </c>
      <c r="L37" s="17">
        <v>5.84</v>
      </c>
      <c r="M37" s="15">
        <f t="shared" ref="M37:M44" si="0">C37*D37</f>
        <v>49.962399999999995</v>
      </c>
      <c r="N37" s="15">
        <f t="shared" ref="N37:N44" si="1">E37*F37</f>
        <v>57.172500000000007</v>
      </c>
      <c r="O37" s="15">
        <f t="shared" ref="O37:O44" si="2">G37*H37</f>
        <v>39.613299999999995</v>
      </c>
      <c r="P37" s="15">
        <f t="shared" ref="P37:P44" si="3">I37*J37</f>
        <v>38.328600000000002</v>
      </c>
      <c r="Q37" s="15">
        <f t="shared" ref="Q37:Q44" si="4">K37*L37</f>
        <v>46.895199999999996</v>
      </c>
    </row>
    <row r="38" spans="1:17" x14ac:dyDescent="0.2">
      <c r="A38" s="16">
        <v>44802</v>
      </c>
      <c r="B38" s="13">
        <v>14</v>
      </c>
      <c r="C38" s="17">
        <v>7.55</v>
      </c>
      <c r="D38" s="17">
        <v>5.08</v>
      </c>
      <c r="E38" s="17">
        <v>8.1199999999999992</v>
      </c>
      <c r="F38" s="17">
        <v>8.66</v>
      </c>
      <c r="G38" s="17">
        <v>7.7</v>
      </c>
      <c r="H38" s="17">
        <v>6.41</v>
      </c>
      <c r="I38" s="17">
        <v>8.23</v>
      </c>
      <c r="J38" s="17">
        <v>5.52</v>
      </c>
      <c r="K38" s="17">
        <v>9.92</v>
      </c>
      <c r="L38" s="17">
        <v>8.2200000000000006</v>
      </c>
      <c r="M38" s="15">
        <f t="shared" si="0"/>
        <v>38.353999999999999</v>
      </c>
      <c r="N38" s="15">
        <f t="shared" si="1"/>
        <v>70.319199999999995</v>
      </c>
      <c r="O38" s="15">
        <f t="shared" si="2"/>
        <v>49.356999999999999</v>
      </c>
      <c r="P38" s="15">
        <f t="shared" si="3"/>
        <v>45.429600000000001</v>
      </c>
      <c r="Q38" s="15">
        <f t="shared" si="4"/>
        <v>81.542400000000001</v>
      </c>
    </row>
    <row r="39" spans="1:17" x14ac:dyDescent="0.2">
      <c r="A39" s="16">
        <v>44804</v>
      </c>
      <c r="B39" s="13">
        <v>16</v>
      </c>
      <c r="C39" s="17">
        <v>7</v>
      </c>
      <c r="D39" s="17">
        <v>3.8</v>
      </c>
      <c r="E39" s="17">
        <v>9.6</v>
      </c>
      <c r="F39" s="17">
        <v>9.5</v>
      </c>
      <c r="G39" s="17">
        <v>6.4</v>
      </c>
      <c r="H39" s="17">
        <v>4.7</v>
      </c>
      <c r="I39" s="17">
        <v>8.1</v>
      </c>
      <c r="J39" s="17">
        <v>4.4000000000000004</v>
      </c>
      <c r="K39" s="17">
        <v>4.9000000000000004</v>
      </c>
      <c r="L39" s="17">
        <v>9.8000000000000007</v>
      </c>
      <c r="M39" s="15">
        <f t="shared" si="0"/>
        <v>26.599999999999998</v>
      </c>
      <c r="N39" s="15">
        <f t="shared" si="1"/>
        <v>91.2</v>
      </c>
      <c r="O39" s="15">
        <f t="shared" si="2"/>
        <v>30.080000000000002</v>
      </c>
      <c r="P39" s="15">
        <f t="shared" si="3"/>
        <v>35.64</v>
      </c>
      <c r="Q39" s="15">
        <f t="shared" si="4"/>
        <v>48.02000000000001</v>
      </c>
    </row>
    <row r="40" spans="1:17" x14ac:dyDescent="0.2">
      <c r="A40" s="16">
        <v>44806</v>
      </c>
      <c r="B40" s="13">
        <v>18</v>
      </c>
      <c r="C40" s="17">
        <v>4.2</v>
      </c>
      <c r="D40" s="17">
        <v>7.6</v>
      </c>
      <c r="E40" s="17">
        <v>5.9</v>
      </c>
      <c r="F40" s="17">
        <v>8.1</v>
      </c>
      <c r="G40" s="17">
        <v>4.0999999999999996</v>
      </c>
      <c r="H40" s="17">
        <v>5.8</v>
      </c>
      <c r="I40" s="17">
        <v>4</v>
      </c>
      <c r="J40" s="17">
        <v>7.4</v>
      </c>
      <c r="K40" s="17">
        <v>4.5999999999999996</v>
      </c>
      <c r="L40" s="17">
        <v>10</v>
      </c>
      <c r="M40" s="15">
        <f t="shared" si="0"/>
        <v>31.919999999999998</v>
      </c>
      <c r="N40" s="15">
        <f t="shared" si="1"/>
        <v>47.79</v>
      </c>
      <c r="O40" s="15">
        <f t="shared" si="2"/>
        <v>23.779999999999998</v>
      </c>
      <c r="P40" s="15">
        <f t="shared" si="3"/>
        <v>29.6</v>
      </c>
      <c r="Q40" s="15">
        <f t="shared" si="4"/>
        <v>46</v>
      </c>
    </row>
    <row r="41" spans="1:17" x14ac:dyDescent="0.2">
      <c r="A41" s="16">
        <v>44809</v>
      </c>
      <c r="B41" s="13">
        <v>21</v>
      </c>
      <c r="C41" s="17">
        <v>5.0999999999999996</v>
      </c>
      <c r="D41" s="17">
        <v>8.1</v>
      </c>
      <c r="E41" s="17">
        <v>11.1</v>
      </c>
      <c r="F41" s="17">
        <v>8.1999999999999993</v>
      </c>
      <c r="G41" s="17">
        <v>7</v>
      </c>
      <c r="H41" s="17">
        <v>6.5</v>
      </c>
      <c r="I41" s="17">
        <v>5</v>
      </c>
      <c r="J41" s="17">
        <v>7.4</v>
      </c>
      <c r="K41" s="17">
        <v>5.5</v>
      </c>
      <c r="L41" s="17">
        <v>11.7</v>
      </c>
      <c r="M41" s="15">
        <f t="shared" si="0"/>
        <v>41.309999999999995</v>
      </c>
      <c r="N41" s="15">
        <f t="shared" si="1"/>
        <v>91.02</v>
      </c>
      <c r="O41" s="15">
        <f t="shared" si="2"/>
        <v>45.5</v>
      </c>
      <c r="P41" s="15">
        <f t="shared" si="3"/>
        <v>37</v>
      </c>
      <c r="Q41" s="15">
        <f t="shared" si="4"/>
        <v>64.349999999999994</v>
      </c>
    </row>
    <row r="42" spans="1:17" x14ac:dyDescent="0.2">
      <c r="A42" s="16">
        <v>44811</v>
      </c>
      <c r="B42" s="13">
        <v>23</v>
      </c>
      <c r="C42" s="17">
        <v>6.6</v>
      </c>
      <c r="D42" s="17">
        <v>8.6999999999999993</v>
      </c>
      <c r="E42" s="17">
        <v>14.6</v>
      </c>
      <c r="F42" s="17">
        <v>8.6999999999999993</v>
      </c>
      <c r="G42" s="17">
        <v>10.1</v>
      </c>
      <c r="H42" s="17">
        <v>8.4</v>
      </c>
      <c r="I42" s="17">
        <v>6.6</v>
      </c>
      <c r="J42" s="17">
        <v>9</v>
      </c>
      <c r="K42" s="17">
        <v>12.5</v>
      </c>
      <c r="L42" s="17">
        <v>7.5</v>
      </c>
      <c r="M42" s="15">
        <f t="shared" si="0"/>
        <v>57.419999999999995</v>
      </c>
      <c r="N42" s="15">
        <f t="shared" si="1"/>
        <v>127.01999999999998</v>
      </c>
      <c r="O42" s="15">
        <f t="shared" si="2"/>
        <v>84.84</v>
      </c>
      <c r="P42" s="15">
        <f t="shared" si="3"/>
        <v>59.4</v>
      </c>
      <c r="Q42" s="15">
        <f t="shared" si="4"/>
        <v>93.75</v>
      </c>
    </row>
    <row r="43" spans="1:17" x14ac:dyDescent="0.2">
      <c r="A43" s="16">
        <v>44813</v>
      </c>
      <c r="B43" s="13">
        <v>25</v>
      </c>
      <c r="C43" s="17">
        <v>7.4</v>
      </c>
      <c r="D43" s="17">
        <v>11</v>
      </c>
      <c r="E43" s="17">
        <v>13.3</v>
      </c>
      <c r="F43" s="17">
        <v>11.6</v>
      </c>
      <c r="G43" s="17">
        <v>9.4</v>
      </c>
      <c r="H43" s="17">
        <v>10.3</v>
      </c>
      <c r="I43" s="17">
        <v>8.6</v>
      </c>
      <c r="J43" s="17">
        <v>9.6</v>
      </c>
      <c r="K43" s="17">
        <v>10.1</v>
      </c>
      <c r="L43" s="17">
        <v>14.5</v>
      </c>
      <c r="M43" s="15">
        <f t="shared" si="0"/>
        <v>81.400000000000006</v>
      </c>
      <c r="N43" s="15">
        <f t="shared" si="1"/>
        <v>154.28</v>
      </c>
      <c r="O43" s="15">
        <f t="shared" si="2"/>
        <v>96.820000000000007</v>
      </c>
      <c r="P43" s="15">
        <f t="shared" si="3"/>
        <v>82.559999999999988</v>
      </c>
      <c r="Q43" s="15">
        <f t="shared" si="4"/>
        <v>146.44999999999999</v>
      </c>
    </row>
    <row r="44" spans="1:17" x14ac:dyDescent="0.2">
      <c r="A44" s="16">
        <v>44816</v>
      </c>
      <c r="B44" s="13">
        <v>28</v>
      </c>
      <c r="C44" s="17">
        <v>8.6999999999999993</v>
      </c>
      <c r="D44" s="17">
        <v>11.7</v>
      </c>
      <c r="E44" s="17">
        <v>14</v>
      </c>
      <c r="F44" s="17">
        <v>13.8</v>
      </c>
      <c r="G44" s="17">
        <v>11.3</v>
      </c>
      <c r="H44" s="17">
        <v>12.8</v>
      </c>
      <c r="I44" s="17">
        <v>8.8000000000000007</v>
      </c>
      <c r="J44" s="17">
        <v>11.2</v>
      </c>
      <c r="K44" s="17">
        <v>15.5</v>
      </c>
      <c r="L44" s="17">
        <v>8.4</v>
      </c>
      <c r="M44" s="15">
        <f t="shared" si="0"/>
        <v>101.78999999999999</v>
      </c>
      <c r="N44" s="15">
        <f t="shared" si="1"/>
        <v>193.20000000000002</v>
      </c>
      <c r="O44" s="15">
        <f t="shared" si="2"/>
        <v>144.64000000000001</v>
      </c>
      <c r="P44" s="15">
        <f t="shared" si="3"/>
        <v>98.56</v>
      </c>
      <c r="Q44" s="15">
        <f t="shared" si="4"/>
        <v>130.20000000000002</v>
      </c>
    </row>
    <row r="45" spans="1:17" x14ac:dyDescent="0.2">
      <c r="A45" s="16"/>
      <c r="B45" s="13"/>
    </row>
    <row r="46" spans="1:17" x14ac:dyDescent="0.2">
      <c r="A46" s="16"/>
      <c r="B46" s="18"/>
    </row>
    <row r="47" spans="1:17" x14ac:dyDescent="0.2">
      <c r="A47" s="16"/>
      <c r="B47" s="18"/>
    </row>
    <row r="49" spans="1:17" x14ac:dyDescent="0.2">
      <c r="A49" s="13" t="s">
        <v>17</v>
      </c>
      <c r="B49" s="13"/>
      <c r="C49" s="14" t="s">
        <v>4</v>
      </c>
      <c r="D49" s="14"/>
      <c r="E49" s="14" t="s">
        <v>5</v>
      </c>
      <c r="F49" s="14"/>
      <c r="G49" s="14" t="s">
        <v>6</v>
      </c>
      <c r="H49" s="14"/>
      <c r="I49" s="14" t="s">
        <v>7</v>
      </c>
      <c r="J49" s="14"/>
      <c r="K49" s="14" t="s">
        <v>8</v>
      </c>
      <c r="L49" s="14"/>
      <c r="M49" s="15" t="s">
        <v>9</v>
      </c>
      <c r="N49" s="15" t="s">
        <v>10</v>
      </c>
      <c r="O49" s="15" t="s">
        <v>11</v>
      </c>
      <c r="P49" s="15" t="s">
        <v>12</v>
      </c>
      <c r="Q49" s="15" t="s">
        <v>13</v>
      </c>
    </row>
    <row r="50" spans="1:17" x14ac:dyDescent="0.2">
      <c r="A50" s="13" t="s">
        <v>14</v>
      </c>
      <c r="B50" s="13" t="s">
        <v>15</v>
      </c>
      <c r="C50" s="15" t="s">
        <v>6</v>
      </c>
      <c r="D50" s="15" t="s">
        <v>16</v>
      </c>
      <c r="E50" s="15" t="s">
        <v>6</v>
      </c>
      <c r="F50" s="15" t="s">
        <v>16</v>
      </c>
      <c r="G50" s="15" t="s">
        <v>6</v>
      </c>
      <c r="H50" s="15" t="s">
        <v>16</v>
      </c>
      <c r="I50" s="15" t="s">
        <v>6</v>
      </c>
      <c r="J50" s="15" t="s">
        <v>16</v>
      </c>
      <c r="K50" s="15" t="s">
        <v>6</v>
      </c>
      <c r="L50" s="15" t="s">
        <v>16</v>
      </c>
      <c r="M50" s="15"/>
      <c r="N50" s="15"/>
      <c r="O50" s="15"/>
      <c r="P50" s="15"/>
      <c r="Q50" s="15"/>
    </row>
    <row r="51" spans="1:17" x14ac:dyDescent="0.2">
      <c r="A51" s="16">
        <v>44796</v>
      </c>
      <c r="B51" s="13">
        <v>8</v>
      </c>
      <c r="C51" s="17">
        <v>7.1</v>
      </c>
      <c r="D51" s="17">
        <v>3.84</v>
      </c>
      <c r="E51" s="17">
        <v>7.02</v>
      </c>
      <c r="F51" s="17">
        <v>3.34</v>
      </c>
      <c r="G51" s="17">
        <v>7.1</v>
      </c>
      <c r="H51" s="17">
        <v>5.25</v>
      </c>
      <c r="I51" s="17">
        <v>6.5</v>
      </c>
      <c r="J51" s="17">
        <v>4.8600000000000003</v>
      </c>
      <c r="K51" s="17">
        <v>4.07</v>
      </c>
      <c r="L51" s="17">
        <v>3.57</v>
      </c>
      <c r="M51" s="15">
        <f>C51*D51</f>
        <v>27.263999999999999</v>
      </c>
      <c r="N51" s="15">
        <f>E51*F51</f>
        <v>23.446799999999996</v>
      </c>
      <c r="O51" s="15">
        <f>G51*H51</f>
        <v>37.274999999999999</v>
      </c>
      <c r="P51" s="15">
        <f>I51*J51</f>
        <v>31.590000000000003</v>
      </c>
      <c r="Q51" s="15">
        <f>K51*L51</f>
        <v>14.5299</v>
      </c>
    </row>
    <row r="52" spans="1:17" x14ac:dyDescent="0.2">
      <c r="A52" s="16">
        <v>44798</v>
      </c>
      <c r="B52" s="13">
        <v>10</v>
      </c>
      <c r="C52" s="17">
        <v>8.4499999999999993</v>
      </c>
      <c r="D52" s="17">
        <v>7.25</v>
      </c>
      <c r="E52" s="17">
        <v>9.14</v>
      </c>
      <c r="F52" s="17">
        <v>4.05</v>
      </c>
      <c r="G52" s="17">
        <v>8.0500000000000007</v>
      </c>
      <c r="H52" s="17">
        <v>6.16</v>
      </c>
      <c r="I52" s="17">
        <v>8.69</v>
      </c>
      <c r="J52" s="17">
        <v>7.39</v>
      </c>
      <c r="K52" s="17">
        <v>4.6500000000000004</v>
      </c>
      <c r="L52" s="17">
        <v>4.6500000000000004</v>
      </c>
      <c r="M52" s="15">
        <f t="shared" ref="M52:M59" si="5">C52*D52</f>
        <v>61.262499999999996</v>
      </c>
      <c r="N52" s="15">
        <f t="shared" ref="N52:N59" si="6">E52*F52</f>
        <v>37.017000000000003</v>
      </c>
      <c r="O52" s="15">
        <f t="shared" ref="O52:O59" si="7">G52*H52</f>
        <v>49.588000000000008</v>
      </c>
      <c r="P52" s="15">
        <f t="shared" ref="P52:P59" si="8">I52*J52</f>
        <v>64.219099999999997</v>
      </c>
      <c r="Q52" s="15">
        <f t="shared" ref="Q52:Q59" si="9">K52*L52</f>
        <v>21.622500000000002</v>
      </c>
    </row>
    <row r="53" spans="1:17" x14ac:dyDescent="0.2">
      <c r="A53" s="16">
        <v>44802</v>
      </c>
      <c r="B53" s="13">
        <v>14</v>
      </c>
      <c r="C53" s="17">
        <v>9.32</v>
      </c>
      <c r="D53" s="17">
        <v>8.27</v>
      </c>
      <c r="E53" s="17">
        <v>9.4600000000000009</v>
      </c>
      <c r="F53" s="17">
        <v>5.71</v>
      </c>
      <c r="G53" s="17">
        <v>9.3000000000000007</v>
      </c>
      <c r="H53" s="17">
        <v>6.15</v>
      </c>
      <c r="I53" s="17">
        <v>9.8800000000000008</v>
      </c>
      <c r="J53" s="17">
        <v>8.57</v>
      </c>
      <c r="K53" s="17">
        <v>5.83</v>
      </c>
      <c r="L53" s="17">
        <v>4.5999999999999996</v>
      </c>
      <c r="M53" s="15">
        <f t="shared" si="5"/>
        <v>77.076399999999992</v>
      </c>
      <c r="N53" s="15">
        <f t="shared" si="6"/>
        <v>54.016600000000004</v>
      </c>
      <c r="O53" s="15">
        <f t="shared" si="7"/>
        <v>57.195000000000007</v>
      </c>
      <c r="P53" s="15">
        <f t="shared" si="8"/>
        <v>84.671600000000012</v>
      </c>
      <c r="Q53" s="15">
        <f t="shared" si="9"/>
        <v>26.817999999999998</v>
      </c>
    </row>
    <row r="54" spans="1:17" x14ac:dyDescent="0.2">
      <c r="A54" s="16">
        <v>44804</v>
      </c>
      <c r="B54" s="13">
        <v>16</v>
      </c>
      <c r="C54" s="17">
        <v>4.0999999999999996</v>
      </c>
      <c r="D54" s="17">
        <v>8.9</v>
      </c>
      <c r="E54" s="17">
        <v>5</v>
      </c>
      <c r="F54" s="17">
        <v>10.7</v>
      </c>
      <c r="G54" s="17">
        <v>4</v>
      </c>
      <c r="H54" s="17">
        <v>9.8000000000000007</v>
      </c>
      <c r="I54" s="17">
        <v>5.2</v>
      </c>
      <c r="J54" s="17">
        <v>10.1</v>
      </c>
      <c r="K54" s="17">
        <v>5.6</v>
      </c>
      <c r="L54" s="17">
        <v>8.6</v>
      </c>
      <c r="M54" s="15">
        <f t="shared" si="5"/>
        <v>36.489999999999995</v>
      </c>
      <c r="N54" s="15">
        <f t="shared" si="6"/>
        <v>53.5</v>
      </c>
      <c r="O54" s="15">
        <f t="shared" si="7"/>
        <v>39.200000000000003</v>
      </c>
      <c r="P54" s="15">
        <f t="shared" si="8"/>
        <v>52.52</v>
      </c>
      <c r="Q54" s="15">
        <f t="shared" si="9"/>
        <v>48.16</v>
      </c>
    </row>
    <row r="55" spans="1:17" x14ac:dyDescent="0.2">
      <c r="A55" s="16">
        <v>44806</v>
      </c>
      <c r="B55" s="13">
        <v>18</v>
      </c>
      <c r="C55" s="17">
        <v>4.9000000000000004</v>
      </c>
      <c r="D55" s="17">
        <v>9.9</v>
      </c>
      <c r="E55" s="17">
        <v>5.2</v>
      </c>
      <c r="F55" s="17">
        <v>10.6</v>
      </c>
      <c r="G55" s="17">
        <v>5.6</v>
      </c>
      <c r="H55" s="17">
        <v>10.6</v>
      </c>
      <c r="I55" s="17">
        <v>9.6</v>
      </c>
      <c r="J55" s="17">
        <v>5.2</v>
      </c>
      <c r="K55" s="17">
        <v>4.9000000000000004</v>
      </c>
      <c r="L55" s="17">
        <v>9.9</v>
      </c>
      <c r="M55" s="15">
        <f t="shared" si="5"/>
        <v>48.510000000000005</v>
      </c>
      <c r="N55" s="15">
        <f t="shared" si="6"/>
        <v>55.12</v>
      </c>
      <c r="O55" s="15">
        <f t="shared" si="7"/>
        <v>59.359999999999992</v>
      </c>
      <c r="P55" s="15">
        <f t="shared" si="8"/>
        <v>49.92</v>
      </c>
      <c r="Q55" s="15">
        <f t="shared" si="9"/>
        <v>48.510000000000005</v>
      </c>
    </row>
    <row r="56" spans="1:17" x14ac:dyDescent="0.2">
      <c r="A56" s="16">
        <v>44809</v>
      </c>
      <c r="B56" s="13">
        <v>21</v>
      </c>
      <c r="C56" s="17">
        <v>8</v>
      </c>
      <c r="D56" s="17">
        <v>10.5</v>
      </c>
      <c r="E56" s="17">
        <v>6</v>
      </c>
      <c r="F56" s="17">
        <v>10.199999999999999</v>
      </c>
      <c r="G56" s="17">
        <v>9.4</v>
      </c>
      <c r="H56" s="17">
        <v>10.5</v>
      </c>
      <c r="I56" s="17">
        <v>12.3</v>
      </c>
      <c r="J56" s="17">
        <v>8.4</v>
      </c>
      <c r="K56" s="17">
        <v>5.6</v>
      </c>
      <c r="L56" s="17">
        <v>10.199999999999999</v>
      </c>
      <c r="M56" s="15">
        <f t="shared" si="5"/>
        <v>84</v>
      </c>
      <c r="N56" s="15">
        <f t="shared" si="6"/>
        <v>61.199999999999996</v>
      </c>
      <c r="O56" s="15">
        <f t="shared" si="7"/>
        <v>98.7</v>
      </c>
      <c r="P56" s="15">
        <f t="shared" si="8"/>
        <v>103.32000000000001</v>
      </c>
      <c r="Q56" s="15">
        <f t="shared" si="9"/>
        <v>57.11999999999999</v>
      </c>
    </row>
    <row r="57" spans="1:17" x14ac:dyDescent="0.2">
      <c r="A57" s="16">
        <v>44811</v>
      </c>
      <c r="B57" s="13">
        <v>23</v>
      </c>
      <c r="C57" s="17">
        <v>10.199999999999999</v>
      </c>
      <c r="D57" s="17">
        <v>11.9</v>
      </c>
      <c r="E57" s="17">
        <v>8.1999999999999993</v>
      </c>
      <c r="F57" s="17">
        <v>11.7</v>
      </c>
      <c r="G57" s="17">
        <v>10.3</v>
      </c>
      <c r="H57" s="17">
        <v>11.9</v>
      </c>
      <c r="I57" s="17">
        <v>8.8000000000000007</v>
      </c>
      <c r="J57" s="17">
        <v>13.2</v>
      </c>
      <c r="K57" s="17">
        <v>6.5</v>
      </c>
      <c r="L57" s="17">
        <v>10.4</v>
      </c>
      <c r="M57" s="15">
        <f t="shared" si="5"/>
        <v>121.38</v>
      </c>
      <c r="N57" s="15">
        <f t="shared" si="6"/>
        <v>95.939999999999984</v>
      </c>
      <c r="O57" s="15">
        <f t="shared" si="7"/>
        <v>122.57000000000001</v>
      </c>
      <c r="P57" s="15">
        <f t="shared" si="8"/>
        <v>116.16</v>
      </c>
      <c r="Q57" s="15">
        <f t="shared" si="9"/>
        <v>67.600000000000009</v>
      </c>
    </row>
    <row r="58" spans="1:17" x14ac:dyDescent="0.2">
      <c r="A58" s="16">
        <v>44813</v>
      </c>
      <c r="B58" s="13">
        <v>25</v>
      </c>
      <c r="C58" s="17">
        <v>10.199999999999999</v>
      </c>
      <c r="D58" s="17">
        <v>13.5</v>
      </c>
      <c r="E58" s="17">
        <v>9.1999999999999993</v>
      </c>
      <c r="F58" s="17">
        <v>13.5</v>
      </c>
      <c r="G58" s="17">
        <v>11.1</v>
      </c>
      <c r="H58" s="17">
        <v>14.1</v>
      </c>
      <c r="I58" s="17">
        <v>11.1</v>
      </c>
      <c r="J58" s="17">
        <v>14</v>
      </c>
      <c r="K58" s="17">
        <v>7.2</v>
      </c>
      <c r="L58" s="17">
        <v>10.6</v>
      </c>
      <c r="M58" s="15">
        <f t="shared" si="5"/>
        <v>137.69999999999999</v>
      </c>
      <c r="N58" s="15">
        <f t="shared" si="6"/>
        <v>124.19999999999999</v>
      </c>
      <c r="O58" s="15">
        <f t="shared" si="7"/>
        <v>156.51</v>
      </c>
      <c r="P58" s="15">
        <f t="shared" si="8"/>
        <v>155.4</v>
      </c>
      <c r="Q58" s="15">
        <f t="shared" si="9"/>
        <v>76.319999999999993</v>
      </c>
    </row>
    <row r="59" spans="1:17" x14ac:dyDescent="0.2">
      <c r="A59" s="16">
        <v>44816</v>
      </c>
      <c r="B59" s="13">
        <v>28</v>
      </c>
      <c r="C59" s="17">
        <v>11.3</v>
      </c>
      <c r="D59" s="17">
        <v>14.2</v>
      </c>
      <c r="E59" s="17">
        <v>10.1</v>
      </c>
      <c r="F59" s="17">
        <v>15</v>
      </c>
      <c r="G59" s="17">
        <v>12</v>
      </c>
      <c r="H59" s="17">
        <v>15.4</v>
      </c>
      <c r="I59" s="17">
        <v>10.8</v>
      </c>
      <c r="J59" s="17">
        <v>14.9</v>
      </c>
      <c r="K59" s="17">
        <v>9.6999999999999993</v>
      </c>
      <c r="L59" s="17">
        <v>10.8</v>
      </c>
      <c r="M59" s="15">
        <f t="shared" si="5"/>
        <v>160.46</v>
      </c>
      <c r="N59" s="15">
        <f t="shared" si="6"/>
        <v>151.5</v>
      </c>
      <c r="O59" s="15">
        <f t="shared" si="7"/>
        <v>184.8</v>
      </c>
      <c r="P59" s="15">
        <f t="shared" si="8"/>
        <v>160.92000000000002</v>
      </c>
      <c r="Q59" s="15">
        <f t="shared" si="9"/>
        <v>104.76</v>
      </c>
    </row>
    <row r="60" spans="1:17" x14ac:dyDescent="0.2">
      <c r="A60" s="16"/>
      <c r="B60" s="13"/>
    </row>
    <row r="61" spans="1:17" x14ac:dyDescent="0.2">
      <c r="A61" s="16"/>
      <c r="B61" s="18"/>
    </row>
    <row r="62" spans="1:17" x14ac:dyDescent="0.2">
      <c r="A62" s="1" t="s">
        <v>19</v>
      </c>
    </row>
    <row r="63" spans="1:17" x14ac:dyDescent="0.2">
      <c r="A63" s="1" t="s">
        <v>20</v>
      </c>
    </row>
    <row r="64" spans="1:17" x14ac:dyDescent="0.2">
      <c r="B64" s="19"/>
      <c r="C64" s="19"/>
      <c r="D64" s="19"/>
      <c r="E64" s="19"/>
      <c r="F64" s="19"/>
      <c r="G64" s="19"/>
    </row>
    <row r="65" spans="1:7" x14ac:dyDescent="0.2">
      <c r="A65" t="s">
        <v>21</v>
      </c>
    </row>
    <row r="66" spans="1:7" x14ac:dyDescent="0.2">
      <c r="A66" t="s">
        <v>17</v>
      </c>
      <c r="B66" t="s">
        <v>22</v>
      </c>
      <c r="C66" t="s">
        <v>23</v>
      </c>
      <c r="D66" t="s">
        <v>4</v>
      </c>
      <c r="E66" t="s">
        <v>5</v>
      </c>
      <c r="F66" t="s">
        <v>6</v>
      </c>
      <c r="G66" t="s">
        <v>7</v>
      </c>
    </row>
    <row r="67" spans="1:7" x14ac:dyDescent="0.2">
      <c r="A67" s="19"/>
      <c r="B67" s="19">
        <v>43640</v>
      </c>
      <c r="C67">
        <v>5</v>
      </c>
      <c r="D67">
        <f>4.51*3.42</f>
        <v>15.424199999999999</v>
      </c>
      <c r="E67">
        <f>3.5*4.24</f>
        <v>14.84</v>
      </c>
      <c r="F67">
        <f>2.44*4.2</f>
        <v>10.247999999999999</v>
      </c>
      <c r="G67">
        <f>3.26*4.16</f>
        <v>13.5616</v>
      </c>
    </row>
    <row r="68" spans="1:7" x14ac:dyDescent="0.2">
      <c r="A68" s="19"/>
      <c r="B68" s="19">
        <v>43642</v>
      </c>
      <c r="C68">
        <v>7</v>
      </c>
      <c r="D68">
        <f>4.71*4.1</f>
        <v>19.311</v>
      </c>
      <c r="E68">
        <f>4.45*4.25</f>
        <v>18.912500000000001</v>
      </c>
      <c r="F68">
        <f>5.11*3.19</f>
        <v>16.300900000000002</v>
      </c>
      <c r="G68">
        <f>4.17*4.16</f>
        <v>17.347200000000001</v>
      </c>
    </row>
    <row r="69" spans="1:7" x14ac:dyDescent="0.2">
      <c r="A69" s="19"/>
      <c r="B69" s="19">
        <v>43644</v>
      </c>
      <c r="C69">
        <v>9</v>
      </c>
      <c r="D69">
        <f>5.46*4.33</f>
        <v>23.6418</v>
      </c>
      <c r="E69">
        <f>5.42*4.25</f>
        <v>23.035</v>
      </c>
      <c r="F69">
        <f>4.9*4.17</f>
        <v>20.433</v>
      </c>
      <c r="G69">
        <f>4.66*4.66</f>
        <v>21.715600000000002</v>
      </c>
    </row>
    <row r="70" spans="1:7" x14ac:dyDescent="0.2">
      <c r="A70" s="19"/>
      <c r="B70" s="19">
        <v>43647</v>
      </c>
      <c r="C70">
        <v>12</v>
      </c>
      <c r="D70">
        <f>6.67*5.36</f>
        <v>35.751200000000004</v>
      </c>
      <c r="E70">
        <f>5.95*5.23</f>
        <v>31.118500000000004</v>
      </c>
      <c r="F70">
        <f>5.94*5.35</f>
        <v>31.779</v>
      </c>
      <c r="G70">
        <f>6.43*4.35</f>
        <v>27.970499999999998</v>
      </c>
    </row>
    <row r="71" spans="1:7" x14ac:dyDescent="0.2">
      <c r="A71" s="19"/>
      <c r="B71" s="19">
        <v>43649</v>
      </c>
      <c r="C71">
        <v>14</v>
      </c>
      <c r="D71">
        <f>7.17*5.57</f>
        <v>39.936900000000001</v>
      </c>
      <c r="E71">
        <f>6.68*5.37</f>
        <v>35.871600000000001</v>
      </c>
      <c r="F71">
        <f>5.65*5.84</f>
        <v>32.996000000000002</v>
      </c>
      <c r="G71">
        <f>5.09*5.5</f>
        <v>27.994999999999997</v>
      </c>
    </row>
    <row r="72" spans="1:7" x14ac:dyDescent="0.2">
      <c r="A72" s="19"/>
      <c r="B72" s="19">
        <v>43654</v>
      </c>
      <c r="C72">
        <v>19</v>
      </c>
      <c r="D72">
        <f>7.95*8.71</f>
        <v>69.244500000000002</v>
      </c>
      <c r="E72">
        <f>8.76*7.09</f>
        <v>62.108399999999996</v>
      </c>
      <c r="F72">
        <f>8.73*7.48</f>
        <v>65.30040000000001</v>
      </c>
      <c r="G72">
        <f>8.03*7.06</f>
        <v>56.691799999999994</v>
      </c>
    </row>
    <row r="73" spans="1:7" x14ac:dyDescent="0.2">
      <c r="A73" s="19"/>
      <c r="B73" s="19">
        <v>43656</v>
      </c>
      <c r="C73">
        <v>21</v>
      </c>
      <c r="D73">
        <f>9.02*8.53</f>
        <v>76.940599999999989</v>
      </c>
      <c r="E73">
        <f>8.95*8.12</f>
        <v>72.673999999999992</v>
      </c>
      <c r="F73">
        <f>9.4*8.12</f>
        <v>76.327999999999989</v>
      </c>
      <c r="G73">
        <f>8.41*8.3</f>
        <v>69.803000000000011</v>
      </c>
    </row>
    <row r="74" spans="1:7" x14ac:dyDescent="0.2">
      <c r="A74" s="19"/>
      <c r="B74" s="19">
        <v>43658</v>
      </c>
      <c r="C74">
        <v>23</v>
      </c>
      <c r="D74">
        <f>10.65*8.61</f>
        <v>91.6965</v>
      </c>
      <c r="E74">
        <f>9.54*8.31</f>
        <v>79.2774</v>
      </c>
      <c r="F74">
        <f>10.32*8.36</f>
        <v>86.275199999999998</v>
      </c>
      <c r="G74">
        <f>9.15*8.17</f>
        <v>74.755499999999998</v>
      </c>
    </row>
    <row r="75" spans="1:7" x14ac:dyDescent="0.2">
      <c r="B75" t="s">
        <v>24</v>
      </c>
      <c r="C75">
        <v>27</v>
      </c>
      <c r="D75">
        <f>11.74*10.68</f>
        <v>125.3832</v>
      </c>
      <c r="E75">
        <f>11.14*9.95</f>
        <v>110.843</v>
      </c>
      <c r="F75">
        <f>11.03*10.62</f>
        <v>117.13859999999998</v>
      </c>
      <c r="G75">
        <f>10.08*10.07</f>
        <v>101.5056</v>
      </c>
    </row>
    <row r="77" spans="1:7" x14ac:dyDescent="0.2">
      <c r="A77" t="s">
        <v>3</v>
      </c>
      <c r="B77" t="s">
        <v>22</v>
      </c>
      <c r="C77" t="s">
        <v>23</v>
      </c>
      <c r="D77" t="s">
        <v>4</v>
      </c>
      <c r="E77" t="s">
        <v>5</v>
      </c>
      <c r="F77" t="s">
        <v>6</v>
      </c>
      <c r="G77" t="s">
        <v>7</v>
      </c>
    </row>
    <row r="78" spans="1:7" x14ac:dyDescent="0.2">
      <c r="A78" s="19"/>
      <c r="B78" s="19">
        <v>43640</v>
      </c>
      <c r="C78">
        <v>5</v>
      </c>
      <c r="D78">
        <f>3.7*3.16</f>
        <v>11.692000000000002</v>
      </c>
      <c r="E78">
        <f>2.85*3.87</f>
        <v>11.029500000000001</v>
      </c>
      <c r="F78">
        <f>2.77*3.75</f>
        <v>10.387499999999999</v>
      </c>
      <c r="G78">
        <f>2.64*3.8</f>
        <v>10.032</v>
      </c>
    </row>
    <row r="79" spans="1:7" x14ac:dyDescent="0.2">
      <c r="A79" s="19"/>
      <c r="B79" s="19">
        <v>43642</v>
      </c>
      <c r="C79">
        <v>7</v>
      </c>
      <c r="D79">
        <f>3.86*4.26</f>
        <v>16.4436</v>
      </c>
      <c r="E79">
        <f>3.65*4.81</f>
        <v>17.5565</v>
      </c>
      <c r="F79">
        <f>3.66*4.04</f>
        <v>14.7864</v>
      </c>
      <c r="G79">
        <f>3.26*4.05</f>
        <v>13.202999999999999</v>
      </c>
    </row>
    <row r="80" spans="1:7" x14ac:dyDescent="0.2">
      <c r="A80" s="19"/>
      <c r="B80" s="19">
        <v>43644</v>
      </c>
      <c r="C80">
        <v>9</v>
      </c>
      <c r="D80">
        <f>4.74*4.86</f>
        <v>23.036400000000004</v>
      </c>
      <c r="E80">
        <f>5.36*4.65</f>
        <v>24.924000000000003</v>
      </c>
      <c r="F80">
        <f>4.44*4.16</f>
        <v>18.470400000000001</v>
      </c>
      <c r="G80">
        <f>4.72*3.6</f>
        <v>16.992000000000001</v>
      </c>
    </row>
    <row r="81" spans="1:10" x14ac:dyDescent="0.2">
      <c r="A81" s="19"/>
      <c r="B81" s="19">
        <v>43647</v>
      </c>
      <c r="C81">
        <v>12</v>
      </c>
      <c r="D81">
        <f>5.48*5.16</f>
        <v>28.276800000000001</v>
      </c>
      <c r="E81">
        <f>6.43*4.87</f>
        <v>31.3141</v>
      </c>
      <c r="F81">
        <f>5.47*5.31</f>
        <v>29.045699999999997</v>
      </c>
      <c r="G81">
        <f>5.19*4.85</f>
        <v>25.171500000000002</v>
      </c>
    </row>
    <row r="82" spans="1:10" x14ac:dyDescent="0.2">
      <c r="A82" s="19"/>
      <c r="B82" s="19">
        <v>43649</v>
      </c>
      <c r="C82">
        <v>14</v>
      </c>
      <c r="D82">
        <f>6.97*6.31</f>
        <v>43.980699999999999</v>
      </c>
      <c r="E82">
        <f>7.04*6.45</f>
        <v>45.408000000000001</v>
      </c>
      <c r="F82">
        <f>6.11*5.72</f>
        <v>34.949199999999998</v>
      </c>
      <c r="G82">
        <f>4.833*5.11</f>
        <v>24.696630000000003</v>
      </c>
    </row>
    <row r="83" spans="1:10" x14ac:dyDescent="0.2">
      <c r="A83" s="19"/>
      <c r="B83" s="19">
        <v>43654</v>
      </c>
      <c r="C83">
        <v>19</v>
      </c>
      <c r="D83">
        <f>8.15*8.65</f>
        <v>70.497500000000002</v>
      </c>
      <c r="E83">
        <f>9.14*8.91</f>
        <v>81.437400000000011</v>
      </c>
      <c r="F83">
        <f>8.68*7.16</f>
        <v>62.148800000000001</v>
      </c>
      <c r="G83">
        <f>8.03*7.45</f>
        <v>59.823499999999996</v>
      </c>
    </row>
    <row r="84" spans="1:10" x14ac:dyDescent="0.2">
      <c r="A84" s="19"/>
      <c r="B84" s="19">
        <v>43656</v>
      </c>
      <c r="C84">
        <v>21</v>
      </c>
      <c r="D84">
        <f>9.14*8.59</f>
        <v>78.512600000000006</v>
      </c>
      <c r="E84">
        <f>9.11*9.54</f>
        <v>86.909399999999991</v>
      </c>
      <c r="F84">
        <f>8.22*8.84</f>
        <v>72.6648</v>
      </c>
      <c r="G84">
        <f>8.54*8.33</f>
        <v>71.138199999999998</v>
      </c>
    </row>
    <row r="85" spans="1:10" x14ac:dyDescent="0.2">
      <c r="A85" s="19"/>
      <c r="B85" s="19">
        <v>43658</v>
      </c>
      <c r="C85">
        <v>23</v>
      </c>
      <c r="D85">
        <f>10.41*9.69</f>
        <v>100.8729</v>
      </c>
      <c r="E85">
        <f>10.77*10.08</f>
        <v>108.5616</v>
      </c>
      <c r="F85">
        <f>10.1*8.96</f>
        <v>90.496000000000009</v>
      </c>
      <c r="G85">
        <f>8.57*9.58</f>
        <v>82.1006</v>
      </c>
    </row>
    <row r="86" spans="1:10" x14ac:dyDescent="0.2">
      <c r="B86" t="s">
        <v>24</v>
      </c>
      <c r="C86">
        <v>27</v>
      </c>
      <c r="D86">
        <f>11.2*11.2</f>
        <v>125.43999999999998</v>
      </c>
      <c r="E86">
        <f>11.9*10.61</f>
        <v>126.259</v>
      </c>
      <c r="F86">
        <f>10.97*9.67</f>
        <v>106.07990000000001</v>
      </c>
      <c r="G86">
        <f>10.98*9.51</f>
        <v>104.4198</v>
      </c>
    </row>
    <row r="90" spans="1:10" x14ac:dyDescent="0.2">
      <c r="A90" s="1" t="s">
        <v>25</v>
      </c>
    </row>
    <row r="92" spans="1:10" x14ac:dyDescent="0.2">
      <c r="A92" t="s">
        <v>26</v>
      </c>
    </row>
    <row r="93" spans="1:10" x14ac:dyDescent="0.2">
      <c r="A93" t="s">
        <v>27</v>
      </c>
      <c r="B93" t="s">
        <v>28</v>
      </c>
      <c r="C93" t="s">
        <v>29</v>
      </c>
      <c r="D93" t="s">
        <v>30</v>
      </c>
      <c r="E93" t="s">
        <v>31</v>
      </c>
      <c r="F93" t="s">
        <v>32</v>
      </c>
      <c r="G93" t="s">
        <v>33</v>
      </c>
      <c r="H93" t="s">
        <v>34</v>
      </c>
      <c r="I93" t="s">
        <v>35</v>
      </c>
      <c r="J93" t="s">
        <v>36</v>
      </c>
    </row>
    <row r="94" spans="1:10" x14ac:dyDescent="0.2">
      <c r="A94" t="s">
        <v>37</v>
      </c>
      <c r="B94" t="s">
        <v>17</v>
      </c>
      <c r="C94">
        <v>15336</v>
      </c>
      <c r="D94">
        <f>20*1030</f>
        <v>20600</v>
      </c>
      <c r="E94">
        <v>177</v>
      </c>
      <c r="F94">
        <v>1.5085999999999999</v>
      </c>
      <c r="G94">
        <v>1.5431999999999999</v>
      </c>
      <c r="H94">
        <f>G94-F94</f>
        <v>3.4599999999999964E-2</v>
      </c>
      <c r="I94">
        <f>E94/C94*D94</f>
        <v>237.75430359937403</v>
      </c>
      <c r="J94">
        <f>I94/H94</f>
        <v>6871.5116647218001</v>
      </c>
    </row>
    <row r="95" spans="1:10" x14ac:dyDescent="0.2">
      <c r="A95" t="s">
        <v>38</v>
      </c>
      <c r="B95" t="s">
        <v>17</v>
      </c>
      <c r="C95">
        <v>13982</v>
      </c>
      <c r="D95">
        <f t="shared" ref="D95:D97" si="10">20*1030</f>
        <v>20600</v>
      </c>
      <c r="E95">
        <v>599</v>
      </c>
      <c r="F95">
        <v>1.4842</v>
      </c>
      <c r="G95">
        <v>1.5165</v>
      </c>
      <c r="H95">
        <f>G95-F95</f>
        <v>3.2299999999999995E-2</v>
      </c>
      <c r="I95">
        <f t="shared" ref="I95:I97" si="11">E95/C95*D95</f>
        <v>882.52038335002135</v>
      </c>
      <c r="J95">
        <f t="shared" ref="J95:J97" si="12">I95/H95</f>
        <v>27322.612487616763</v>
      </c>
    </row>
    <row r="96" spans="1:10" x14ac:dyDescent="0.2">
      <c r="A96" t="s">
        <v>39</v>
      </c>
      <c r="B96" t="s">
        <v>3</v>
      </c>
      <c r="C96">
        <v>14689</v>
      </c>
      <c r="D96">
        <f t="shared" si="10"/>
        <v>20600</v>
      </c>
      <c r="E96">
        <v>1015</v>
      </c>
      <c r="F96">
        <v>1.4833000000000001</v>
      </c>
      <c r="G96">
        <v>1.5146999999999999</v>
      </c>
      <c r="H96">
        <f>G96-F96</f>
        <v>3.1399999999999872E-2</v>
      </c>
      <c r="I96">
        <f t="shared" si="11"/>
        <v>1423.4461161413301</v>
      </c>
      <c r="J96">
        <f t="shared" si="12"/>
        <v>45332.678858004329</v>
      </c>
    </row>
    <row r="97" spans="1:10" x14ac:dyDescent="0.2">
      <c r="A97" t="s">
        <v>40</v>
      </c>
      <c r="B97" t="s">
        <v>3</v>
      </c>
      <c r="C97">
        <v>13072</v>
      </c>
      <c r="D97">
        <f t="shared" si="10"/>
        <v>20600</v>
      </c>
      <c r="E97">
        <v>972</v>
      </c>
      <c r="F97">
        <v>1.4911000000000001</v>
      </c>
      <c r="G97">
        <v>1.5523</v>
      </c>
      <c r="H97">
        <f>G97-F97</f>
        <v>6.1199999999999921E-2</v>
      </c>
      <c r="I97">
        <f t="shared" si="11"/>
        <v>1531.7625458996329</v>
      </c>
      <c r="J97">
        <f t="shared" si="12"/>
        <v>25028.799769601876</v>
      </c>
    </row>
    <row r="99" spans="1:10" x14ac:dyDescent="0.2">
      <c r="A99" t="s">
        <v>41</v>
      </c>
    </row>
    <row r="100" spans="1:10" x14ac:dyDescent="0.2">
      <c r="A100" t="s">
        <v>27</v>
      </c>
      <c r="B100" t="s">
        <v>28</v>
      </c>
      <c r="C100" t="s">
        <v>29</v>
      </c>
      <c r="D100" t="s">
        <v>30</v>
      </c>
      <c r="E100" t="s">
        <v>31</v>
      </c>
      <c r="F100" t="s">
        <v>32</v>
      </c>
      <c r="G100" t="s">
        <v>33</v>
      </c>
      <c r="H100" t="s">
        <v>34</v>
      </c>
      <c r="I100" t="s">
        <v>35</v>
      </c>
      <c r="J100" t="s">
        <v>36</v>
      </c>
    </row>
    <row r="101" spans="1:10" x14ac:dyDescent="0.2">
      <c r="A101" t="s">
        <v>42</v>
      </c>
      <c r="B101" t="s">
        <v>17</v>
      </c>
      <c r="C101">
        <v>35707</v>
      </c>
      <c r="D101">
        <f>0.045*1010000</f>
        <v>45450</v>
      </c>
      <c r="E101">
        <v>47</v>
      </c>
      <c r="H101">
        <v>3.4100000000000019E-2</v>
      </c>
      <c r="I101">
        <f>E101/C101*D101</f>
        <v>59.824404178452397</v>
      </c>
      <c r="J101">
        <f>I101/H101</f>
        <v>1754.3813542068142</v>
      </c>
    </row>
    <row r="102" spans="1:10" x14ac:dyDescent="0.2">
      <c r="A102" t="s">
        <v>43</v>
      </c>
      <c r="B102" t="s">
        <v>17</v>
      </c>
      <c r="C102">
        <v>33811</v>
      </c>
      <c r="D102">
        <f t="shared" ref="D102:D105" si="13">0.045*1010000</f>
        <v>45450</v>
      </c>
      <c r="E102">
        <v>238</v>
      </c>
      <c r="H102">
        <v>5.5800000000000072E-2</v>
      </c>
      <c r="I102">
        <f t="shared" ref="I102:I105" si="14">E102/C102*D102</f>
        <v>319.9284256602881</v>
      </c>
      <c r="J102">
        <f t="shared" ref="J102:J105" si="15">I102/H102</f>
        <v>5733.4843308295285</v>
      </c>
    </row>
    <row r="103" spans="1:10" x14ac:dyDescent="0.2">
      <c r="A103" t="s">
        <v>44</v>
      </c>
      <c r="B103" t="s">
        <v>3</v>
      </c>
      <c r="C103">
        <v>36440</v>
      </c>
      <c r="D103">
        <f t="shared" si="13"/>
        <v>45450</v>
      </c>
      <c r="E103">
        <v>55</v>
      </c>
      <c r="H103">
        <v>2.3400000000000001E-2</v>
      </c>
      <c r="I103">
        <f t="shared" si="14"/>
        <v>68.599066959385297</v>
      </c>
      <c r="J103">
        <f t="shared" si="15"/>
        <v>2931.5840580933886</v>
      </c>
    </row>
    <row r="104" spans="1:10" x14ac:dyDescent="0.2">
      <c r="A104" t="s">
        <v>45</v>
      </c>
      <c r="B104" t="s">
        <v>3</v>
      </c>
      <c r="C104">
        <v>37179</v>
      </c>
      <c r="D104">
        <f t="shared" si="13"/>
        <v>45450</v>
      </c>
      <c r="E104">
        <v>16</v>
      </c>
      <c r="H104">
        <v>2.3099999999999999E-2</v>
      </c>
      <c r="I104">
        <f t="shared" si="14"/>
        <v>19.559428709755508</v>
      </c>
      <c r="J104">
        <f t="shared" si="15"/>
        <v>846.7285155738316</v>
      </c>
    </row>
    <row r="105" spans="1:10" x14ac:dyDescent="0.2">
      <c r="A105" t="s">
        <v>46</v>
      </c>
      <c r="B105" t="s">
        <v>3</v>
      </c>
      <c r="C105">
        <v>37171</v>
      </c>
      <c r="D105">
        <f t="shared" si="13"/>
        <v>45450</v>
      </c>
      <c r="E105">
        <v>20</v>
      </c>
      <c r="H105">
        <v>6.6400000000000001E-2</v>
      </c>
      <c r="I105">
        <f t="shared" si="14"/>
        <v>24.454547900244815</v>
      </c>
      <c r="J105">
        <f t="shared" si="15"/>
        <v>368.29138403983154</v>
      </c>
    </row>
    <row r="108" spans="1:10" x14ac:dyDescent="0.2">
      <c r="A108" s="1" t="s">
        <v>47</v>
      </c>
    </row>
    <row r="110" spans="1:10" x14ac:dyDescent="0.2">
      <c r="A110" t="s">
        <v>26</v>
      </c>
    </row>
    <row r="111" spans="1:10" x14ac:dyDescent="0.2">
      <c r="A111" t="s">
        <v>27</v>
      </c>
      <c r="B111" t="s">
        <v>28</v>
      </c>
      <c r="C111" t="s">
        <v>48</v>
      </c>
    </row>
    <row r="112" spans="1:10" x14ac:dyDescent="0.2">
      <c r="A112" t="s">
        <v>37</v>
      </c>
      <c r="B112" t="s">
        <v>17</v>
      </c>
      <c r="C112" t="s">
        <v>49</v>
      </c>
    </row>
    <row r="113" spans="1:3" x14ac:dyDescent="0.2">
      <c r="A113" t="s">
        <v>38</v>
      </c>
      <c r="B113" t="s">
        <v>17</v>
      </c>
      <c r="C113" t="s">
        <v>50</v>
      </c>
    </row>
    <row r="114" spans="1:3" x14ac:dyDescent="0.2">
      <c r="A114" t="s">
        <v>39</v>
      </c>
      <c r="B114" t="s">
        <v>3</v>
      </c>
      <c r="C114" t="s">
        <v>51</v>
      </c>
    </row>
    <row r="115" spans="1:3" x14ac:dyDescent="0.2">
      <c r="A115" t="s">
        <v>40</v>
      </c>
      <c r="B115" t="s">
        <v>3</v>
      </c>
      <c r="C115" t="s">
        <v>52</v>
      </c>
    </row>
    <row r="117" spans="1:3" x14ac:dyDescent="0.2">
      <c r="A117" t="s">
        <v>41</v>
      </c>
    </row>
    <row r="118" spans="1:3" x14ac:dyDescent="0.2">
      <c r="A118" t="s">
        <v>27</v>
      </c>
      <c r="B118" t="s">
        <v>28</v>
      </c>
      <c r="C118" t="s">
        <v>48</v>
      </c>
    </row>
    <row r="119" spans="1:3" x14ac:dyDescent="0.2">
      <c r="A119" t="s">
        <v>42</v>
      </c>
      <c r="B119" t="s">
        <v>17</v>
      </c>
      <c r="C119">
        <v>1.55</v>
      </c>
    </row>
    <row r="120" spans="1:3" x14ac:dyDescent="0.2">
      <c r="A120" t="s">
        <v>43</v>
      </c>
      <c r="B120" t="s">
        <v>17</v>
      </c>
      <c r="C120">
        <v>3.98</v>
      </c>
    </row>
    <row r="121" spans="1:3" x14ac:dyDescent="0.2">
      <c r="A121" t="s">
        <v>44</v>
      </c>
      <c r="B121" t="s">
        <v>3</v>
      </c>
      <c r="C121">
        <v>5.14</v>
      </c>
    </row>
    <row r="122" spans="1:3" x14ac:dyDescent="0.2">
      <c r="A122" t="s">
        <v>45</v>
      </c>
      <c r="B122" t="s">
        <v>3</v>
      </c>
      <c r="C122">
        <v>7.55</v>
      </c>
    </row>
    <row r="123" spans="1:3" x14ac:dyDescent="0.2">
      <c r="A123" t="s">
        <v>46</v>
      </c>
      <c r="B123" t="s">
        <v>3</v>
      </c>
      <c r="C123">
        <v>3.62</v>
      </c>
    </row>
    <row r="126" spans="1:3" x14ac:dyDescent="0.2">
      <c r="A126" s="1" t="s">
        <v>53</v>
      </c>
    </row>
    <row r="128" spans="1:3" x14ac:dyDescent="0.2">
      <c r="A128" t="s">
        <v>26</v>
      </c>
    </row>
    <row r="129" spans="1:3" x14ac:dyDescent="0.2">
      <c r="A129" t="s">
        <v>27</v>
      </c>
      <c r="B129" t="s">
        <v>28</v>
      </c>
      <c r="C129" t="s">
        <v>54</v>
      </c>
    </row>
    <row r="130" spans="1:3" x14ac:dyDescent="0.2">
      <c r="A130" t="s">
        <v>37</v>
      </c>
      <c r="B130" t="s">
        <v>17</v>
      </c>
      <c r="C130" t="s">
        <v>55</v>
      </c>
    </row>
    <row r="131" spans="1:3" x14ac:dyDescent="0.2">
      <c r="A131" t="s">
        <v>38</v>
      </c>
      <c r="B131" t="s">
        <v>17</v>
      </c>
      <c r="C131" t="s">
        <v>56</v>
      </c>
    </row>
    <row r="132" spans="1:3" x14ac:dyDescent="0.2">
      <c r="A132" t="s">
        <v>39</v>
      </c>
      <c r="B132" t="s">
        <v>3</v>
      </c>
      <c r="C132" t="s">
        <v>57</v>
      </c>
    </row>
    <row r="133" spans="1:3" x14ac:dyDescent="0.2">
      <c r="A133" t="s">
        <v>40</v>
      </c>
      <c r="B133" t="s">
        <v>3</v>
      </c>
      <c r="C133" t="s">
        <v>58</v>
      </c>
    </row>
    <row r="135" spans="1:3" x14ac:dyDescent="0.2">
      <c r="A135" t="s">
        <v>41</v>
      </c>
    </row>
    <row r="136" spans="1:3" x14ac:dyDescent="0.2">
      <c r="A136" t="s">
        <v>27</v>
      </c>
      <c r="B136" t="s">
        <v>28</v>
      </c>
      <c r="C136" t="s">
        <v>54</v>
      </c>
    </row>
    <row r="137" spans="1:3" x14ac:dyDescent="0.2">
      <c r="A137" t="s">
        <v>42</v>
      </c>
      <c r="B137" t="s">
        <v>17</v>
      </c>
      <c r="C137">
        <v>59.6</v>
      </c>
    </row>
    <row r="138" spans="1:3" x14ac:dyDescent="0.2">
      <c r="A138" t="s">
        <v>43</v>
      </c>
      <c r="B138" t="s">
        <v>17</v>
      </c>
      <c r="C138">
        <v>59.7</v>
      </c>
    </row>
    <row r="139" spans="1:3" x14ac:dyDescent="0.2">
      <c r="A139" t="s">
        <v>44</v>
      </c>
      <c r="B139" t="s">
        <v>3</v>
      </c>
      <c r="C139">
        <v>69.099999999999994</v>
      </c>
    </row>
    <row r="140" spans="1:3" x14ac:dyDescent="0.2">
      <c r="A140" t="s">
        <v>45</v>
      </c>
      <c r="B140" t="s">
        <v>3</v>
      </c>
      <c r="C140">
        <v>75</v>
      </c>
    </row>
    <row r="141" spans="1:3" x14ac:dyDescent="0.2">
      <c r="A141" t="s">
        <v>46</v>
      </c>
      <c r="B141" t="s">
        <v>3</v>
      </c>
      <c r="C141">
        <v>70</v>
      </c>
    </row>
    <row r="144" spans="1:3" x14ac:dyDescent="0.2">
      <c r="A144" t="s">
        <v>59</v>
      </c>
    </row>
    <row r="145" spans="1:4" x14ac:dyDescent="0.2">
      <c r="A145" s="20" t="s">
        <v>60</v>
      </c>
    </row>
    <row r="146" spans="1:4" x14ac:dyDescent="0.2">
      <c r="A146" s="21" t="s">
        <v>61</v>
      </c>
      <c r="B146" s="21" t="s">
        <v>3</v>
      </c>
      <c r="C146" s="21" t="s">
        <v>62</v>
      </c>
    </row>
    <row r="147" spans="1:4" x14ac:dyDescent="0.2">
      <c r="A147" s="22">
        <v>4.29</v>
      </c>
      <c r="B147" s="22">
        <v>182.34</v>
      </c>
      <c r="C147" s="22">
        <v>90.16</v>
      </c>
    </row>
    <row r="150" spans="1:4" x14ac:dyDescent="0.2">
      <c r="A150" s="1" t="s">
        <v>63</v>
      </c>
    </row>
    <row r="151" spans="1:4" x14ac:dyDescent="0.2">
      <c r="A151" t="s">
        <v>64</v>
      </c>
    </row>
    <row r="153" spans="1:4" x14ac:dyDescent="0.2">
      <c r="A153" t="s">
        <v>28</v>
      </c>
      <c r="B153" t="s">
        <v>65</v>
      </c>
      <c r="C153" t="s">
        <v>66</v>
      </c>
      <c r="D153" t="s">
        <v>67</v>
      </c>
    </row>
    <row r="154" spans="1:4" x14ac:dyDescent="0.2">
      <c r="A154" s="23" t="s">
        <v>61</v>
      </c>
      <c r="B154" s="24">
        <v>100</v>
      </c>
      <c r="C154" s="25">
        <v>2808</v>
      </c>
      <c r="D154" s="25">
        <v>6503</v>
      </c>
    </row>
    <row r="155" spans="1:4" x14ac:dyDescent="0.2">
      <c r="A155" s="23"/>
      <c r="B155" s="24">
        <v>10</v>
      </c>
      <c r="C155" s="25">
        <v>2920.5</v>
      </c>
      <c r="D155" s="25">
        <v>5503.5</v>
      </c>
    </row>
    <row r="156" spans="1:4" x14ac:dyDescent="0.2">
      <c r="A156" s="23"/>
      <c r="B156" s="24">
        <v>1</v>
      </c>
      <c r="C156" s="25">
        <v>2819.5</v>
      </c>
      <c r="D156" s="25">
        <v>3503.5</v>
      </c>
    </row>
    <row r="157" spans="1:4" x14ac:dyDescent="0.2">
      <c r="A157" s="23"/>
      <c r="B157" s="24">
        <v>0.1</v>
      </c>
      <c r="C157" s="25">
        <v>2545</v>
      </c>
      <c r="D157" s="25">
        <v>2950</v>
      </c>
    </row>
    <row r="158" spans="1:4" x14ac:dyDescent="0.2">
      <c r="A158" s="23"/>
      <c r="B158" s="24">
        <v>0.01</v>
      </c>
      <c r="C158" s="25">
        <v>1965</v>
      </c>
      <c r="D158" s="25">
        <v>2997.5</v>
      </c>
    </row>
    <row r="159" spans="1:4" x14ac:dyDescent="0.2">
      <c r="A159" s="23"/>
      <c r="B159" s="24">
        <v>1E-3</v>
      </c>
      <c r="C159" s="25">
        <v>1394.5</v>
      </c>
      <c r="D159" s="25">
        <v>3104</v>
      </c>
    </row>
    <row r="160" spans="1:4" x14ac:dyDescent="0.2">
      <c r="A160" s="23"/>
      <c r="B160" s="24">
        <v>1E-4</v>
      </c>
      <c r="C160" s="25">
        <v>1250.5</v>
      </c>
      <c r="D160" s="25">
        <v>3023</v>
      </c>
    </row>
    <row r="161" spans="1:4" x14ac:dyDescent="0.2">
      <c r="A161" s="23"/>
      <c r="B161" s="24">
        <v>1.0000000000000001E-5</v>
      </c>
      <c r="C161" s="25">
        <v>1233.5</v>
      </c>
      <c r="D161" s="25">
        <v>3121</v>
      </c>
    </row>
    <row r="162" spans="1:4" x14ac:dyDescent="0.2">
      <c r="A162" s="23"/>
      <c r="B162" s="24">
        <v>9.9999999999999995E-7</v>
      </c>
      <c r="C162" s="25">
        <v>1216</v>
      </c>
      <c r="D162" s="25">
        <v>2993</v>
      </c>
    </row>
    <row r="163" spans="1:4" x14ac:dyDescent="0.2">
      <c r="A163" s="23"/>
      <c r="B163" s="24">
        <v>9.9999999999999995E-8</v>
      </c>
      <c r="C163" s="25">
        <v>1207.5</v>
      </c>
      <c r="D163" s="25">
        <v>2948</v>
      </c>
    </row>
    <row r="164" spans="1:4" x14ac:dyDescent="0.2">
      <c r="A164" s="23"/>
      <c r="B164" s="24">
        <v>1E-8</v>
      </c>
      <c r="C164" s="25">
        <v>1206.5</v>
      </c>
      <c r="D164" s="25">
        <v>3131</v>
      </c>
    </row>
    <row r="165" spans="1:4" x14ac:dyDescent="0.2">
      <c r="A165" s="23"/>
      <c r="B165" s="24">
        <v>1.0000000000000001E-9</v>
      </c>
      <c r="C165" s="25">
        <v>1202</v>
      </c>
      <c r="D165" s="25">
        <v>3045.5</v>
      </c>
    </row>
    <row r="167" spans="1:4" x14ac:dyDescent="0.2">
      <c r="A167" s="23" t="s">
        <v>62</v>
      </c>
      <c r="B167" s="24">
        <v>100</v>
      </c>
      <c r="C167" s="25">
        <v>1625.5</v>
      </c>
      <c r="D167" s="25">
        <v>6579</v>
      </c>
    </row>
    <row r="168" spans="1:4" x14ac:dyDescent="0.2">
      <c r="A168" s="23"/>
      <c r="B168" s="24">
        <v>10</v>
      </c>
      <c r="C168" s="25">
        <v>1813</v>
      </c>
      <c r="D168" s="25">
        <v>7880.5</v>
      </c>
    </row>
    <row r="169" spans="1:4" x14ac:dyDescent="0.2">
      <c r="A169" s="23"/>
      <c r="B169" s="24">
        <v>1</v>
      </c>
      <c r="C169" s="25">
        <v>1718.5</v>
      </c>
      <c r="D169" s="25">
        <v>5402</v>
      </c>
    </row>
    <row r="170" spans="1:4" x14ac:dyDescent="0.2">
      <c r="A170" s="23"/>
      <c r="B170" s="24">
        <v>0.1</v>
      </c>
      <c r="C170" s="25">
        <v>1691</v>
      </c>
      <c r="D170" s="25">
        <v>3307.5</v>
      </c>
    </row>
    <row r="171" spans="1:4" x14ac:dyDescent="0.2">
      <c r="A171" s="23"/>
      <c r="B171" s="24">
        <v>0.01</v>
      </c>
      <c r="C171" s="25">
        <v>1560</v>
      </c>
      <c r="D171" s="25">
        <v>2779</v>
      </c>
    </row>
    <row r="172" spans="1:4" x14ac:dyDescent="0.2">
      <c r="A172" s="23"/>
      <c r="B172" s="24">
        <v>1E-3</v>
      </c>
      <c r="C172" s="25">
        <v>1288.5</v>
      </c>
      <c r="D172" s="25">
        <v>2972.5</v>
      </c>
    </row>
    <row r="173" spans="1:4" x14ac:dyDescent="0.2">
      <c r="A173" s="23"/>
      <c r="B173" s="24">
        <v>1E-4</v>
      </c>
      <c r="C173" s="25">
        <v>1185</v>
      </c>
      <c r="D173" s="25">
        <v>3084.5</v>
      </c>
    </row>
    <row r="174" spans="1:4" x14ac:dyDescent="0.2">
      <c r="A174" s="23"/>
      <c r="B174" s="24">
        <v>1.0000000000000001E-5</v>
      </c>
      <c r="C174" s="25">
        <v>1241.5</v>
      </c>
      <c r="D174" s="25">
        <v>3017.5</v>
      </c>
    </row>
    <row r="175" spans="1:4" x14ac:dyDescent="0.2">
      <c r="A175" s="23"/>
      <c r="B175" s="24">
        <v>9.9999999999999995E-7</v>
      </c>
      <c r="C175" s="25">
        <v>1281.5</v>
      </c>
      <c r="D175" s="25">
        <v>3240</v>
      </c>
    </row>
    <row r="176" spans="1:4" x14ac:dyDescent="0.2">
      <c r="A176" s="23"/>
      <c r="B176" s="24">
        <v>9.9999999999999995E-8</v>
      </c>
      <c r="C176" s="25">
        <v>1151.5</v>
      </c>
      <c r="D176" s="25">
        <v>2879.5</v>
      </c>
    </row>
    <row r="177" spans="1:5" x14ac:dyDescent="0.2">
      <c r="A177" s="23"/>
      <c r="B177" s="24">
        <v>1E-8</v>
      </c>
      <c r="C177" s="25">
        <v>1152</v>
      </c>
      <c r="D177" s="25">
        <v>2919.5</v>
      </c>
    </row>
    <row r="178" spans="1:5" x14ac:dyDescent="0.2">
      <c r="A178" s="23"/>
      <c r="B178" s="24">
        <v>1.0000000000000001E-9</v>
      </c>
      <c r="C178" s="25">
        <v>1127.5</v>
      </c>
      <c r="D178" s="25">
        <v>2851.5</v>
      </c>
    </row>
    <row r="180" spans="1:5" x14ac:dyDescent="0.2">
      <c r="A180" s="23" t="s">
        <v>3</v>
      </c>
      <c r="B180" s="24">
        <v>100</v>
      </c>
      <c r="C180" s="25">
        <v>2558</v>
      </c>
      <c r="D180" s="25">
        <v>6647.5</v>
      </c>
    </row>
    <row r="181" spans="1:5" x14ac:dyDescent="0.2">
      <c r="A181" s="23"/>
      <c r="B181" s="24">
        <v>10</v>
      </c>
      <c r="C181" s="25">
        <v>2425.5</v>
      </c>
      <c r="D181" s="25">
        <v>4169.5</v>
      </c>
    </row>
    <row r="182" spans="1:5" x14ac:dyDescent="0.2">
      <c r="A182" s="23"/>
      <c r="B182" s="24">
        <v>1</v>
      </c>
      <c r="C182" s="25">
        <v>2156.5</v>
      </c>
      <c r="D182" s="25">
        <v>2820.5</v>
      </c>
    </row>
    <row r="183" spans="1:5" x14ac:dyDescent="0.2">
      <c r="A183" s="23"/>
      <c r="B183" s="24">
        <v>0.1</v>
      </c>
      <c r="C183" s="25">
        <v>1681.5</v>
      </c>
      <c r="D183" s="25">
        <v>2557</v>
      </c>
    </row>
    <row r="184" spans="1:5" x14ac:dyDescent="0.2">
      <c r="A184" s="23"/>
      <c r="B184" s="26">
        <v>0.01</v>
      </c>
      <c r="C184" s="27">
        <v>3158.5</v>
      </c>
      <c r="D184" s="27">
        <v>3738.5</v>
      </c>
      <c r="E184" s="1" t="s">
        <v>68</v>
      </c>
    </row>
    <row r="185" spans="1:5" x14ac:dyDescent="0.2">
      <c r="A185" s="23"/>
      <c r="B185" s="24">
        <v>1E-3</v>
      </c>
      <c r="C185" s="25">
        <v>1172</v>
      </c>
      <c r="D185" s="25">
        <v>2386</v>
      </c>
    </row>
    <row r="186" spans="1:5" x14ac:dyDescent="0.2">
      <c r="A186" s="23"/>
      <c r="B186" s="24">
        <v>1E-4</v>
      </c>
      <c r="C186" s="25">
        <v>1216</v>
      </c>
      <c r="D186" s="25">
        <v>2707</v>
      </c>
    </row>
    <row r="187" spans="1:5" x14ac:dyDescent="0.2">
      <c r="A187" s="23"/>
      <c r="B187" s="24">
        <v>1.0000000000000001E-5</v>
      </c>
      <c r="C187" s="25">
        <v>1186</v>
      </c>
      <c r="D187" s="25">
        <v>2575.5</v>
      </c>
    </row>
    <row r="188" spans="1:5" x14ac:dyDescent="0.2">
      <c r="A188" s="23"/>
      <c r="B188" s="24">
        <v>9.9999999999999995E-7</v>
      </c>
      <c r="C188" s="25">
        <v>1126</v>
      </c>
      <c r="D188" s="25">
        <v>2445.5</v>
      </c>
    </row>
    <row r="189" spans="1:5" x14ac:dyDescent="0.2">
      <c r="A189" s="23"/>
      <c r="B189" s="24">
        <v>9.9999999999999995E-8</v>
      </c>
      <c r="C189" s="25">
        <v>1153</v>
      </c>
      <c r="D189" s="25">
        <v>2483.5</v>
      </c>
    </row>
    <row r="190" spans="1:5" x14ac:dyDescent="0.2">
      <c r="A190" s="23"/>
      <c r="B190" s="24">
        <v>1E-8</v>
      </c>
      <c r="C190" s="25">
        <v>1155.5</v>
      </c>
      <c r="D190" s="25">
        <v>2336.5</v>
      </c>
    </row>
    <row r="191" spans="1:5" x14ac:dyDescent="0.2">
      <c r="A191" s="23"/>
      <c r="B191" s="24">
        <v>1.0000000000000001E-9</v>
      </c>
      <c r="C191" s="25">
        <v>1121.5</v>
      </c>
      <c r="D191" s="25">
        <v>2103.5</v>
      </c>
    </row>
  </sheetData>
  <mergeCells count="23">
    <mergeCell ref="A154:A165"/>
    <mergeCell ref="A167:A178"/>
    <mergeCell ref="A180:A191"/>
    <mergeCell ref="C34:D34"/>
    <mergeCell ref="E34:F34"/>
    <mergeCell ref="G34:H34"/>
    <mergeCell ref="I34:J34"/>
    <mergeCell ref="K34:L34"/>
    <mergeCell ref="C49:D49"/>
    <mergeCell ref="E49:F49"/>
    <mergeCell ref="G49:H49"/>
    <mergeCell ref="I49:J49"/>
    <mergeCell ref="K49:L49"/>
    <mergeCell ref="C5:D5"/>
    <mergeCell ref="E5:F5"/>
    <mergeCell ref="G5:H5"/>
    <mergeCell ref="I5:J5"/>
    <mergeCell ref="K5:L5"/>
    <mergeCell ref="C20:D20"/>
    <mergeCell ref="E20:F20"/>
    <mergeCell ref="G20:H20"/>
    <mergeCell ref="I20:J20"/>
    <mergeCell ref="K20:L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2023-06-27T16:38:55Z</dcterms:created>
  <dcterms:modified xsi:type="dcterms:W3CDTF">2023-06-27T16:40:54Z</dcterms:modified>
</cp:coreProperties>
</file>